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szklanko\Desktop\"/>
    </mc:Choice>
  </mc:AlternateContent>
  <xr:revisionPtr revIDLastSave="0" documentId="13_ncr:80001_{02FB346B-C1E0-4A2E-92DE-C2E34ED1865B}" xr6:coauthVersionLast="36" xr6:coauthVersionMax="47" xr10:uidLastSave="{00000000-0000-0000-0000-000000000000}"/>
  <bookViews>
    <workbookView xWindow="-105" yWindow="-105" windowWidth="23250" windowHeight="12570" tabRatio="902" activeTab="1" xr2:uid="{B9155A12-535E-4FC3-A38B-A762E31BCA69}"/>
  </bookViews>
  <sheets>
    <sheet name="zał. 1 dochody" sheetId="2" r:id="rId1"/>
    <sheet name="INWESTYCJE PM" sheetId="3" r:id="rId2"/>
    <sheet name="tp inwestycje (zmiany)" sheetId="4" state="hidden" r:id="rId3"/>
    <sheet name="Prognoza" sheetId="8" r:id="rId4"/>
    <sheet name="tp inwestycje (dokładnie)" sheetId="5" state="hidden" r:id="rId5"/>
    <sheet name="tp inwestycje do spr." sheetId="6" state="hidden" r:id="rId6"/>
    <sheet name="Spr. z raportem D12-WPF" sheetId="7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1" hidden="1">'INWESTYCJE PM'!$A$9:$BC$888</definedName>
    <definedName name="_xlnm._FilterDatabase" localSheetId="6" hidden="1">'Spr. z raportem D12-WPF'!$A$5:$U$179</definedName>
    <definedName name="BEx000WL65UX5QBLV49LSBV1NMRX" hidden="1">#REF!</definedName>
    <definedName name="BEx0017DGUEDPCFJUPUZOOLJCS2B" hidden="1">#REF!</definedName>
    <definedName name="BEx001CNWHJ5RULCSFM36ZCGJ1UH" hidden="1">#REF!</definedName>
    <definedName name="BEx002UN0ZS0AFV6UIVA24RIORNU" hidden="1">#REF!</definedName>
    <definedName name="BEx0041RNVGGN8SKGQTWHTVAGKBV" hidden="1">#REF!</definedName>
    <definedName name="BEx004791UAJIJSN57OT7YBLNP82" hidden="1">#REF!</definedName>
    <definedName name="BEx007N9DPI0511KP0SJ8AKQPL0L" hidden="1">#REF!</definedName>
    <definedName name="BEx008JN41RZQB3Y3Y4XY0D0QXJG" hidden="1">#REF!</definedName>
    <definedName name="BEx008P2NVFDLBHL7IZ5WTMVOQ1F" hidden="1">#REF!</definedName>
    <definedName name="BEx009G00IN0JUIAQ4WE9NHTMQE2" hidden="1">#REF!</definedName>
    <definedName name="BEx00BUANS18CZKCOPEB5UNV3PQD" hidden="1">[1]Program!#REF!</definedName>
    <definedName name="BEx00BZSJGFWWPV3XPUB6EACEZSK" hidden="1">#REF!</definedName>
    <definedName name="BEx00CLDOVHE674ITWODSWNUPUHB" hidden="1">#REF!</definedName>
    <definedName name="BEx00DXTY2JDVGWQKV8H7FG4SV30" hidden="1">#REF!</definedName>
    <definedName name="BEx00GHLTYRH5N2S6P78YW1CD30N" hidden="1">#REF!</definedName>
    <definedName name="BEx00J6L4N3WDFUWI1GNCD89U2A5" hidden="1">#REF!</definedName>
    <definedName name="BEx00JC31DY11L45SEU4B10BIN6W" hidden="1">[2]Table!#REF!</definedName>
    <definedName name="BEx00KZHZBHP3TDV1YMX4B19B95O" hidden="1">#REF!</definedName>
    <definedName name="BEx00MBYYC040VFSUDMBBJE2GMNX" hidden="1">#REF!</definedName>
    <definedName name="BEx00MMRJ1JH7OEO0W0ALXISZVW9" hidden="1">#REF!</definedName>
    <definedName name="BEx00PRXT2KFRLUIFJEYXKDDCN0O" hidden="1">#REF!</definedName>
    <definedName name="BEx00QTSFVT3NUN2JH94SQK238K5" hidden="1">#REF!</definedName>
    <definedName name="BEx00U9SHQ0NHO9GPJITAMG5T4E9" hidden="1">#REF!</definedName>
    <definedName name="BEx00UKRJOPZG057TLYK43IB3BJN" hidden="1">#REF!</definedName>
    <definedName name="BEx00XKM0KKCR5JV8G9CRUSQ5QN0" hidden="1">[3]Table!#REF!</definedName>
    <definedName name="BEx00Y627ZV51CF8QF8DZS0IMQA6" hidden="1">#REF!</definedName>
    <definedName name="BEx012NW8QZWECL1AL8SLPX0BB2S" hidden="1">#REF!</definedName>
    <definedName name="BEx01ECP4WIN5MLLCWZUH4BS5EJV" hidden="1">[2]Program!#REF!</definedName>
    <definedName name="BEx01HY6E3GJ66ABU5ABN26V6Q13" hidden="1">#REF!</definedName>
    <definedName name="BEx01J5DBC3MUO5BJRP1K57X694Y" hidden="1">#REF!</definedName>
    <definedName name="BEx01MG05GLYX8UQUGZDFFF48P2W" hidden="1">#REF!</definedName>
    <definedName name="BEx01MG0LGPS94VHBLOGFB49HC43" hidden="1">#REF!</definedName>
    <definedName name="BEx01NHV7F92VXY1L8HEQ0YKJV4O" hidden="1">#REF!</definedName>
    <definedName name="BEx01O3GLDIXDSF4IAGMOGRHQPJ6" hidden="1">#REF!</definedName>
    <definedName name="BEx01PW5YQKEGAR8JDDI5OARYXDF" hidden="1">#REF!</definedName>
    <definedName name="BEx01T1EVAEW9BLAP4L6II4G6OC4" hidden="1">#REF!</definedName>
    <definedName name="BEx01UZMQIPSBL99BMHRLB4PT6V2" hidden="1">#REF!</definedName>
    <definedName name="BEx01VAE9W0G5UA8VLIG93WLP32S" hidden="1">#REF!</definedName>
    <definedName name="BEx01WC22051RX81QUAHTH9GTAYN" hidden="1">#REF!</definedName>
    <definedName name="BEx01X35B7HJI6CR2FK3FQ2CNLEP" hidden="1">#REF!</definedName>
    <definedName name="BEx01X35DZBL50I19K4ZSW4F1ESH" hidden="1">#REF!</definedName>
    <definedName name="BEx01XJ94SHJ1YQ7ORPW0RQGKI2H" hidden="1">#REF!</definedName>
    <definedName name="BEx021QAZRRTKNIY71BWFSZUIK8K" hidden="1">#REF!</definedName>
    <definedName name="BEx021VRTW9JJ7G7B5K42O7Y4EJ0" hidden="1">#REF!</definedName>
    <definedName name="BEx029TM16L89VO1CVZNL1SJP0AY" hidden="1">#REF!</definedName>
    <definedName name="BEx02OIB9N9811LX26Q7BW1EDRTT" hidden="1">#REF!</definedName>
    <definedName name="BEx02Q08R9G839Q4RFGG9026C7PX" hidden="1">#REF!</definedName>
    <definedName name="BEx02SEL3Z1QWGAHXDPUA9WLTTPS" hidden="1">#REF!</definedName>
    <definedName name="BEx02SEL88NVJJN729ZY683UZF24" hidden="1">#REF!</definedName>
    <definedName name="BEx02Y3KJZH5BGDM9QEZ1PVVI114" hidden="1">#REF!</definedName>
    <definedName name="BEx030SNXXGM8PVXRRWW4RD0MGHG" hidden="1">#REF!</definedName>
    <definedName name="BEx0313GRLLASDTVPW5DHTXHE74M" hidden="1">#REF!</definedName>
    <definedName name="BEx03I6HAKWPDJ31RVQM9PKWLFB8" hidden="1">#REF!</definedName>
    <definedName name="BEx040GNGACOQI5MY5X2NE42ZWDU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LH69CGZWIHJ8OSVKVZ8RJOI" hidden="1">#REF!</definedName>
    <definedName name="BEx1FM2R5SX3J41PXRNMO0WZYEFJ" hidden="1">#REF!</definedName>
    <definedName name="BEx1FRRR58B8FF2FRZD3PD96D7DG" hidden="1">#REF!</definedName>
    <definedName name="BEx1FSDBOGIRHZVPD0KBJLWMRJ7S" hidden="1">#REF!</definedName>
    <definedName name="BEx1FZV2CM77TBH1R6YYV9P06KA2" hidden="1">#REF!</definedName>
    <definedName name="BEx1G59AY8195JTUM6P18VXUFJ3E" hidden="1">#REF!</definedName>
    <definedName name="BEx1G9AVN4NXWTOBDS87NXC4706Q" hidden="1">#REF!</definedName>
    <definedName name="BEx1G9AWB0YYBPG4VAGWVZPGNUZ1" hidden="1">#REF!</definedName>
    <definedName name="BEx1GACQL91IG43LSU6M1F2TWPZN" hidden="1">#REF!</definedName>
    <definedName name="BEx1GB92OWY6P3B3Z6EYFUUWMITG" hidden="1">#REF!</definedName>
    <definedName name="BEx1GFG4TX8V0WMKALTAJRMD0EX9" hidden="1">#REF!</definedName>
    <definedName name="BEx1GMCAABEE3ZNRWJWDGKVUZ5IS" hidden="1">#REF!</definedName>
    <definedName name="BEx1GOQMN8O4N43T40MWIO4IQUW3" hidden="1">#REF!</definedName>
    <definedName name="BEx1GVMRHFXUP6XYYY9NR12PV5TF" hidden="1">#REF!</definedName>
    <definedName name="BEx1H6KIT7BHUH6MDDWC935V9N47" hidden="1">#REF!</definedName>
    <definedName name="BEx1H7X54I7471CPRWFZ97ZN205Q" hidden="1">#REF!</definedName>
    <definedName name="BEx1HABHQ6F3TYHZ9W1DWYNHG35F" hidden="1">#REF!</definedName>
    <definedName name="BEx1HB7VIFU6OJK39TUR9O07UOSR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FPIIIQOLCPVC4O6S29TRWUW" hidden="1">#REF!</definedName>
    <definedName name="BEx1HGLWYW3XLNDTF7SY9YYCVBM6" hidden="1">#REF!</definedName>
    <definedName name="BEx1HGM2TBFL6UBVA6E4PKNSPI96" hidden="1">#REF!</definedName>
    <definedName name="BEx1HGWNWPLNXICOTP90TKQVVE4E" hidden="1">#REF!</definedName>
    <definedName name="BEx1HGWTXR296UID0ZF32ICUQFSS" hidden="1">#REF!</definedName>
    <definedName name="BEx1HH7MI8WDAH6LHPQN122CRT5A" hidden="1">#REF!</definedName>
    <definedName name="BEx1HIPLJZABY0EMUOTZN0EQMDPU" hidden="1">#REF!</definedName>
    <definedName name="BEx1HN7G3ICT3TE1S08G1NRXLFR5" hidden="1">#REF!</definedName>
    <definedName name="BEx1HO94JIRX219MPWMB5E5XZ04X" hidden="1">#REF!</definedName>
    <definedName name="BEx1HPAYWY2XCDLSRN1EMAND463H" hidden="1">#REF!</definedName>
    <definedName name="BEx1HQ1VI2EINVNAS8S9GAE6AQ01" hidden="1">#REF!</definedName>
    <definedName name="BEx1HQNF6KHM21E3XLW0NMSSEI9S" hidden="1">#REF!</definedName>
    <definedName name="BEx1HSLNWIW4S97ZBYY7I7M5YVH4" hidden="1">#REF!</definedName>
    <definedName name="BEx1HVLEAKFFKOXKD2NQE10BKEAE" hidden="1">#REF!</definedName>
    <definedName name="BEx1HVWBQA60C5WSNJ9DFM6FRJ6F" hidden="1">#REF!</definedName>
    <definedName name="BEx1I0E0TGXIB8MNWJI6EOTT09BP" hidden="1">#REF!</definedName>
    <definedName name="BEx1I1VXR13MCMYX4T9TEEUSUMDB" hidden="1">Tech '[4]2'!$B$6:$S$173</definedName>
    <definedName name="BEx1I38LBZSH2UZJIZXAE5XOUU55" hidden="1">#REF!</definedName>
    <definedName name="BEx1I4QJQ1KKGIFWQ5M64VFDWPA0" hidden="1">#REF!</definedName>
    <definedName name="BEx1I4QKTILCKZUSOJCVZN7SNHL5" hidden="1">#REF!</definedName>
    <definedName name="BEx1I4W18HQN8H29JQ0LTP2S7FZ0" hidden="1">#REF!</definedName>
    <definedName name="BEx1I6J9UAFOCYSFE4MNDRQ3BYWC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LO2H6Q99N3K06ETWCQOOL1L" hidden="1">#REF!</definedName>
    <definedName name="BEx1IWLZ8V2S0B6AYXWW9K77OQTR" hidden="1">TEST-#REF!</definedName>
    <definedName name="BEx1J0CSSHDJGBJUHVOEMCF2P4DL" hidden="1">#REF!</definedName>
    <definedName name="BEx1J7E8VCGLPYU82QXVUG5N3ZAI" hidden="1">#REF!</definedName>
    <definedName name="BEx1JAUEE604YM5ZMH5FLO3U92VD" hidden="1">TEST-[5]LISTA!$B$7:$F$1857</definedName>
    <definedName name="BEx1JC1KPFHNHJLPDR80H5UY87A1" hidden="1">#REF!</definedName>
    <definedName name="BEx1JGE2YQWH8S25USOY08XVGO0D" hidden="1">#REF!</definedName>
    <definedName name="BEx1JGJF5BZZRYXQYVC222X8BIZ9" hidden="1">#REF!</definedName>
    <definedName name="BEx1JIXQ6909K46MIZXV594MNL30" hidden="1">#REF!</definedName>
    <definedName name="BEx1JIXR5GERQ463KYPFUVIHR62W" hidden="1">#REF!</definedName>
    <definedName name="BEx1JJJC9T1W7HY4V7HP1S1W4JO1" hidden="1">#REF!</definedName>
    <definedName name="BEx1JJOMU5762ZB2AIW2V8IPEQRW" hidden="1">#REF!</definedName>
    <definedName name="BEx1JKKYZAUI5CS7R3SHMLCXM4DZ" hidden="1">#REF!</definedName>
    <definedName name="BEx1JKKZSJ7DI4PTFVI9VVFMB1X2" hidden="1">#REF!</definedName>
    <definedName name="BEx1JMOIGUKCLH9HMP81SGRKFMQP" hidden="1">#REF!</definedName>
    <definedName name="BEx1JNQDSEUBL3L3LC76HM24DGDH" hidden="1">Tech '[4]2'!$B$7:$D$8</definedName>
    <definedName name="BEx1JQ9YHG3M4KFQP650C03FJ65L" hidden="1">#REF!</definedName>
    <definedName name="BEx1JUBQFRVMASSFK4B3V0AD7YP9" hidden="1">#REF!</definedName>
    <definedName name="BEx1JV2N13WH5VDKPPQE0SHCUN7D" hidden="1">#REF!</definedName>
    <definedName name="BEx1JXBM5W4YRWNQ0P95QQS6JWD6" hidden="1">#REF!</definedName>
    <definedName name="BEx1JY2IXEWBK9VDH89KR24RQ3OK" hidden="1">#REF!</definedName>
    <definedName name="BEx1JZF5U9MK6LMFV04ZFHOPMLPY" hidden="1">#REF!</definedName>
    <definedName name="BEx1K29K9TXT7V50XKOIDTOC9UXU" hidden="1">#REF!</definedName>
    <definedName name="BEx1K4D3PO6FO7O34NZKN7PRQFJA" hidden="1">#REF!</definedName>
    <definedName name="BEx1K6GMKTCQZQ1XR762LDFIPAPW" hidden="1">#REF!</definedName>
    <definedName name="BEx1K6M43OV9IHXKBP5PR2Q1KUHB" hidden="1">[1]Program!#REF!</definedName>
    <definedName name="BEx1KA7L2FEOQF91DDQZTMYJYMC8" hidden="1">#REF!</definedName>
    <definedName name="BEx1KACW125WJVOHMPS9SCLHQUA2" hidden="1">#REF!</definedName>
    <definedName name="BEx1KCWQ445PDI0YUBIXZBK5EWCP" hidden="1">#REF!</definedName>
    <definedName name="BEx1KGY9QEHZ9QSARMQUTQKRK4UX" hidden="1">#REF!</definedName>
    <definedName name="BEx1KKP1ELIF2UII2FWVGL7M1X7J" hidden="1">#REF!</definedName>
    <definedName name="BEx1KLG5FYSRJ8KKSK4BKJOTO5QC" hidden="1">#REF!</definedName>
    <definedName name="BEx1KUQL3M7TI5AKZ2F9OUDJCFGB" hidden="1">#REF!</definedName>
    <definedName name="BEx1KUVWMB0QCWA3RBE4CADFVRIS" hidden="1">#REF!</definedName>
    <definedName name="BEx1KWDVUFVSHBZM69YKCUZZVVI9" hidden="1">#REF!</definedName>
    <definedName name="BEx1KWJCJG0S6KNIF1V9P8XTMAL3" hidden="1">#REF!</definedName>
    <definedName name="BEx1KYHDLGXKV8XJDWGO4RL0GNRI" hidden="1">#REF!</definedName>
    <definedName name="BEx1L0A41NYYE714KBQ1XGS11NWK" hidden="1">#REF!</definedName>
    <definedName name="BEx1L2OG1SDFK2TPXELJ77YP4NI2" hidden="1">#REF!</definedName>
    <definedName name="BEx1L6Q60MWRDJB4L20LK0XPA0Z2" hidden="1">#REF!</definedName>
    <definedName name="BEx1L94IGJQ89WZNZOL1XS7HUNPR" hidden="1">#REF!</definedName>
    <definedName name="BEx1LB80MAT9Y397PHIE117Z7AJL" hidden="1">#REF!</definedName>
    <definedName name="BEx1LD63FP2Z4BR9TKSHOZW9KKZ5" hidden="1">#REF!</definedName>
    <definedName name="BEx1LDMB9RW982DUILM2WPT5VWQ3" hidden="1">#REF!</definedName>
    <definedName name="BEx1LGRJG2XIUQBA04ILIO3I5A6Z" hidden="1">#REF!</definedName>
    <definedName name="BEx1LI9IRMNE6EMMJNY8A7DUI2PS" hidden="1">#REF!</definedName>
    <definedName name="BEx1LLUZGRJDPPACZX5ZMQBQZSFV" hidden="1">#REF!</definedName>
    <definedName name="BEx1LQ7C4TWAEHY28AWMQBQPLOLE" hidden="1">#REF!</definedName>
    <definedName name="BEx1LRPGDQCOEMW8YT80J1XCDCIV" hidden="1">#REF!</definedName>
    <definedName name="BEx1LRUSJW4JG54X07QWD9R27WV9" hidden="1">#REF!</definedName>
    <definedName name="BEx1LTI091KQE9S59NTAG168NYZ5" hidden="1">[2]Program!#REF!</definedName>
    <definedName name="BEx1LXJS3YGZCBQN3NPE9202IRYV" hidden="1">#REF!</definedName>
    <definedName name="BEx1LZCI3ANQH7PF5ZBAPZV597T6" hidden="1">#REF!</definedName>
    <definedName name="BEx1M1WBK5T0LP1AK2JYV6W87ID6" hidden="1">#REF!</definedName>
    <definedName name="BEx1M2HUJ9TQURG71LG6ODPMPR7T" hidden="1">#REF!</definedName>
    <definedName name="BEx1M2XYS7VFK56BN33QI8LBYLK9" hidden="1">#REF!</definedName>
    <definedName name="BEx1M3JJGKF1YALMTNWMK99YH9FT" hidden="1">#REF!</definedName>
    <definedName name="BEx1M4LFAWNBUTVIW3WUXNUMY2OC" hidden="1">#REF!</definedName>
    <definedName name="BEx1M51HHDYGIT8PON7U8ICL2S95" hidden="1">#REF!</definedName>
    <definedName name="BEx1M7W49UFQ25ANMM9S9VGQCXTB" hidden="1">#REF!</definedName>
    <definedName name="BEx1M81EGIY979SBCFM026XTJB80" hidden="1">#REF!</definedName>
    <definedName name="BEx1MEBZTWO6XAWNC9Z6T7VUC26Q" hidden="1">#REF!</definedName>
    <definedName name="BEx1MMQ3H3E9MBH330J6MD3EP8AD" hidden="1">#REF!</definedName>
    <definedName name="BEx1MTRKKVCHOZ0YGID6HZ49LJTO" hidden="1">#REF!</definedName>
    <definedName name="BEx1MXNUDPE36H6DF674DPP08O8P" hidden="1">#REF!</definedName>
    <definedName name="BEx1MXNVJYA1NC9QNLKL3EHZYDM1" hidden="1">#REF!</definedName>
    <definedName name="BEx1MZWUJTUTL09AFTP5I6W7PLI8" hidden="1">#REF!</definedName>
    <definedName name="BEx1N0IFWPSL686RSLZTZA4KIY2A" hidden="1">#REF!</definedName>
    <definedName name="BEx1N3CUJ3UX61X38ZAJVPEN4KMC" hidden="1">[2]Table!#REF!</definedName>
    <definedName name="BEx1N43VFTFVMQTHPUJIJ28A80WX" hidden="1">#REF!</definedName>
    <definedName name="BEx1NAEIC18JWFA1FKKXBE0X2A63" hidden="1">Tech '[4]2'!$B$7:$D$8</definedName>
    <definedName name="BEx1NFCG8AI9NXWO5ROKI6DYZP77" hidden="1">#REF!</definedName>
    <definedName name="BEx1NLHOOUBF09NT1OTBBNST541Z" hidden="1">#REF!</definedName>
    <definedName name="BEx1NM34KQTO1LDNSAFD1L82UZFG" hidden="1">#REF!</definedName>
    <definedName name="BEx1NMOUPV2S984SLFO8Q66FUOYW" hidden="1">#REF!</definedName>
    <definedName name="BEx1NO6TXZVOGCUWCCRTXRXWW0XL" hidden="1">#REF!</definedName>
    <definedName name="BEx1NPDTZ1MFPF3R5K52GUTODA26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0BPZU43V8KXJN2NPDH1IUP2" hidden="1">#REF!</definedName>
    <definedName name="BEx1O0BQ2EBLBRAUB1GBQRBC8QHV" hidden="1">#REF!</definedName>
    <definedName name="BEx1O0XA02OXBEY6AAS94L6P1KSR" hidden="1">#REF!</definedName>
    <definedName name="BEx1O3X63UKSH1VA54BNSHG2G22I" hidden="1">#REF!</definedName>
    <definedName name="BEx1O9M7R8ENQU0DZCH65Z51DO4K" hidden="1">#REF!</definedName>
    <definedName name="BEx1OA2A73OAEEGWP3LWOHRMT83N" hidden="1">#REF!</definedName>
    <definedName name="BEx1OB45OUQAGCNLR11WCEWKUYX2" hidden="1">#REF!</definedName>
    <definedName name="BEx1OLAZ915OGYWP0QP1QQWDLCRX" hidden="1">#REF!</definedName>
    <definedName name="BEx1OLR36GGBJU2GL9EK9C8W2GLP" hidden="1">#REF!</definedName>
    <definedName name="BEx1OMYA27BIGA7V5K91YYFFLJEW" hidden="1">#REF!</definedName>
    <definedName name="BEx1OO5ER042IS6IC4TLDI75JNVH" hidden="1">#REF!</definedName>
    <definedName name="BEx1OOQZC5G5EPE3UHSREB2MHU5L" hidden="1">Table '[4]2'!$B$6:$E$7</definedName>
    <definedName name="BEx1OPY5B1E91MX410TQBW5X7FST" hidden="1">#REF!</definedName>
    <definedName name="BEx1ORLJZSO8V547O3RL5CF2O2G7" hidden="1">#REF!</definedName>
    <definedName name="BEx1OTE54CBSUT8FWKRALEDCUWN4" hidden="1">#REF!</definedName>
    <definedName name="BEx1OVSMPADTX95QUOX34KZQ8EDY" hidden="1">#REF!</definedName>
    <definedName name="BEx1OX52N6D3O4IGB1YLCQEO627Z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4C2917Y5ISITTPNKTZHID7P" hidden="1">#REF!</definedName>
    <definedName name="BEx1P4S5Y4X1AG5YL9DS164978PB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PR415U01RF514LC24LSXZ46E" hidden="1">#REF!</definedName>
    <definedName name="BEx1PTI8P14HTRY6EF2HR2OTDD2U" hidden="1">#REF!</definedName>
    <definedName name="BEx1PXUPD5XRUU2SPVGZCRNTWS98" hidden="1">#REF!</definedName>
    <definedName name="BEx1PYWL8KKKRO4FKSMXY0GRWOSH" hidden="1">#REF!</definedName>
    <definedName name="BEx1Q104K57I2PH6EM5O8BWPL765" hidden="1">#REF!</definedName>
    <definedName name="BEx1Q45BALPA23Y15J111UH39Z1O" hidden="1">#REF!</definedName>
    <definedName name="BEx1QA54J2A4I7IBQR19BTY28ZMR" hidden="1">#REF!</definedName>
    <definedName name="BEx1QE1DI0Y9LOAR5O0OLEF8Y1M3" hidden="1">#REF!</definedName>
    <definedName name="BEx1QIU02UKQDRQO4JFJQTQPA9M2" hidden="1">#REF!</definedName>
    <definedName name="BEx1QL2TXOWH4WRVEWJTULWVIJ5T" hidden="1">#REF!</definedName>
    <definedName name="BEx1QMQAHG3KQUK59DVM68SWKZIZ" hidden="1">#REF!</definedName>
    <definedName name="BEx1QOTTD8A7ZISZKTC3BOOVKWEN" hidden="1">#REF!</definedName>
    <definedName name="BEx1QPQ7MCIUC8S0DLLMIAT7DWI4" hidden="1">#REF!</definedName>
    <definedName name="BEx1QPVHPEG3G1W59CFMH8QIFU2T" hidden="1">#REF!</definedName>
    <definedName name="BEx1QTMFZC08YQEB4QK6FS20CY6R" hidden="1">#REF!</definedName>
    <definedName name="BEx1QWGV7PAPV1XSGN4NAIUEFY1L" hidden="1">#REF!</definedName>
    <definedName name="BEx1R02C8KNH9YXA8P430NC2J4P0" hidden="1">#REF!</definedName>
    <definedName name="BEx1R20JXM6G82U5MAIFTZBR3KDH" hidden="1">#REF!</definedName>
    <definedName name="BEx1R9YFKJCMSEST8OVCAO5E47FO" hidden="1">#REF!</definedName>
    <definedName name="BEx1RBGC06B3T52OIC0EQ1KGVP1I" hidden="1">#REF!</definedName>
    <definedName name="BEx1RC79H35B20B9X4KA6338BQS0" hidden="1">#REF!</definedName>
    <definedName name="BEx1RJ3K5XEAUPAO9KK2J00XBXO1" hidden="1">Tech '[4]2'!$B$6:$S$142</definedName>
    <definedName name="BEx1RNFXQN0DEXK2CSXJ1G6FIXEL" hidden="1">#REF!</definedName>
    <definedName name="BEx1RRC7X4NI1CU4EO5XYE2GVARJ" hidden="1">#REF!</definedName>
    <definedName name="BEx1RT4WS53HAZO7GJ84KG87EPLZ" hidden="1">#REF!</definedName>
    <definedName name="BEx1RUHK281CAXVAXOMOCOSQCXTH" hidden="1">#REF!</definedName>
    <definedName name="BEx1RVZDVPZEF7BSUVY2F6UBDOJW" hidden="1">#REF!</definedName>
    <definedName name="BEx1RXXLNBPKCILEZFWSHXNT6MJJ" hidden="1">#REF!</definedName>
    <definedName name="BEx1RZA1NCGT832L7EMR7GMF588W" hidden="1">#REF!</definedName>
    <definedName name="BEx1S0MOOGSSYT24R5GZFG5GMGFR" hidden="1">#REF!</definedName>
    <definedName name="BEx1S0XGIPUSZQUCSGWSK10GKW7Y" hidden="1">#REF!</definedName>
    <definedName name="BEx1S1ZAYHM1700IL7LH1WUIH5LM" hidden="1">#REF!</definedName>
    <definedName name="BEx1S4IXPZMP39YOVAWF6ZQ00X9D" hidden="1">#REF!</definedName>
    <definedName name="BEx1S5VFNKIXHTTCWSV60UC50EZ8" hidden="1">#REF!</definedName>
    <definedName name="BEx1S7DJG1IH5OIGBBW90U1L60DE" hidden="1">#REF!</definedName>
    <definedName name="BEx1SEPSYRK2INGFE0J4991VPCWV" hidden="1">#REF!</definedName>
    <definedName name="BEx1SK3U02H0RGKEYXW7ZMCEOF3V" hidden="1">#REF!</definedName>
    <definedName name="BEx1SRWJOP5IFHMAB8NGENZ7K03T" hidden="1">#REF!</definedName>
    <definedName name="BEx1SRWJSYSOQR1XU6KCXIR63LCQ" hidden="1">#REF!</definedName>
    <definedName name="BEx1SSCN3CHOO64SU5K4I5RL2DAB" hidden="1">#REF!</definedName>
    <definedName name="BEx1SSNEZINBJT29QVS62VS1THT4" hidden="1">#REF!</definedName>
    <definedName name="BEx1SVNCHNANBJIDIQVB8AFK4HAN" hidden="1">#REF!</definedName>
    <definedName name="BEx1T6QK4JJ0H4JKHUHX9646WD2G" hidden="1">#REF!</definedName>
    <definedName name="BEx1T7C4J2PFV9SP0TMC3HUN0PJ2" hidden="1">#REF!</definedName>
    <definedName name="BEx1T7SCX7KK0ROG334AKM67Y8WU" hidden="1">#REF!</definedName>
    <definedName name="BEx1TBDPC1C6V4KL4UJJMOJFD73P" hidden="1">#REF!</definedName>
    <definedName name="BEx1TC4QOBLPAIMSBPFOEUWV9BA3" hidden="1">#REF!</definedName>
    <definedName name="BEx1TCVN68QC7W6IXDQKI094A56P" hidden="1">#REF!</definedName>
    <definedName name="BEx1TDXH7I5BEWFIAMTWOMA5ML0F" hidden="1">#REF!</definedName>
    <definedName name="BEx1TE2TD0VORFOGCJYK7G1F1NN0" hidden="1">#REF!</definedName>
    <definedName name="BEx1TE2TKX3O90P6ILTX1LQP73WC" hidden="1">#REF!</definedName>
    <definedName name="BEx1TJ0WLS9O7KNSGIPWTYHDYI1D" hidden="1">#REF!</definedName>
    <definedName name="BEx1TNTKITTEKOJ5Q0RUF0799ZGD" hidden="1">#REF!</definedName>
    <definedName name="BEx1TWYKQ2H9PGI8UPCCNKJ814BE" hidden="1">#REF!</definedName>
    <definedName name="BEx1U0ER19P0EODICV8TBDMLA0YS" hidden="1">#REF!</definedName>
    <definedName name="BEx1U7AVBEXYJKOQI8X4FGYCJK69" hidden="1">#REF!</definedName>
    <definedName name="BEx1U7WFO8OZKB1EBF4H386JW91L" hidden="1">#REF!</definedName>
    <definedName name="BEx1U87938YR9N6HYI24KVBKLOS3" hidden="1">#REF!</definedName>
    <definedName name="BEx1U8SOV3ILWY3R30VFM5G8W6C3" hidden="1">#REF!</definedName>
    <definedName name="BEx1UCP31VA1Q4S8M5QENL3HR59S" hidden="1">#REF!</definedName>
    <definedName name="BEx1UESH4KDWHYESQU2IE55RS3LI" hidden="1">#REF!</definedName>
    <definedName name="BEx1UGLEHT1GVPKSU3G7G4EHBD7X" hidden="1">#REF!</definedName>
    <definedName name="BEx1UI8N9KTCPSOJ7RDW0T8UEBNP" hidden="1">#REF!</definedName>
    <definedName name="BEx1UML0HHJFHA5TBOYQ24I3RV1W" hidden="1">#REF!</definedName>
    <definedName name="BEx1UNC1YOI51X90NMZOXF8C4EZC" hidden="1">#REF!</definedName>
    <definedName name="BEx1UNHCZVFXD96DJKJ3RT1554VZ" hidden="1">Tech '[4]2'!$B$7</definedName>
    <definedName name="BEx1USA068VBYOJ3PLITM5FJVSDW" hidden="1">#REF!</definedName>
    <definedName name="BEx1USFH3S9N2OOKZPGCO3L76YQ4" hidden="1">#REF!</definedName>
    <definedName name="BEx1USVKPOR4KTJG0U2U3N7QMG2N" hidden="1">#REF!</definedName>
    <definedName name="BEx1UUDIQPZ23XQ79GUL0RAWRSCK" hidden="1">#REF!</definedName>
    <definedName name="BEx1UVFCYDV9XRH9M76B361B399U" hidden="1">#REF!</definedName>
    <definedName name="BEx1UZRQ586TOXZK3E66636DLHIK" hidden="1">TEST-#REF!</definedName>
    <definedName name="BEx1V49KS65SNVZQ1IHOGW68L8XA" hidden="1">#REF!</definedName>
    <definedName name="BEx1V50NGW3MRY6B5JVK682Z3SYK" hidden="1">#REF!</definedName>
    <definedName name="BEx1V5BFILZEAIHG2XJLMEGP6JBV" hidden="1">#REF!</definedName>
    <definedName name="BEx1V67SEV778NVW68J8W5SND1J7" hidden="1">#REF!</definedName>
    <definedName name="BEx1V9YKTB0S1ABY6YLLI7CK5C6N" hidden="1">#REF!</definedName>
    <definedName name="BEx1VD99IFGD7OYCGIWWWQV3APWE" hidden="1">#REF!</definedName>
    <definedName name="BEx1VIY9SQLRESD11CC4PHYT0XSG" hidden="1">#REF!</definedName>
    <definedName name="BEx1VKG8KVD8K3E22BP8BDMQ1E9J" hidden="1">#REF!</definedName>
    <definedName name="BEx1VKLPDPRVMXFSUT4D2DUY75CM" hidden="1">#REF!</definedName>
    <definedName name="BEx1VM3NAHCNM4OCEXNOL53P1448" hidden="1">#REF!</definedName>
    <definedName name="BEx1VN5BQHR6G8DYWG425XGEOROE" hidden="1">#REF!</definedName>
    <definedName name="BEx1VOY27R7L7P32H8UJZXTEUMSA" hidden="1">#REF!</definedName>
    <definedName name="BEx1VQQSB5BKTBE7EAFXSN31CNVX" hidden="1">#REF!</definedName>
    <definedName name="BEx1VSP1JNZJSRSW4F7BFSL6EFLO" hidden="1">#REF!</definedName>
    <definedName name="BEx1VTALBDB94O9JFA9EHVP4BMRX" hidden="1">#REF!</definedName>
    <definedName name="BEx1VX1EFEW6A4EIMUCANZEA85MX" hidden="1">#REF!</definedName>
    <definedName name="BEx1VY8J3KNFHQ6PJJL5O6LIJGIJ" hidden="1">#REF!</definedName>
    <definedName name="BEx1W1J7T4FXVTCNBYUTAV2PONX1" hidden="1">#REF!</definedName>
    <definedName name="BEx1W3XISRCS0WC3NFVFLTUUYWU8" hidden="1">#REF!</definedName>
    <definedName name="BEx1W4J4BMBCNJ5586G6TSI2CXWB" hidden="1">#REF!</definedName>
    <definedName name="BEx1W8FDLOFGE28JXY6J54MICRMP" hidden="1">#REF!</definedName>
    <definedName name="BEx1WATPG93ESGDVEPVQMWB66KPI" hidden="1">#REF!</definedName>
    <definedName name="BEx1WC67EH10SC38QWX3WEA5KH3A" hidden="1">#REF!</definedName>
    <definedName name="BEx1WCRQFPTL062R33QE0MULV6OL" hidden="1">#REF!</definedName>
    <definedName name="BEx1WCX8U67BYL9KA3M2VE79TTPP" hidden="1">#REF!</definedName>
    <definedName name="BEx1WDO53ZG95BCDDJH20QVTZIEM" hidden="1">#REF!</definedName>
    <definedName name="BEx1WG7W8KFFRY1QCN32AFBTPOBR" hidden="1">#REF!</definedName>
    <definedName name="BEx1WGYTKZZIPM1577W5FEYKFH3V" hidden="1">#REF!</definedName>
    <definedName name="BEx1WHF33O9D6PUBLVQLK31INO9Q" hidden="1">#REF!</definedName>
    <definedName name="BEx1WHPURIV3D3PTJJ359H1OP7ZV" hidden="1">#REF!</definedName>
    <definedName name="BEx1WIX0HVKSPDVQ6CZDMIZNBX8W" hidden="1">#REF!</definedName>
    <definedName name="BEx1WKPRLBV7BWJCYEIJYMHKC5QL" hidden="1">[1]Program!#REF!</definedName>
    <definedName name="BEx1WLWY2CR1WRD694JJSWSDFAIR" hidden="1">#REF!</definedName>
    <definedName name="BEx1WMD1LWPWRIK6GGAJRJAHJM8I" hidden="1">#REF!</definedName>
    <definedName name="BEx1WPCWBJHA7TCC43NW0T8RGZ0X" hidden="1">#REF!</definedName>
    <definedName name="BEx1WR0D41MR174LBF3P9E3K0J51" hidden="1">#REF!</definedName>
    <definedName name="BEx1WU09CIHOI0L84XXCKC501H1F" hidden="1">#REF!</definedName>
    <definedName name="BEx1WUB1FAS5PHU33TJ60SUHR618" hidden="1">#REF!</definedName>
    <definedName name="BEx1WX04G0INSPPG9NTNR3DYR6PZ" hidden="1">#REF!</definedName>
    <definedName name="BEx1WXAZ0EYO3LCFNQJBN5ASP6EN" hidden="1">#REF!</definedName>
    <definedName name="BEx1X3LHU9DPG01VWX2IF65TRATF" hidden="1">#REF!</definedName>
    <definedName name="BEx1X3QU07GK7I7KLROCFBELK7NH" hidden="1">#REF!</definedName>
    <definedName name="BEx1X76Z2LM0LOQO9QHFM5OOVWY0" hidden="1">#REF!</definedName>
    <definedName name="BEx1XBJC90JJYBTFCSPT7N0H1KTT" hidden="1">Tech '[4]2'!$B$7:$F$10</definedName>
    <definedName name="BEx1XFFLYND9H73WP1Q0D7C6172N" hidden="1">#REF!</definedName>
    <definedName name="BEx1XK8AAMO0AH0Z1OUKW30CA7EQ" hidden="1">#REF!</definedName>
    <definedName name="BEx1XL4MZ7C80495GHQRWOBS16PQ" hidden="1">#REF!</definedName>
    <definedName name="BEx1XN86QZPXEC2550TP8XT6SWZX" hidden="1">#REF!</definedName>
    <definedName name="BEx1XSBM4UET8E84NO4FCZE8CDOD" hidden="1">#REF!</definedName>
    <definedName name="BEx1XW7UONP69F55ICUFERIWWJ4O" hidden="1">#REF!</definedName>
    <definedName name="BEx1XWTFPLGSBSVQ41L8I29YZFSH" hidden="1">#REF!</definedName>
    <definedName name="BEx1XXPSKKKPZMWSV7DUDNQ28ZMG" hidden="1">#REF!</definedName>
    <definedName name="BEx1Y2IGS2K95E1M51PEF9KJZ0KB" hidden="1">#REF!</definedName>
    <definedName name="BEx1Y3PKK83X2FN9SAALFHOWKMRQ" hidden="1">#REF!</definedName>
    <definedName name="BEx1Y9ELPOQCM0XOEYETL3ZY9HT0" hidden="1">#REF!</definedName>
    <definedName name="BEx1YKHSW5HDSZLEI6ETN0XC509V" hidden="1">#REF!</definedName>
    <definedName name="BEx1YL3DJ7Y4AZ01ERCOGW0FJ26T" hidden="1">#REF!</definedName>
    <definedName name="BEx1YQHKQGZV9AM0R5L3Z7U5OIHY" hidden="1">#REF!</definedName>
    <definedName name="BEx1YRZKA4LK4C7RK5Q22Z03914D" hidden="1">#REF!</definedName>
    <definedName name="BEx1YXOIQAKT215MMJEIQGFKK3UG" hidden="1">#REF!</definedName>
    <definedName name="BEx1Z2RYHSVD1H37817SN93VMURZ" hidden="1">#REF!</definedName>
    <definedName name="BEx1Z9O5M5GF7JO1229T14GBOCJM" hidden="1">#REF!</definedName>
    <definedName name="BEx3AMAKWI6458B67VKZO56MCNJW" hidden="1">#REF!</definedName>
    <definedName name="BEx3AOOVM42G82TNF53W0EKXLUSI" hidden="1">#REF!</definedName>
    <definedName name="BEx3ARZJT3L6CWZWYZM3SRLAC1KH" hidden="1">#REF!</definedName>
    <definedName name="BEx3AZH9W4SUFCAHNDOQ728R9V4L" hidden="1">#REF!</definedName>
    <definedName name="BEx3B2H5UKMRAS24GCXW3AIVQ4K8" hidden="1">#REF!</definedName>
    <definedName name="BEx3B7VF1IL3ZYPADWI3PKFCTZEM" hidden="1">#REF!</definedName>
    <definedName name="BEx3BNGGYC8M4HZUG1N2FKMXCUXT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XNBVDP5JP5RWHCHIR3E1J2C" hidden="1">#REF!</definedName>
    <definedName name="BEx3BYP0FG369M7G3JEFLMMXAKTS" hidden="1">#REF!</definedName>
    <definedName name="BEx3BZQU7QWYYR3DNLE3SQQBRTH5" hidden="1">#REF!</definedName>
    <definedName name="BEx3C2QR0WUD19QSVO8EMIPNQJKH" hidden="1">#REF!</definedName>
    <definedName name="BEx3C2QRK462XO8AKN427N68DYJA" hidden="1">#REF!</definedName>
    <definedName name="BEx3C5ACPKV4XIAY0LO077TCRNLJ" hidden="1">#REF!</definedName>
    <definedName name="BEx3C6N18W8LF9VISUGJ29KRO34G" hidden="1">[2]Program!#REF!</definedName>
    <definedName name="BEx3C7DW86YJLO9F3KGLNPXNV0QZ" hidden="1">TEST-#REF!</definedName>
    <definedName name="BEx3C7U6RZSB1OOMGZKXD2Z7NLOX" hidden="1">#REF!</definedName>
    <definedName name="BEx3C9S6WIQSHUC5E4CV2R5PI3SK" hidden="1">#REF!</definedName>
    <definedName name="BEx3CBKXPIN2XM7QJNI7O0MB70AR" hidden="1">#REF!</definedName>
    <definedName name="BEx3CDOHK2X6465MBGEUIFG37MHG" hidden="1">#REF!</definedName>
    <definedName name="BEx3CH4NA5MLVUX94QTDZHWYOB3E" hidden="1">#REF!</definedName>
    <definedName name="BEx3CIRXRLBN87QGZ32K69UTZSOS" hidden="1">#REF!</definedName>
    <definedName name="BEx3CJIZFM2QE7ZML163L5H0ETHR" hidden="1">#REF!</definedName>
    <definedName name="BEx3CKFCCPZZ6ROLAT5C1DZNIC1U" hidden="1">#REF!</definedName>
    <definedName name="BEx3CO0SVO4WLH0DO43DCHYDTH1P" hidden="1">#REF!</definedName>
    <definedName name="BEx3CP7YXYZ54Q406T72Y9FS81CC" hidden="1">Table '[4]2'!$B$6:$F$9</definedName>
    <definedName name="BEx3CQPXIUK0OPIKEH8NUNCHVV5Q" hidden="1">#REF!</definedName>
    <definedName name="BEx3CW9F5YFUBE60S7MIOBHJYDOV" hidden="1">#REF!</definedName>
    <definedName name="BEx3CXM21YF0LYZDNYFDZPRP55O2" hidden="1">#REF!</definedName>
    <definedName name="BEx3D35KVB55GTY44YX4O9YGEVQI" hidden="1">#REF!</definedName>
    <definedName name="BEx3D6ATMYC5NB7OF1AIHJIEBK27" hidden="1">#REF!</definedName>
    <definedName name="BEx3D6GAICXKNYVXJ2JSIS4VC7O8" hidden="1">#REF!</definedName>
    <definedName name="BEx3D9G6QTSPF9UYI4X0XY0VE896" hidden="1">#REF!</definedName>
    <definedName name="BEx3DAY40C46KX58KVHG0BDE32A2" hidden="1">#REF!</definedName>
    <definedName name="BEx3DBJQITUTZDJOE19HM7UU9SWB" hidden="1">#REF!</definedName>
    <definedName name="BEx3DCQU9PBRXIMLO62KS5RLH447" hidden="1">#REF!</definedName>
    <definedName name="BEx3DIVZU33WCYU3IE5P4A30HHWE" hidden="1">#REF!</definedName>
    <definedName name="BEx3DO4WVIB6SSMETYFY2GNJ6RNR" hidden="1">#REF!</definedName>
    <definedName name="BEx3DSMQDWV806DMKOWD0IUH5KNN" hidden="1">#REF!</definedName>
    <definedName name="BEx3DTZ763KBGETUNM2FNPHEWATV" hidden="1">#REF!</definedName>
    <definedName name="BEx3DV10NY1BTCVHQRJ26P6MZHF9" hidden="1">#REF!</definedName>
    <definedName name="BEx3E0F8XTCVWQ7UZKRYUPL7CRCA" hidden="1">#REF!</definedName>
    <definedName name="BEx3E22INXU2VKWET4AVSBR8WAD6" hidden="1">#REF!</definedName>
    <definedName name="BEx3E22J8F8ULFA1BSDKBVJUK1UQ" hidden="1">#REF!</definedName>
    <definedName name="BEx3E3F0KGB00PDUJ3ZHIFO97ROW" hidden="1">#REF!</definedName>
    <definedName name="BEx3E5TGROMV6GWTPKKM9U9HPVJD" hidden="1">#REF!</definedName>
    <definedName name="BEx3E5THIKGK4YXA4K9E5FPOATM4" hidden="1">#REF!</definedName>
    <definedName name="BEx3EF3SASALVK9LNCINU5VLE7U2" hidden="1">#REF!</definedName>
    <definedName name="BEx3EF99FD6QNNCNOKDEE67JHTUJ" hidden="1">#REF!</definedName>
    <definedName name="BEx3EHCSERZ2O2OAG8Y95UPG2IY9" hidden="1">#REF!</definedName>
    <definedName name="BEx3EJGBD4BLN9FO30LINARXUB2T" hidden="1">#REF!</definedName>
    <definedName name="BEx3EJR3TCJDYS7ZXNDS5N9KTGIK" hidden="1">#REF!</definedName>
    <definedName name="BEx3ELJTTBS6P05CNISMGOJOA60V" hidden="1">#REF!</definedName>
    <definedName name="BEx3EMR0HTI5Z8O1CLK2XBIZ6CMZ" hidden="1">#REF!</definedName>
    <definedName name="BEx3ENCKUN9CMAV6UP8REYT4BMV2" hidden="1">#REF!</definedName>
    <definedName name="BEx3EP5AWRBL1AG3903AB075APG0" hidden="1">#REF!</definedName>
    <definedName name="BEx3EQSLJBDDJRHNX19PBFCKNY2I" hidden="1">#REF!</definedName>
    <definedName name="BEx3EQY1DLE7G1BN4GY27QI7C7L8" hidden="1">#REF!</definedName>
    <definedName name="BEx3EUUAX947Q5N6MY6W0KSNY78Y" hidden="1">#REF!</definedName>
    <definedName name="BEx3EWHQMX9HAUG7JFBSI7V9RGEO" hidden="1">#REF!</definedName>
    <definedName name="BEx3EYW2LJX1ZMY1OJFK0FUA26QG" hidden="1">#REF!</definedName>
    <definedName name="BEx3F3TZSUGIT9S39F104S7OKLYJ" hidden="1">#REF!</definedName>
    <definedName name="BEx3FAQ6W4N74YT13CCRHEWPEYSN" hidden="1">#REF!</definedName>
    <definedName name="BEx3FG4DPAPTA9PM2Q6BMWI6BIHV" hidden="1">#REF!</definedName>
    <definedName name="BEx3FGKHXLPW1K4S8KJ3YSYANFIA" hidden="1">Tech '[4]2'!$B$7:$F$10</definedName>
    <definedName name="BEx3FGPY24GT8PS32PK5ZOQW2RNV" hidden="1">#REF!</definedName>
    <definedName name="BEx3FGPYRQ8MWXXXM1VE8GMGQH05" hidden="1">#REF!</definedName>
    <definedName name="BEx3FH0LET7NJFW4NUUAZ3UE9W1L" hidden="1">#REF!</definedName>
    <definedName name="BEx3FHMD1P5XBCH23ZKIFO6ZTCNB" hidden="1">#REF!</definedName>
    <definedName name="BEx3FI2G3YYIACQHXNXEA15M8ZK5" hidden="1">#REF!</definedName>
    <definedName name="BEx3FIO0P4AXH7Z7QFHMYV81P0OE" hidden="1">#REF!</definedName>
    <definedName name="BEx3FJ9MHSLDK8W91GO85FX1GX57" hidden="1">#REF!</definedName>
    <definedName name="BEx3FK0OJWBPXUZA0XSRB3N4UN25" hidden="1">#REF!</definedName>
    <definedName name="BEx3FKX074RRWDPUG4LDB8BVTSJI" hidden="1">#REF!</definedName>
    <definedName name="BEx3FNB6IL9BT1F69Y18AORRHVE7" hidden="1">#REF!</definedName>
    <definedName name="BEx3FR251HFU7A33PU01SJUENL2B" hidden="1">[2]Table!#REF!</definedName>
    <definedName name="BEx3FS9BRGWU7Q65OAF92CR7IC0J" hidden="1">#REF!</definedName>
    <definedName name="BEx3FT5OLSYEA7WEAJXINQT1RA3A" hidden="1">#REF!</definedName>
    <definedName name="BEx3FTLRBP9QFZUIXZGZOU5372QO" hidden="1">#REF!</definedName>
    <definedName name="BEx3FX7EJL47JSLSWP3EOC265WAE" hidden="1">#REF!</definedName>
    <definedName name="BEx3FXYAQESWLG8BPNETE27OF65P" hidden="1">#REF!</definedName>
    <definedName name="BEx3FZR1BII738VXFJEQWKAWBJO0" hidden="1">#REF!</definedName>
    <definedName name="BEx3G1ZVPRUGKUHBTS2WSY4MVKO5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6N5SHJNOI5U6MAJLAP47UZA" hidden="1">#REF!</definedName>
    <definedName name="BEx3G8ALRJO9RXLIE94I6OFLIIUL" hidden="1">#REF!</definedName>
    <definedName name="BEx3G8FY85SUKO01ZJQZYO51EA75" hidden="1">#REF!</definedName>
    <definedName name="BEx3GAU8MO9BCR21WBNTQEOG1O4D" hidden="1">#REF!</definedName>
    <definedName name="BEx3GCXR6IAS0B6WJ03GJVH7CO52" hidden="1">#REF!</definedName>
    <definedName name="BEx3GDZH5KHUU0C7RY1PDVGKTH8E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OXDKFYO994GDRJD6M32TF75" hidden="1">#REF!</definedName>
    <definedName name="BEx3GP2NKQ1R0P412MW3XR6OTOFT" hidden="1">#REF!</definedName>
    <definedName name="BEx3GPDH2AH4QKT4OOSN563XUHBD" hidden="1">#REF!</definedName>
    <definedName name="BEx3GQ9V1DONRHIKU8HGIPUP1EGT" hidden="1">#REF!</definedName>
    <definedName name="BEx3GS2KE3OSLW2HSQ4TCUV4XD64" hidden="1">Table '[4]2'!$B$6:$F$9</definedName>
    <definedName name="BEx3GT9R3G4F6HCIPVBKL3VUW2UW" hidden="1">#REF!</definedName>
    <definedName name="BEx3GYTF9QBUFFCVA150LLISIOGU" hidden="1">#REF!</definedName>
    <definedName name="BEx3GZEZZKNE21ACMY5BBTQR14NR" hidden="1">#REF!</definedName>
    <definedName name="BEx3H0M5TC8WLKRYMTWSJ3VUEIP7" hidden="1">#REF!</definedName>
    <definedName name="BEx3H0WYV4966DFK7QN1TWACT7ST" hidden="1">#REF!</definedName>
    <definedName name="BEx3H2K8ACZP9HP2HQFWJVQL929I" hidden="1">#REF!</definedName>
    <definedName name="BEx3H2POHNLCEFL70GHHD4KDX10O" hidden="1">#REF!</definedName>
    <definedName name="BEx3H2V00ZGEHRJMIHV712M54RDY" hidden="1">#REF!</definedName>
    <definedName name="BEx3H4I9KPGZ06PD8U4XS73YPNFU" hidden="1">#REF!</definedName>
    <definedName name="BEx3H4YIVP80NDXPGNR8E9KR5TR6" hidden="1">#REF!</definedName>
    <definedName name="BEx3H59BXH9XMBZ297QOMJ8NOW9H" hidden="1">#REF!</definedName>
    <definedName name="BEx3H5UX2GZFZZT657YR76RHW5I6" hidden="1">#REF!</definedName>
    <definedName name="BEx3H65OX5E56SFHGIEU2EERM0TF" hidden="1">#REF!</definedName>
    <definedName name="BEx3H7NO2Q0OHH2LY9V6AX1I93JK" hidden="1">[6]Program!#REF!</definedName>
    <definedName name="BEx3HEP3VCEWPTQU7X1E3LX6S4PM" hidden="1">#REF!</definedName>
    <definedName name="BEx3HEP4N2ZP7THU0QPDDIRPLXB9" hidden="1">#REF!</definedName>
    <definedName name="BEx3HHUGWG05FW3ZKVVEUE4EK14H" hidden="1">#REF!</definedName>
    <definedName name="BEx3HJN8J3KJU882WMDPOFSZL8AB" hidden="1">#REF!</definedName>
    <definedName name="BEx3HKJM1BYO7ZJ2RQ2NJNY0S54T" hidden="1">#REF!</definedName>
    <definedName name="BEx3HMCBFZ25QPBPJS4O7Q49SNQ9" hidden="1">#REF!</definedName>
    <definedName name="BEx3HMSEFOP6DBM4R97XA6B7NFG6" hidden="1">#REF!</definedName>
    <definedName name="BEx3HRAAZJQHUVAENN7VAGAFDKJZ" hidden="1">#REF!</definedName>
    <definedName name="BEx3HWJ5SQSD2CVCQNR183X44FR8" hidden="1">#REF!</definedName>
    <definedName name="BEx3HXA3EKBICDHBD1B4WUDUZ0NP" hidden="1">#REF!</definedName>
    <definedName name="BEx3I09YVXO0G4X7KGSA4WGORM35" hidden="1">#REF!</definedName>
    <definedName name="BEx3I16B3855F13R99SNLFAU4Z12" hidden="1">#REF!</definedName>
    <definedName name="BEx3I7MF538V59H00WBFHYCS7HMH" hidden="1">#REF!</definedName>
    <definedName name="BEx3I8D93H2BO3N7U4ARPDC8FRDM" hidden="1">#REF!</definedName>
    <definedName name="BEx3IAGSJQOLB8H9JKK76K9HDR87" hidden="1">#REF!</definedName>
    <definedName name="BEx3ICF0GOF0WUFLODEDN7BZ6OF0" hidden="1">#REF!</definedName>
    <definedName name="BEx3ICF1GY8HQEBIU9S43PDJ90BX" hidden="1">#REF!</definedName>
    <definedName name="BEx3IDGP757S6TCEDX8WJN9NEV5G" hidden="1">Table '[4]2'!$B$6:$E$7</definedName>
    <definedName name="BEx3IMLPLFDY04Z6ON69TCWA33TL" hidden="1">#REF!</definedName>
    <definedName name="BEx3IO9422RSL7HS8NO8U4RRNUG8" hidden="1">#REF!</definedName>
    <definedName name="BEx3IPWEKD671J37UG6PYA9H4SZG" hidden="1">#REF!</definedName>
    <definedName name="BEx3ISR03L84NK7948SBOHSSWUXE" hidden="1">#REF!</definedName>
    <definedName name="BEx3IWN7WY0YFZJYRDZIZ3HS7TCJ" hidden="1">#REF!</definedName>
    <definedName name="BEx3IWN8YPN2XHSCISQB9608ZLOD" hidden="1">#REF!</definedName>
    <definedName name="BEx3IWY1MMCMK87SWZA58KMSZ6QK" hidden="1">#REF!</definedName>
    <definedName name="BEx3IYAH2DEBFWO8F94H4MXE3RLY" hidden="1">#REF!</definedName>
    <definedName name="BEx3IZXXSYEW50379N2EAFWO8DZV" hidden="1">#REF!</definedName>
    <definedName name="BEx3J08OVW8X8DX5K5SHUEGKOZYA" hidden="1">#REF!</definedName>
    <definedName name="BEx3J1VZVGTKT4ATPO9O5JCSFTTR" hidden="1">#REF!</definedName>
    <definedName name="BEx3J26S5PZ7HC24QEMX7HUDCCNJ" hidden="1">#REF!</definedName>
    <definedName name="BEx3J2XUDDF0SSPYVBJC3N2BVRNR" hidden="1">#REF!</definedName>
    <definedName name="BEx3J4FR7QDAJPLCNWOQY4JG2U3V" hidden="1">#REF!</definedName>
    <definedName name="BEx3J51CJ4IL04BZ3S4Y2GPJYGUC" hidden="1">#REF!</definedName>
    <definedName name="BEx3J5HHDU1P47SQK60PRU6T37YR" hidden="1">#REF!</definedName>
    <definedName name="BEx3J9DWSK6H5U9ZV9GCVPRYFGQF" hidden="1">#REF!</definedName>
    <definedName name="BEx3JC2TY7JNAAC3L7QHVPQXLGQ8" hidden="1">#REF!</definedName>
    <definedName name="BEx3JMF5KGUGK6E3CZWPNG0LE3Z0" hidden="1">#REF!</definedName>
    <definedName name="BEx3JP49B01AIVO8Z8MDKV239OQG" hidden="1">#REF!</definedName>
    <definedName name="BEx3JQWYXJBVXQZGIOVI88NAN5B8" hidden="1">#REF!</definedName>
    <definedName name="BEx3JWB8EIB42E4QPNP0F6ZKJHSM" hidden="1">#REF!</definedName>
    <definedName name="BEx3JX23SYDIGOGM4Y0CQFBW8ZBV" hidden="1">#REF!</definedName>
    <definedName name="BEx3JX242ZETZSHMZAXOWG9M66HL" hidden="1">#REF!</definedName>
    <definedName name="BEx3JXCXCVBZJGV5VEG9MJEI01AL" hidden="1">#REF!</definedName>
    <definedName name="BEx3JYK2N7X59TPJSKYZ77ENY8SS" hidden="1">#REF!</definedName>
    <definedName name="BEx3JZAXL8KNT6BS2DKSBQW8WFTT" hidden="1">#REF!</definedName>
    <definedName name="BEx3K4EII7GU1CG0BN7UL15M6J8Z" hidden="1">#REF!</definedName>
    <definedName name="BEx3K4ZXQUQ2KYZF74B84SO48XMW" hidden="1">#REF!</definedName>
    <definedName name="BEx3K7UJ6G7FZBA2VQKID27QGK9Q" hidden="1">#REF!</definedName>
    <definedName name="BEx3K9N9QWUK0SFODF8MEW5BAD50" hidden="1">#REF!</definedName>
    <definedName name="BEx3KCSO5XUFHKMGGJV414FC3AJ0" hidden="1">#REF!</definedName>
    <definedName name="BEx3KEFXUCVNVPH7KSEGAZYX13B5" hidden="1">#REF!</definedName>
    <definedName name="BEx3KELE1NH8QMMBJRREBH0C544Z" hidden="1">#REF!</definedName>
    <definedName name="BEx3KFXTUMSAVUY84KSOVF3O7FW8" hidden="1">#REF!</definedName>
    <definedName name="BEx3KFXUAF6YXAA47B7Q6X9B3VGB" hidden="1">#REF!</definedName>
    <definedName name="BEx3KGU86IU5K0NM8HZ6RKD2YANV" hidden="1">#REF!</definedName>
    <definedName name="BEx3KIXQYOGMPK4WJJAVBRX4NR28" hidden="1">#REF!</definedName>
    <definedName name="BEx3KJOMVOSFZVJUL3GKCNP6DQDS" hidden="1">#REF!</definedName>
    <definedName name="BEx3KLC1RWW7GH5P5IT3VQYMPAMM" hidden="1">#REF!</definedName>
    <definedName name="BEx3KP2VRBMORK0QEAZUYCXL3DHJ" hidden="1">#REF!</definedName>
    <definedName name="BEx3KQ4P8QQ5FHK7KBS65NKNPC6B" hidden="1">#REF!</definedName>
    <definedName name="BEx3KRRZJ4X3J8RUDN424IJWX4HF" hidden="1">#REF!</definedName>
    <definedName name="BEx3KRS007FOZJMCDYQECN99TOVB" hidden="1">#REF!</definedName>
    <definedName name="BEx3KSIZOJA203WVESC765P5IAW0" hidden="1">#REF!</definedName>
    <definedName name="BEx3KSZ41QXF8XCSJX5B28CP999U" hidden="1">#REF!</definedName>
    <definedName name="BEx3KZKIFEWX7OBC7F9AQJKLMW27" hidden="1">#REF!</definedName>
    <definedName name="BEx3L0RO1XD08N9L2JTMKW74Z4B2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7PUHWAV8GK3ZTYQL71NZHH" hidden="1">#REF!</definedName>
    <definedName name="BEx3L7D0PI38HWZ7VADU16C9E33D" hidden="1">#REF!</definedName>
    <definedName name="BEx3L7YLNVNE622A8VUGLDSG5J8K" hidden="1">#REF!</definedName>
    <definedName name="BEx3L9WT886UPC0M8AH5Y82YAB1H" hidden="1">#REF!</definedName>
    <definedName name="BEx3LE3VV5QVVGQF2KGF8DTMJCLR" hidden="1">#REF!</definedName>
    <definedName name="BEx3LG1WLVKLOXB2WRT7GA8PQ0W8" hidden="1">#REF!</definedName>
    <definedName name="BEx3LJI3QY4HE18R83AK9WJS5KP5" hidden="1">#REF!</definedName>
    <definedName name="BEx3LKUJPWGTQLXYO2NZ7BEIFU30" hidden="1">#REF!</definedName>
    <definedName name="BEx3LM1PR4Y7KINKMTMKR984GX8Q" hidden="1">#REF!</definedName>
    <definedName name="BEx3LMSLDWLRS6JCU00TF45UKZ2D" hidden="1">#REF!</definedName>
    <definedName name="BEx3LNP6EIPAVWRONRBPYAQJ4LEB" hidden="1">#REF!</definedName>
    <definedName name="BEx3LPCEZ1C0XEKNCM3YT09JWCUO" hidden="1">#REF!</definedName>
    <definedName name="BEx3LPHVQ6A89L8SUO9HXBFJDCN8" hidden="1">#REF!</definedName>
    <definedName name="BEx3LPN7882DEH10NK62QZP2NXRB" hidden="1">#REF!</definedName>
    <definedName name="BEx3LRQPBEYUQ8NMLL8AOZ2SXLOI" hidden="1">#REF!</definedName>
    <definedName name="BEx3LS1J0G9URUKHL2HAECABBU6T" hidden="1">#REF!</definedName>
    <definedName name="BEx3LVSAJQLL21C46PC9VKWX9HBM" hidden="1">#REF!</definedName>
    <definedName name="BEx3LW8K4REDVLIAC7S6RJS8IE4P" hidden="1">#REF!</definedName>
    <definedName name="BEx3LW8KBDJEW1SY8Y22T002YENV" hidden="1">#REF!</definedName>
    <definedName name="BEx3M0ABZGM14MBCBQ7R1RVWPE8H" hidden="1">#REF!</definedName>
    <definedName name="BEx3M1MR1K1NQD03H74BFWOK4MWQ" hidden="1">#REF!</definedName>
    <definedName name="BEx3M28E3W5TIGAUUJMOAP11J7C9" hidden="1">#REF!</definedName>
    <definedName name="BEx3M3QB9K7QMT8TFP84J2UU7300" hidden="1">#REF!</definedName>
    <definedName name="BEx3M4H77MYUKOOD31H9F80NMVK8" hidden="1">#REF!</definedName>
    <definedName name="BEx3M8Z1LMC3GC37O4F2MIVAA5IQ" hidden="1">#REF!</definedName>
    <definedName name="BEx3M94JE3IRSB39BYR9TQXUXVKK" hidden="1">#REF!</definedName>
    <definedName name="BEx3M9KMVQEHEPB4HEQLC2EILW6U" hidden="1">[2]Table!#REF!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REOFWJQEYMCMBL7ZE06NBN6" hidden="1">#REF!</definedName>
    <definedName name="BEx3MSLVGRSA7IOJDRQ85I8BQ3OH" hidden="1">#REF!</definedName>
    <definedName name="BEx3MUEFR0PQXBF30I5EV818L6MS" hidden="1">#REF!</definedName>
    <definedName name="BEx3MUPDO0MZ8P23GMOHJDDZQTSZ" hidden="1">#REF!</definedName>
    <definedName name="BEx3MW1VHR8JIAS5J58XQ0CC4L8U" hidden="1">#REF!</definedName>
    <definedName name="BEx3MX3P0GESF5T9TMTAT8U589OJ" hidden="1">#REF!</definedName>
    <definedName name="BEx3N6UATR9YOD7JP6WY0PB7I8T3" hidden="1">#REF!</definedName>
    <definedName name="BEx3N7FUDZQUJJJ7863S384GBEW7" hidden="1">#REF!</definedName>
    <definedName name="BEx3N7FW0O3BI5FG5H3TN8ESSC61" hidden="1">#REF!</definedName>
    <definedName name="BEx3N7VYL8CCBFTRFOA6W3BWAQJ0" hidden="1">#REF!</definedName>
    <definedName name="BEx3N7W46P2KWJ20YJ9H8KA2MLH2" hidden="1">#REF!</definedName>
    <definedName name="BEx3NBHLA4L7AMHV4XHBD9VOCZ5R" hidden="1">#REF!</definedName>
    <definedName name="BEx3NC30GMZYS8ZUKD6STKSTSJR4" hidden="1">#REF!</definedName>
    <definedName name="BEx3NDVWPZ99RZZ3XH35GZG7XXVK" hidden="1">#REF!</definedName>
    <definedName name="BEx3NFOGH0VR6DHBHKM3F26VRSMK" hidden="1">Tech '[4]2'!$B$6:$S$185</definedName>
    <definedName name="BEx3NHBWYN8PFDT30VO05A2W587I" hidden="1">#REF!</definedName>
    <definedName name="BEx3NJ9ZAZ05LQ91XCJTCEVNGKXN" hidden="1">#REF!</definedName>
    <definedName name="BEx3NKXF7GYXHBK75UI6MDRUSU0J" hidden="1">#REF!</definedName>
    <definedName name="BEx3NLIZ7PHF2XE59ECZ3MD04ZG1" hidden="1">#REF!</definedName>
    <definedName name="BEx3NM4JD2G6U9CA3K34FTQSPIY6" hidden="1">#REF!</definedName>
    <definedName name="BEx3NMQ4BVC94728AUM7CCX7UHTU" hidden="1">#REF!</definedName>
    <definedName name="BEx3NN0W8OLJM3ORSI4WJVAMPDV0" hidden="1">#REF!</definedName>
    <definedName name="BEx3NOTMZJNKFU1P7OE23ZLYZFS0" hidden="1">#REF!</definedName>
    <definedName name="BEx3NP4HF1FDG05HQECTU270DW7B" hidden="1">#REF!</definedName>
    <definedName name="BEx3NR2I4OUFP3Z2QZEDU2PIFIDI" hidden="1">#REF!</definedName>
    <definedName name="BEx3NRD9QEMKKEBCI53JQ8I6AT8A" hidden="1">[1]Program!#REF!</definedName>
    <definedName name="BEx3O19B8FTTAPVT5DZXQGQXWFR8" hidden="1">#REF!</definedName>
    <definedName name="BEx3O4K06IVAN5PY5DC3HSS2NLS2" hidden="1">#REF!</definedName>
    <definedName name="BEx3O6CRTE50EOZ5BZMDCBFNR0XF" hidden="1">#REF!</definedName>
    <definedName name="BEx3O85IKWARA6NCJOLRBRJFMEWW" hidden="1">[2]Table!#REF!</definedName>
    <definedName name="BEx3O97DCEIM1O15B6JHSAH9M8D4" hidden="1">#REF!</definedName>
    <definedName name="BEx3O9CO7MF89AVUHGFOT52HYDBY" hidden="1">#REF!</definedName>
    <definedName name="BEx3OEWCAHPY95N9VFRUPAXLRSAI" hidden="1">#REF!</definedName>
    <definedName name="BEx3OJZSCGFRW7SVGBFI0X9DNVMM" hidden="1">#REF!</definedName>
    <definedName name="BEx3OK5349EJ2XRYXV7W13YG9FSL" hidden="1">#REF!</definedName>
    <definedName name="BEx3OKQP3RHU2Q7RWNP8MWAYKNWH" hidden="1">#REF!</definedName>
    <definedName name="BEx3ORSBUXAF21MKEY90YJV9AY9A" hidden="1">#REF!</definedName>
    <definedName name="BEx3OSDPC76YELEXOE4HPHR08Z63" hidden="1">#REF!</definedName>
    <definedName name="BEx3OV8BH6PYNZT7C246LOAU9SVX" hidden="1">#REF!</definedName>
    <definedName name="BEx3OXBSP86K9M4RUA2AUNANH4MK" hidden="1">#REF!</definedName>
    <definedName name="BEx3OXRYJZUEY6E72UJU0PHLMYAR" hidden="1">#REF!</definedName>
    <definedName name="BEx3P12LSMP01085JRK6VI4T62OV" hidden="1">#REF!</definedName>
    <definedName name="BEx3P54EFPJ9XERKXPZGLNSLQXCN" hidden="1">#REF!</definedName>
    <definedName name="BEx3P59TTRSGQY888P5C1O7M2PQT" hidden="1">#REF!</definedName>
    <definedName name="BEx3P6RM4NB3J9G3WJOL8A87B0UZ" hidden="1">#REF!</definedName>
    <definedName name="BEx3PDNRRNKD5GOUBUQFXAHIXLD9" hidden="1">#REF!</definedName>
    <definedName name="BEx3PDT8GNPWLLN02IH1XPV90XYK" hidden="1">#REF!</definedName>
    <definedName name="BEx3PFB87CT9IEAYRMAJZWKBU8CI" hidden="1">#REF!</definedName>
    <definedName name="BEx3PFWTXWBD8Z9OUDNI0UJECUO0" hidden="1">#REF!</definedName>
    <definedName name="BEx3PH3WTMAP6WXW7Q2HLECYM7A1" hidden="1">#REF!</definedName>
    <definedName name="BEx3PH99MLZU1LB38QDL3NELDJBG" hidden="1">#REF!</definedName>
    <definedName name="BEx3PI0C7X0M57K8QQ8ACCVQCP4F" hidden="1">[2]Program!#REF!</definedName>
    <definedName name="BEx3PKEMDW8KZEP11IL927C5O7I2" hidden="1">#REF!</definedName>
    <definedName name="BEx3PKJZ1Z7L9S6KV8KXVS6B2FX4" hidden="1">#REF!</definedName>
    <definedName name="BEx3PLLTHYNSU8BQZ4NFFV9ZBZQH" hidden="1">#REF!</definedName>
    <definedName name="BEx3PMNG53Z5HY138H99QOMTX8W3" hidden="1">#REF!</definedName>
    <definedName name="BEx3PMNH7QAZED1EFJ5M953MKMBM" hidden="1">Tech '[4]2'!$B$6:$S$172</definedName>
    <definedName name="BEx3PP1RRSFZ8UC0JC9R91W6LNKW" hidden="1">#REF!</definedName>
    <definedName name="BEx3PPNDD7L6SUISGSI2D375NSCH" hidden="1">#REF!</definedName>
    <definedName name="BEx3PQZZ6L9TOCDKNGIDPO8Y2G54" hidden="1">#REF!</definedName>
    <definedName name="BEx3PVSOIMP1XZBVKH4URSQCWQ5S" hidden="1">#REF!</definedName>
    <definedName name="BEx3PVXYZC8WB9ZJE7OCKUXZ46EA" hidden="1">#REF!</definedName>
    <definedName name="BEx3PYSDXGU8ZX62PHR3RM6KU4VP" hidden="1">#REF!</definedName>
    <definedName name="BEx3PZ3BUOGJ9G9WWFMJ2FGBD75P" hidden="1">#REF!</definedName>
    <definedName name="BEx3Q0VWPU5EQECK7MQ47TYJ3SWW" hidden="1">#REF!</definedName>
    <definedName name="BEx3Q3QHHJB3PUJIXDIL8G6EHCRE" hidden="1">#REF!</definedName>
    <definedName name="BEx3Q7BZ9PUXK2RLIOFSIS9AHU1B" hidden="1">#REF!</definedName>
    <definedName name="BEx3Q8J42S9VU6EAN2Y28MR6DF88" hidden="1">#REF!</definedName>
    <definedName name="BEx3Q9QA35ZVN9VVHN81BBIVN881" hidden="1">#REF!</definedName>
    <definedName name="BEx3QBZ4PYLPNQJ92VAQ27YOH4GQ" hidden="1">#REF!</definedName>
    <definedName name="BEx3QC4KZTDOSBLUFM3WO17OODZQ" hidden="1">#REF!</definedName>
    <definedName name="BEx3QD0XYUEL1G6J200V2STCORG5" hidden="1">#REF!</definedName>
    <definedName name="BEx3QDBR19I1ZE81338A9MEI2XJO" hidden="1">#REF!</definedName>
    <definedName name="BEx3QEDFOYFY5NBTININ5W4RLD4Q" hidden="1">#REF!</definedName>
    <definedName name="BEx3QEO7WNEXAMFOL1EX64BCUF8U" hidden="1">#REF!</definedName>
    <definedName name="BEx3QETOY12LWRS3FBE5M7YK0ZR3" hidden="1">#REF!</definedName>
    <definedName name="BEx3QH2K40ZZFYJES4QCRY78Q560" hidden="1">#REF!</definedName>
    <definedName name="BEx3QIKJ3U962US1Q564NZDLU8LD" hidden="1">#REF!</definedName>
    <definedName name="BEx3QJ0QM6LFN9ZDIKEGOFFC2OG3" hidden="1">#REF!</definedName>
    <definedName name="BEx3QR9D45DHW50VQ7Y3Q1AXPOB9" hidden="1">#REF!</definedName>
    <definedName name="BEx3QSWT2S5KWG6U2V9711IYDQBM" hidden="1">[2]Table!#REF!</definedName>
    <definedName name="BEx3QVGG7Q2X4HZHJAM35A8T3VR7" hidden="1">#REF!</definedName>
    <definedName name="BEx3QXPHMNMYLEXZ52Q4FIFD0HBA" hidden="1">#REF!</definedName>
    <definedName name="BEx3QYR5L66E9BFIAMGXOEUHECQ8" hidden="1">#REF!</definedName>
    <definedName name="BEx3R0JUB9YN8PHPPQTAMIT1IHWK" hidden="1">#REF!</definedName>
    <definedName name="BEx3R2NEHCZHVEAW26X71OI33Z87" hidden="1">#REF!</definedName>
    <definedName name="BEx3R2NF0KB00WUPG2VTC6GFFDE0" hidden="1">#REF!</definedName>
    <definedName name="BEx3R5CHUG9G2D8K2X39GHB98R4R" hidden="1">#REF!</definedName>
    <definedName name="BEx3R5CIX2JZHG3CIHP5G3AHXBB4" hidden="1">Tech '[4]2'!$B$7:$G$11</definedName>
    <definedName name="BEx3R81NFRO7M81VHVKOBFT0QBIL" hidden="1">#REF!</definedName>
    <definedName name="BEx3RB1IEKRRZW6PJR6OZ23GIGMA" hidden="1">#REF!</definedName>
    <definedName name="BEx3RFU5L5U3OGCK4IQEA0QSMT0Z" hidden="1">#REF!</definedName>
    <definedName name="BEx3RH1BQ0VAOO9T6W5CVVEITJ8G" hidden="1">#REF!</definedName>
    <definedName name="BEx3RHC2ZD5UFS6QD4OPFCNNMWH1" hidden="1">#REF!</definedName>
    <definedName name="BEx3RMKZ7CD8SGQP0SYRM7LC8INC" hidden="1">#REF!</definedName>
    <definedName name="BEx3RN136ORUF3GOHPX1GORH3J6B" hidden="1">#REF!</definedName>
    <definedName name="BEx3RQ10QIWBAPHALAA91BUUCM2X" hidden="1">#REF!</definedName>
    <definedName name="BEx3RR86BBVDBG5CL1LW5SJFD784" hidden="1">#REF!</definedName>
    <definedName name="BEx3RSFBB83TAKX7N3F394TT3RW4" hidden="1">#REF!</definedName>
    <definedName name="BEx3RSKMMG39QWENCEZ2MEJK18CA" hidden="1">#REF!</definedName>
    <definedName name="BEx3RV4E1WT43SZBUN09RTB8EK1O" hidden="1">#REF!</definedName>
    <definedName name="BEx3RXO1M04NW2LFWEOOV80W3OU7" hidden="1">#REF!</definedName>
    <definedName name="BEx3RXYU0QLFXSFTM5EB20GD03W5" hidden="1">#REF!</definedName>
    <definedName name="BEx3RYKLC3QQO3XTUN7BEW2AQL98" hidden="1">#REF!</definedName>
    <definedName name="BEx3S2WXUEQA8PLX4U6G9LJB63ZN" hidden="1">#REF!</definedName>
    <definedName name="BEx3S3TBI6RWMKBYPDON7T5KDKBE" hidden="1">#REF!</definedName>
    <definedName name="BEx3SDJW7L8FIO78HWHXUQ49LZJU" hidden="1">#REF!</definedName>
    <definedName name="BEx3SE05BR821U9WR7XVBOUATUBU" hidden="1">#REF!</definedName>
    <definedName name="BEx3SGEBIY23HRI6XUAZHIO8ECVA" hidden="1">#REF!</definedName>
    <definedName name="BEx3SICJ45BYT6FHBER86PJT25FC" hidden="1">#REF!</definedName>
    <definedName name="BEx3SIHU8JIU2PNPSRODII5BR1MZ" hidden="1">#REF!</definedName>
    <definedName name="BEx3SL1N8Z6RS608NQ1UI6K42IWG" hidden="1">[2]Program!#REF!</definedName>
    <definedName name="BEx3SL1NUYCLQWKW8EFSFZGONHKE" hidden="1">#REF!</definedName>
    <definedName name="BEx3SLHS09TMAEYXZADB0NOAFB8K" hidden="1">#REF!</definedName>
    <definedName name="BEx3SLY0U72Q6DYPVXJN7ZS2UPVX" hidden="1">#REF!</definedName>
    <definedName name="BEx3SMUCMJVGQ2H4EHQI5ZFHEF0P" hidden="1">#REF!</definedName>
    <definedName name="BEx3SN56F03CPDRDA7LZ763V0N4I" hidden="1">#REF!</definedName>
    <definedName name="BEx3SP8OEZR6Q704JP8GNFAPPJJI" hidden="1">#REF!</definedName>
    <definedName name="BEx3SPE6N1ORXPRCDL3JPZD73Z9F" hidden="1">#REF!</definedName>
    <definedName name="BEx3ST4Y5OZXSIK7V846SMFT5B23" hidden="1">#REF!</definedName>
    <definedName name="BEx3SV8H0MH3D5UHCQGL5BT234QB" hidden="1">#REF!</definedName>
    <definedName name="BEx3SVU27YMTI9FPY0BRCBNOLR5Q" hidden="1">[2]Program!#REF!</definedName>
    <definedName name="BEx3SWQG9ED1M1Q5D63K0HZ15GQG" hidden="1">#REF!</definedName>
    <definedName name="BEx3T0146S7PA05F3K3OS7C7PY74" hidden="1">#REF!</definedName>
    <definedName name="BEx3T24NRBFX133YT3WW2PC6VKMJ" hidden="1">#REF!</definedName>
    <definedName name="BEx3T29ZTULQE0OMSMWUMZDU9ZZ0" hidden="1">#REF!</definedName>
    <definedName name="BEx3T6MJ1QDJ929WMUDVZ0O3UW0Y" hidden="1">[2]Table!#REF!</definedName>
    <definedName name="BEx3T7O67FYJB18CNRMTISZNJH2N" hidden="1">#REF!</definedName>
    <definedName name="BEx3T7Z07KOG62FW17J6HG746O80" hidden="1">#REF!</definedName>
    <definedName name="BEx3TEPSM88IET8PDLKKCHMFEMFM" hidden="1">#REF!</definedName>
    <definedName name="BEx3TFGQMRPZEJ5DQLMV5OXK0QZ8" hidden="1">#REF!</definedName>
    <definedName name="BEx3TJCZUWO9LPUHDNKVN5V3TRQV" hidden="1">#REF!</definedName>
    <definedName name="BEx3TN3XCOBFORHJJRCMHLD64OQ8" hidden="1">#REF!</definedName>
    <definedName name="BEx3TNEPRERY0HY8UFMAXZPK6ZE5" hidden="1">#REF!</definedName>
    <definedName name="BEx3TNUU5H6A3AAMA7V9SHARSVBX" hidden="1">#REF!</definedName>
    <definedName name="BEx3TO09F9SV99SJXCUC1B49RVCJ" hidden="1">#REF!</definedName>
    <definedName name="BEx3TOGESRCAQQ4VV05O5KTPA42T" hidden="1">#REF!</definedName>
    <definedName name="BEx3TPCSI16OAB2L9M9IULQMQ9J9" hidden="1">#REF!</definedName>
    <definedName name="BEx3TQPEO017Y3MRMFBSKQZWJFF0" hidden="1">#REF!</definedName>
    <definedName name="BEx3TT3QY5GIEVWKE121C44R33SL" hidden="1">#REF!</definedName>
    <definedName name="BEx3TTEJ3HYE6ZFGX746L4XF9QDL" hidden="1">#REF!</definedName>
    <definedName name="BEx3TTPB1DKRWGRCVOAIS0O7O6ZU" hidden="1">#REF!</definedName>
    <definedName name="BEx3TUQYQAHWACH076L5GEW9Z2HQ" hidden="1">#REF!</definedName>
    <definedName name="BEx3TV1RWRIBTKS9U1X4YKV55YSR" hidden="1">#REF!</definedName>
    <definedName name="BEx3TV1SCC7LLWNQCJLML3KNK2FE" hidden="1">#REF!</definedName>
    <definedName name="BEx3TY74UVJG7AIPJBM2BOFIDSLP" hidden="1">#REF!</definedName>
    <definedName name="BEx3TYN8VI17LJO2JNGKFISE7KE5" hidden="1">#REF!</definedName>
    <definedName name="BEx3U4N2F2227E0TCVB1T6F2BYDL" hidden="1">#REF!</definedName>
    <definedName name="BEx3U64YUOZ419BAJS2W78UMATAW" hidden="1">#REF!</definedName>
    <definedName name="BEx3U6FRT240NX163EEISO8ZWTJ1" hidden="1">#REF!</definedName>
    <definedName name="BEx3U6QKPPTGN4U1ST00XA604LZF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BQWUJW9KX0PXKZ4TRHMR71" hidden="1">#REF!</definedName>
    <definedName name="BEx3UJMIX2NUSSWGMSI25A5DM4CH" hidden="1">#REF!</definedName>
    <definedName name="BEx3UKOCOQG7S1YQ436S997K1KWV" hidden="1">#REF!</definedName>
    <definedName name="BEx3ULQ2YGP8UA1J9001Z9MQLEVP" hidden="1">#REF!</definedName>
    <definedName name="BEx3UNISVVSOTJ9HZKE7V2HX0OGJ" hidden="1">#REF!</definedName>
    <definedName name="BEx3UYM0NGZM7JXL13Q6FKRRAULB" hidden="1">#REF!</definedName>
    <definedName name="BEx3UYM0PLTJZ2EEWD0UELQF1JLS" hidden="1">#REF!</definedName>
    <definedName name="BEx3UYM19VIXLA0EU7LB9NHA77PB" hidden="1">#REF!</definedName>
    <definedName name="BEx3V6EJO8BG91O9M5DVBLNPDBKG" hidden="1">#REF!</definedName>
    <definedName name="BEx3VBSQKLMMTEGW1Y4XOTY96O3Z" hidden="1">#REF!</definedName>
    <definedName name="BEx3VIE5H1J83MOPKTRG2RBA4VVZ" hidden="1">#REF!</definedName>
    <definedName name="BEx3VML7CG70HPISMVYIUEN3711Q" hidden="1">#REF!</definedName>
    <definedName name="BEx3VZ6CXLRI1RPPKOKT9K7HEI3K" hidden="1">#REF!</definedName>
    <definedName name="BEx3W3O6UQBDSYD770X1ILT6P1ZM" hidden="1">#REF!</definedName>
    <definedName name="BEx56PBIP2P4NOS4DPPYM49ZBWGQ" hidden="1">#REF!</definedName>
    <definedName name="BEx56ZID5H04P9AIYLP1OASFGV56" hidden="1">#REF!</definedName>
    <definedName name="BEx577LOW9WNA0QCI8V7FPX7XWYC" hidden="1">#REF!</definedName>
    <definedName name="BEx57DLHLBHV6YSWI6G83P5SQIJ6" hidden="1">#REF!</definedName>
    <definedName name="BEx57EHUUL98F4WL257V33BXIMMG" hidden="1">#REF!</definedName>
    <definedName name="BEx57FE8L58CZXOKBWEJ081RNPMS" hidden="1">#REF!</definedName>
    <definedName name="BEx57IE5W8EKGTARM8ZOUDAEEPTG" hidden="1">#REF!</definedName>
    <definedName name="BEx57IZQ3Q47V1L1Y305J3XE76VY" hidden="1">#REF!</definedName>
    <definedName name="BEx57PL3FU6F8M6DKLOWW2UGUBZQ" hidden="1">#REF!</definedName>
    <definedName name="BEx5802QAJKNHFBFPTR0PSRHQPJE" hidden="1">#REF!</definedName>
    <definedName name="BEx580OAVWKXMVXD4CXOKXZI1OGN" hidden="1">#REF!</definedName>
    <definedName name="BEx587EYSS57E3PI8DT973HLJM9E" hidden="1">#REF!</definedName>
    <definedName name="BEx587KFQ3VKCOCY1SA5F24PQGUI" hidden="1">#REF!</definedName>
    <definedName name="BEx58APNBXHS33ZKLDLZIH19IGFE" hidden="1">#REF!</definedName>
    <definedName name="BEx58KR78UF2T5T66K47WE4OHIMB" hidden="1">#REF!</definedName>
    <definedName name="BEx58KR7ULXH05AKLTP1VDUYP213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1DY0M6J3UHTSI3J1IAN3VDE" hidden="1">#REF!</definedName>
    <definedName name="BEx591ZJ14LAJI4Q8DU3CQQBHZDV" hidden="1">#REF!</definedName>
    <definedName name="BEx593HG6SNCZ9DY5RXRYLGJ9TG6" hidden="1">#REF!</definedName>
    <definedName name="BEx597DQGWVKYE8MWSQ47XMJTPEM" hidden="1">#REF!</definedName>
    <definedName name="BEx59BA1KH3RG6K1LHL7YS2VB79N" hidden="1">#REF!</definedName>
    <definedName name="BEx59E9WABJP2TN71QAIKK79HPK9" hidden="1">#REF!</definedName>
    <definedName name="BEx59EKPMCACQRFNOW59KUGW2GN8" hidden="1">#REF!</definedName>
    <definedName name="BEx59HQ2U9OKBRTIQ2MKATCIF029" hidden="1">#REF!</definedName>
    <definedName name="BEx59IBICAVJ29HB1XWON21C9QUS" hidden="1">#REF!</definedName>
    <definedName name="BEx59IMGH70YB6EAQHR31A501AT9" hidden="1">#REF!</definedName>
    <definedName name="BEx59JTGTJV06C8GPYATIFIXPO9N" hidden="1">#REF!</definedName>
    <definedName name="BEx59P7MAPNU129ZTC5H3EH892G1" hidden="1">#REF!</definedName>
    <definedName name="BEx59TK6JIACFZSXXKXLUJL2Q4TO" hidden="1">#REF!</definedName>
    <definedName name="BEx59WPJZYWUOEGJHPOVM5ETCM6G" hidden="1">#REF!</definedName>
    <definedName name="BEx5A11WZRQSIE089QE119AOX9ZG" hidden="1">#REF!</definedName>
    <definedName name="BEx5A4Y60876JDKI44JKU4XS6BN1" hidden="1">#REF!</definedName>
    <definedName name="BEx5A53I4OI80LV9DRIR9EFD2XUD" hidden="1">#REF!</definedName>
    <definedName name="BEx5A6LG6S3MVUXU3Y9KK9ZAYQEH" hidden="1">#REF!</definedName>
    <definedName name="BEx5A7CIGCOTHJKHGUBDZG91JGPZ" hidden="1">#REF!</definedName>
    <definedName name="BEx5A8UFLT2SWVSG5COFA9B8P376" hidden="1">#REF!</definedName>
    <definedName name="BEx5ACAHJPLAS35SPSXQ88PJYGPI" hidden="1">#REF!</definedName>
    <definedName name="BEx5ACL8MV3ORCBTE7NZY535S9HL" hidden="1">#REF!</definedName>
    <definedName name="BEx5ADN44EGV2FPKENM8XS2X2RGY" hidden="1">#REF!</definedName>
    <definedName name="BEx5AFFTN3IXIBHDKM0FYC4OFL1S" hidden="1">#REF!</definedName>
    <definedName name="BEx5AJ1A9VXEND5HLUKSPFT2S27U" hidden="1">#REF!</definedName>
    <definedName name="BEx5ANDOOW91YBCYUL4H4JOJKCSS" hidden="1">#REF!</definedName>
    <definedName name="BEx5ANJ5PF7LT975AO44I5MWE05L" hidden="1">#REF!</definedName>
    <definedName name="BEx5AOFIO8KVRHIZ1RII337AA8ML" hidden="1">#REF!</definedName>
    <definedName name="BEx5APRZ66L5BWHFE8E4YYNEDTI4" hidden="1">#REF!</definedName>
    <definedName name="BEx5ARQ6V82KDMN77WT0B1AK7B5S" hidden="1">#REF!</definedName>
    <definedName name="BEx5AUVDSQ35VO4BD9AKKGBM5S7D" hidden="1">#REF!</definedName>
    <definedName name="BEx5AXKIJBEHR4N3JJ8C0K3C0EBD" hidden="1">#REF!</definedName>
    <definedName name="BEx5B0PX43SWEV1W155KLBIOD9E5" hidden="1">#REF!</definedName>
    <definedName name="BEx5B4RHHX0J1BF2FZKEA0SPP29O" hidden="1">#REF!</definedName>
    <definedName name="BEx5B5YMSWP0OVI5CIQRP5V18D0C" hidden="1">#REF!</definedName>
    <definedName name="BEx5B7GK8LQVO6CMCURP6V8Y2VX2" hidden="1">#REF!</definedName>
    <definedName name="BEx5B7RD0CRXTJCLJK17YHQUJJQE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HTDIYU2YR02S8OBT3Q4G5L" hidden="1">#REF!</definedName>
    <definedName name="BEx5BKSM4UN4C1DM3EYKM79MRC5K" hidden="1">#REF!</definedName>
    <definedName name="BEx5BNN8NPH9KVOBARB9CDD9WLB6" hidden="1">#REF!</definedName>
    <definedName name="BEx5BQN48A0P0HALA6YWGQLFIY7R" hidden="1">#REF!</definedName>
    <definedName name="BEx5BYFMZ80TDDN2EZO8CF39AIAC" hidden="1">#REF!</definedName>
    <definedName name="BEx5BZS4HV72UGQ6QJMNTT7CW6GJ" hidden="1">#REF!</definedName>
    <definedName name="BEx5C2BWFW6SHZBFDEISKGXHZCQW" hidden="1">#REF!</definedName>
    <definedName name="BEx5C49ZFH8TO9ZU55729C3F7XG7" hidden="1">#REF!</definedName>
    <definedName name="BEx5C8GZCWFV3I9M7QCW6KLNBPIA" hidden="1">#REF!</definedName>
    <definedName name="BEx5C8GZQK13G60ZM70P63I5OS0L" hidden="1">#REF!</definedName>
    <definedName name="BEx5CAPTVN2NBT3UOMA1UFAL1C2R" hidden="1">#REF!</definedName>
    <definedName name="BEx5CB63ZNHBP0O2I8R676LH114U" hidden="1">#REF!</definedName>
    <definedName name="BEx5CEM3SYF9XP0ZZVE0GEPCLV3F" hidden="1">#REF!</definedName>
    <definedName name="BEx5CFNY5QOF0DQ3C39ZJ7PPJRW6" hidden="1">#REF!</definedName>
    <definedName name="BEx5CFYQ0F1Z6P8SCVJ0I3UPVFE4" hidden="1">#REF!</definedName>
    <definedName name="BEx5CGF0CJDS6HSKXW6BO2EOHZX2" hidden="1">#REF!</definedName>
    <definedName name="BEx5CINUDCSDCAJSNNV7XVNU8Q79" hidden="1">#REF!</definedName>
    <definedName name="BEx5CLIAJNE3LMI9QDHTQMRXXTK6" hidden="1">#REF!</definedName>
    <definedName name="BEx5CMPGQ7WGXGW7OH3708XSF3QL" hidden="1">Table '[4]2'!$B$6:$F$9</definedName>
    <definedName name="BEx5CMUWMUEMOUMHCWZN8XD4E6GT" hidden="1">#REF!</definedName>
    <definedName name="BEx5CNLUIOYU8EODGA03Z3547I9T" hidden="1">#REF!</definedName>
    <definedName name="BEx5CNR9ZYFH7VDST1YKR6JOAOVD" hidden="1">#REF!</definedName>
    <definedName name="BEx5CO7CNAJZGQE2H3SITU37SVC1" hidden="1">#REF!</definedName>
    <definedName name="BEx5COYGAKUMAXDFIFMAOIJPZ38E" hidden="1">#REF!</definedName>
    <definedName name="BEx5CPEKNSJORIPFQC2E1LTRYY8L" hidden="1">#REF!</definedName>
    <definedName name="BEx5CQR6PPHZ1S1UI8J4XM1TRDYC" hidden="1">#REF!</definedName>
    <definedName name="BEx5CSUOL05D8PAM2TRDA9VRJT1O" hidden="1">#REF!</definedName>
    <definedName name="BEx5CT5HC45P6VTQBFE0VSV6F9LL" hidden="1">#REF!</definedName>
    <definedName name="BEx5CUNFOO4YDFJ22HCMI2QKIGKM" hidden="1">#REF!</definedName>
    <definedName name="BEx5CUY7R8R5QEPLRL2NG2YUR0FW" hidden="1">#REF!</definedName>
    <definedName name="BEx5CYJP5RP1UQUIOX4JOOJY44YF" hidden="1">#REF!</definedName>
    <definedName name="BEx5D4UAROP0I8DCL7DJIJ1B126O" hidden="1">#REF!</definedName>
    <definedName name="BEx5D8L47OF0WHBPFWXGZINZWUBZ" hidden="1">#REF!</definedName>
    <definedName name="BEx5D96O8ZCTM1PYY7YMKPRM61RM" hidden="1">#REF!</definedName>
    <definedName name="BEx5DAJAHQ2SKUPCKSCR3PYML67L" hidden="1">#REF!</definedName>
    <definedName name="BEx5DC18JM1KJCV44PF18E0LNRKA" hidden="1">#REF!</definedName>
    <definedName name="BEx5DD8EQTK6544SNRAI88S6HYS5" hidden="1">#REF!</definedName>
    <definedName name="BEx5DF6H47QVWQMF9I36FGFL91DP" hidden="1">#REF!</definedName>
    <definedName name="BEx5DFS2OZU1VEP3ZS99BDOHY8JN" hidden="1">#REF!</definedName>
    <definedName name="BEx5DJIZBTNS011R9IIG2OQ2L6ZX" hidden="1">#REF!</definedName>
    <definedName name="BEx5DMTOB6TLHRVC4GP8POF62MIV" hidden="1">#REF!</definedName>
    <definedName name="BEx5DPIR82BAA5GO4J7K29HWP6GM" hidden="1">#REF!</definedName>
    <definedName name="BEx5DU0LWADR66S73MFNBVIA4WLR" hidden="1">#REF!</definedName>
    <definedName name="BEx5DV2AGS47MX7GPW2PY4F7TU27" hidden="1">#REF!</definedName>
    <definedName name="BEx5DV2C1BMPMA1IICWUDQ4MJAAH" hidden="1">#REF!</definedName>
    <definedName name="BEx5E0WM35XX0MQF46WY9BO0J87H" hidden="1">#REF!</definedName>
    <definedName name="BEx5E123OLO9WQUOIRIDJ967KAGK" hidden="1">#REF!</definedName>
    <definedName name="BEx5E1YIDPY1ADOSE2P892FGL05V" hidden="1">#REF!</definedName>
    <definedName name="BEx5E2UU5NES6W779W2OZTZOB4O7" hidden="1">#REF!</definedName>
    <definedName name="BEx5E35MZQWWBX75G9QICY5V320Z" hidden="1">#REF!</definedName>
    <definedName name="BEx5E4CSE5G83J5K32WENF7BXL82" hidden="1">#REF!</definedName>
    <definedName name="BEx5EEZRE5WM4EJQB0QSHLW26KOP" hidden="1">#REF!</definedName>
    <definedName name="BEx5EFLBSP4ABQNZRGHSGX8GKQ0B" hidden="1">#REF!</definedName>
    <definedName name="BEx5EG72QU1D9E0S4C9TIO6YGJG2" hidden="1">#REF!</definedName>
    <definedName name="BEx5EKDXIKYFUY8WO2A0FH6Y45QD" hidden="1">Table '[4]2'!$B$5:$G$8</definedName>
    <definedName name="BEx5ELQL9B0VR6UT18KP11DHOTFX" hidden="1">#REF!</definedName>
    <definedName name="BEx5EOFNS3JUBIM0GQGAJINGBPBO" hidden="1">#REF!</definedName>
    <definedName name="BEx5ER4TJTFPN7IB1MNEB1ZFR5M6" hidden="1">#REF!</definedName>
    <definedName name="BEx5ES15QW8M4TKM2N2IDGRV8D9J" hidden="1">#REF!</definedName>
    <definedName name="BEx5EUA0H3QA9CPEE1Z4MCMM2K7U" hidden="1">#REF!</definedName>
    <definedName name="BEx5EZ2ORDJQSTT4KQMZALOFR80B" hidden="1">#REF!</definedName>
    <definedName name="BEx5F0VEDHI0F2AB3MNEDRFN1DZF" hidden="1">#REF!</definedName>
    <definedName name="BEx5F166EKCVCRMHM0W8YBW1OUAG" hidden="1">#REF!</definedName>
    <definedName name="BEx5F2ITIGKHJIPEY9L7JCBYE5BV" hidden="1">#REF!</definedName>
    <definedName name="BEx5F3PY8JGCP13RTKIM602TNUTB" hidden="1">#REF!</definedName>
    <definedName name="BEx5F5TI8NFPZD5MQISEYSQYVWJV" hidden="1">#REF!</definedName>
    <definedName name="BEx5F5YSS4T16BTSY6JET0V8B1GZ" hidden="1">#REF!</definedName>
    <definedName name="BEx5F6V72QTCK7O39Y59R0EVM6CW" hidden="1">#REF!</definedName>
    <definedName name="BEx5F7M7RK5OG46CN2JXWIZ4Z13T" hidden="1">#REF!</definedName>
    <definedName name="BEx5FDGJKRT8L4ST3358QCKSLJ4S" hidden="1">#REF!</definedName>
    <definedName name="BEx5FGLQVACD5F5YZG4DGSCHCGO2" hidden="1">#REF!</definedName>
    <definedName name="BEx5FGR7YST9UWW32VFER0W4LEF2" hidden="1">#REF!</definedName>
    <definedName name="BEx5FIJZWRJA9IMSQFB6M20ZK6HV" hidden="1">#REF!</definedName>
    <definedName name="BEx5FIUS3E39DQ090Q9J2UMRZW60" hidden="1">#REF!</definedName>
    <definedName name="BEx5FK1W3FU98QTTSQ367M7UG6QT" hidden="1">#REF!</definedName>
    <definedName name="BEx5FKSTE5Y4C49LACRFGL9OI0S2" hidden="1">#REF!</definedName>
    <definedName name="BEx5FLJWHLW3BTZILDPN5NMA449V" hidden="1">#REF!</definedName>
    <definedName name="BEx5FMLKA5DINTNHYIMR0Y3GJIFT" hidden="1">[6]Program!#REF!</definedName>
    <definedName name="BEx5FNI2O10YN2SI1NO4X5GP3GTF" hidden="1">#REF!</definedName>
    <definedName name="BEx5FO8YRFSZCG3L608EHIHIHFY4" hidden="1">#REF!</definedName>
    <definedName name="BEx5FQ1PFBD5URNYFU173CC4ZJA8" hidden="1">#REF!</definedName>
    <definedName name="BEx5FQ76AI9MPZK74HEUA1HEYRAV" hidden="1">#REF!</definedName>
    <definedName name="BEx5FQ76WP3TQ23CE6A0CQSPNH95" hidden="1">#REF!</definedName>
    <definedName name="BEx5FQNA6V4CNYSH013K45RI4BCV" hidden="1">#REF!</definedName>
    <definedName name="BEx5FSW55LVAZI956T9XU4KIBELE" hidden="1">#REF!</definedName>
    <definedName name="BEx5FTCEIIRM9OOPXK6PB2KJSLTA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8H70AOIQNK90C2VU5BAF8TV" hidden="1">#REF!</definedName>
    <definedName name="BEx5GBMJFMT1Q5Z2SV4KSRWSA4BK" hidden="1">#REF!</definedName>
    <definedName name="BEx5GBMK92U0JRQMN9J02RE9H48T" hidden="1">#REF!</definedName>
    <definedName name="BEx5GE66YNPSS5MSPTBXLYLNUHSJ" hidden="1">#REF!</definedName>
    <definedName name="BEx5GFDCMVLKTBZDJDEVIPU104PE" hidden="1">Tech '[7]1'!$B$7:$L$232</definedName>
    <definedName name="BEx5GFTN8LK4FGH9ZDVCZ48ALWBQ" hidden="1">#REF!</definedName>
    <definedName name="BEx5GID9MVBUPFFT9M8K8B5MO9NV" hidden="1">#REF!</definedName>
    <definedName name="BEx5GL2CVWMY3S947ALVPBQG1W21" hidden="1">#REF!</definedName>
    <definedName name="BEx5GN0EWA9SCQDPQ7NTUQH82QVK" hidden="1">#REF!</definedName>
    <definedName name="BEx5GNBCU4WZ74I0UXFL9ZG2XSGJ" hidden="1">#REF!</definedName>
    <definedName name="BEx5GONURI420A4AFIPAS55QA0VJ" hidden="1">#REF!</definedName>
    <definedName name="BEx5GT5PB17R2GKX3F4H7WWN4M94" hidden="1">#REF!</definedName>
    <definedName name="BEx5GUCTYC7QCWGWU5BTO7Y7HDZX" hidden="1">#REF!</definedName>
    <definedName name="BEx5GYUPJULJQ624TEESYFG1NFOH" hidden="1">#REF!</definedName>
    <definedName name="BEx5GZATGF4HJK68HIHKIRDBJ23D" hidden="1">[2]Program!#REF!</definedName>
    <definedName name="BEx5GZR2KDETMC7ZPNE1YU6YELWI" hidden="1">#REF!</definedName>
    <definedName name="BEx5H0NEE0AIN5E2UHJ9J9ISU9N1" hidden="1">#REF!</definedName>
    <definedName name="BEx5H1EBPL33RAJKCPJEDYD90WBO" hidden="1">#REF!</definedName>
    <definedName name="BEx5H1UJSEUQM2K8QHQXO5THVHSO" hidden="1">#REF!</definedName>
    <definedName name="BEx5H4UGX3LDR37PPLX58DAIBVX6" hidden="1">#REF!</definedName>
    <definedName name="BEx5H5AKQ98B2QCB6YGR1EUW4YLX" hidden="1">#REF!</definedName>
    <definedName name="BEx5H6CFS06OSCGCLQX5EWQN0JCJ" hidden="1">#REF!</definedName>
    <definedName name="BEx5H8W29H5Y9LTIXMTNGW0XILV5" hidden="1">Tech '[4]2'!$B$7:$G$10</definedName>
    <definedName name="BEx5HAOT9XWUF7XIFRZZS8B9F5TZ" hidden="1">[2]Table!#REF!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LMNTLRKJDEXELTZXKVPMD20" hidden="1">#REF!</definedName>
    <definedName name="BEx5HPIXZ8OES8V1KMJ5YSZA8HEB" hidden="1">#REF!</definedName>
    <definedName name="BEx5HQKNCBPR4Z5A1SM3LXEYTZ1E" hidden="1">#REF!</definedName>
    <definedName name="BEx5HY2DOBK86LZNNFB3NPNWQG9H" hidden="1">#REF!</definedName>
    <definedName name="BEx5HYYRMCC7FUZOFSH9WO581S37" hidden="1">#REF!</definedName>
    <definedName name="BEx5HZ9JMKHNLFWLVUB1WP5B39BL" hidden="1">#REF!</definedName>
    <definedName name="BEx5I1T6CKQ8HGGZIG1O9LUII4D4" hidden="1">#REF!</definedName>
    <definedName name="BEx5I244LQHZTF3XI66J8705R9XX" hidden="1">#REF!</definedName>
    <definedName name="BEx5I3B4OHOD6SAPLK3PZDRO1GYC" hidden="1">#REF!</definedName>
    <definedName name="BEx5I4CZWURJPJZH95QO8E7MXFWV" hidden="1">#REF!</definedName>
    <definedName name="BEx5I540YGZ3LH9X1Q1ZY03Q1Q2N" hidden="1">#REF!</definedName>
    <definedName name="BEx5I65PBA5LLYJVOFGUHPRSINS1" hidden="1">#REF!</definedName>
    <definedName name="BEx5I6WKXERNTPQFQ9KHMRUJ3PUS" hidden="1">Tech '[4]2'!$B$7:$F$10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ACSDSHEHQ3IBEYZZ5I4MBN4" hidden="1">#REF!</definedName>
    <definedName name="BEx5IBUPG9AWNW5PK7JGRGEJ4OLM" hidden="1">#REF!</definedName>
    <definedName name="BEx5IC06RVN8BSAEPREVKHKLCJ2L" hidden="1">#REF!</definedName>
    <definedName name="BEx5IFQZI1Z7XRVM4EMSOM8T36H9" hidden="1">#REF!</definedName>
    <definedName name="BEx5IILKXV3UF9AKRZ73QHNJKQ8U" hidden="1">#REF!</definedName>
    <definedName name="BEx5IVMUQ1MAHOWUBKBMQZ4LLTZQ" hidden="1">#REF!</definedName>
    <definedName name="BEx5IXKVDRVR99ZY59VC68J4BOFT" hidden="1">#REF!</definedName>
    <definedName name="BEx5J0FFP1KS4NGY20AEJI8VREEA" hidden="1">#REF!</definedName>
    <definedName name="BEx5J6KKS55I4A3Y12QE0Y5G0UYL" hidden="1">#REF!</definedName>
    <definedName name="BEx5J9F5EXNUY1WJ60A8TORD2HWL" hidden="1">#REF!</definedName>
    <definedName name="BEx5JENVO7X0TBQGRMGKRTMFB470" hidden="1">#REF!</definedName>
    <definedName name="BEx5JF3ZXLDIS8VNKDCY7ZI7H1CI" hidden="1">#REF!</definedName>
    <definedName name="BEx5JFK9986EQAQC6EABGISMTN7F" hidden="1">#REF!</definedName>
    <definedName name="BEx5JH7PHGKPOBQNC87Y2OGNSHX4" hidden="1">#REF!</definedName>
    <definedName name="BEx5JHCZJ8G6OOOW6EF3GABXKH6F" hidden="1">#REF!</definedName>
    <definedName name="BEx5JIK5IZ47SCL63EHXGXO7MP6O" hidden="1">#REF!</definedName>
    <definedName name="BEx5JJB6W446THXQCRUKD3I7RKLP" hidden="1">#REF!</definedName>
    <definedName name="BEx5JNCT8Z7XSSPD5EMNAJELCU2V" hidden="1">#REF!</definedName>
    <definedName name="BEx5JP02DZ97IB62ITCKG1MMWBKN" hidden="1">#REF!</definedName>
    <definedName name="BEx5JQCNT9Y4RM306CHC8IPY3HBZ" hidden="1">#REF!</definedName>
    <definedName name="BEx5JRJULLWZS6MSFNB1MH7A3QTD" hidden="1">#REF!</definedName>
    <definedName name="BEx5JTHW7OW4QTNV5XZ3NC20LDLF" hidden="1">#REF!</definedName>
    <definedName name="BEx5JUJQEACNHLDPCU3UU9DZRJ3Z" hidden="1">#REF!</definedName>
    <definedName name="BEx5JZXXDFIVOSYNYVYJ85PR2DMP" hidden="1">#REF!</definedName>
    <definedName name="BEx5K08PYKE6JOKBYIB006TX619P" hidden="1">#REF!</definedName>
    <definedName name="BEx5K0JIPW1DRDE0YRHPB5JJ5CZY" hidden="1">#REF!</definedName>
    <definedName name="BEx5K0P0UJ2E4DPVHBPNYPW7S59N" hidden="1">[3]Table!#REF!</definedName>
    <definedName name="BEx5K1AKPNBF18M8BS3MHI13PF7R" hidden="1">#REF!</definedName>
    <definedName name="BEx5K21HQCDNYPG2QWFOVS99PE4A" hidden="1">#REF!</definedName>
    <definedName name="BEx5K2SEBGOLA6US463D7GKTXZPW" hidden="1">#REF!</definedName>
    <definedName name="BEx5K3JG7T0ON8VQG01NCNV7Y4WO" hidden="1">#REF!</definedName>
    <definedName name="BEx5K51DSERT1TR7B4A29R41W4NX" hidden="1">#REF!</definedName>
    <definedName name="BEx5K5XRK8TE10KPXKKD8EM65ZGZ" hidden="1">#REF!</definedName>
    <definedName name="BEx5K7L1CPR8PI08D1HPCXJB6TAA" hidden="1">#REF!</definedName>
    <definedName name="BEx5K818VWTIXHYQU94F1XB8GB3Q" hidden="1">#REF!</definedName>
    <definedName name="BEx5KBBZ8ZOPRUMCYIC0HSKE7K7V" hidden="1">#REF!</definedName>
    <definedName name="BEx5KCJ4JCAHU2E4LCLVKFWL64CX" hidden="1">#REF!</definedName>
    <definedName name="BEx5KG4L1FP8NX3X3DXR3EOMCVGZ" hidden="1">#REF!</definedName>
    <definedName name="BEx5KM9PJMIQFJSBANJO5FVW3Z28" hidden="1">#REF!</definedName>
    <definedName name="BEx5KNRNLASCSNKX2Z86WSA7EO3T" hidden="1">#REF!</definedName>
    <definedName name="BEx5KOO1FHA4BJJBZGOZKTK8PRRN" hidden="1">#REF!</definedName>
    <definedName name="BEx5KRIL3PFC9PIM7NQWA09TEQWG" hidden="1">#REF!</definedName>
    <definedName name="BEx5KTRGHT7UKWSQT1TQYR443UBW" hidden="1">#REF!</definedName>
    <definedName name="BEx5KYER580I4T7WTLMUN7NLNP5K" hidden="1">#REF!</definedName>
    <definedName name="BEx5L0CTHRGSYTVAH8BII4KMVQYV" hidden="1">#REF!</definedName>
    <definedName name="BEx5L0NM1EL5TXH9PUMBFT1CIM7T" hidden="1">#REF!</definedName>
    <definedName name="BEx5L5049FW19H9744UFF6OGYBR6" hidden="1">#REF!</definedName>
    <definedName name="BEx5LGU7W4AAEHPVW8MTDXQANIMT" hidden="1">#REF!</definedName>
    <definedName name="BEx5LHLB3M6K4ZKY2F42QBZT30ZH" hidden="1">#REF!</definedName>
    <definedName name="BEx5LIMZAGBC5ENRUO9AA21EFCUV" hidden="1">#REF!</definedName>
    <definedName name="BEx5LNFLMQOQXS7GRXUWPZ3Q1T7B" hidden="1">#REF!</definedName>
    <definedName name="BEx5LRMNU3HXIE1BUMDHRU31F7JJ" hidden="1">#REF!</definedName>
    <definedName name="BEx5LSJ1LPUAX3ENSPECWPG4J7D1" hidden="1">#REF!</definedName>
    <definedName name="BEx5LSOCLMP0CPJ7P0F39T1U4TK0" hidden="1">Tech '[7]1'!$B$7:$L$231</definedName>
    <definedName name="BEx5LSTT7FN11YJYNXR3MZE7FDGH" hidden="1">#REF!</definedName>
    <definedName name="BEx5LTKQ8RQWJE4BC88OP928893U" hidden="1">#REF!</definedName>
    <definedName name="BEx5LU10K1BYR1HR8W7KTUEOP0X4" hidden="1">#REF!</definedName>
    <definedName name="BEx5LUH34LLGVQ4O3G4E1CAZC23Z" hidden="1">#REF!</definedName>
    <definedName name="BEx5LWQ2YRWKLHNPUOX7A77685LZ" hidden="1">#REF!</definedName>
    <definedName name="BEx5LYO5AGM9ICPKZBV7EN03XYO9" hidden="1">#REF!</definedName>
    <definedName name="BEx5M5F0GZ0QUVQ8H870XL2Y2HST" hidden="1">[2]Program!#REF!</definedName>
    <definedName name="BEx5M7T5JER9G2MLDH3G50GCW8PO" hidden="1">#REF!</definedName>
    <definedName name="BEx5MAIGJD3C3AO0RGLKRTEZBVUE" hidden="1">#REF!</definedName>
    <definedName name="BEx5MAYJ032HH5XYBGC8NLMXIE3C" hidden="1">#REF!</definedName>
    <definedName name="BEx5MB9BR71LZDG7XXQ2EO58JC5F" hidden="1">#REF!</definedName>
    <definedName name="BEx5MGT0KY6U3NVQ5INE19CWAD19" hidden="1">#REF!</definedName>
    <definedName name="BEx5MJ1THFTPTOVNXXQ6HAENKMZL" hidden="1">#REF!</definedName>
    <definedName name="BEx5MJSWQ04VS8WFHCZXYA7ZWU81" hidden="1">#REF!</definedName>
    <definedName name="BEx5MKJS70EL9DPQP6DLSC031X1W" hidden="1">#REF!</definedName>
    <definedName name="BEx5ML5CK1U7TOC857RB3VPRMX5K" hidden="1">#REF!</definedName>
    <definedName name="BEx5MLQZM68YQSKARVWTTPINFQ2C" hidden="1">[2]Table!#REF!</definedName>
    <definedName name="BEx5MLWG0Q1JBLMGH8WO110L7P5V" hidden="1">#REF!</definedName>
    <definedName name="BEx5MPCFWDH3GAVU0CQ6YJUTNOIQ" hidden="1">#REF!</definedName>
    <definedName name="BEx5MQ8RK19BFNVXYV3G3P34Y2DB" hidden="1">#REF!</definedName>
    <definedName name="BEx5MVSHCZU90G7E88Q4XL7FYFX3" hidden="1">#REF!</definedName>
    <definedName name="BEx5MVXTKNBXHNWTL43C670E4KXC" hidden="1">#REF!</definedName>
    <definedName name="BEx5MXAA97GEAPPWBZ9FBQLQUNJC" hidden="1">#REF!</definedName>
    <definedName name="BEx5N04U3MCGML3K7I6UH2XON10W" hidden="1">#REF!</definedName>
    <definedName name="BEx5N119EXIWMNVMKYJJZ0709I72" hidden="1">#REF!</definedName>
    <definedName name="BEx5N3FJWN6XIULYXFYW0SPZMSE8" hidden="1">#REF!</definedName>
    <definedName name="BEx5N4XI4PWB1W9PMZ4O5R0HWTYD" hidden="1">#REF!</definedName>
    <definedName name="BEx5N94J2EWS8E9NMSJUQB41VS18" hidden="1">#REF!</definedName>
    <definedName name="BEx5NA68N6FJFX9UJXK4M14U487F" hidden="1">#REF!</definedName>
    <definedName name="BEx5NARTL4NOV137OSLV4KV0FAUJ" hidden="1">#REF!</definedName>
    <definedName name="BEx5NBTN8Y6LWN0NYEYS89AI80TM" hidden="1">#REF!</definedName>
    <definedName name="BEx5NFKFVA761D86KCZKI9972HJQ" hidden="1">#REF!</definedName>
    <definedName name="BEx5NGBIFIVRL4CZ2TXRCYHK66UQ" hidden="1">#REF!</definedName>
    <definedName name="BEx5NHTASBI2WAE7UBJHFYGLM0C0" hidden="1">#REF!</definedName>
    <definedName name="BEx5NHYQEX12WE57450G838QLJN5" hidden="1">#REF!</definedName>
    <definedName name="BEx5NHYRFEIIBRWA2TMVIFGPUBT6" hidden="1">#REF!</definedName>
    <definedName name="BEx5NIKBG2GDJOYGE3WCXKU7YY51" hidden="1">#REF!</definedName>
    <definedName name="BEx5NKYONAGHJ2IR3TFAMLN890QT" hidden="1">#REF!</definedName>
    <definedName name="BEx5NM5TWCZFTOA7VO5VPNQMKTHP" hidden="1">#REF!</definedName>
    <definedName name="BEx5NO40I5548O6FKGVGQAA5K4FL" hidden="1">#REF!</definedName>
    <definedName name="BEx5NQICJRBML6U9YD90DUDPGM33" hidden="1">#REF!</definedName>
    <definedName name="BEx5NUEM24ZED9VYADF1LHA31YNV" hidden="1">#REF!</definedName>
    <definedName name="BEx5NV06L5J5IMKGOMGKGJ4PBZCD" hidden="1">#REF!</definedName>
    <definedName name="BEx5NWCN2GHYRA8AIBV8NKV5PA2D" hidden="1">#REF!</definedName>
    <definedName name="BEx5NZSSQ6PY99ZX2D7Q9IGOR34W" hidden="1">#REF!</definedName>
    <definedName name="BEx5O0P0TCTS7FBFDGM95CR9IBKV" hidden="1">#REF!</definedName>
    <definedName name="BEx5O0ZT6LHFF94SKQCNFHP2P5VU" hidden="1">#REF!</definedName>
    <definedName name="BEx5O3ZUQ2OARA1CDOZ3NC4UE5AA" hidden="1">#REF!</definedName>
    <definedName name="BEx5O5HSTO1VD7WVQZCUZGX38QP6" hidden="1">#REF!</definedName>
    <definedName name="BEx5O6E7LK8RVIG7DGW23P7WGYSP" hidden="1">#REF!</definedName>
    <definedName name="BEx5O6JIVXHG6H5RDQLIGUW33UJI" hidden="1">#REF!</definedName>
    <definedName name="BEx5OAFS0NJ2CB86A02E1JYHMLQ1" hidden="1">#REF!</definedName>
    <definedName name="BEx5OCZF7ILCCT1H3IQJCKV8RWA7" hidden="1">#REF!</definedName>
    <definedName name="BEx5OE18OICCYZNOV4CFP7L4BQ18" hidden="1">#REF!</definedName>
    <definedName name="BEx5OG4RPU8W1ETWDWM234NYYYEN" hidden="1">#REF!</definedName>
    <definedName name="BEx5OHXI4R617RH4NY6VKOI4ZRA2" hidden="1">#REF!</definedName>
    <definedName name="BEx5OL87PVSZSDHUK8KZBXSXHK2L" hidden="1">#REF!</definedName>
    <definedName name="BEx5OLZ3KBZNM7BMR66ILZ2HSXCS" hidden="1">#REF!</definedName>
    <definedName name="BEx5ON0XNIL4NI1X8BV93OZ9ARWR" hidden="1">#REF!</definedName>
    <definedName name="BEx5OOO7H1XS29L8GBJ09Z2H6G79" hidden="1">#REF!</definedName>
    <definedName name="BEx5OOYZD84GB4S5IHSUC0ETM6O7" hidden="1">Table '[4]2'!$B$6:$F$9</definedName>
    <definedName name="BEx5OP9Y43F99O2IT69MKCCXGL61" hidden="1">#REF!</definedName>
    <definedName name="BEx5OPF9LXIW1TFOTGJY08DHKCCP" hidden="1">#REF!</definedName>
    <definedName name="BEx5OQ65FYCK8GWDJGVG3WJ0S7I3" hidden="1">#REF!</definedName>
    <definedName name="BEx5OTRMSRTK23DQ3AO6VYWYLET5" hidden="1">#REF!</definedName>
    <definedName name="BEx5OU7VD3FTDJWWNY4QZCD1J0WX" hidden="1">#REF!</definedName>
    <definedName name="BEx5OWGPYE8M1WD2CXXFDHD6RIM6" hidden="1">#REF!</definedName>
    <definedName name="BEx5OWM8APSK99X0QUFUAXJ87CPY" hidden="1">#REF!</definedName>
    <definedName name="BEx5OXIKDIYQDT89AL1I005KPLFQ" hidden="1">#REF!</definedName>
    <definedName name="BEx5OZ0I9FV978CPSUTL7OOQ9VC0" hidden="1">#REF!</definedName>
    <definedName name="BEx5OZRFMXS50M3TBT03GQPDJX98" hidden="1">#REF!</definedName>
    <definedName name="BEx5P6NK3WTCCAM54SCL1QGI7SYR" hidden="1">#REF!</definedName>
    <definedName name="BEx5P9Y9RDXNUAJ6CZ2LHMM8IM7T" hidden="1">#REF!</definedName>
    <definedName name="BEx5PBR0F1TGUVL4CKGG463FLG6W" hidden="1">#REF!</definedName>
    <definedName name="BEx5PHG040UB6SAJGMT6H4JLV2O8" hidden="1">#REF!</definedName>
    <definedName name="BEx5PHG0C4R4Q616GV4OOU3WE5T8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O1DXF3QXFQOTJX0RA0V1L3F" hidden="1">#REF!</definedName>
    <definedName name="BEx5PP8I6FGSFCVJ70082WNYSMU7" hidden="1">#REF!</definedName>
    <definedName name="BEx5PRXMZ5M65Z732WNNGV564C2J" hidden="1">#REF!</definedName>
    <definedName name="BEx5PTFLD7DK6EDI89KFYGLJIEHX" hidden="1">#REF!</definedName>
    <definedName name="BEx5PVJ45KPB0ZLU88Y0CXBP79HF" hidden="1">#REF!</definedName>
    <definedName name="BEx5PW4Q6ZXJ1VM5ERPPR42OVS48" hidden="1">#REF!</definedName>
    <definedName name="BEx5PXHCMS55B3AMSYP1IDWOL7E9" hidden="1">#REF!</definedName>
    <definedName name="BEx5PYJ1M7KNW4566RAPKTK159HP" hidden="1">#REF!</definedName>
    <definedName name="BEx5PZFE75NUOJTAX5S5UVD2GTOV" hidden="1">#REF!</definedName>
    <definedName name="BEx5Q6BJIUTCD8Z5GVEK5JCRRY1P" hidden="1">#REF!</definedName>
    <definedName name="BEx5Q6MB91XCQLNPS6FWNX9DK0FT" hidden="1">#REF!</definedName>
    <definedName name="BEx5QGT6ZJDVW73MNRC6IUML0GKF" hidden="1">#REF!</definedName>
    <definedName name="BEx5QHPJXPPA0W5WQYTHRH6E0RC6" hidden="1">#REF!</definedName>
    <definedName name="BEx5QHPKHZGIXM6F35MLJIJFAKB8" hidden="1">#REF!</definedName>
    <definedName name="BEx5QN3S80ERBYPEZQTZU4ZVSKB9" hidden="1">#REF!</definedName>
    <definedName name="BEx5QPI3JLH2UEQ0MQ3L0E5COERJ" hidden="1">#REF!</definedName>
    <definedName name="BEx5QPSW4IPLH50WSR87HRER05RF" hidden="1">#REF!</definedName>
    <definedName name="BEx738J68BW1UTCSWWA6YSDMX4TM" hidden="1">#REF!</definedName>
    <definedName name="BEx73O48TH70LGBESGE6TZX37RWQ" hidden="1">#REF!</definedName>
    <definedName name="BEx73V0EP8EMNRC3EZJJKKVKWQVB" hidden="1">#REF!</definedName>
    <definedName name="BEx73VWQSOMY0VFUZ93BAG7DDTL9" hidden="1">#REF!</definedName>
    <definedName name="BEx741WJHIJVXUX131SBXTVW8D71" hidden="1">#REF!</definedName>
    <definedName name="BEx746ZZ73QHTXKD87X7R3HKC2KM" hidden="1">#REF!</definedName>
    <definedName name="BEx74COZB0G1DBHH0GJ2TJ77562K" hidden="1">#REF!</definedName>
    <definedName name="BEx74IZJLRUQ03RCK06W91H2260J" hidden="1">#REF!</definedName>
    <definedName name="BEx74Q6H3O7133AWQXWC21MI2UFT" hidden="1">#REF!</definedName>
    <definedName name="BEx74W6BJ8ENO3J25WNM5H5APKA3" hidden="1">#REF!</definedName>
    <definedName name="BEx74YVE1DVJ4E9GK44NARPPBCH3" hidden="1">#REF!</definedName>
    <definedName name="BEx755GRRD9BL27YHLH5QWIYLWB7" hidden="1">#REF!</definedName>
    <definedName name="BEx757V4HY4OAGXYAJGM7RJQE3NM" hidden="1">#REF!</definedName>
    <definedName name="BEx759D1D5SXS5ELLZVBI0SXYUNF" hidden="1">#REF!</definedName>
    <definedName name="BEx759YLE1EJ94T71DBVR5AF2Y7A" hidden="1">#REF!</definedName>
    <definedName name="BEx75BGL4B587TM29E78APZYJUTT" hidden="1">#REF!</definedName>
    <definedName name="BEx75DPE81ZASR699UBNNP21VZTF" hidden="1">#REF!</definedName>
    <definedName name="BEx75GJZSZHUDN6OOAGQYFUDA2LP" hidden="1">#REF!</definedName>
    <definedName name="BEx75HGCCV5K4UCJWYV8EV9AG5YT" hidden="1">#REF!</definedName>
    <definedName name="BEx75HGDI9BBVE3HXNCROU2XQTIT" hidden="1">#REF!</definedName>
    <definedName name="BEx75KASSJRFXDLGN377MQO3SYK0" hidden="1">#REF!</definedName>
    <definedName name="BEx75KR0X2XFSCH9KH9VM7GAAKHL" hidden="1">#REF!</definedName>
    <definedName name="BEx75MJT47XEWZSLZAG6IUOQKXIX" hidden="1">#REF!</definedName>
    <definedName name="BEx75OSMV7ZJYP15UCO6GDWG0VOY" hidden="1">#REF!</definedName>
    <definedName name="BEx75PZT8TY5P13U978NVBUXKHT4" hidden="1">#REF!</definedName>
    <definedName name="BEx75S8RSPFJSL1GTL1M5C1KGJS2" hidden="1">#REF!</definedName>
    <definedName name="BEx75T55F7GML8V1DMWL26WRT006" hidden="1">#REF!</definedName>
    <definedName name="BEx75TW2D4NPBT0K9F1T9TH14T1A" hidden="1">#REF!</definedName>
    <definedName name="BEx75USEIXDUXPFIIN6UA6OV1RHX" hidden="1">#REF!</definedName>
    <definedName name="BEx75VJGR07JY6UUWURQ4PJ29UKC" hidden="1">#REF!</definedName>
    <definedName name="BEx75Z4YHOZ29XH1PLA6YHTO3VV8" hidden="1">#REF!</definedName>
    <definedName name="BEx762A5H43CR81EI12STYEKNZLU" hidden="1">#REF!</definedName>
    <definedName name="BEx765A28KL05DU9PG2REPK40UX3" hidden="1">#REF!</definedName>
    <definedName name="BEx76AO9KXYNA9PKS5ZPP2U19ITH" hidden="1">#REF!</definedName>
    <definedName name="BEx76DTMCV9B3WEDTB4OHDCGFPRA" hidden="1">#REF!</definedName>
    <definedName name="BEx76EVBO157WDQ51L0GMDYWQDSJ" hidden="1">#REF!</definedName>
    <definedName name="BEx76S240015GIXRTXJC19TGSV1Z" hidden="1">#REF!</definedName>
    <definedName name="BEx76UAWDPQ55JP6JUYOHURHKWY9" hidden="1">#REF!</definedName>
    <definedName name="BEx76V1XKGBEDZIV9DV1A2YV1JOI" hidden="1">#REF!</definedName>
    <definedName name="BEx771Y4YTWARR6KTPWG9TPMTMA1" hidden="1">#REF!</definedName>
    <definedName name="BEx7741OUGLA0WJQLQRUJSL4DE00" hidden="1">#REF!</definedName>
    <definedName name="BEx774CHA9EXZPDPWP3OZ7SMJPYC" hidden="1">#REF!</definedName>
    <definedName name="BEx774N83DXLJZ54Q42PWIJZ2DN1" hidden="1">#REF!</definedName>
    <definedName name="BEx77837MG61AY3S7PYHWW3GB9GY" hidden="1">#REF!</definedName>
    <definedName name="BEx779QNIY3061ZV9BR462WKEGRW" hidden="1">#REF!</definedName>
    <definedName name="BEx77ASBWTPUT74EJFJLOUI00U24" hidden="1">#REF!</definedName>
    <definedName name="BEx77BU5FB7MA52ZNYGVCSYB6EAB" hidden="1">#REF!</definedName>
    <definedName name="BEx77G19QU9A95CNHE6QMVSQR2T3" hidden="1">#REF!</definedName>
    <definedName name="BEx77OQ625E4LSEXLQEMAZHPDMMC" hidden="1">#REF!</definedName>
    <definedName name="BEx77P0S3GVMS7BJUL9OWUGJ1B02" hidden="1">#REF!</definedName>
    <definedName name="BEx77QDESURI6WW5582YXSK3A972" hidden="1">#REF!</definedName>
    <definedName name="BEx77QYZPB7IH7HXOJRV49EB6E8H" hidden="1">#REF!</definedName>
    <definedName name="BEx77VBI9XOPFHKEWU5EHQ9J675Y" hidden="1">#REF!</definedName>
    <definedName name="BEx77ZYNR8T781TVG19IK8XK13OY" hidden="1">#REF!</definedName>
    <definedName name="BEx7809GQOCLHSNH95VOYIX7P1TV" hidden="1">#REF!</definedName>
    <definedName name="BEx780K8XAXUHGVZGZWQ74DK4CI3" hidden="1">#REF!</definedName>
    <definedName name="BEx780V1M2ENFHOETNOHK0YQGOA5" hidden="1">#REF!</definedName>
    <definedName name="BEx78226TN58UE0CTY98YEDU0LSL" hidden="1">#REF!</definedName>
    <definedName name="BEx784B78XXUXMLVVR6CZ64BOFSA" hidden="1">#REF!</definedName>
    <definedName name="BEx785CWQI8O7FBSH7RHM6AYTYZ1" hidden="1">#REF!</definedName>
    <definedName name="BEx7881ZZBWHRAX6W2GY19J8MGEQ" hidden="1">#REF!</definedName>
    <definedName name="BEx78A5IYYCMR88AXOWEFKVY8371" hidden="1">#REF!</definedName>
    <definedName name="BEx78A5JAWI6EMCWJ7AJWGAH8AMJ" hidden="1">#REF!</definedName>
    <definedName name="BEx78CEEG1OKYDHVOIDGCBXGXV6Y" hidden="1">#REF!</definedName>
    <definedName name="BEx78DAQGAO9GXOHDATG5WON1A14" hidden="1">#REF!</definedName>
    <definedName name="BEx78FUJDQTNN85H0ZBR7FM8BI28" hidden="1">#REF!</definedName>
    <definedName name="BEx78FUJQJPCT6KD64Z0W3J4IFRL" hidden="1">Tech '[4]2'!$B$7:$F$10</definedName>
    <definedName name="BEx78HHRIWDLHQX2LG0HWFRYEL1T" hidden="1">#REF!</definedName>
    <definedName name="BEx78HHXWJ0JHK8E8M8KSJYYC5HW" hidden="1">#REF!</definedName>
    <definedName name="BEx78NSKC3OQCQ4WQAIZ6JURE7GW" hidden="1">#REF!</definedName>
    <definedName name="BEx78OOPYID4QYC9KQ8TPDG220E4" hidden="1">#REF!</definedName>
    <definedName name="BEx78PFSXOPYSNHQSDYSRCLFOQTR" hidden="1">#REF!</definedName>
    <definedName name="BEx78QMXZ2P1ZB3HJ9O50DWHCMXR" hidden="1">#REF!</definedName>
    <definedName name="BEx78QMY6JJMHEEQ9LKNPBEG01MY" hidden="1">#REF!</definedName>
    <definedName name="BEx78SFO5VR28677DWZEMDN7G86X" hidden="1">[2]Table!#REF!</definedName>
    <definedName name="BEx78SFOYH1Z0ZDTO47W2M60TW6K" hidden="1">#REF!</definedName>
    <definedName name="BEx78T6K16MPY7VOHA96FCGEG2YB" hidden="1">#REF!</definedName>
    <definedName name="BEx78WXJ91HRGOXUUXFGS01TTO7R" hidden="1">#REF!</definedName>
    <definedName name="BEx78XOFABHYYN2QZSK9MKND4P0S" hidden="1">#REF!</definedName>
    <definedName name="BEx78Z6CNGDW2UXNQG7H539TDFJH" hidden="1">#REF!</definedName>
    <definedName name="BEx790DJI4UE77BOZ06ELCD8SZWE" hidden="1">#REF!</definedName>
    <definedName name="BEx790DJQO37U5LLUVMDK0P9EI7R" hidden="1">#REF!</definedName>
    <definedName name="BEx792H2E4R5Z07N4S57SHYGWFTB" hidden="1">#REF!</definedName>
    <definedName name="BEx794Q13JWVE2E1O9DVU8V9U6BP" hidden="1">#REF!</definedName>
    <definedName name="BEx795X9AGDMSJ6REI4IUY593J5T" hidden="1">#REF!</definedName>
    <definedName name="BEx7974DXREUW5UBMGT6M8PXTTQ4" hidden="1">#REF!</definedName>
    <definedName name="BEx799YT6RPDDS4JCJHO97D9BP1Z" hidden="1">#REF!</definedName>
    <definedName name="BEx79HGICY1182F51NPQWJ8JRQ9R" hidden="1">#REF!</definedName>
    <definedName name="BEx79HM0O76XQJC20PYQACF9YDXP" hidden="1">#REF!</definedName>
    <definedName name="BEx79HRD8NL9EMUOALME68ALFZYA" hidden="1">#REF!</definedName>
    <definedName name="BEx79JK3E6JO8MX4O35A5G8NZCC8" hidden="1">#REF!</definedName>
    <definedName name="BEx79M95QSBYYE3K0HKKKB9GAINN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OUHTDD16ZGGUBH3JDBW1VZ" hidden="1">#REF!</definedName>
    <definedName name="BEx79YUC7B0V77FSBGIRCY1BR4VK" hidden="1">#REF!</definedName>
    <definedName name="BEx79ZQPD5VS4WT5QFAS9C0ZZ3QB" hidden="1">[1]Program!#REF!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CMN6V5Q1KYXMDDXS583NFCM" hidden="1">#REF!</definedName>
    <definedName name="BEx7AE4LPLX8N85BYB0WCO5S7ZPV" hidden="1">#REF!</definedName>
    <definedName name="BEx7AFBS4PND11NVQ60QSVKFI06U" hidden="1">#REF!</definedName>
    <definedName name="BEx7AFH3HUQH8VQR9UY53H29BL1G" hidden="1">#REF!</definedName>
    <definedName name="BEx7AM7RFL1OGULPPHIF0QAQC3Y3" hidden="1">#REF!</definedName>
    <definedName name="BEx7AM7S86B05J46QIO32WQAAM6G" hidden="1">#REF!</definedName>
    <definedName name="BEx7AQV3PGI9EVX19Y61TNZWQD3Z" hidden="1">#REF!</definedName>
    <definedName name="BEx7ASD1I654MEDCO6GGWA95PXSC" hidden="1">#REF!</definedName>
    <definedName name="BEx7ASYMO87QTI4OGS8RP4M3OLYE" hidden="1">#REF!</definedName>
    <definedName name="BEx7AVCX9S5RJP3NSZ4QM4E6ERDT" hidden="1">#REF!</definedName>
    <definedName name="BEx7AVNQ4QE5AXHEQC349YMRRGSX" hidden="1">#REF!</definedName>
    <definedName name="BEx7AVYIGP0930MV5JEBWRYCJN68" hidden="1">#REF!</definedName>
    <definedName name="BEx7AVYIP0JVLVSUJFLZYDBRT0RO" hidden="1">#REF!</definedName>
    <definedName name="BEx7B11XFEBGHVLCFINAU4U4Q0DX" hidden="1">#REF!</definedName>
    <definedName name="BEx7B11YDBMRZG7EYCKJUO3H1Y6F" hidden="1">#REF!</definedName>
    <definedName name="BEx7B3LKPGMDIE1WTF5ZO95GA2PN" hidden="1">#REF!</definedName>
    <definedName name="BEx7B4NF9ACD5Y8MVIDHSD95K21W" hidden="1">#REF!</definedName>
    <definedName name="BEx7B6LH6917TXOSAAQ6U7HVF018" hidden="1">#REF!</definedName>
    <definedName name="BEx7B6LNAA17LZSL9I3RSGVFGG63" hidden="1">[3]Table!#REF!</definedName>
    <definedName name="BEx7BD6VBLFE7I9MVOF3H4AESHZO" hidden="1">#REF!</definedName>
    <definedName name="BEx7BIQJ5XHOJHZUAVG3KLP0T1HX" hidden="1">#REF!</definedName>
    <definedName name="BEx7BPMJEXVZLEFPM3R7IBTRK0TE" hidden="1">Tech '[4]2'!$B$7:$G$11</definedName>
    <definedName name="BEx7BPXFZXJ79FQ0E8AQE21PGVHA" hidden="1">#REF!</definedName>
    <definedName name="BEx7BWDDGWTLGCNK7RVA4GQY45W5" hidden="1">#REF!</definedName>
    <definedName name="BEx7BWO629EM9ED6AXJA60BN5LRS" hidden="1">#REF!</definedName>
    <definedName name="BEx7BX9R6EDM7OBVX6BGZU6F5RA1" hidden="1">#REF!</definedName>
    <definedName name="BEx7BZ7YP1HCDJ0IOXDF99SZ4JW8" hidden="1">Table '[4]2'!$B$6:$E$7</definedName>
    <definedName name="BEx7C04AM39DQMC1TIX7CFZ2ADHX" hidden="1">#REF!</definedName>
    <definedName name="BEx7C2D6TURK7PBE5YOHZ4H5MFH9" hidden="1">#REF!</definedName>
    <definedName name="BEx7C40F0PQURHPI6YQ39NFIR86Z" hidden="1">#REF!</definedName>
    <definedName name="BEx7C45WSRL43ZJZK7RO829GNY3C" hidden="1">#REF!</definedName>
    <definedName name="BEx7C93VR7SYRIJS1JO8YZKSFAW9" hidden="1">#REF!</definedName>
    <definedName name="BEx7CBNMUIPZ6548LO0P1CRO0UV2" hidden="1">#REF!</definedName>
    <definedName name="BEx7CCPC6R1KQQZ2JQU6EFI1G0RM" hidden="1">#REF!</definedName>
    <definedName name="BEx7CFJXII8KHGLF6B7B7TWWRTW6" hidden="1">#REF!</definedName>
    <definedName name="BEx7CI920CNG455C46BR0X7T340R" hidden="1">#REF!</definedName>
    <definedName name="BEx7CIJST9GLS2QD383UK7VUDTGL" hidden="1">#REF!</definedName>
    <definedName name="BEx7CJQYF4VAAWTE6JR01A9GTX3S" hidden="1">#REF!</definedName>
    <definedName name="BEx7CK1RDXC265B3Z30Q4UUVR9MT" hidden="1">#REF!</definedName>
    <definedName name="BEx7CLUHKQEC4ZMO02928XR2EL2N" hidden="1">#REF!</definedName>
    <definedName name="BEx7CO8T2XKC7GHDSYNAWTZ9L7YR" hidden="1">#REF!</definedName>
    <definedName name="BEx7COUEXJ19DFPBGEY01E6ZGVWF" hidden="1">#REF!</definedName>
    <definedName name="BEx7CR8Q64IXJZ1IK8A2P5JOPIZR" hidden="1">#REF!</definedName>
    <definedName name="BEx7CRZKW1940SF4RDH48RXCHQIP" hidden="1">#REF!</definedName>
    <definedName name="BEx7CW1CF00DO8A36UNC2X7K65C2" hidden="1">#REF!</definedName>
    <definedName name="BEx7CW6NFRL2P4XWP0MWHIYA97KF" hidden="1">#REF!</definedName>
    <definedName name="BEx7D3Z5J0XED2QB7OF7HH3UKXEK" hidden="1">#REF!</definedName>
    <definedName name="BEx7D5RWKRS4W71J4NZ6ZSFHPKFT" hidden="1">#REF!</definedName>
    <definedName name="BEx7D8H1TPOX1UN17QZYEV7Q58GA" hidden="1">#REF!</definedName>
    <definedName name="BEx7DBGX19PB1IWMY544UKSLMMK3" hidden="1">#REF!</definedName>
    <definedName name="BEx7DD4D7DAI5BN4L7AHWYB979CQ" hidden="1">#REF!</definedName>
    <definedName name="BEx7DE0KOK7VYCFGMNB9VFBSHS0P" hidden="1">#REF!</definedName>
    <definedName name="BEx7DFYRXDYCJ85TFBW4FFW4R3VJ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DXHVQ3XRVZ2H7QO8TYMIA4P9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6XU804C1JRNU9GQNNN3WKXI" hidden="1">#REF!</definedName>
    <definedName name="BEx7EBA8IYHQKT7IQAOAML660SYA" hidden="1">#REF!</definedName>
    <definedName name="BEx7EEA3C06K0NDWWF67H1LGWJTP" hidden="1">Tech '[4]2'!$B$7:$D$8</definedName>
    <definedName name="BEx7EEKW63OWTDFY19CI6TQ98Y6E" hidden="1">#REF!</definedName>
    <definedName name="BEx7EI6C8MCRZFEQYUBE5FSUTIHK" hidden="1">#REF!</definedName>
    <definedName name="BEx7EI6DL1Z6UWLFBXAKVGZTKHWJ" hidden="1">#REF!</definedName>
    <definedName name="BEx7EJTSOQY9EKLQ51C257SRZOBR" hidden="1">#REF!</definedName>
    <definedName name="BEx7EMIWJJRZCOIMR568M36K9OLR" hidden="1">#REF!</definedName>
    <definedName name="BEx7EN9TJTGXJRVUKWONFE87YWHV" hidden="1">#REF!</definedName>
    <definedName name="BEx7EO0UP9YNYBEULVVRJZ5O2HDB" hidden="1">#REF!</definedName>
    <definedName name="BEx7EO65I5CKS50KV39D5B1HT4B2" hidden="1">#REF!</definedName>
    <definedName name="BEx7EQKHX7GZYOLXRDU534TT4H64" hidden="1">#REF!</definedName>
    <definedName name="BEx7EQPYH39VQH5N68F49EQHOMFK" hidden="1">#REF!</definedName>
    <definedName name="BEx7ER0RR6V7BXQ6DM55KMU8Y8OM" hidden="1">#REF!</definedName>
    <definedName name="BEx7ESO15SJDFL5L5B5ZKQO211M7" hidden="1">#REF!</definedName>
    <definedName name="BEx7ESTIR88Q0R12NEKQ8BUTUPBY" hidden="1">#REF!</definedName>
    <definedName name="BEx7ETV6L1TM7JSXJIGK3FC6RVZW" hidden="1">#REF!</definedName>
    <definedName name="BEx7EU0GMTO205AYSSSCHOYH9IW2" hidden="1">#REF!</definedName>
    <definedName name="BEx7EWPKIWK7LB37SRNFUURYUTWC" hidden="1">#REF!</definedName>
    <definedName name="BEx7EYYLHMBYQTH6I377FCQS7CSX" hidden="1">#REF!</definedName>
    <definedName name="BEx7F3GG2FI10JUMINUOIYICFVD9" hidden="1">#REF!</definedName>
    <definedName name="BEx7F4NMGGTZWR8S7710RWGFG8W2" hidden="1">#REF!</definedName>
    <definedName name="BEx7F6R5C1C9T5JSDC0AHNUEWPTC" hidden="1">Tech '[4]2'!$B$7:$G$11</definedName>
    <definedName name="BEx7F8JUXAK53NOZ306PL1LAP7IK" hidden="1">#REF!</definedName>
    <definedName name="BEx7FBJRLJUZKK1FVSCNP0F4GBYT" hidden="1">#REF!</definedName>
    <definedName name="BEx7FCG4HT1EE4JZCEENDD0ESA60" hidden="1">#REF!</definedName>
    <definedName name="BEx7FCLG1RYI2SNOU1Y2GQZNZSWA" hidden="1">#REF!</definedName>
    <definedName name="BEx7FEJOQNYA7A6O7YB4SBB1KK73" hidden="1">#REF!</definedName>
    <definedName name="BEx7FIL87TXQSUJ03S7NBB9S4HA5" hidden="1">#REF!</definedName>
    <definedName name="BEx7FJHLYLK5OJ9UHUQSTBMG9PE6" hidden="1">Tech '[7]1'!$B$7:$L$63</definedName>
    <definedName name="BEx7FK8NPE63SSANUGMM578JPMA8" hidden="1">#REF!</definedName>
    <definedName name="BEx7FL511NH6BXMPVF53YS7WL9N3" hidden="1">#REF!</definedName>
    <definedName name="BEx7FLL427T5SHLBJGYH735C390T" hidden="1">#REF!</definedName>
    <definedName name="BEx7FN32ZGWOAA4TTH79KINTDWR9" hidden="1">#REF!</definedName>
    <definedName name="BEx7FR4TORXBQWXZYY5XGG442P9E" hidden="1">#REF!</definedName>
    <definedName name="BEx7FR4TZ0NRI7HOGHAE93DVVXWE" hidden="1">#REF!</definedName>
    <definedName name="BEx7FSH9Z1F0J8S75K4MANRVIN4Y" hidden="1">#REF!</definedName>
    <definedName name="BEx7FTOFOYQLDCCOJY1H3JHICFOI" hidden="1">#REF!</definedName>
    <definedName name="BEx7FVMORQ1N6SIECWJVJWT23E6Y" hidden="1">#REF!</definedName>
    <definedName name="BEx7FZ2NBD60FXGNYS120WYBTXA3" hidden="1">#REF!</definedName>
    <definedName name="BEx7G1RRTULXCZSZ39FGSTWPGT7F" hidden="1">#REF!</definedName>
    <definedName name="BEx7G82CKM3NIY1PHNFK28M09PCH" hidden="1">#REF!</definedName>
    <definedName name="BEx7G99IDBAY5DSEHQ2H66A2PXLD" hidden="1">#REF!</definedName>
    <definedName name="BEx7GCUZVOIU96UBSYMEADXNXTUW" hidden="1">#REF!</definedName>
    <definedName name="BEx7GDRC36OHVR13Q9HHMX9KL7AG" hidden="1">#REF!</definedName>
    <definedName name="BEx7GECXT35JKLVEFIG938XF5V6P" hidden="1">#REF!</definedName>
    <definedName name="BEx7GF405N9KHPSSRFQXAZCQZI37" hidden="1">#REF!</definedName>
    <definedName name="BEx7GG5OZBAFMOCIXH7MXVE2C270" hidden="1">#REF!</definedName>
    <definedName name="BEx7GLZZCW2H6OBCDB698FRAEPUV" hidden="1">#REF!</definedName>
    <definedName name="BEx7GMG8RQ2YB3WVSLKZZZKKRMV0" hidden="1">#REF!</definedName>
    <definedName name="BEx7GMLLG0QQO6QAHRCV3G6V8AWR" hidden="1">#REF!</definedName>
    <definedName name="BEx7GMR1DI0UYMGIDUTBT9KRAE2J" hidden="1">#REF!</definedName>
    <definedName name="BEx7GQCIM1W1OR8EP7JKRMYGFHW2" hidden="1">#REF!</definedName>
    <definedName name="BEx7GR3ENYWRXXS5IT0UMEGOLGUH" hidden="1">#REF!</definedName>
    <definedName name="BEx7GSAL6P7TASL8MB63RFST1LJL" hidden="1">#REF!</definedName>
    <definedName name="BEx7GSLEAEDT83F2LWWOC5ZLL5JW" hidden="1">#REF!</definedName>
    <definedName name="BEx7GSWBFVFTIS9W2TODVFFOLXIY" hidden="1">#REF!</definedName>
    <definedName name="BEx7GUE4B0O945HM9EWN63AMPDTM" hidden="1">#REF!</definedName>
    <definedName name="BEx7GVFWT8CR7HZT4A802S7OH3M8" hidden="1">#REF!</definedName>
    <definedName name="BEx7GYQM14R3PEQIKHDX3WT0YNN3" hidden="1">#REF!</definedName>
    <definedName name="BEx7H0JD6I5I8WQLLWOYWY5YWPQE" hidden="1">#REF!</definedName>
    <definedName name="BEx7H0ZH15KC1O0GX5KZVOBS5R1H" hidden="1">#REF!</definedName>
    <definedName name="BEx7H14XCXH7WEXEY1HVO53A6AGH" hidden="1">#REF!</definedName>
    <definedName name="BEx7H6ZA84EDCYX9HQKE2VH03R77" hidden="1">#REF!</definedName>
    <definedName name="BEx7H7A3IND3XX895B1NI519TC8J" hidden="1">#REF!</definedName>
    <definedName name="BEx7HFTIA8AC8BR8HKIN81VE1SGW" hidden="1">#REF!</definedName>
    <definedName name="BEx7HGVBEF4LEIF6RC14N3PSU461" hidden="1">#REF!</definedName>
    <definedName name="BEx7HHRP6OIBN749NAR4JO512P36" hidden="1">#REF!</definedName>
    <definedName name="BEx7HI2HJHTYLZMUP1NPJ9M1FELH" hidden="1">#REF!</definedName>
    <definedName name="BEx7HMKCAA2G3JBLDPIXRDOC4XXX" hidden="1">#REF!</definedName>
    <definedName name="BEx7HQ5T9FZ42QWS09UO4DT42Y0R" hidden="1">#REF!</definedName>
    <definedName name="BEx7HRCZE3CVGON1HV07MT5MNDZ3" hidden="1">#REF!</definedName>
    <definedName name="BEx7HV3QMXAC8QITRFVHXC0DXGQP" hidden="1">#REF!</definedName>
    <definedName name="BEx7HVEOYFKIH6S9V7AAIO1GVBJ9" hidden="1">#REF!</definedName>
    <definedName name="BEx7HWGE2CANG5M17X4C8YNC3N8F" hidden="1">#REF!</definedName>
    <definedName name="BEx7HYUOUXPB5T2BFWCYOHAWU2JR" hidden="1">#REF!</definedName>
    <definedName name="BEx7HZR1RELBZD3XUFIWSY4NYWKQ" hidden="1">#REF!</definedName>
    <definedName name="BEx7I1PAFV88EUJVKQI5DD5S77BL" hidden="1">#REF!</definedName>
    <definedName name="BEx7I2W9Z7DVRA5DAW5AUSLRZKB7" hidden="1">#REF!</definedName>
    <definedName name="BEx7I5AQDOWIL3WX042Y404BSTS7" hidden="1">#REF!</definedName>
    <definedName name="BEx7I5LDWCPYMSDR2DVZATKUPANB" hidden="1">#REF!</definedName>
    <definedName name="BEx7I9CCMPQMY5S9051T4PU60MK3" hidden="1">#REF!</definedName>
    <definedName name="BEx7IBVYN47SFZIA0K4MDKQZNN9V" hidden="1">#REF!</definedName>
    <definedName name="BEx7ICSC2D1PQYLK03BTAMFICX5W" hidden="1">#REF!</definedName>
    <definedName name="BEx7IDU731KIMMMUB2KOJYXINEUF" hidden="1">Table '[4]2'!$B$6:$E$7</definedName>
    <definedName name="BEx7IJTYZHWYWQ1TQVKRC67VVT77" hidden="1">#REF!</definedName>
    <definedName name="BEx7IRRTCJLPDGAPWPRA7A2BK9HY" hidden="1">#REF!</definedName>
    <definedName name="BEx7IV2IJ5WT7UC0UG7WP0WF2JZI" hidden="1">#REF!</definedName>
    <definedName name="BEx7IWV99LM4FB1AXIXRNLT7DZJM" hidden="1">#REF!</definedName>
    <definedName name="BEx7IX0Q6XCMEC6A1JZOB400UWNL" hidden="1">#REF!</definedName>
    <definedName name="BEx7IXGU74GE5E4S6W4Z13AR092Y" hidden="1">#REF!</definedName>
    <definedName name="BEx7IXMAU7H1MPIODIC3Y7N0TYOY" hidden="1">#REF!</definedName>
    <definedName name="BEx7J17M8Z44W5O0RC2L39YFU5X2" hidden="1">#REF!</definedName>
    <definedName name="BEx7J4YL8Q3BI1MLH16YYQ18IJRD" hidden="1">#REF!</definedName>
    <definedName name="BEx7J59E09EJLLBRNW8L1BNF42FS" hidden="1">#REF!</definedName>
    <definedName name="BEx7J6RCHIE78TBG5MUR730S3G20" hidden="1">#REF!</definedName>
    <definedName name="BEx7J7CWFTTY1K3J334FI8XP1LHP" hidden="1">#REF!</definedName>
    <definedName name="BEx7J8EQL5808GZZY00TCF3WWC1G" hidden="1">#REF!</definedName>
    <definedName name="BEx7J9B4EOP8JPRQCUQJTYF4X0D6" hidden="1">#REF!</definedName>
    <definedName name="BEx7J9R7V1HI83WO13JQFIGC7HGW" hidden="1">#REF!</definedName>
    <definedName name="BEx7JB94XIAJZOTDN0GA6VJKDS8B" hidden="1">#REF!</definedName>
    <definedName name="BEx7JC01WXAH2TEYPWMGDKQCPPEF" hidden="1">[3]Table!#REF!</definedName>
    <definedName name="BEx7JDSXEIZ3IR5E3LUJU55GCJ8F" hidden="1">#REF!</definedName>
    <definedName name="BEx7JEUNEV8XU1C7CRTFEFLOXQJ7" hidden="1">#REF!</definedName>
    <definedName name="BEx7JH3HGBPI07OHZ5LFYK0UFZQR" hidden="1">#REF!</definedName>
    <definedName name="BEx7JJ6ZUTQ8KVPAO1OX71Z4MTT5" hidden="1">#REF!</definedName>
    <definedName name="BEx7JK3D7XRECKECV7OJBI9UIYAA" hidden="1">#REF!</definedName>
    <definedName name="BEx7JKUFP6UNNLA8WWMT5NQSMJIZ" hidden="1">#REF!</definedName>
    <definedName name="BEx7JMN5PLGLNBODQSTG3VB4JBEA" hidden="1">#REF!</definedName>
    <definedName name="BEx7JOFX1DBQWDIQ2RHNTK3KUWMQ" hidden="1">#REF!</definedName>
    <definedName name="BEx7JP6S4ALR7Q0TOZRKWEDK34DD" hidden="1">#REF!</definedName>
    <definedName name="BEx7JV194190CNM6WWGQ3UBJ3CHH" hidden="1">#REF!</definedName>
    <definedName name="BEx7JYXJKZAIVSY2TTP06NTA7ASX" hidden="1">#REF!</definedName>
    <definedName name="BEx7K0VL25LF11UTEBHWBIQ4JLM9" hidden="1">#REF!</definedName>
    <definedName name="BEx7K16DLDCG8YL5WNLV28O5SROT" hidden="1">#REF!</definedName>
    <definedName name="BEx7K22QEFBJ5PZVXP20KXXGVXRC" hidden="1">#REF!</definedName>
    <definedName name="BEx7K22R8APJG4HW1UTQAXAVSUK4" hidden="1">#REF!</definedName>
    <definedName name="BEx7K2Z3RYP28Q75H4CJ9T4ZOE3R" hidden="1">#REF!</definedName>
    <definedName name="BEx7K7GZ607XQOGB81A1HINBTGOZ" hidden="1">#REF!</definedName>
    <definedName name="BEx7K9VA6HUTR316PNFCHD0RJLXJ" hidden="1">#REF!</definedName>
    <definedName name="BEx7KEYPBDXSNROH8M6CDCBN6B50" hidden="1">#REF!</definedName>
    <definedName name="BEx7KIEW97D51M5KLWLGA8MDDO6M" hidden="1">#REF!</definedName>
    <definedName name="BEx7KSAS8BZT6H8OQCZ5DNSTMO07" hidden="1">[2]Table!#REF!</definedName>
    <definedName name="BEx7KU8ZZ2ZTL81QI6GIH8L40E85" hidden="1">TEST-#REF!</definedName>
    <definedName name="BEx7KWHTBD21COXVI4HNEQH0Z3L8" hidden="1">#REF!</definedName>
    <definedName name="BEx7KXUGRMRSUXCM97Z7VRZQ9JH2" hidden="1">#REF!</definedName>
    <definedName name="BEx7L1QP0ZNTSUNBVJBNJADIB7IU" hidden="1">#REF!</definedName>
    <definedName name="BEx7L21IQVP1N1TTQLRMANSSLSLE" hidden="1">#REF!</definedName>
    <definedName name="BEx7L3DZH58ZUVXJY3QMJYM4KE2N" hidden="1">#REF!</definedName>
    <definedName name="BEx7L5C6U8MP6IZ67BD649WQYJEK" hidden="1">#REF!</definedName>
    <definedName name="BEx7L639Q7R6V00481V7XOKVME91" hidden="1">#REF!</definedName>
    <definedName name="BEx7L8HEYEVTATR0OG5JJO647KNI" hidden="1">#REF!</definedName>
    <definedName name="BEx7L8XOV64OMS15ZFURFEUXLMWF" hidden="1">#REF!</definedName>
    <definedName name="BEx7L92YV0UQZP7I2KX5MIH3VQSI" hidden="1">#REF!</definedName>
    <definedName name="BEx7LAQF98BJA3MXXDTM10V8XIN9" hidden="1">#REF!</definedName>
    <definedName name="BEx7LAVQ7FQZCR2Q56IM509LULE2" hidden="1">#REF!</definedName>
    <definedName name="BEx7LH6BNLBEICBOVEL4AQ51GX57" hidden="1">#REF!</definedName>
    <definedName name="BEx7LHMKL563OARDRCKR6BC2DUZX" hidden="1">#REF!</definedName>
    <definedName name="BEx7LJQ40CCFKO7UHA2YSLPK04S8" hidden="1">#REF!</definedName>
    <definedName name="BEx7LMPYVY6PV4CZ1RILBBFJ8FRA" hidden="1">#REF!</definedName>
    <definedName name="BEx7LN0SZA5YN0065CNRU3R77W0Y" hidden="1">#REF!</definedName>
    <definedName name="BEx7LNGVUAS6ZBDNCR2E9P1I1Q17" hidden="1">#REF!</definedName>
    <definedName name="BEx7LTBC7UKU2SXF6A854D8AF4WL" hidden="1">#REF!</definedName>
    <definedName name="BEx7M1ENS91RVAXTMBTODAGZF9H4" hidden="1">#REF!</definedName>
    <definedName name="BEx7M2GCXNJ8I7I8PUXKCAWTVSVB" hidden="1">#REF!</definedName>
    <definedName name="BEx7M3T04BLE92Q66ZVEQV0SCKS9" hidden="1">#REF!</definedName>
    <definedName name="BEx7M7UKFKMSOLOAKL00ZCCOKOEY" hidden="1">Table '[4]2'!$B$5:$G$9</definedName>
    <definedName name="BEx7MAUI1JJFDIJGDW4RWY5384LY" hidden="1">#REF!</definedName>
    <definedName name="BEx7MFCAX470ZXXGSPPHQLBA9MNS" hidden="1">#REF!</definedName>
    <definedName name="BEx7MJZO3UKAMJ53UWOJ5ZD4GGMQ" hidden="1">#REF!</definedName>
    <definedName name="BEx7MMJA0ET833GIHKU8BOUA8RS6" hidden="1">#REF!</definedName>
    <definedName name="BEx7MRMPHGQ3DKK3GLLO8QYLZNXW" hidden="1">#REF!</definedName>
    <definedName name="BEx7MT4MFNXIVQGAT6D971GZW7CA" hidden="1">#REF!</definedName>
    <definedName name="BEx7MYIUO97O8VVHP3Z6WI0PIH5R" hidden="1">#REF!</definedName>
    <definedName name="BEx7NEEO5XXB7092AB2I384WNYZ9" hidden="1">#REF!</definedName>
    <definedName name="BEx7NI062THZAM6I8AJWTFJL91CS" hidden="1">#REF!</definedName>
    <definedName name="BEx7NKEIA71PAGLOEO853VVXGFLV" hidden="1">#REF!</definedName>
    <definedName name="BEx7NMST67CSDRAGD7R5BJS288RR" hidden="1">#REF!</definedName>
    <definedName name="BEx7NZ374KRHNNY3LQ2Y97EG0EC5" hidden="1">#REF!</definedName>
    <definedName name="BEx7O6A56QSC4NHIZRIOCSLK8QKC" hidden="1">#REF!</definedName>
    <definedName name="BEx8YKFQN67RN3CZ1XOC61D7T38R" hidden="1">#REF!</definedName>
    <definedName name="BEx8YRXGTU0WQDVD63TBV0RZ8CKW" hidden="1">#REF!</definedName>
    <definedName name="BEx8YUMMAVTM2NDJH1XU09EE55FN" hidden="1">#REF!</definedName>
    <definedName name="BEx8YY839EOPRXBGBH5CSA9UKPJF" hidden="1">#REF!</definedName>
    <definedName name="BEx8YYTNKYCF98DVCIKSGWK0BI53" hidden="1">#REF!</definedName>
    <definedName name="BEx8Z5PTYUG9QB1YL1U1X00MRZ2J" hidden="1">#REF!</definedName>
    <definedName name="BEx8ZY6UFM571XUE82FQZRNOKP90" hidden="1">#REF!</definedName>
    <definedName name="BEx8ZYHNM36KM3QRWJ1TK7L9ZQZR" hidden="1">#REF!</definedName>
    <definedName name="BEx904S75BPRYMHF0083JF7ES4NG" hidden="1">#REF!</definedName>
    <definedName name="BEx905DSEKZV2ZX4HUGN64S79PJ7" hidden="1">#REF!</definedName>
    <definedName name="BEx909Q57CDWII0VPSQOKPZ8S2LS" hidden="1">#REF!</definedName>
    <definedName name="BEx90AXCO00HPOTWV8L0K2T7FAYZ" hidden="1">#REF!</definedName>
    <definedName name="BEx90BDKQM23OKL00Q6V28JECODU" hidden="1">#REF!</definedName>
    <definedName name="BEx90CVJHW2G83ZSI8F4ZSPTFSPI" hidden="1">#REF!</definedName>
    <definedName name="BEx90HDD4RWF7JZGA8GCGG7D63MG" hidden="1">#REF!</definedName>
    <definedName name="BEx90PWSGU882S6986PH42UCBE8Z" hidden="1">#REF!</definedName>
    <definedName name="BEx90RK8I14ZDN8A253LI9KPAEF9" hidden="1">#REF!</definedName>
    <definedName name="BEx90VGH5H09ON2QXYC9WIIEU98T" hidden="1">#REF!</definedName>
    <definedName name="BEx90Y03HEBB6PBPCXEQIH6LHEHO" hidden="1">#REF!</definedName>
    <definedName name="BEx91100ZBB331GXTUILZUFXJOOW" hidden="1">#REF!</definedName>
    <definedName name="BEx9138ZQVAVL002QMYTNAC4AFDO" hidden="1">#REF!</definedName>
    <definedName name="BEx913P5I82Z1E8TKZCK9G708SX8" hidden="1">#REF!</definedName>
    <definedName name="BEx9175B70QXYAU5A8DJPGZQ46L9" hidden="1">#REF!</definedName>
    <definedName name="BEx919OWHE4VP9HYJT3OT1Q7VSGO" hidden="1">#REF!</definedName>
    <definedName name="BEx919UE0WNUEB4ZXNU06SKQEVDH" hidden="1">#REF!</definedName>
    <definedName name="BEx91AQQRTV87AO27VWHSFZAD4ZR" hidden="1">#REF!</definedName>
    <definedName name="BEx91BHNRO6OOGY18VUBSCUQF060" hidden="1">#REF!</definedName>
    <definedName name="BEx91COSJGJ3IT7HUTJ209DZV1H3" hidden="1">#REF!</definedName>
    <definedName name="BEx91E6QAW2RWFE91SOBS2LF4745" hidden="1">#REF!</definedName>
    <definedName name="BEx91EN07NCBZQGYEZ897MI4DT4I" hidden="1">#REF!</definedName>
    <definedName name="BEx91FJ8FARG0WJOEC8SPRDTX0B0" hidden="1">#REF!</definedName>
    <definedName name="BEx91FJDKBZ4R00PX8MVYMD1O45L" hidden="1">#REF!</definedName>
    <definedName name="BEx91L8FLL5CWLA2CDHKCOMGVDZN" hidden="1">#REF!</definedName>
    <definedName name="BEx91LZBE45Q15CO1A4CL05TA9PA" hidden="1">Tech '[4]2'!$B$7</definedName>
    <definedName name="BEx91MKVZ1TIRN00N587OYX4MSAH" hidden="1">#REF!</definedName>
    <definedName name="BEx91OTVH9ZDBC3QTORU8RZX4EOC" hidden="1">#REF!</definedName>
    <definedName name="BEx91PVKNQWF8L8D264EO1ZN5OYE" hidden="1">#REF!</definedName>
    <definedName name="BEx91Q11821DUDSCHSYIHRQKAZWG" hidden="1">#REF!</definedName>
    <definedName name="BEx91QH5JRZKQP1GPN2SQMR3CKAG" hidden="1">#REF!</definedName>
    <definedName name="BEx91ROALDNHO7FI4X8L61RH4UJE" hidden="1">#REF!</definedName>
    <definedName name="BEx91S4L025D34G4V6XW7F0DQVR4" hidden="1">#REF!</definedName>
    <definedName name="BEx91SF7KKXUA14ZP6U6XNIG2EXZ" hidden="1">#REF!</definedName>
    <definedName name="BEx91TMID71GVYH0U16QM1RV3PX0" hidden="1">#REF!</definedName>
    <definedName name="BEx91VF2D78PAF337E3L2L81K9W2" hidden="1">#REF!</definedName>
    <definedName name="BEx91Y47CBU6YBMI4YLPQ67KUZO1" hidden="1">#REF!</definedName>
    <definedName name="BEx91YKG5M0ZZDVWNGF80SPL8GUP" hidden="1">#REF!</definedName>
    <definedName name="BEx921PNZ46VORG2VRMWREWIC0SE" hidden="1">#REF!</definedName>
    <definedName name="BEx9225X5F08UF45NHCR2U8EUH6C" hidden="1">#REF!</definedName>
    <definedName name="BEx922GP1DHR6YHDW34VL7IPL5KQ" hidden="1">#REF!</definedName>
    <definedName name="BEx923TCJ4YZ2N9MP95NBYG3WAH4" hidden="1">#REF!</definedName>
    <definedName name="BEx9249GTKSXXAK00XBC8IM2VN04" hidden="1">#REF!</definedName>
    <definedName name="BEx927K4YUVI6XHUYYZYDYLVYNVT" hidden="1">#REF!</definedName>
    <definedName name="BEx92DJXEXVC627QL1HYSV2VSHSS" hidden="1">#REF!</definedName>
    <definedName name="BEx92DPEKL5WM5A3CN8674JI0PR3" hidden="1">#REF!</definedName>
    <definedName name="BEx92ER2RMY93TZK0D9L9T3H0GI5" hidden="1">[2]Table!#REF!</definedName>
    <definedName name="BEx92ER352VVGJILT5OSB5HBMNMI" hidden="1">[2]Program!#REF!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KG2X1G9XI531WRCHJVOC3HG" hidden="1">#REF!</definedName>
    <definedName name="BEx92OC7O1H3EVMO30USNDU2TFYK" hidden="1">Tech '[4]2'!$B$7:$F$10</definedName>
    <definedName name="BEx92PUBDIXAU1FW5ZAXECMAU0LN" hidden="1">[2]Table!#REF!</definedName>
    <definedName name="BEx92S34P5YC57A1WIBC40DTYBNZ" hidden="1">#REF!</definedName>
    <definedName name="BEx92S8MHFFIVRQ2YSHZNQGOFUHD" hidden="1">#REF!</definedName>
    <definedName name="BEx92SZIUNKH63XVZXPUS4O79SQR" hidden="1">#REF!</definedName>
    <definedName name="BEx92T4TEKBSGO788DXESX7VMF2S" hidden="1">#REF!</definedName>
    <definedName name="BEx92ZVP0836QM5AA5W4APAHT9WQ" hidden="1">#REF!</definedName>
    <definedName name="BEx930HAI0NHH1SDU5G97CKWEU5E" hidden="1">#REF!</definedName>
    <definedName name="BEx935Q4Z9K7RKVIDMWV3WV1CB78" hidden="1">#REF!</definedName>
    <definedName name="BEx935VHGQGAJAXJKSPCC6GC2KIE" hidden="1">#REF!</definedName>
    <definedName name="BEx93B9OULL2YGC896XXYAAJSTRK" hidden="1">#REF!</definedName>
    <definedName name="BEx93EF2OPUY92WSYH0W2RMHNX2M" hidden="1">#REF!</definedName>
    <definedName name="BEx93FM2KUXF629KUGKDMVKJ14IX" hidden="1">#REF!</definedName>
    <definedName name="BEx93FRKF99NRT3LH99UTIH7AAYF" hidden="1">#REF!</definedName>
    <definedName name="BEx93HK8PCX2NY7PHTXD8YI1KO8U" hidden="1">#REF!</definedName>
    <definedName name="BEx93I5UC25VBVO6RN3MTLLXFS0F" hidden="1">#REF!</definedName>
    <definedName name="BEx93I5UPI2KKH1CHMWAIJNVZ8CS" hidden="1">#REF!</definedName>
    <definedName name="BEx93IGO5KQJFKP47UNVU5UYX4UJ" hidden="1">Tech '[4]2'!$B$7:$D$8</definedName>
    <definedName name="BEx93M7FSHP50OG34A4W8W8DF12U" hidden="1">#REF!</definedName>
    <definedName name="BEx93OLWY2O3PRA74U41VG5RXT4Q" hidden="1">#REF!</definedName>
    <definedName name="BEx93QUQMILRWUZXNQ84LB65FK3V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3V7597G6DKLZ883Q3NHLM2PZ" hidden="1">#REF!</definedName>
    <definedName name="BEx942UCRHMI4B0US31HO95GSC2X" hidden="1">#REF!</definedName>
    <definedName name="BEx94651RPI9ONYAAYIOOCB2QM2W" hidden="1">#REF!</definedName>
    <definedName name="BEx947XRIXT8HXLRSPVAA10IBEL5" hidden="1">#REF!</definedName>
    <definedName name="BEx948ZFFQWVIDNG4AZAUGGGEB5U" hidden="1">#REF!</definedName>
    <definedName name="BEx948ZFGTC2O5ZC36MF0HA00R0J" hidden="1">#REF!</definedName>
    <definedName name="BEx94A6KE5DGJ31CIDA75E96EIQ4" hidden="1">#REF!</definedName>
    <definedName name="BEx94BZBQRYE2Y2Y0G0IDW76VLED" hidden="1">#REF!</definedName>
    <definedName name="BEx94CKXG92OMURH41SNU6IOHK4J" hidden="1">#REF!</definedName>
    <definedName name="BEx94DXJQWXUT59XYO8UQ1FB2OOC" hidden="1">[3]Table!#REF!</definedName>
    <definedName name="BEx94E8CBMGM9YP8Z0W8OWHAAZH1" hidden="1">#REF!</definedName>
    <definedName name="BEx94ETWLW091095II5W539S4H6T" hidden="1">#REF!</definedName>
    <definedName name="BEx94F4QRKGQS379C5Q5B91WZ0C4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4N81BWR3MF5JL7P6TM1JGK40" hidden="1">#REF!</definedName>
    <definedName name="BEx94NISGK1I0YOTYVG0XEI157W0" hidden="1">#REF!</definedName>
    <definedName name="BEx94QTI11MQ3FQXUKBFAGMF5KXH" hidden="1">#REF!</definedName>
    <definedName name="BEx94S5ZIU2P6YPIRLS3ZFTTHK0Z" hidden="1">#REF!</definedName>
    <definedName name="BEx94VM00OCYEHBFNBBWPH4I3XYL" hidden="1">#REF!</definedName>
    <definedName name="BEx94WICJHOAM9RU7M8R7759W8MF" hidden="1">#REF!</definedName>
    <definedName name="BEx94XUZEF8SQMD5UAFF5SPRJO99" hidden="1">#REF!</definedName>
    <definedName name="BEx94YGJPYWITSUL7RTVZRWPMYB9" hidden="1">#REF!</definedName>
    <definedName name="BEx9533Q7Z8HE1SBWEO0QTQ7GC6H" hidden="1">#REF!</definedName>
    <definedName name="BEx955NIAWX5OLAHMTV6QFUZPR30" hidden="1">#REF!</definedName>
    <definedName name="BEx9563M7P5SDV7T4F3UBRY6CNNT" hidden="1">#REF!</definedName>
    <definedName name="BEx9581TYVI2M5TT4ISDAJV4W7Z6" hidden="1">#REF!</definedName>
    <definedName name="BEx95CUFZ7PFDGU80XHTKR5GBB1E" hidden="1">#REF!</definedName>
    <definedName name="BEx95DW69SOVZ66TX8CC8D59EI3J" hidden="1">#REF!</definedName>
    <definedName name="BEx95ESIMUKEZ339DXFKJ6YER3FH" hidden="1">#REF!</definedName>
    <definedName name="BEx95GFZ3TX65XBWEQ8301DWKCN1" hidden="1">#REF!</definedName>
    <definedName name="BEx95K6PGVD9OBLANPSHW1F955MP" hidden="1">#REF!</definedName>
    <definedName name="BEx95LZGZOPU5YIJAIS99Z4JMJT2" hidden="1">#REF!</definedName>
    <definedName name="BEx95ML2CZZ6YUHRDEASJJ2C355Z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QHC2F4LKXMC53HKHKKFLFJO" hidden="1">#REF!</definedName>
    <definedName name="BEx95SKT0062OUTQEVGCD0ODXZV3" hidden="1">#REF!</definedName>
    <definedName name="BEx95T134FZ0VNAQNWGI1ZU5O5W5" hidden="1">#REF!</definedName>
    <definedName name="BEx95TBVUWV7L7OMFMZDQEXGVHU6" hidden="1">#REF!</definedName>
    <definedName name="BEx95U89DZZSVO39TGS62CX8G9N4" hidden="1">#REF!</definedName>
    <definedName name="BEx95VQ6ZGFWQ24ULW0GBOYME8FZ" hidden="1">#REF!</definedName>
    <definedName name="BEx95ZBP8PIJ5LK15MAEQ1PJZS7A" hidden="1">#REF!</definedName>
    <definedName name="BEx9602K2GHNBUEUVT9ONRQU1GMD" hidden="1">#REF!</definedName>
    <definedName name="BEx961KHZV4ZQGLO24T10OCS1OWH" hidden="1">#REF!</definedName>
    <definedName name="BEx962BL3Y4LA53EBYI64ZYMZE8U" hidden="1">#REF!</definedName>
    <definedName name="BEx962RO55IFNF4RDJB61L4V7K1Z" hidden="1">Table '[4]2'!$B$6</definedName>
    <definedName name="BEx966D5VMN8XUTBZYUWT42ZWLPJ" hidden="1">#REF!</definedName>
    <definedName name="BEx966D6I8TPWXXH99O9AIZWRUUR" hidden="1">#REF!</definedName>
    <definedName name="BEx9685WQZ0E2STQMXTUPBBD16LT" hidden="1">#REF!</definedName>
    <definedName name="BEx96A43Z5QIL24Y6HOG2Y6AMTIZ" hidden="1">#REF!</definedName>
    <definedName name="BEx96EWM5ELYQMXPAY58MWZ3SD2V" hidden="1">#REF!</definedName>
    <definedName name="BEx96FYG3W5WR6RSGUYMVOV3PAKR" hidden="1">#REF!</definedName>
    <definedName name="BEx96KR21O7H9R29TN0S45Y3QPUK" hidden="1">#REF!</definedName>
    <definedName name="BEx96MULW0R7PVN7YHDS89G9SU71" hidden="1">#REF!</definedName>
    <definedName name="BEx96SUFKHHFE8XQ6UUO6ILDOXHO" hidden="1">#REF!</definedName>
    <definedName name="BEx96UN4YWXBDEZ1U1ZUIPP41Z7I" hidden="1">#REF!</definedName>
    <definedName name="BEx96Y8LRGP182MUBA5LL1HMGT07" hidden="1">#REF!</definedName>
    <definedName name="BEx96ZA9WDONUMMF72FG3ZI99NJE" hidden="1">#REF!</definedName>
    <definedName name="BEx9706NFOGJWDFFOFDUAFC8NNTP" hidden="1">#REF!</definedName>
    <definedName name="BEx970MYCPJ6DQ44TKLOIGZO5LHH" hidden="1">#REF!</definedName>
    <definedName name="BEx974OHZ7JKYJC6SIU8DOXPVG41" hidden="1">#REF!</definedName>
    <definedName name="BEx978KSD61YJH3S9DGO050R2EHA" hidden="1">#REF!</definedName>
    <definedName name="BEx97B9VPMAIOPL706PHKMRKKPWQ" hidden="1">#REF!</definedName>
    <definedName name="BEx97CH29EZN3ONHUDQ3D6BYB5XT" hidden="1">#REF!</definedName>
    <definedName name="BEx97H47989YDR5EW5FA8T2UCP41" hidden="1">#REF!</definedName>
    <definedName name="BEx97H9O1NAKAPK4MX4PKO34ICL5" hidden="1">#REF!</definedName>
    <definedName name="BEx97HVA5F2I0D6ID81KCUDEQOIH" hidden="1">#REF!</definedName>
    <definedName name="BEx97J2FAFN104YDF4S0BDUXSQXO" hidden="1">#REF!</definedName>
    <definedName name="BEx97JIH1RJG6MI9T4Q90ONVFU0P" hidden="1">#REF!</definedName>
    <definedName name="BEx97MNUZQ1Z0AO2FL7XQYVNCPR7" hidden="1">#REF!</definedName>
    <definedName name="BEx97N9HF0KR7GAB10KEDT6F3QKL" hidden="1">#REF!</definedName>
    <definedName name="BEx97NPQBACJVD9K1YXI08RTW9E2" hidden="1">#REF!</definedName>
    <definedName name="BEx97PT88I5PH2PNTOSDAUDB0J7V" hidden="1">#REF!</definedName>
    <definedName name="BEx97RWQLXS0OORDCN69IGA58CWU" hidden="1">#REF!</definedName>
    <definedName name="BEx97TPD4EUUIA2N8NAUZLS6PLQ2" hidden="1">#REF!</definedName>
    <definedName name="BEx97WUQ8XCK4OAU8ZMBXLL2OWK1" hidden="1">#REF!</definedName>
    <definedName name="BEx97YNGGDFIXHTMGFL2IHAQX9MI" hidden="1">#REF!</definedName>
    <definedName name="BEx981731H0J04RPAXYVGI5XZ06U" hidden="1">#REF!</definedName>
    <definedName name="BEx981HW73BUZWT14TBTZHC0ZTJ4" hidden="1">#REF!</definedName>
    <definedName name="BEx985OX03B9PQ41M2BGV78DERR0" hidden="1">#REF!</definedName>
    <definedName name="BEx985ZPI0ZRNCE6DV4ZA90NYDPY" hidden="1">#REF!</definedName>
    <definedName name="BEx9871KU0N99P0900EAK69VFYT2" hidden="1">#REF!</definedName>
    <definedName name="BEx989AF0T5OU65AEBS6AL9JIXEE" hidden="1">#REF!</definedName>
    <definedName name="BEx98CACFIWQUL6F27IX5G7OTQRC" hidden="1">#REF!</definedName>
    <definedName name="BEx98E31Y0ALF2AIFRS8IKC3KM7P" hidden="1">#REF!</definedName>
    <definedName name="BEx98IA4D1MF78YAH2L9RYFS433W" hidden="1">#REF!</definedName>
    <definedName name="BEx98IFKNJFGZFLID1YTRFEG1SXY" hidden="1">#REF!</definedName>
    <definedName name="BEx98JHA70X5ROMTYZ2MXVD5LJSV" hidden="1">#REF!</definedName>
    <definedName name="BEx98K2UEIM43MLFR15KBZHZ794A" hidden="1">#REF!</definedName>
    <definedName name="BEx98OKNRDFYOZOPR67BM9Q5303V" hidden="1">#REF!</definedName>
    <definedName name="BEx98RKL6AVR9FLJ3I3AMXGPAHMU" hidden="1">#REF!</definedName>
    <definedName name="BEx98TYX382S9E49HRR1EHK5OK1Q" hidden="1">#REF!</definedName>
    <definedName name="BEx9915UVD4G7RA3IMLFZ0LG3UA2" hidden="1">#REF!</definedName>
    <definedName name="BEx9927PAX7W1DXAWASJERO5LHIL" hidden="1">#REF!</definedName>
    <definedName name="BEx992CZON8AO7U7V88VN1JBO0MG" hidden="1">#REF!</definedName>
    <definedName name="BEx9952469XMFGSPXL7CMXHPJF90" hidden="1">#REF!</definedName>
    <definedName name="BEx997AZUMER12R3PMHJKJ5569TX" hidden="1">#REF!</definedName>
    <definedName name="BEx99995OO0X4HC0IQDAISYRWAJG" hidden="1">#REF!</definedName>
    <definedName name="BEx99B77I7TUSHRR4HIZ9FU2EIUT" hidden="1">#REF!</definedName>
    <definedName name="BEx99CPC8M6GTUFC261H6MAETDQE" hidden="1">#REF!</definedName>
    <definedName name="BEx99PL4XA5TNM29D5A4F9VPWGJF" hidden="1">#REF!</definedName>
    <definedName name="BEx99Q6PH5F3OQKCCAAO75PYDEFN" hidden="1">#REF!</definedName>
    <definedName name="BEx99R32XOCCDNRNCWS03A0TD6RF" hidden="1">#REF!</definedName>
    <definedName name="BEx99RU43K7E4G3OWY7Q26OAPXJR" hidden="1">#REF!</definedName>
    <definedName name="BEx99UOL3XVB6DKMM7LVCK8UVYZY" hidden="1">#REF!</definedName>
    <definedName name="BEx99W6HVIYEKWQVRO38NPGZ914F" hidden="1">#REF!</definedName>
    <definedName name="BEx99WBYT2D6UUC1PT7A40ENYID4" hidden="1">#REF!</definedName>
    <definedName name="BEx99YFJ8JDPEEEQRABGIA0M020Y" hidden="1">#REF!</definedName>
    <definedName name="BEx99Z142FMIUYK60AAS324VL625" hidden="1">#REF!</definedName>
    <definedName name="BEx99Z6EALXBZW0EEG0NX73LJXC4" hidden="1">#REF!</definedName>
    <definedName name="BEx99ZRZ4I7FHDPGRAT5VW7NVBPU" hidden="1">#REF!</definedName>
    <definedName name="BEx9A19WRVSSCVMY3F5DR2HNDQ3N" hidden="1">#REF!</definedName>
    <definedName name="BEx9A2RVX8SR6ASZ2BX53S9KBGH2" hidden="1">#REF!</definedName>
    <definedName name="BEx9A4VF31ZU76HI34LO23O5RSYV" hidden="1">#REF!</definedName>
    <definedName name="BEx9A9D9IQTWSKRXMLUUHE9V3O9R" hidden="1">#REF!</definedName>
    <definedName name="BEx9ACYP2WXAB8W17T9U7TBW8SZ9" hidden="1">#REF!</definedName>
    <definedName name="BEx9ADPRQZSMQBC5ZVK9Y67PRZBV" hidden="1">#REF!</definedName>
    <definedName name="BEx9AJUUZISJNV9Y0V3UJ70OXBFW" hidden="1">#REF!</definedName>
    <definedName name="BEx9AKWPNM58M88D1ZL7PKKW6ES3" hidden="1">#REF!</definedName>
    <definedName name="BEx9AL2150W43YPVKQWIFNWWXZ6C" hidden="1">#REF!</definedName>
    <definedName name="BEx9ALCT9AYMI2SOTQ2RPIO7W3HQ" hidden="1">#REF!</definedName>
    <definedName name="BEx9ALNLQDWDCM4SVSA1BC9BGLLN" hidden="1">#REF!</definedName>
    <definedName name="BEx9AMENVWITK9VGD7ONM9PH1Q9Z" hidden="1">#REF!</definedName>
    <definedName name="BEx9AO1X3GQ6G9HKNSJFOCW1FMDE" hidden="1">#REF!</definedName>
    <definedName name="BEx9ARHYQP5CV68EVORPPLHQPK7W" hidden="1">#REF!</definedName>
    <definedName name="BEx9ARY7F2Q2JQT63RW0CEZQ1WDB" hidden="1">#REF!</definedName>
    <definedName name="BEx9AT5E3ZSHKSOL35O38L8HF9TH" hidden="1">#REF!</definedName>
    <definedName name="BEx9AV8W1FAWF5BHATYEN47X12JN" hidden="1">#REF!</definedName>
    <definedName name="BEx9AVUGDTPHUJ03VES80KQY9FDW" hidden="1">#REF!</definedName>
    <definedName name="BEx9AW58YBJTZZIRO3R2D9MYM2JK" hidden="1">#REF!</definedName>
    <definedName name="BEx9AWLDPTVNKHOT99L4EFJVJIPJ" hidden="1">Table '[4]2'!$B$6:$E$7</definedName>
    <definedName name="BEx9AXSIZJFJ7ASS538QUCMJKNTU" hidden="1">#REF!</definedName>
    <definedName name="BEx9AYZU8SNUI86DJ2ELINM4SQD1" hidden="1">#REF!</definedName>
    <definedName name="BEx9B5L2DBBCV40R7VWMRDNK8LRI" hidden="1">#REF!</definedName>
    <definedName name="BEx9B66LPFWLKLBGIHMJWRRXD0GV" hidden="1">#REF!</definedName>
    <definedName name="BEx9B7DSYMNYKLXKU3G0CP9I641V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AOGUISRQKRB42IUZNSUS3RS" hidden="1">#REF!</definedName>
    <definedName name="BEx9BBVMLXWKWBJVAEJRO3K8Z2MW" hidden="1">[6]Program!#REF!</definedName>
    <definedName name="BEx9BCBV86NAOTMCAYGOG2K426CC" hidden="1">#REF!</definedName>
    <definedName name="BEx9BMO2BLJEHSF83ZC1RIAT7P82" hidden="1">#REF!</definedName>
    <definedName name="BEx9BP2CWQ3PARHCLICYJKFMDF5X" hidden="1">#REF!</definedName>
    <definedName name="BEx9BQKBNSFJHKHIVNS38SC3KM8F" hidden="1">#REF!</definedName>
    <definedName name="BEx9BYSYW7QCPXS2NAVLFAU5Y2Z2" hidden="1">#REF!</definedName>
    <definedName name="BEx9C17AHM4NMY8G3WK6YQ0T0WDU" hidden="1">#REF!</definedName>
    <definedName name="BEx9C590HJ2O31IWJB73C1HR74AI" hidden="1">#REF!</definedName>
    <definedName name="BEx9CBJMFE7TS1EAXSY6TT661URN" hidden="1">#REF!</definedName>
    <definedName name="BEx9CCQRMYYOGIOYTOM73VKDIPS1" hidden="1">#REF!</definedName>
    <definedName name="BEx9CIFS0P0B1PKRPJTCKIOI4GX9" hidden="1">#REF!</definedName>
    <definedName name="BEx9CJHG02ADUIJ0WCG5FYLWETIN" hidden="1">#REF!</definedName>
    <definedName name="BEx9CMMSQA4LXHX5RGGTAJ9WVHTY" hidden="1">#REF!</definedName>
    <definedName name="BEx9CTDIG0SJBZ3UYI8XR2QZBVNQ" hidden="1">#REF!</definedName>
    <definedName name="BEx9CTDJ6OYUCCHJVREB4QE71EVB" hidden="1">#REF!</definedName>
    <definedName name="BEx9CV0S7FDHXWC9BPRJTUFMRAOW" hidden="1">#REF!</definedName>
    <definedName name="BEx9D1BC9FT19KY0INAABNDBAMR1" hidden="1">#REF!</definedName>
    <definedName name="BEx9D27V1M47QW1YPSYXOKBWDGFF" hidden="1">#REF!</definedName>
    <definedName name="BEx9D8D01IGTKL3JWZOD9MF9MMGZ" hidden="1">#REF!</definedName>
    <definedName name="BEx9D9UWVG1E5MDSE0XK1PWAR90U" hidden="1">#REF!</definedName>
    <definedName name="BEx9DAB82AH4WJXAH5F1GDVNGO34" hidden="1">Tech '[7]1'!$B$7:$L$63</definedName>
    <definedName name="BEx9DAGINHBIBHTS7M18YEYQ23HF" hidden="1">#REF!</definedName>
    <definedName name="BEx9DC3S1VAUITDDUP7G0R7EMIFR" hidden="1">#REF!</definedName>
    <definedName name="BEx9DCEPEDU5SYWIHJRTGR8G4E22" hidden="1">[2]Program!#REF!</definedName>
    <definedName name="BEx9DCK2ONNW8FQ6Z1OKDBZ0X7KQ" hidden="1">#REF!</definedName>
    <definedName name="BEx9DGLRBAA81DUUOT35XR05XLKG" hidden="1">#REF!</definedName>
    <definedName name="BEx9DIZXF9X0GE90ROFYKV6K3PM9" hidden="1">#REF!</definedName>
    <definedName name="BEx9DN6ZMF18Q39MPMXSDJTZQNJ3" hidden="1">#REF!</definedName>
    <definedName name="BEx9DQ6X9O1WML4FI6V3HB1OTYL6" hidden="1">#REF!</definedName>
    <definedName name="BEx9DQ6XAIRAND8EMASYWG8VK75N" hidden="1">#REF!</definedName>
    <definedName name="BEx9DV50AJ7V2GEFL6MVUPW9AXBJ" hidden="1">#REF!</definedName>
    <definedName name="BEx9DV50E5S22E5F5C6QJCFEXU3G" hidden="1">#REF!</definedName>
    <definedName name="BEx9DVFSCGS8QGJ1WFFZD871A0WN" hidden="1">#REF!</definedName>
    <definedName name="BEx9DWMYGWFZZUJJNLY194ZXBP2Z" hidden="1">#REF!</definedName>
    <definedName name="BEx9DYVSFL1GEM1AHJKQCQBJR834" hidden="1">#REF!</definedName>
    <definedName name="BEx9E08EK253W8SNA7NOGR32IG6U" hidden="1">#REF!</definedName>
    <definedName name="BEx9E08ERYCPK77Z04E0KDAJ5DXQ" hidden="1">#REF!</definedName>
    <definedName name="BEx9E14TDNSEMI784W0OTIEQMWN6" hidden="1">[2]Table!#REF!</definedName>
    <definedName name="BEx9E1VOTLM3RX1S8A4FCBLDQ8YJ" hidden="1">#REF!</definedName>
    <definedName name="BEx9E2BZ2B1R41FMGJCJ7JLGLUAJ" hidden="1">#REF!</definedName>
    <definedName name="BEx9E2S1LDHWNY3YCSQ6AY2CX2VH" hidden="1">#REF!</definedName>
    <definedName name="BEx9E4VK3AF38554G3731N6W4P6Q" hidden="1">#REF!</definedName>
    <definedName name="BEx9E62R9X1AB9NC60Z3G8LNOP63" hidden="1">#REF!</definedName>
    <definedName name="BEx9E7Q5UEP1JI5B6LWM8X70U50J" hidden="1">#REF!</definedName>
    <definedName name="BEx9EBRPQXPK1ZQ50KZ3O4BD7RLV" hidden="1">Table '[4]2'!$B$6:$F$9</definedName>
    <definedName name="BEx9EDPXOXVICZR6IYY8TVYDB1E5" hidden="1">#REF!</definedName>
    <definedName name="BEx9EEGVFGD9P2J88ICA4KVPXY9N" hidden="1">#REF!</definedName>
    <definedName name="BEx9EG9KBJ77M8LEOR9ITOKN5KXY" hidden="1">#REF!</definedName>
    <definedName name="BEx9EHGQHOBSWB60JAPUOVE46FK0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78N4HY0XFGBQ4UJRD52L1EI" hidden="1">[2]Table!#REF!</definedName>
    <definedName name="BEx9FBA7ZT1EKMTFABR3327QSHZZ" hidden="1">#REF!</definedName>
    <definedName name="BEx9FDZCE8IAXABSUOF8X8WB5DSF" hidden="1">#REF!</definedName>
    <definedName name="BEx9FEVPVTUTCYEZ6I71M1OSYCJN" hidden="1">#REF!</definedName>
    <definedName name="BEx9FF16LOQP5QIR4UHW5EIFGQB8" hidden="1">#REF!</definedName>
    <definedName name="BEx9FFH9RSSXIBZ0G9N8W3CX8YCO" hidden="1">#REF!</definedName>
    <definedName name="BEx9FHA0LNFMVPOUKBLYAFDHON4T" hidden="1">#REF!</definedName>
    <definedName name="BEx9FJTSRCZ3ZXT3QVBJT5NF8T7V" hidden="1">[2]Table!#REF!</definedName>
    <definedName name="BEx9FL6AG6WN71OM13HCMK4TN3W4" hidden="1">#REF!</definedName>
    <definedName name="BEx9FLRVEKHKYUC14ZMVEXYYH8R8" hidden="1">#REF!</definedName>
    <definedName name="BEx9FRBEEYPS5HLS3XT34AKZN94G" hidden="1">#REF!</definedName>
    <definedName name="BEx9G0GKAFYP5G0ZZ445KLSZYR3E" hidden="1">[2]Program!#REF!</definedName>
    <definedName name="BEx9G17GB2V3PQ50QQFW2NROEZT9" hidden="1">#REF!</definedName>
    <definedName name="BEx9G23Z0WO94637U5HYMYS3ONP8" hidden="1">[3]Table!#REF!</definedName>
    <definedName name="BEx9G4I5R35PUNP8T2IBH157S7NT" hidden="1">#REF!</definedName>
    <definedName name="BEx9G4NM3I45TVLEVLC7Z4QDEA6X" hidden="1">#REF!</definedName>
    <definedName name="BEx9G892CF6SM99J007LDYZPPYNL" hidden="1">#REF!</definedName>
    <definedName name="BEx9GDY4D8ZPQJCYFIMYM0V0C51Y" hidden="1">#REF!</definedName>
    <definedName name="BEx9GFLIYT0HFWVDL3493BN6PD0R" hidden="1">#REF!</definedName>
    <definedName name="BEx9GGY04V0ZWI6O9KZH4KSBB389" hidden="1">#REF!</definedName>
    <definedName name="BEx9GJCC7BWX156MTPY59VC5JN0O" hidden="1">#REF!</definedName>
    <definedName name="BEx9GNOPB6OZ2RH3FCDNJR38RJOS" hidden="1">#REF!</definedName>
    <definedName name="BEx9GNU701BD7YSS9TFG6GMA2Z8A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1X8WK6ELKYA5QLERXFHTCCH" hidden="1">#REF!</definedName>
    <definedName name="BEx9H4M6PW7GWRAOMQ5SNTH8AK20" hidden="1">#REF!</definedName>
    <definedName name="BEx9H5O1KDZJCW91Q29VRPY5YS6P" hidden="1">#REF!</definedName>
    <definedName name="BEx9H6KFIES0JF2QEQVGC2IIL3RO" hidden="1">#REF!</definedName>
    <definedName name="BEx9H8YR0E906F1JXZMBX3LNT004" hidden="1">#REF!</definedName>
    <definedName name="BEx9H9F14MDE6UWFFREP2X34JO43" hidden="1">#REF!</definedName>
    <definedName name="BEx9H9V5D52IFWEZD3I221Z2VYVD" hidden="1">#REF!</definedName>
    <definedName name="BEx9HB29IY8Y5KRPQXD85O847VP2" hidden="1">#REF!</definedName>
    <definedName name="BEx9HFETT8MI7IYSF9RKC3KJZ6U8" hidden="1">#REF!</definedName>
    <definedName name="BEx9HG5Q7QU2O211Y92SI6XQX758" hidden="1">#REF!</definedName>
    <definedName name="BEx9HK1YW1ELIYV7U1WKEPOENJG7" hidden="1">#REF!</definedName>
    <definedName name="BEx9HK7F7TC7T84EJJ7UAMX0L1V4" hidden="1">#REF!</definedName>
    <definedName name="BEx9HKSUHBBNP1D70IM97LN6D8Z9" hidden="1">#REF!</definedName>
    <definedName name="BEx9HOZY1YIDAHM7B24XNZIT1TEJ" hidden="1">#REF!</definedName>
    <definedName name="BEx9HP5DMF6SFVRL7A1BF5UDON6S" hidden="1">#REF!</definedName>
    <definedName name="BEx9HQHV4N00R3PBTH3QTYPDU3WQ" hidden="1">#REF!</definedName>
    <definedName name="BEx9HV580X0DSDXHY4WIC1B0CHO5" hidden="1">#REF!</definedName>
    <definedName name="BEx9HX8PC5NP9W0SHXUTPEASCG51" hidden="1">#REF!</definedName>
    <definedName name="BEx9I38H39Y3S0JN5AJD23DK1ZAU" hidden="1">#REF!</definedName>
    <definedName name="BEx9I3JANM8VFOUB2KQ31GWP25DJ" hidden="1">#REF!</definedName>
    <definedName name="BEx9I8XIG7E5NB48QQHXP23FIN60" hidden="1">#REF!</definedName>
    <definedName name="BEx9IFO716XN8EN89U5T09BI74EU" hidden="1">#REF!</definedName>
    <definedName name="BEx9IK61GGFCD0HW70D2D892A5K9" hidden="1">#REF!</definedName>
    <definedName name="BEx9IKMAUV3913YS2V7Q5F9AGIMS" hidden="1">#REF!</definedName>
    <definedName name="BEx9IL7UTTKGB2ZHELLIEZIK8PPK" hidden="1">#REF!</definedName>
    <definedName name="BEx9INM7HMKGQUM6WUXP8XC2L276" hidden="1">#REF!</definedName>
    <definedName name="BEx9IQREH1OP3KZ58MGLBMIBBU8I" hidden="1">#REF!</definedName>
    <definedName name="BEx9IQRF01ATLVK0YE60ARKQJ68L" hidden="1">#REF!</definedName>
    <definedName name="BEx9IT5QNZWKM6YQ5WER0DC2PMMU" hidden="1">#REF!</definedName>
    <definedName name="BEx9IUCVW00MZOBTWVKJUGCJQI1X" hidden="1">#REF!</definedName>
    <definedName name="BEx9IW5MFLXTVCJHVUZTUH93AXOS" hidden="1">#REF!</definedName>
    <definedName name="BEx9IX1ZRFUE85ATW4NGTSACFIOO" hidden="1">#REF!</definedName>
    <definedName name="BEx9IXCSPSZC80YZUPRCYTG326KV" hidden="1">#REF!</definedName>
    <definedName name="BEx9IZR39NHDGOM97H4E6F81RTQW" hidden="1">#REF!</definedName>
    <definedName name="BEx9J191RJJ3GL2DSA3OJGLOC89N" hidden="1">#REF!</definedName>
    <definedName name="BEx9J1EJIB9UVZKMZ7QHB9U6VVOO" hidden="1">#REF!</definedName>
    <definedName name="BEx9J2G85D63G0024V5BG8ARZ9ZL" hidden="1">#REF!</definedName>
    <definedName name="BEx9J6CH5E7YZPER7HXEIOIKGPCA" hidden="1">#REF!</definedName>
    <definedName name="BEx9JIC12CSN5MMROAV769VT6SWA" hidden="1">#REF!</definedName>
    <definedName name="BEx9JJTZKVUJAVPTRE0RAVTEH41G" hidden="1">#REF!</definedName>
    <definedName name="BEx9JKQCDASOPYWN98WC0RYYV41R" hidden="1">#REF!</definedName>
    <definedName name="BEx9JLBYK239B3F841C7YG1GT7ST" hidden="1">#REF!</definedName>
    <definedName name="BEx9JLHG0L4PU7R7J72OHXXG236S" hidden="1">Tech '[4]2'!$B$7:$F$10</definedName>
    <definedName name="BEx9JS82V9Q5Y28NR0G2357PVXI1" hidden="1">#REF!</definedName>
    <definedName name="BExAW4IIW5D0MDY6TJ3G4FOLPYIR" hidden="1">#REF!</definedName>
    <definedName name="BExAW77LBIYL0SFR77ZJ1JR482XO" hidden="1">#REF!</definedName>
    <definedName name="BExAWJHZUDQJ6FLINWJW3T8SYPCM" hidden="1">#REF!</definedName>
    <definedName name="BExAWKED559KTVZECVALDX7VJ97R" hidden="1">#REF!</definedName>
    <definedName name="BExAWS6WRGE3KLN19Q6RLYP4V1DF" hidden="1">#REF!</definedName>
    <definedName name="BExAWUW01RT04PKSJVB3YGDPOIDQ" hidden="1">#REF!</definedName>
    <definedName name="BExAWW8GGXY1J4KRIG3DI8GVPN7M" hidden="1">#REF!</definedName>
    <definedName name="BExAWZTWMNTYFMCXR8G5OAIBFCME" hidden="1">#REF!</definedName>
    <definedName name="BExAX16LD8DXSA0TCD0IAIYPCGQ1" hidden="1">#REF!</definedName>
    <definedName name="BExAX2TU15VIP65OGKSZD41PMO4N" hidden="1">#REF!</definedName>
    <definedName name="BExAX410NB4F2XOB84OR2197H8M5" hidden="1">#REF!</definedName>
    <definedName name="BExAX4BRW0CEK3EKZGCRRCDN9FCM" hidden="1">#REF!</definedName>
    <definedName name="BExAX7H54SH7WSI4IUY7RSDO4BQ4" hidden="1">[2]Program!#REF!</definedName>
    <definedName name="BExAX8TNG8LQ5Q4904SAYQIPGBSV" hidden="1">#REF!</definedName>
    <definedName name="BExAXCKKQBPVIHZ4ANS288Q791U3" hidden="1">Tech '[4]2'!$B$7:$F$10</definedName>
    <definedName name="BExAXEDC2IXZ6Z8R5OUFS8OGJR89" hidden="1">#REF!</definedName>
    <definedName name="BExAXGRMQUQ835JDMRMZB4D9TIP4" hidden="1">#REF!</definedName>
    <definedName name="BExAXI9K2PJQH4QLETR7MGS2BNZZ" hidden="1">#REF!</definedName>
    <definedName name="BExAXJBAM94R3E4969J8EHO46DZH" hidden="1">#REF!</definedName>
    <definedName name="BExAXL3ZT02BUZOGSRNS6WGCOV7K" hidden="1">#REF!</definedName>
    <definedName name="BExAXL40LDNIK611AYB1QPTYW9XW" hidden="1">#REF!</definedName>
    <definedName name="BExAXPLUO9LR4MBQJXFTESOPVTNF" hidden="1">#REF!</definedName>
    <definedName name="BExAXU3QFBOUAQ1WWTRDUX3OYB35" hidden="1">#REF!</definedName>
    <definedName name="BExAXU95FIMSC48GBBFY1OL6B9RV" hidden="1">#REF!</definedName>
    <definedName name="BExAXYWBFE2GD1F65X7QL5RL6XLR" hidden="1">#REF!</definedName>
    <definedName name="BExAY0EAT2LXR5MFGM0DLIB45PLO" hidden="1">#REF!</definedName>
    <definedName name="BExAY2CGWAIQ9OH9FAUB86ZPEPZF" hidden="1">#REF!</definedName>
    <definedName name="BExAY3E5H7L9VCHVNLMKEYDXA8XZ" hidden="1">#REF!</definedName>
    <definedName name="BExAY7L88MHFNNI3NAZJ2ZE2Z8L1" hidden="1">Table '[4]2'!$B$6:$F$9</definedName>
    <definedName name="BExAY9DZDS6RN4F7LPICOBGZ4AF5" hidden="1">#REF!</definedName>
    <definedName name="BExAY9ZJT64UBNSHPOGOXOER0FA5" hidden="1">#REF!</definedName>
    <definedName name="BExAYE6LNIEBR9DSNI5JGNITGKIT" hidden="1">#REF!</definedName>
    <definedName name="BExAYGQDQVFMS609YMCQEWG3R79Y" hidden="1">#REF!</definedName>
    <definedName name="BExAYGVP487Q29844QM26Q9ELHYK" hidden="1">#REF!</definedName>
    <definedName name="BExAYHMLXGGO25P8HYB2S75DEB4F" hidden="1">#REF!</definedName>
    <definedName name="BExAYJA1RLW7EX18MWTDWSKFFGN2" hidden="1">#REF!</definedName>
    <definedName name="BExAYJVLXTJE3TLZXH6MFQAV9G15" hidden="1">#REF!</definedName>
    <definedName name="BExAYKXAUWGDOPG952TEJ2UKZKWN" hidden="1">#REF!</definedName>
    <definedName name="BExAYOO9DKXP4BYOJNDXGK1R2ZSV" hidden="1">#REF!</definedName>
    <definedName name="BExAYP9TDTI2MBP6EYE0H39CPMXN" hidden="1">#REF!</definedName>
    <definedName name="BExAYP9TUVZIR7RIZPMWBI6VDR08" hidden="1">#REF!</definedName>
    <definedName name="BExAYPPWJPWDKU59O051WMGB7O0J" hidden="1">#REF!</definedName>
    <definedName name="BExAYR2JZCJBUH6F1LZC2A7JIVRJ" hidden="1">#REF!</definedName>
    <definedName name="BExAYSPUFI4QV5KCASHZAKYDH9SJ" hidden="1">#REF!</definedName>
    <definedName name="BExAYTGVRD3DLKO75RFPMBKCIWB8" hidden="1">#REF!</definedName>
    <definedName name="BExAYVKDXJJ761HTFFUOH6P2CSF7" hidden="1">#REF!</definedName>
    <definedName name="BExAYVKF1NLFBCA5BKK65Q8VN6LK" hidden="1">#REF!</definedName>
    <definedName name="BExAYXD5V2V9ANSTMPYBU2FAKC7T" hidden="1">#REF!</definedName>
    <definedName name="BExAYY9H9COOT46HJLPVDLTO12UL" hidden="1">#REF!</definedName>
    <definedName name="BExAZ0NTQBX54E1CEX0QZO8RHRH7" hidden="1">#REF!</definedName>
    <definedName name="BExAZ20AFYFVO6C3OQN5HGFWPB4P" hidden="1">#REF!</definedName>
    <definedName name="BExAZAZZD982G3TJ7BS2CM5GODY7" hidden="1">#REF!</definedName>
    <definedName name="BExAZCNEGB4JYHC8CZ51KTN890US" hidden="1">#REF!</definedName>
    <definedName name="BExAZDZW1IHW06MBO6SXZ02SY7YL" hidden="1">#REF!</definedName>
    <definedName name="BExAZF1R9VK1091T3EY136MAX031" hidden="1">Table '[4]2'!$B$6:$E$7</definedName>
    <definedName name="BExAZF71I1UVNUW1SPPOWMLBPN3V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MZL2FUZG7NTAOFRMSSR6SIG" hidden="1">#REF!</definedName>
    <definedName name="BExAZNFTTSXASHLBAG5O0MNFU583" hidden="1">#REF!</definedName>
    <definedName name="BExAZNL6BHI8DCQWXOX4I2P839UX" hidden="1">#REF!</definedName>
    <definedName name="BExAZOXSBOYN485TFX9XLGAK2HGB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V8CFU8IMX1OBYOVW6TIM3A5" hidden="1">#REF!</definedName>
    <definedName name="BExAZX6FECVK3E07KXM2XPYKGM6U" hidden="1">#REF!</definedName>
    <definedName name="BExB012NJ8GASTNNPBRRFTLHIOC9" hidden="1">#REF!</definedName>
    <definedName name="BExB01Z2CEQ37AFJSX5NQR1Q5DC8" hidden="1">#REF!</definedName>
    <definedName name="BExB02KMSFP3ZDEG3OE59T6RMMXQ" hidden="1">#REF!</definedName>
    <definedName name="BExB03RSOC4GN6E2FABFASNA81QQ" hidden="1">#REF!</definedName>
    <definedName name="BExB05KJ0OVE303589ZX0BWR6SJ5" hidden="1">#REF!</definedName>
    <definedName name="BExB072HHXVMUC0VYNGG48GRSH5Q" hidden="1">#REF!</definedName>
    <definedName name="BExB08V8YEORO49XTTFMX58XSVS9" hidden="1">#REF!</definedName>
    <definedName name="BExB0BEV3AIRR825MB0UXW2SQHPP" hidden="1">#REF!</definedName>
    <definedName name="BExB0DT69YW0ZECBED4DP28K1AOX" hidden="1">#REF!</definedName>
    <definedName name="BExB0EK7Y7CNKFIMKT0T7H209P9H" hidden="1">#REF!</definedName>
    <definedName name="BExB0FRDEYDEUEAB1W8KD6D965XA" hidden="1">[2]Table!#REF!</definedName>
    <definedName name="BExB0JNM4J2ARFK7O7G0LG8BC8G1" hidden="1">#REF!</definedName>
    <definedName name="BExB0KPCN7YJORQAYUCF4YKIKPMC" hidden="1">#REF!</definedName>
    <definedName name="BExB0NEFBZJZLGRCBV8VLNDGQKZ6" hidden="1">#REF!</definedName>
    <definedName name="BExB0OASZZC08FMDYX9HRSM9OXEF" hidden="1">#REF!</definedName>
    <definedName name="BExB0SHV69PDX9TGC0K3MPIPX9N8" hidden="1">#REF!</definedName>
    <definedName name="BExB0WE4PI3NOBXXVO9CTEN4DIU2" hidden="1">#REF!</definedName>
    <definedName name="BExB0XL9NWKPPI1UTJHETH5KURU0" hidden="1">Tech '[4]2'!$B$7:$I$10</definedName>
    <definedName name="BExB0ZOUBP5MVL46T2QLK8LOB6CT" hidden="1">#REF!</definedName>
    <definedName name="BExB0ZZK3WRBBFFHIU2WSKCQGGBZ" hidden="1">#REF!</definedName>
    <definedName name="BExB10QNIVITUYS55OAEKK3VLJFE" hidden="1">#REF!</definedName>
    <definedName name="BExB12OPX4FIWY3UUQ7N9MXBTXY2" hidden="1">#REF!</definedName>
    <definedName name="BExB12ZHTPYICL0A8RA5MRDZPYAX" hidden="1">#REF!</definedName>
    <definedName name="BExB15ZDRY4CIJ911DONP0KCY9KU" hidden="1">#REF!</definedName>
    <definedName name="BExB16VQY0O0RLZYJFU3OFEONVTE" hidden="1">#REF!</definedName>
    <definedName name="BExB17HCA9I44OTSJ6SSUTODTP0Y" hidden="1">#REF!</definedName>
    <definedName name="BExB17XN1QVZ6VQDJZZ7V7FPZSKF" hidden="1">#REF!</definedName>
    <definedName name="BExB182X9X6V28KWRR38NJ5FHGE5" hidden="1">#REF!</definedName>
    <definedName name="BExB1A6G52C3NAZ4TKTWIMFE80T0" hidden="1">#REF!</definedName>
    <definedName name="BExB1D6DDDMV7AOB9S4XD45OPKJ3" hidden="1">#REF!</definedName>
    <definedName name="BExB1FKN9YUYJ7B8ZJSMRSJ6ONT6" hidden="1">#REF!</definedName>
    <definedName name="BExB1FKNY2UO4W5FUGFHJOA2WFGG" hidden="1">#REF!</definedName>
    <definedName name="BExB1GBK8YH4MUCE2NZC23SVFA4G" hidden="1">#REF!</definedName>
    <definedName name="BExB1GMD0PIDGTFBGQOPRWQSP9I4" hidden="1">#REF!</definedName>
    <definedName name="BExB1HIQKUZGEBQ2MPH0TPTAZKIT" hidden="1">#REF!</definedName>
    <definedName name="BExB1I4BK3AB6GEEFY7ZAOON31BO" hidden="1">#REF!</definedName>
    <definedName name="BExB1JX05PQZG1ERRSZNAPTVYXAA" hidden="1">#REF!</definedName>
    <definedName name="BExB1Q29OO6LNFNT1EQLA3KYE7MX" hidden="1">#REF!</definedName>
    <definedName name="BExB1QD2RILU6PWPL0UNG91V7G2N" hidden="1">#REF!</definedName>
    <definedName name="BExB1RV0P4XXLRO06E72TL65VJ9F" hidden="1">#REF!</definedName>
    <definedName name="BExB1SGM6I42RQRA1YDMC3X055R3" hidden="1">#REF!</definedName>
    <definedName name="BExB1TNRV5EBWZEHYLHI76T0FVA7" hidden="1">#REF!</definedName>
    <definedName name="BExB1UENFKIO27UN311RA6Q7UZX5" hidden="1">#REF!</definedName>
    <definedName name="BExB1WI6M8I0EEP1ANUQZCFY24EV" hidden="1">#REF!</definedName>
    <definedName name="BExB203OWC9QZA3BYOKQ18L4FUJE" hidden="1">#REF!</definedName>
    <definedName name="BExB27LEYIRSIOVSE6AGCJ92DR47" hidden="1">#REF!</definedName>
    <definedName name="BExB29JNHFP168W8O12EDSX6PEPB" hidden="1">#REF!</definedName>
    <definedName name="BExB2AW4FT596KOGCYD561HRC1BT" hidden="1">#REF!</definedName>
    <definedName name="BExB2CJHTU7C591BR4WRL5L2F2K6" hidden="1">#REF!</definedName>
    <definedName name="BExB2DQNFHX0JJTN0WASFVZM02ST" hidden="1">#REF!</definedName>
    <definedName name="BExB2FZJC5Z49XEA3XAIGY0I3L98" hidden="1">#REF!</definedName>
    <definedName name="BExB2K1AV4PGNS1O6C7D7AO411AX" hidden="1">#REF!</definedName>
    <definedName name="BExB2O2UYHKI324YE324E1N7FVIB" hidden="1">#REF!</definedName>
    <definedName name="BExB2O8BW0YXWKWQHRYT95B24ELN" hidden="1">#REF!</definedName>
    <definedName name="BExB2OIY3YL77ZY2OXOGNAURK9MB" hidden="1">#REF!</definedName>
    <definedName name="BExB2OTR6DNB3NDBG0AGIRC2F9ML" hidden="1">[3]Table!#REF!</definedName>
    <definedName name="BExB2Q0VJ0MU2URO3JOVUAVHEI3V" hidden="1">#REF!</definedName>
    <definedName name="BExB2TRTZRY67C8HP2K84Y2PRWYP" hidden="1">#REF!</definedName>
    <definedName name="BExB2V4G4W3DIHZU05TOOTUR2SQF" hidden="1">#REF!</definedName>
    <definedName name="BExB2WRQPIZUPU5U4MC64LSAPXJV" hidden="1">#REF!</definedName>
    <definedName name="BExB30IP1DNKNQ6PZ5ERUGR5MK4Z" hidden="1">#REF!</definedName>
    <definedName name="BExB31V51M4P99B133UWCTQ4MI1Y" hidden="1">#REF!</definedName>
    <definedName name="BExB349IBM05T7ZSPF3734QD8O3I" hidden="1">#REF!</definedName>
    <definedName name="BExB35M4M9VQF0DHGYBEA3KV711P" hidden="1">#REF!</definedName>
    <definedName name="BExB35REPYUBAIP0OHFCDM0E3M5U" hidden="1">#REF!</definedName>
    <definedName name="BExB38M0NP98N8UCWDFTN9BMXFRZ" hidden="1">#REF!</definedName>
    <definedName name="BExB3A3Y95PXAT2Z8ZDHP6BY4502" hidden="1">Tech '[4]2'!$B$7:$F$10</definedName>
    <definedName name="BExB3BGER3Q3ODTSGR5F1NGF7WPO" hidden="1">#REF!</definedName>
    <definedName name="BExB3M3DJNB65S0PLFOQT4CZHZBJ" hidden="1">#REF!</definedName>
    <definedName name="BExB3O6X4LVRU24H2FG3LTK3V8OA" hidden="1">#REF!</definedName>
    <definedName name="BExB3WA9C9LZZP378PSPONF9IODR" hidden="1">#REF!</definedName>
    <definedName name="BExB3Y8FEMSESD3UZTH6YVRLUZK9" hidden="1">#REF!</definedName>
    <definedName name="BExB406HXCZGNSDPPO8VOG1110ZG" hidden="1">#REF!</definedName>
    <definedName name="BExB424PJ7AZQWVF5BY9GWYWIEA7" hidden="1">Table '[4]2'!$B$6:$F$9</definedName>
    <definedName name="BExB43H66WOT9L9GAGBT9EA2ZF0M" hidden="1">#REF!</definedName>
    <definedName name="BExB442RX0T3L6HUL6X5T21CENW6" hidden="1">#REF!</definedName>
    <definedName name="BExB46RUWO68LDRC0R3VVHXLW32M" hidden="1">#REF!</definedName>
    <definedName name="BExB46X6CDGLWYYKE4TJUE14OJIE" hidden="1">#REF!</definedName>
    <definedName name="BExB484HGANDTLMX61088R6WSKXQ" hidden="1">#REF!</definedName>
    <definedName name="BExB4ADCG3T1U20VT734CY0WXD18" hidden="1">#REF!</definedName>
    <definedName name="BExB4ADD0L7417CII901XTFKXD1J" hidden="1">#REF!</definedName>
    <definedName name="BExB4B9PTN6T4CSKH6U5OZ3JFDD8" hidden="1">#REF!</definedName>
    <definedName name="BExB4DO1V1NL2AVK5YE1RSL5RYHL" hidden="1">#REF!</definedName>
    <definedName name="BExB4DYU06HCGRIPBSWRCXK804UM" hidden="1">#REF!</definedName>
    <definedName name="BExB4G7NET0CCG3157NBSB7V4OJK" hidden="1">#REF!</definedName>
    <definedName name="BExB4GYP1Z26CNWQ5JX1AZT26AK6" hidden="1">[2]Table!#REF!</definedName>
    <definedName name="BExB4H9I16WVA4VWUVHTC6BK1ERJ" hidden="1">#REF!</definedName>
    <definedName name="BExB4R5JZFW6A1CMY56N51JV2U9K" hidden="1">#REF!</definedName>
    <definedName name="BExB4SY9WUZ27GM0UDQR8Y7Q8HEM" hidden="1">#REF!</definedName>
    <definedName name="BExB4TZZJJND2VV886WA6D29RQKW" hidden="1">#REF!</definedName>
    <definedName name="BExB4VSV74EBEC20Q4LMHUS3TKMR" hidden="1">#REF!</definedName>
    <definedName name="BExB4Z3EZBGYYI33U0KQ8NEIH8PY" hidden="1">#REF!</definedName>
    <definedName name="BExB528S9DP38QOWNBTZ3GIHIAUZ" hidden="1">#REF!</definedName>
    <definedName name="BExB541CBB1D8CTY30SOY75V64NO" hidden="1">#REF!</definedName>
    <definedName name="BExB54HM063DBUOOJ8YLESDPGFSL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8U64P1QHS9HIJ5XI54TBSAD" hidden="1">#REF!</definedName>
    <definedName name="BExB5EDO9XUKHF74X3HAU2WPPHZH" hidden="1">#REF!</definedName>
    <definedName name="BExB5FVNCIY2H4YUD3PF08W61Q40" hidden="1">#REF!</definedName>
    <definedName name="BExB5G6EH68AYEP1UT0GHUEL3SLN" hidden="1">#REF!</definedName>
    <definedName name="BExB5GBVNGKNKSFFLORZM0XPGCGY" hidden="1">#REF!</definedName>
    <definedName name="BExB5HZ5UNJJSMW8OVHFHN4RXE5Q" hidden="1">#REF!</definedName>
    <definedName name="BExB5J6BULXJ78GPXRTAPDH4G7AR" hidden="1">Tech '[4]2'!$B$7</definedName>
    <definedName name="BExB5QO30WI9WES28Y2RINNXRHWC" hidden="1">#REF!</definedName>
    <definedName name="BExB5QYVEZWFE5DQVHAM760EV05X" hidden="1">#REF!</definedName>
    <definedName name="BExB5SRK6DQH2UZVNMINVF5J1MQJ" hidden="1">#REF!</definedName>
    <definedName name="BExB5TYRE2ROSMRY4JCOB2Y9F0AG" hidden="1">#REF!</definedName>
    <definedName name="BExB5U9IRH14EMOE0YGIE3WIVLFS" hidden="1">#REF!</definedName>
    <definedName name="BExB5VRH5QGTXPG1S1HP8XP31GG0" hidden="1">#REF!</definedName>
    <definedName name="BExB5VWYMOV6BAIH7XUBBVPU7MMD" hidden="1">#REF!</definedName>
    <definedName name="BExB610DZWIJP1B72U9QM42COH2B" hidden="1">#REF!</definedName>
    <definedName name="BExB6692ZQP36NHHWV7TLSTYCP8G" hidden="1">#REF!</definedName>
    <definedName name="BExB68CNEKNIGPXLY75Q9AWYPMJ9" hidden="1">#REF!</definedName>
    <definedName name="BExB68NFE5Q1L02MBDCONCMQCQ22" hidden="1">#REF!</definedName>
    <definedName name="BExB6ALMJZY1D5HOVRJG226OYBSG" hidden="1">#REF!</definedName>
    <definedName name="BExB6BCJMEH89HHHK6TKP0HFU3GZ" hidden="1">#REF!</definedName>
    <definedName name="BExB6C3FUAKK9ML5T767NMWGA9YB" hidden="1">#REF!</definedName>
    <definedName name="BExB6C8WE6CO8P6NYYF5DEUNO5ES" hidden="1">#REF!</definedName>
    <definedName name="BExB6C8X6JYRLKZKK17VE3QUNL3D" hidden="1">#REF!</definedName>
    <definedName name="BExB6CZTE0PWILZ6X0SQ2FCCSK0D" hidden="1">#REF!</definedName>
    <definedName name="BExB6DAKNKOJL2LOORRZ4M8QTPJW" hidden="1">#REF!</definedName>
    <definedName name="BExB6HN3QRFPXM71MDUK21BKM7PF" hidden="1">#REF!</definedName>
    <definedName name="BExB6IZMHCZ3LB7N73KD90YB1HBZ" hidden="1">#REF!</definedName>
    <definedName name="BExB6KSBD0FM820GI1A9M3WYBUCJ" hidden="1">#REF!</definedName>
    <definedName name="BExB6NMXBDUVNEPLDEEAD449379T" hidden="1">#REF!</definedName>
    <definedName name="BExB6P4VILTNV63SXEZQ255VBX9P" hidden="1">#REF!</definedName>
    <definedName name="BExB6Q6JKBMO3M4WX8XUD0JET6HB" hidden="1">#REF!</definedName>
    <definedName name="BExB6ROHVDTCCMTDKEN6UOG6Z364" hidden="1">#REF!</definedName>
    <definedName name="BExB6SVMNDV7VKJUPH8E79P0AS55" hidden="1">#REF!</definedName>
    <definedName name="BExB6T6FMLQ8T1JIJ6C4Y5TCNYZR" hidden="1">#REF!</definedName>
    <definedName name="BExB6TH99XJ4NKIIKUKXU7TEKMHQ" hidden="1">#REF!</definedName>
    <definedName name="BExB6UZ6GO00QF72VR6OSCKHYRDX" hidden="1">#REF!</definedName>
    <definedName name="BExB6VVK953C7R46KXL49A5ETO0M" hidden="1">#REF!</definedName>
    <definedName name="BExB719SGNX4Y8NE6JEXC555K596" hidden="1">#REF!</definedName>
    <definedName name="BExB7265DCHKS7V2OWRBXCZTEIW9" hidden="1">#REF!</definedName>
    <definedName name="BExB74PQRZHT3JGK27I40ZBUB3JE" hidden="1">#REF!</definedName>
    <definedName name="BExB74PS5P9G0P09Y6DZSCX0FLTJ" hidden="1">#REF!</definedName>
    <definedName name="BExB75BCF43RHE2XVN7XXGPH9WB3" hidden="1">#REF!</definedName>
    <definedName name="BExB78RH79J0MIF7H8CAZ0CFE88Q" hidden="1">#REF!</definedName>
    <definedName name="BExB78RHFDEA9ILRZGS2S7PC5MC1" hidden="1">#REF!</definedName>
    <definedName name="BExB7BGM121XDF61ORCJGLEB2J80" hidden="1">#REF!</definedName>
    <definedName name="BExB7C7I41HX7VP2JH541HFF6IX0" hidden="1">#REF!</definedName>
    <definedName name="BExB7E0ERGPFANTH5RGEGHJ0VZAZ" hidden="1">#REF!</definedName>
    <definedName name="BExB7EB0QNEBV225A3N1VKH1HJ7O" hidden="1">#REF!</definedName>
    <definedName name="BExB7ELT09HGDVO5BJC1ZY9D09GZ" hidden="1">#REF!</definedName>
    <definedName name="BExB7GPCTBYN8RYXYEGWJ98WBUSP" hidden="1">#REF!</definedName>
    <definedName name="BExB7HGDXAOQW6T1UN870FBJ1I3F" hidden="1">#REF!</definedName>
    <definedName name="BExB7JUQTUODCL6G20L4ES574F1P" hidden="1">#REF!</definedName>
    <definedName name="BExB7MP6C8YYMZCWGY381H9MS7SR" hidden="1">#REF!</definedName>
    <definedName name="BExB7NWAB0NDE3F6IC5CXN8HVLO1" hidden="1">#REF!</definedName>
    <definedName name="BExB7OCKDJA9U8TZYSVUD1L2TGWG" hidden="1">#REF!</definedName>
    <definedName name="BExB7PE94FFTBFQBCS4OXXQ5FAK6" hidden="1">#REF!</definedName>
    <definedName name="BExB806PAXX70XUTA3ZI7OORD78R" hidden="1">#REF!</definedName>
    <definedName name="BExB8313T2DUS99X5N7LEHMPYL5L" hidden="1">#REF!</definedName>
    <definedName name="BExB84OINDD0WTVJ9RKFZW4PNTZF" hidden="1">#REF!</definedName>
    <definedName name="BExB8913BJ2J45HKXY2ZGLL5V14U" hidden="1">#REF!</definedName>
    <definedName name="BExB8B9VESCM7U2Z79KD6JFRM330" hidden="1">#REF!</definedName>
    <definedName name="BExB8EVE8Y7JGCXR0GBO9YFPIO9E" hidden="1">#REF!</definedName>
    <definedName name="BExB8FGYUQKIGQPZRNYAUAKB1LY3" hidden="1">#REF!</definedName>
    <definedName name="BExB8FX1Q6K8IZG8D2AUHTXMNTS7" hidden="1">#REF!</definedName>
    <definedName name="BExB8HF4UBVZKQCSRFRUQL2EE6VL" hidden="1">#REF!</definedName>
    <definedName name="BExB8HKHKZ1ORJZUYGG2M4VSCC39" hidden="1">#REF!</definedName>
    <definedName name="BExB8HV9JPEU5ZV1S3Z73ZBA3TW3" hidden="1">#REF!</definedName>
    <definedName name="BExB8PT4AU296MGJRUOA5V0EWBJH" hidden="1">#REF!</definedName>
    <definedName name="BExB8QPH8DC5BESEVPSMBCWVN6PO" hidden="1">#REF!</definedName>
    <definedName name="BExB8U5N0D85YR8APKN3PPKG0FWP" hidden="1">#REF!</definedName>
    <definedName name="BExB8VCTG3ZFW2TTQXE3FCI0UV2M" hidden="1">#REF!</definedName>
    <definedName name="BExB8VNKI741QXNIHNQYDXMMT5PW" hidden="1">#REF!</definedName>
    <definedName name="BExB8W97DX4OAE5GUHG0UH2MEHVS" hidden="1">#REF!</definedName>
    <definedName name="BExB8Y1W48JNTS0DVDMFBO07MYPD" hidden="1">#REF!</definedName>
    <definedName name="BExB92ZV21PM7D4R258ET2TU79YA" hidden="1">#REF!</definedName>
    <definedName name="BExB97CFKNOTUHST5D6OD4XR65KP" hidden="1">#REF!</definedName>
    <definedName name="BExB9DHI5I2TJ2LXYPM98EE81L27" hidden="1">#REF!</definedName>
    <definedName name="BExB9GMVC5CS056VHJMPYTVARG3O" hidden="1">#REF!</definedName>
    <definedName name="BExB9Q2MZZHBGW8QQKVEYIMJBPIE" hidden="1">#REF!</definedName>
    <definedName name="BExB9RKN2UFDH0EEXWELEF4K0LJ0" hidden="1">#REF!</definedName>
    <definedName name="BExB9S66MFUL9J891R547MSVIVV1" hidden="1">#REF!</definedName>
    <definedName name="BExB9WYTVSSRAHAZSXGDXSDCH17T" hidden="1">#REF!</definedName>
    <definedName name="BExB9Y605ZW7Z1B6TW1OQK44O4FB" hidden="1">Table '[4]2'!$B$5:$G$8</definedName>
    <definedName name="BExB9YM2KL2PMBVE8LVJ07R10W8R" hidden="1">#REF!</definedName>
    <definedName name="BExB9YX05MTK7KF2OKWW5JDAXMZ4" hidden="1">#REF!</definedName>
    <definedName name="BExB9Z2CLTMBQT4SXRBG2KAF7LQR" hidden="1">Tech '[4]2'!$B$7:$G$10</definedName>
    <definedName name="BExBA1GON0EZRJ20UYPILAPLNQWM" hidden="1">#REF!</definedName>
    <definedName name="BExBA3PHVG87JJLI5CI93JEE37XJ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NJGMZJLSHI6Q5ZPOJ5MDTM" hidden="1">#REF!</definedName>
    <definedName name="BExBACJV9UHKDJHZMDFXZQSQSKG4" hidden="1">#REF!</definedName>
    <definedName name="BExBAFUKRK8ZRT4S283UKMO7XI4C" hidden="1">#REF!</definedName>
    <definedName name="BExBAGQYIBV77JKN346FU4VT1MB4" hidden="1">#REF!</definedName>
    <definedName name="BExBAH7180HH488Z801W7AWNARIZ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PL58N4JU3D8VFFA43S5KOYZ" hidden="1">#REF!</definedName>
    <definedName name="BExBATS6QTKFZ3S66DBSAAJJ1257" hidden="1">#REF!</definedName>
    <definedName name="BExBAVKX8Q09370X1GCZWJ4E91YJ" hidden="1">#REF!</definedName>
    <definedName name="BExBAWC0C5YTNFH217GLBJJHQYYG" hidden="1">#REF!</definedName>
    <definedName name="BExBAX2X2ENJYO4QTR5VAIQ86L7B" hidden="1">#REF!</definedName>
    <definedName name="BExBAZ13D3F1DVJQ6YJ8JGUYEYJE" hidden="1">#REF!</definedName>
    <definedName name="BExBB08AAJQAIADUTQOF77MS05O2" hidden="1">#REF!</definedName>
    <definedName name="BExBB5RRPZ2SBI9L9DPJ8MVMI5VS" hidden="1">#REF!</definedName>
    <definedName name="BExBB8ME69QHBLBCJTWVKAGFHTVC" hidden="1">#REF!</definedName>
    <definedName name="BExBB9D9GNURCRZN3NR6UY375OX5" hidden="1">#REF!</definedName>
    <definedName name="BExBBA9MF9JDSCPFF2ZUJ5PWGKL5" hidden="1">#REF!</definedName>
    <definedName name="BExBBE5WHWXZABF63W1W0511IUOL" hidden="1">#REF!</definedName>
    <definedName name="BExBBG9FHJDPP9ZZH0FBLJZT42TU" hidden="1">#REF!</definedName>
    <definedName name="BExBBK06RV3Z5QU3EJQ83H6MKDR8" hidden="1">#REF!</definedName>
    <definedName name="BExBBOCRE3OQ3RN9AWLIZXTFEAR0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BXCFA277DO3TFZ347Q7KSVWR" hidden="1">#REF!</definedName>
    <definedName name="BExBC5VUV35Y8KFBAZ0Y7D2OL5R6" hidden="1">Table '[4]2'!$B$6:$F$9</definedName>
    <definedName name="BExBC6S9JZS9ZX6V7SBKDJ5R3CGN" hidden="1">#REF!</definedName>
    <definedName name="BExBC78HXWXHO3XAB6E8NVTBGLJS" hidden="1">#REF!</definedName>
    <definedName name="BExBC9195F5VHSWFCT3A1US6BH0Y" hidden="1">#REF!</definedName>
    <definedName name="BExBCBFET70TP274Y1PJFSXLPHYF" hidden="1">#REF!</definedName>
    <definedName name="BExBCCMQZQJ9VS6I2ADF27SBA4H0" hidden="1">#REF!</definedName>
    <definedName name="BExBCDTV7GTBOTIE9EFJ36EX4FKM" hidden="1">#REF!</definedName>
    <definedName name="BExBCEQ85046GEM5WJ7GG5MI1SFU" hidden="1">#REF!</definedName>
    <definedName name="BExBCF6D5H1QVJUBBNTNCC5XSIAC" hidden="1">#REF!</definedName>
    <definedName name="BExBCGZ2ZH85ARNHAY8E3UVMYO6B" hidden="1">#REF!</definedName>
    <definedName name="BExBCIBPONFWS91RC6WJ1UQEG17D" hidden="1">#REF!</definedName>
    <definedName name="BExBCK4H2CF3XDL7AH3W254CWF4R" hidden="1">#REF!</definedName>
    <definedName name="BExBCKKJTIRKC1RZJRTK65HHLX4W" hidden="1">#REF!</definedName>
    <definedName name="BExBCLMEPAN3XXX174TU8SS0627Q" hidden="1">#REF!</definedName>
    <definedName name="BExBCMTEH63P6H1CKWQH2DGVNSVX" hidden="1">#REF!</definedName>
    <definedName name="BExBCRBEYR2KZ8FAQFZ2NHY13WIY" hidden="1">#REF!</definedName>
    <definedName name="BExBCU5U4CIETO129WDG9W7PALHS" hidden="1">#REF!</definedName>
    <definedName name="BExBCZUU1UR90PQUCOSYNFQQTXI1" hidden="1">#REF!</definedName>
    <definedName name="BExBD1CR31JE4TBZEMZ6ZNRFIDNP" hidden="1">#REF!</definedName>
    <definedName name="BExBD1NJKRINL4XIUQPZZG97JS5J" hidden="1">#REF!</definedName>
    <definedName name="BExBD3WL16TOPZKGSICDJM0M2V91" hidden="1">#REF!</definedName>
    <definedName name="BExBD4I559NXSV6J07Q343TKYMVJ" hidden="1">#REF!</definedName>
    <definedName name="BExBD7CJX7HF6YZ7XUYB0XAZHL8I" hidden="1">#REF!</definedName>
    <definedName name="BExBDBZQLTX3OGFYGULQFK5WEZU5" hidden="1">#REF!</definedName>
    <definedName name="BExBDCQSRK81XWU3KOZ143ILS771" hidden="1">#REF!</definedName>
    <definedName name="BExBDDHOEYX8ELNQYDX9XV5V76QW" hidden="1">#REF!</definedName>
    <definedName name="BExBDG1H8SHD5FZEUNYDCJ335MHK" hidden="1">#REF!</definedName>
    <definedName name="BExBDIQK8FTFF6X9LM8JEDHSMQP4" hidden="1">#REF!</definedName>
    <definedName name="BExBDJS9TUEU8Z84IV59E5V4T8K6" hidden="1">#REF!</definedName>
    <definedName name="BExBDKOMSVH4XMH52CFJ3F028I9R" hidden="1">#REF!</definedName>
    <definedName name="BExBDN8EZ82SNN8UY8ZBOG0INFMF" hidden="1">#REF!</definedName>
    <definedName name="BExBDOFL9F421OHEY8CE7H6YB6MO" hidden="1">#REF!</definedName>
    <definedName name="BExBDSH62LEBUNKL3ASCMSHIX2GT" hidden="1">#REF!</definedName>
    <definedName name="BExBDSRXVZQ0W5WXQMP5XD00GRRL" hidden="1">#REF!</definedName>
    <definedName name="BExBDTDIHS3IA85P49E3FM64KE4B" hidden="1">#REF!</definedName>
    <definedName name="BExBDUVGK3E1J4JY9ZYTS7V14BLY" hidden="1">#REF!</definedName>
    <definedName name="BExBDW84LP7RHHV3BO50T64KTTU3" hidden="1">#REF!</definedName>
    <definedName name="BExBDWDG2GXBTEGBOQMQLB38QUEV" hidden="1">#REF!</definedName>
    <definedName name="BExBDZITI2UCDSH0V24NITQG9SFA" hidden="1">#REF!</definedName>
    <definedName name="BExBE162OSBKD30I7T1DKKPT3I9I" hidden="1">#REF!</definedName>
    <definedName name="BExBE1X347O0L87CR0640B0B4RS2" hidden="1">#REF!</definedName>
    <definedName name="BExBE2D7TSVQLIEVX2RW1J6FTWIA" hidden="1">#REF!</definedName>
    <definedName name="BExBE2TI8HE6TLS2RNRHQ6VSKL73" hidden="1">#REF!</definedName>
    <definedName name="BExBE4M6YL512JJD7QCT5NHC893P" hidden="1">#REF!</definedName>
    <definedName name="BExBE5ILMFCTINK9G21H5J614CAA" hidden="1">#REF!</definedName>
    <definedName name="BExBE5NWZ5402EUTN3LNFYIR6HBN" hidden="1">#REF!</definedName>
    <definedName name="BExBE8YL6K0LW9WTA4AKSZD3YJX5" hidden="1">Tech '[7]1'!$B$7:$S$1255</definedName>
    <definedName name="BExBE9PMUD2LQWOWOLQPCG9WMMP4" hidden="1">#REF!</definedName>
    <definedName name="BExBEA5RUENNU9S8I0XK8LE18K05" hidden="1">#REF!</definedName>
    <definedName name="BExBEC9ATLQZF86W1M3APSM4HEOH" hidden="1">#REF!</definedName>
    <definedName name="BExBEDR80Z97KPYUFVNPOIIT9ZHI" hidden="1">#REF!</definedName>
    <definedName name="BExBEG5K7XHLMH55K20NY0FV4ROP" hidden="1">#REF!</definedName>
    <definedName name="BExBEH1XFHRNYYPZZD67OFONIKTZ" hidden="1">#REF!</definedName>
    <definedName name="BExBEKI2U1PQ44LVGDFYJVHQ03QR" hidden="1">#REF!</definedName>
    <definedName name="BExBENN9A9INRAYYWWDP6PQNF70A" hidden="1">#REF!</definedName>
    <definedName name="BExBEP5933F28AYTER5PWNPSFD9W" hidden="1">#REF!</definedName>
    <definedName name="BExBEQ1M24IB8T82GBPDZ98WBUP8" hidden="1">#REF!</definedName>
    <definedName name="BExBEVFSPJ64H6P0NRPY3A9UJNLZ" hidden="1">#REF!</definedName>
    <definedName name="BExBEYFQJE9YK12A6JBMRFKEC7RN" hidden="1">#REF!</definedName>
    <definedName name="BExBF0U1PNBWLGLVVPNYEZHKB0ON" hidden="1">#REF!</definedName>
    <definedName name="BExBF1FL31ZOW623AJYB7OTRV67K" hidden="1">#REF!</definedName>
    <definedName name="BExBF3TWF2EQXOSWOUZIMPIFFEZX" hidden="1">#REF!</definedName>
    <definedName name="BExBF3TXJTJ52WTH5JS1IEEUKRWA" hidden="1">#REF!</definedName>
    <definedName name="BExBFA4I171MZ8NJXJHG5GS6FIEC" hidden="1">#REF!</definedName>
    <definedName name="BExBFHX12T3405GM1SMH6NXPSDK5" hidden="1">#REF!</definedName>
    <definedName name="BExBFJF0TXJVAK88JRUXPE1YF8UE" hidden="1">#REF!</definedName>
    <definedName name="BExBG1ED81J2O4A2S5F5Y3BPHMCR" hidden="1">#REF!</definedName>
    <definedName name="BExCQZMVIWN5VC3IHPDBUA5KJSRP" hidden="1">#REF!</definedName>
    <definedName name="BExCR4QBPRZSTZLYIKZTK53PL4PR" hidden="1">#REF!</definedName>
    <definedName name="BExCRLIHS7466WFJ3RPIUGGXYESZ" hidden="1">#REF!</definedName>
    <definedName name="BExCRRIBGG57IJ1DUG0GCSPL72DO" hidden="1">#REF!</definedName>
    <definedName name="BExCS078RE3CUATM8A8NCC0WWHGC" hidden="1">#REF!</definedName>
    <definedName name="BExCS0NC7QUQRSIEMFI7R7PGM3UE" hidden="1">#REF!</definedName>
    <definedName name="BExCS1EDDUEAEWHVYXHIP9I1WCJH" hidden="1">#REF!</definedName>
    <definedName name="BExCS5AML4MF3IVI883XBO3EPBHJ" hidden="1">#REF!</definedName>
    <definedName name="BExCS6SLRCBH006GNRE27HFRHP40" hidden="1">#REF!</definedName>
    <definedName name="BExCS7E73L6UJHEOTUBWZ6FNF679" hidden="1">#REF!</definedName>
    <definedName name="BExCS7ZPMHFJ4UJDAL8CQOLSZ13B" hidden="1">#REF!</definedName>
    <definedName name="BExCS8W3UJ7MXN0SK7CAKKWW1L03" hidden="1">#REF!</definedName>
    <definedName name="BExCS8W4NJUZH9S1CYB6XSDLEPBW" hidden="1">#REF!</definedName>
    <definedName name="BExCSAE1M6G20R41J0Y24YNN0YC1" hidden="1">#REF!</definedName>
    <definedName name="BExCSAJCLNXLFIFCKBRI675YRCY3" hidden="1">#REF!</definedName>
    <definedName name="BExCSAOUZOYKHN7HV511TO8VDJ02" hidden="1">#REF!</definedName>
    <definedName name="BExCSGZG9G2SOKYYBCQF48XUIYCJ" hidden="1">#REF!</definedName>
    <definedName name="BExCSJOK2YSYQI7IUH6LRVUR4DLW" hidden="1">[1]Program!#REF!</definedName>
    <definedName name="BExCSMOFTXSUEC1T46LR1UPYRCX5" hidden="1">#REF!</definedName>
    <definedName name="BExCSMZ8VI4RE7AMT0H1GS4JXCKD" hidden="1">#REF!</definedName>
    <definedName name="BExCSQKODR3G3272T96QUPB02NPP" hidden="1">TEST-[5]LISTA!$B$7:$F$1857</definedName>
    <definedName name="BExCSSDG3TM6TPKS19E9QYJEELZ6" hidden="1">#REF!</definedName>
    <definedName name="BExCSU65VH8YG23YDKLZGY2MT5VC" hidden="1">#REF!</definedName>
    <definedName name="BExCSZV7U67UWXL2HKJNM5W1E4OO" hidden="1">#REF!</definedName>
    <definedName name="BExCT17N6Q2J4GPDC5PIKFHZ794A" hidden="1">#REF!</definedName>
    <definedName name="BExCT4NSDT61OCH04Y2QIFIOP75H" hidden="1">#REF!</definedName>
    <definedName name="BExCT6GITD4SHUJ373T14VPPVCY3" hidden="1">#REF!</definedName>
    <definedName name="BExCTACT7BMRY80R4C5RCGS0XSZ8" hidden="1">#REF!</definedName>
    <definedName name="BExCTE3LLZ55KW8HGCOG6WHATY9G" hidden="1">#REF!</definedName>
    <definedName name="BExCTMHQMNX415C6R2QG2AO0SSNS" hidden="1">#REF!</definedName>
    <definedName name="BExCTNOVYPZFXNRR81R8GUFGLPG1" hidden="1">#REF!</definedName>
    <definedName name="BExCTOAGCM5A52T4FUW5VPP35BIW" hidden="1">#REF!</definedName>
    <definedName name="BExCTQU2HA8GXP3Y15KJ1664L3DF" hidden="1">#REF!</definedName>
    <definedName name="BExCTW8G3VCZ55S09HTUGXKB1P2M" hidden="1">#REF!</definedName>
    <definedName name="BExCTXFGEQG8XTAWZWESP9S8ZFG1" hidden="1">#REF!</definedName>
    <definedName name="BExCTXVPPXWOU40JWIMUT2WSHL0U" hidden="1">#REF!</definedName>
    <definedName name="BExCTYS2KX0QANOLT8LGZ9WV3S3T" hidden="1">#REF!</definedName>
    <definedName name="BExCTZZ99EQESMYGFACOP37QHVNZ" hidden="1">#REF!</definedName>
    <definedName name="BExCTZZ9JNES4EDHW97NP0EGQALX" hidden="1">#REF!</definedName>
    <definedName name="BExCU0A1T1TVWTX9C4XM0QQ433FB" hidden="1">#REF!</definedName>
    <definedName name="BExCU0A1V6NMZQ9ASYJ8QIVQ5UR2" hidden="1">#REF!</definedName>
    <definedName name="BExCU0KUVWAF8DZ0Y47N8NE0C2PZ" hidden="1">#REF!</definedName>
    <definedName name="BExCU16FAFHSYEENQXBNLERR7V3K" hidden="1">#REF!</definedName>
    <definedName name="BExCU2834920JBHSPCRC4UF80OLL" hidden="1">#REF!</definedName>
    <definedName name="BExCU8O54I3P3WRYWY1CRP3S78QY" hidden="1">#REF!</definedName>
    <definedName name="BExCU99QEEGPKIKO2G8W19YEAOIH" hidden="1">#REF!</definedName>
    <definedName name="BExCUD60H1UMM2E28QIX022PMAO3" hidden="1">#REF!</definedName>
    <definedName name="BExCUDRJO23YOKT8GPWOVQ4XEHF5" hidden="1">#REF!</definedName>
    <definedName name="BExCUI9EX6Y3LC487J1JHDZ9P2Z6" hidden="1">#REF!</definedName>
    <definedName name="BExCULPEGOIQ4HEM6NN6RHPJ0BAO" hidden="1">#REF!</definedName>
    <definedName name="BExCUPAWHM0P4BSKFZ5SJKV1ERM7" hidden="1">#REF!</definedName>
    <definedName name="BExCUPAXFR16YMWL30ME3F3BSRDZ" hidden="1">#REF!</definedName>
    <definedName name="BExCUR94DHCE47PUUWEMT5QZOYR2" hidden="1">#REF!</definedName>
    <definedName name="BExCUW1Q2AR1JX2Z1B9CGJ6H60GY" hidden="1">#REF!</definedName>
    <definedName name="BExCUW1RF5RHW7OK9J4GFUGR30IK" hidden="1">#REF!</definedName>
    <definedName name="BExCUYLDFZN282VU53BTDV7FQJH3" hidden="1">#REF!</definedName>
    <definedName name="BExCV2HND3B66B1ENBL9C882061Y" hidden="1">#REF!</definedName>
    <definedName name="BExCV634L7SVHGB0UDDTRRQ2Q72H" hidden="1">#REF!</definedName>
    <definedName name="BExCV8HG9LQEJILTF1FDJML9HXDW" hidden="1">#REF!</definedName>
    <definedName name="BExCVAA6DMYBXSPH4533MD0OHOYN" hidden="1">#REF!</definedName>
    <definedName name="BExCVAVQE36R2ZNL982MJSG693LX" hidden="1">#REF!</definedName>
    <definedName name="BExCVBXG4TTE2ERW52ZA09FBTDH2" hidden="1">#REF!</definedName>
    <definedName name="BExCVBXGSXT9FWJRG62PX9S1RK83" hidden="1">#REF!</definedName>
    <definedName name="BExCVF2TJ5MTZA3D0N0TJQU71EVK" hidden="1">#REF!</definedName>
    <definedName name="BExCVFDMA9LZJRH03MU29WYOUQAQ" hidden="1">#REF!</definedName>
    <definedName name="BExCVFZ71E0N4DDWSS0WQSNMQY0U" hidden="1">#REF!</definedName>
    <definedName name="BExCVH0VO0JZ81GB2X43E43HYLWZ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KH0KFLY4D0IVRFGVTJYRXFX" hidden="1">#REF!</definedName>
    <definedName name="BExCVKXBFBUP9PCBUPSNL1WXZQ7B" hidden="1">#REF!</definedName>
    <definedName name="BExCVLDDHBV2JA6HLI82JNAWY3WA" hidden="1">#REF!</definedName>
    <definedName name="BExCVNBN4KJN3X0WXXYSON93DXBB" hidden="1">#REF!</definedName>
    <definedName name="BExCVPPXULRY2KXEEW6B3F8W0371" hidden="1">#REF!</definedName>
    <definedName name="BExCVQGT2FQAP3DQOZXO92CV4U73" hidden="1">#REF!</definedName>
    <definedName name="BExCVV44WY5807WGMTGKPW0GT256" hidden="1">#REF!</definedName>
    <definedName name="BExCVWLXVAKW0MGL9EAXK4DRRB6T" hidden="1">#REF!</definedName>
    <definedName name="BExCVXYLBCN24RVUUZ60BT2LI6WN" hidden="1">#REF!</definedName>
    <definedName name="BExCVZ5PN4V6MRBZ04PZJW3GEF8S" hidden="1">#REF!</definedName>
    <definedName name="BExCW13R0GWJYGXZBNCPAHQN4NR2" hidden="1">#REF!</definedName>
    <definedName name="BExCW3SUMQGQQXGTE0CQRWT6GPR0" hidden="1">#REF!</definedName>
    <definedName name="BExCW973DVZ1QIIDXMVYO3NWFDWI" hidden="1">#REF!</definedName>
    <definedName name="BExCW9Y5HWU4RJTNX74O6L24VGCK" hidden="1">#REF!</definedName>
    <definedName name="BExCWBG2R7HVTLH6ZR7LW8VDU5HK" hidden="1">[1]Program!#REF!</definedName>
    <definedName name="BExCWBW6TR4FDYJQIDQF9PHURAP2" hidden="1">#REF!</definedName>
    <definedName name="BExCWGE0Y4TH379TTRM6HRYT2VBJ" hidden="1">#REF!</definedName>
    <definedName name="BExCWJDXAVAZLPG7YO5OMQZLV8YK" hidden="1">#REF!</definedName>
    <definedName name="BExCWKQLETNG5MQO98E2H9UAT1UR" hidden="1">#REF!</definedName>
    <definedName name="BExCWPDPESGZS07QGBLSBWDNVJLZ" hidden="1">#REF!</definedName>
    <definedName name="BExCWSJ2S1VYCPXUBP6V4PHUC72Z" hidden="1">#REF!</definedName>
    <definedName name="BExCWTVKHIVCRHF8GC39KI58YM5K" hidden="1">#REF!</definedName>
    <definedName name="BExCWU6CZO7LEKXED6VX8DY653QM" hidden="1">#REF!</definedName>
    <definedName name="BExCWX69ER7R6C6VGOZAPRGXJR2R" hidden="1">#REF!</definedName>
    <definedName name="BExCX1TE6O9RKOQHKJ90SMG46TWE" hidden="1">#REF!</definedName>
    <definedName name="BExCX2KGRZBRVLZNM8SUSIE6A0RL" hidden="1">#REF!</definedName>
    <definedName name="BExCX3X451T70LZ1VF95L7W4Y4TM" hidden="1">#REF!</definedName>
    <definedName name="BExCX42EWFF1G21S7J8TJ10C7XBO" hidden="1">#REF!</definedName>
    <definedName name="BExCX4NZ2N1OUGXM7EV0U7VULJMM" hidden="1">#REF!</definedName>
    <definedName name="BExCX6B8MD3LTBLURSM63IZHPAZT" hidden="1">#REF!</definedName>
    <definedName name="BExCX7YNU3ZIE863RC0N2EITI22O" hidden="1">#REF!</definedName>
    <definedName name="BExCXAYLA3TMOHIRCEXCXXUSNOKZ" hidden="1">#REF!</definedName>
    <definedName name="BExCXC0EIRZGKHGFWVH6BZGZKSL5" hidden="1">#REF!</definedName>
    <definedName name="BExCXEK28UDENRFTQHG7BH1GOK8J" hidden="1">#REF!</definedName>
    <definedName name="BExCXGCSTQDWMG19AQ1GQDFFVT5I" hidden="1">Table '[4]2'!$B$5:$G$8</definedName>
    <definedName name="BExCXILMURGYMAH6N5LF5DV6K3GM" hidden="1">#REF!</definedName>
    <definedName name="BExCXLR06QT15D82W3KFVGQIH8Q5" hidden="1">#REF!</definedName>
    <definedName name="BExCXPSLMQYZCG0PY9EB8B8UOC0K" hidden="1">#REF!</definedName>
    <definedName name="BExCXQUFBMXQ1650735H48B1AZT3" hidden="1">#REF!</definedName>
    <definedName name="BExCXS6WKGQ78NXJYNGD36H1R6RS" hidden="1">#REF!</definedName>
    <definedName name="BExCXTE22HVHI0GV29DCCTEIDWL9" hidden="1">#REF!</definedName>
    <definedName name="BExCXWU8EC46G8YNRVTT6T3N8URG" hidden="1">#REF!</definedName>
    <definedName name="BExCY2DQO9VLA77Q7EG3T0XNXX4F" hidden="1">#REF!</definedName>
    <definedName name="BExCY2DR080S68S8YWWT3OA7QLZJ" hidden="1">#REF!</definedName>
    <definedName name="BExCY2TV41PWUIQ75ZE8C1DBJ8G9" hidden="1">#REF!</definedName>
    <definedName name="BExCY4H9JMPB090TG2SILY28IPCR" hidden="1">#REF!</definedName>
    <definedName name="BExCY6VMJ68MX3C981R5Q0BX5791" hidden="1">#REF!</definedName>
    <definedName name="BExCYAH2SAZCPW6XCB7V7PMMCAWO" hidden="1">#REF!</definedName>
    <definedName name="BExCYDBHQ07PRCW1FY0TGRD3WG6Z" hidden="1">#REF!</definedName>
    <definedName name="BExCYDMGDGNGK0GRJ29ZXZT3FLCN" hidden="1">#REF!</definedName>
    <definedName name="BExCYDRSMLX8YAG6ARMPKP3L4NDJ" hidden="1">#REF!</definedName>
    <definedName name="BExCYGM6L3PSQJK7ASVXFPRO4MWT" hidden="1">#REF!</definedName>
    <definedName name="BExCYJBB52X8B3AREHCC1L5QNPX7" hidden="1">#REF!</definedName>
    <definedName name="BExCYK7MZ56O5XIV8T5XIE9VBQXN" hidden="1">#REF!</definedName>
    <definedName name="BExCYLV2VFGF5NDJ8YN2R3XCISDK" hidden="1">#REF!</definedName>
    <definedName name="BExCYPRC5HJE6N2XQTHCT6NXGP8N" hidden="1">#REF!</definedName>
    <definedName name="BExCYS5P0Z2KO2KG0A7VQMK06246" hidden="1">#REF!</definedName>
    <definedName name="BExCYSAZ8AMQD5NUOYVR2OVO2VJB" hidden="1">Tech '[4]2'!$B$6:$S$185</definedName>
    <definedName name="BExCYT21KFDWYHDGQOMKXA9GR3YX" hidden="1">#REF!</definedName>
    <definedName name="BExCYUK0I3UEXZNFDW71G6Z6D8XR" hidden="1">#REF!</definedName>
    <definedName name="BExCZ271FPWXNMJ93AG7Z7ABYEC7" hidden="1">#REF!</definedName>
    <definedName name="BExCZ6ZOWC1EY1MHA4GL1VNPFYC7" hidden="1">#REF!</definedName>
    <definedName name="BExCZ8MXSDFGSFWFWMZUYD5RZTQP" hidden="1">#REF!</definedName>
    <definedName name="BExCZ9ZK7AX8X7ZK3EI3EICJQBNF" hidden="1">#REF!</definedName>
    <definedName name="BExCZBHJ4ZDFD4N4ZS7VAL7FA7P7" hidden="1">#REF!</definedName>
    <definedName name="BExCZBSAF6DMK27VS5DXL4T2X8TH" hidden="1">#REF!</definedName>
    <definedName name="BExCZE6LZIDF841AT5UD2GQ13415" hidden="1">#REF!</definedName>
    <definedName name="BExCZEHEK7WS9G2TGYM6L9M2DTKH" hidden="1">#REF!</definedName>
    <definedName name="BExCZFOKZBMEF1XBZ3ND9HRJHH6Z" hidden="1">#REF!</definedName>
    <definedName name="BExCZFZCXMLY5DWESYJ9NGTJYQ8M" hidden="1">#REF!</definedName>
    <definedName name="BExCZHHB2PSM2J4144YHXAGPFO2S" hidden="1">#REF!</definedName>
    <definedName name="BExCZJ4P8WS0BDT31WDXI0ROE7D6" hidden="1">#REF!</definedName>
    <definedName name="BExCZKH6NI0EE02L995IFVBD1J59" hidden="1">#REF!</definedName>
    <definedName name="BExCZLODVMEQWVLRWL2UVOQWNU5S" hidden="1">#REF!</definedName>
    <definedName name="BExCZOOAKB1H88DIYAH9IYYBQ8ET" hidden="1">#REF!</definedName>
    <definedName name="BExCZSF7M2KFPCKS9GWCRAQ1PRH2" hidden="1">#REF!</definedName>
    <definedName name="BExCZUD9FEOJBKDJ51Z3JON9LKJ8" hidden="1">#REF!</definedName>
    <definedName name="BExCZZ0FR0KIIKU3CQ5JY767XGIX" hidden="1">#REF!</definedName>
    <definedName name="BExD013YNNHLWLMJWRU5T0C1VIHZ" hidden="1">#REF!</definedName>
    <definedName name="BExD019F3HBQDK0RTFJQAR66IJBK" hidden="1">#REF!</definedName>
    <definedName name="BExD03T1XR85KUC8UOAQHB11F5WL" hidden="1">#REF!</definedName>
    <definedName name="BExD0508DAALLU00PHFPBC8SRRKT" hidden="1">#REF!</definedName>
    <definedName name="BExD06SXR2OPV4282WTX6ARRQ4JS" hidden="1">#REF!</definedName>
    <definedName name="BExD08WHMHOIWZLHGHVR62CYD2KD" hidden="1">#REF!</definedName>
    <definedName name="BExD0AJVWYAQPR514PWOIWP21Q3Y" hidden="1">#REF!</definedName>
    <definedName name="BExD0BAT2CDBZC5XRZ2AKOMBAITD" hidden="1">#REF!</definedName>
    <definedName name="BExD0EAPDSR0F9W0AAWBZ8CD6V47" hidden="1">#REF!</definedName>
    <definedName name="BExD0HALIN0JR4JTPGDEVAEE5EX5" hidden="1">#REF!</definedName>
    <definedName name="BExD0J8SE8J6TD9V2C6JNZFS16U2" hidden="1">#REF!</definedName>
    <definedName name="BExD0LCCDPG16YLY5WQSZF1XI5DA" hidden="1">#REF!</definedName>
    <definedName name="BExD0LXWUSUMCKRJY47O7G9OADWH" hidden="1">#REF!</definedName>
    <definedName name="BExD0NVYWVWWSKDNDR2WYMUB8ETE" hidden="1">#REF!</definedName>
    <definedName name="BExD0QQETD69IREYGFI6QQIPNCJY" hidden="1">#REF!</definedName>
    <definedName name="BExD0RMWSB4TRECEHTH6NN4K9DFZ" hidden="1">#REF!</definedName>
    <definedName name="BExD0U6KG10QGVDI1XSHK0J10A2V" hidden="1">#REF!</definedName>
    <definedName name="BExD0WQ71JYMUDXQTQEITA6DXV3F" hidden="1">#REF!</definedName>
    <definedName name="BExD124K1B6FAIAZRDDCKH1PUAZN" hidden="1">#REF!</definedName>
    <definedName name="BExD13RUIBGRXDL4QDZ305UKUR12" hidden="1">#REF!</definedName>
    <definedName name="BExD14DETV5R4OOTMAXD5NAKWRO3" hidden="1">#REF!</definedName>
    <definedName name="BExD15VCCRFL3ZRJUGM7AGQSMSZB" hidden="1">#REF!</definedName>
    <definedName name="BExD172HBSY98PSYF4ROM0YLN74N" hidden="1">#REF!</definedName>
    <definedName name="BExD189NLCZ0MV1E8GXPW23W160D" hidden="1">#REF!</definedName>
    <definedName name="BExD190IX8VJWI00C855G8IWP2BL" hidden="1">#REF!</definedName>
    <definedName name="BExD1B442JC20LK1WCVCQL3P7SFD" hidden="1">#REF!</definedName>
    <definedName name="BExD1EPK4EXJADKCPA189IBMRQGH" hidden="1">#REF!</definedName>
    <definedName name="BExD1FB4JL6FM64NLK2X1NDN0QB3" hidden="1">#REF!</definedName>
    <definedName name="BExD1G26IA14EUUWJ9CB2KE1DK6R" hidden="1">#REF!</definedName>
    <definedName name="BExD1J7K8ZCUT4HE6BFXXCFUN7K1" hidden="1">#REF!</definedName>
    <definedName name="BExD1KK1XDXKFS8TLIJJWANQ610R" hidden="1">#REF!</definedName>
    <definedName name="BExD1OAU9OXQAZA4D70HP72CU6GB" hidden="1">#REF!</definedName>
    <definedName name="BExD1UG4A58SWC4RZ6BMNWUWNR3J" hidden="1">#REF!</definedName>
    <definedName name="BExD1Y1JV61416YA1XRQHKWPZIE7" hidden="1">#REF!</definedName>
    <definedName name="BExD20W00LX5MYH6KCWXQO82J4QS" hidden="1">#REF!</definedName>
    <definedName name="BExD24C0A4M1A7GFDA4MTYAW1JBB" hidden="1">#REF!</definedName>
    <definedName name="BExD24MYC17ZVUCJ7UHIT8GGB5E4" hidden="1">#REF!</definedName>
    <definedName name="BExD25TY2782NADXDRI9IWRZH4IX" hidden="1">#REF!</definedName>
    <definedName name="BExD264WNY7ACZLL3EADCLYSMW4P" hidden="1">#REF!</definedName>
    <definedName name="BExD2CFHIRMBKN5KXE5QP4XXEWFS" hidden="1">#REF!</definedName>
    <definedName name="BExD2CVKIOXCBS43ITFMALHWH3KZ" hidden="1">#REF!</definedName>
    <definedName name="BExD2DMHH1HWXQ9W0YYMDP8AAX8Q" hidden="1">#REF!</definedName>
    <definedName name="BExD2F9W0W3NBZ0VZPHKYG1UMGQ1" hidden="1">#REF!</definedName>
    <definedName name="BExD2F9WXJCEMFXWK8IV2F0GPZP7" hidden="1">#REF!</definedName>
    <definedName name="BExD2HTPC7IWBAU6OSQ67MQA8BYZ" hidden="1">#REF!</definedName>
    <definedName name="BExD2MGU56YL6SYC96W3L6ZWNN5L" hidden="1">#REF!</definedName>
    <definedName name="BExD2MRMSOCW29ZLJ226FVCE2K34" hidden="1">#REF!</definedName>
    <definedName name="BExD2PGR2MKP0JW58RGYQJK3NC5T" hidden="1">#REF!</definedName>
    <definedName name="BExD2RK9LE7I985N677G3WNH5DIV" hidden="1">#REF!</definedName>
    <definedName name="BExD2Z1ZQCJTHAYCLWVMYBPJGN88" hidden="1">Tech '[4]2'!$B$7:$F$10</definedName>
    <definedName name="BExD3403X19CX8S25LK1P5O68U4D" hidden="1">#REF!</definedName>
    <definedName name="BExD363H2VGFIQUCE6LS4AC5J0ZT" hidden="1">#REF!</definedName>
    <definedName name="BExD37W7YUULHO5DGYRP7KYM65NC" hidden="1">#REF!</definedName>
    <definedName name="BExD3A588E939V61P1XEW0FI5Q0S" hidden="1">#REF!</definedName>
    <definedName name="BExD3AG14U93BTXQAL76AH11QXDG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F8M2ZI9IYZ11L7410QPZN27" hidden="1">#REF!</definedName>
    <definedName name="BExD3IJ5IT335SOSNV9L85WKAOSI" hidden="1">#REF!</definedName>
    <definedName name="BExD3IJCC83XJSC0T8K18JYO2PZT" hidden="1">#REF!</definedName>
    <definedName name="BExD3KBVUY57GMMQTOFEU6S6G1AY" hidden="1">#REF!</definedName>
    <definedName name="BExD3NMR7AW2Z6V8SC79VQR37NA6" hidden="1">#REF!</definedName>
    <definedName name="BExD3PKTT0MHJPK56ADYPFIYXKO7" hidden="1">#REF!</definedName>
    <definedName name="BExD3PQ9WGYDTAHHSTZJ02ELC7YA" hidden="1">#REF!</definedName>
    <definedName name="BExD3QXA2UQ2W4N7NYLUEOG40BZB" hidden="1">#REF!</definedName>
    <definedName name="BExD3U2N041TEJ7GCN005UTPHNXY" hidden="1">#REF!</definedName>
    <definedName name="BExD3UZ1QXST2VVJUKNE6CJY8PBZ" hidden="1">#REF!</definedName>
    <definedName name="BExD3XIONCICFCAS7MDDG605SRQW" hidden="1">Tech '[4]2'!$B$6:$S$39</definedName>
    <definedName name="BExD40O0CFTNJFOFMMM1KH0P7BUI" hidden="1">#REF!</definedName>
    <definedName name="BExD44KAVY0YM9G6TV9EZOO0ISHF" hidden="1">#REF!</definedName>
    <definedName name="BExD45BD2QQIXE54OEJCVH0B36UN" hidden="1">#REF!</definedName>
    <definedName name="BExD47UYV1C1PXOIQWAX4S7JT8SI" hidden="1">#REF!</definedName>
    <definedName name="BExD47UZN79E7UZ1PF13H1AL03VT" hidden="1">#REF!</definedName>
    <definedName name="BExD48RCUC7P9Y18KY4E51LD0316" hidden="1">#REF!</definedName>
    <definedName name="BExD4B5OJKUPJMFR7AZJGR6UVR3E" hidden="1">#REF!</definedName>
    <definedName name="BExD4BR9HJ3MWWZ5KLVZWX9FJAUS" hidden="1">#REF!</definedName>
    <definedName name="BExD4CNM88K8C81VM5V0ZCTHJZRX" hidden="1">#REF!</definedName>
    <definedName name="BExD4F1WTKT3H0N9MF4H1LX7MBSY" hidden="1">#REF!</definedName>
    <definedName name="BExD4H5GQWXBS6LUL3TSP36DVO38" hidden="1">#REF!</definedName>
    <definedName name="BExD4HWC84UVWZ2FNC6WYQ44GKMB" hidden="1">#REF!</definedName>
    <definedName name="BExD4JJSS3QDBLABCJCHD45SRNPI" hidden="1">#REF!</definedName>
    <definedName name="BExD4NG0BFIYRR8DIA0XST1TBO99" hidden="1">#REF!</definedName>
    <definedName name="BExD4R1I0MKF033I5LPUYIMTZ6E8" hidden="1">#REF!</definedName>
    <definedName name="BExD4RHMHOHG2WM6HI950PSP13F8" hidden="1">#REF!</definedName>
    <definedName name="BExD4SDZGHV7YEU1SYWNRYU160AP" hidden="1">#REF!</definedName>
    <definedName name="BExD4T51JVOJF12OUQE1JHR5F3KF" hidden="1">#REF!</definedName>
    <definedName name="BExD4XMWHX363BECUXLNR1MGQQDD" hidden="1">#REF!</definedName>
    <definedName name="BExD4Z4NPYM07WKFUMGPW4RZ7NB7" hidden="1">#REF!</definedName>
    <definedName name="BExD50MT3M6XZLNUP9JL93EG6D9R" hidden="1">#REF!</definedName>
    <definedName name="BExD57Z2HUY24JNBOI2KBBCZ5FJ8" hidden="1">#REF!</definedName>
    <definedName name="BExD5966MTEO674W960DG5UCI5JI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P7D7B3TCMJQY4TM56KCPB73" hidden="1">#REF!</definedName>
    <definedName name="BExD5PYEWTN74B78TJWXKRQC9ZLO" hidden="1">#REF!</definedName>
    <definedName name="BExD5QUSRFJWRQ1ZM50WYLCF74DF" hidden="1">#REF!</definedName>
    <definedName name="BExD5RGDEAAP48X0KSS6YQZFIAG7" hidden="1">#REF!</definedName>
    <definedName name="BExD5SSUIF6AJQHBHK8PNMFBPRYB" hidden="1">#REF!</definedName>
    <definedName name="BExD5XG75QKFPX4PZ6E2Q65F7PPY" hidden="1">#REF!</definedName>
    <definedName name="BExD623C4WRQGX0DUY6T3CR3Y5R6" hidden="1">#REF!</definedName>
    <definedName name="BExD623C9LRX18BE0W2V6SZLQUXX" hidden="1">#REF!</definedName>
    <definedName name="BExD6AMQXRS4OEM53FS0Q3I3CHSA" hidden="1">#REF!</definedName>
    <definedName name="BExD6BZF6UGC8YXEZJ8URJDY0HUJ" hidden="1">#REF!</definedName>
    <definedName name="BExD6CQA7UMJBXV7AIFAIHUF2ICX" hidden="1">#REF!</definedName>
    <definedName name="BExD6FKVK8WJWNYPVENR7Q8Q30PK" hidden="1">#REF!</definedName>
    <definedName name="BExD6FQCAYH78WDOSWKGO3ZEYJDV" hidden="1">#REF!</definedName>
    <definedName name="BExD6GMP0LK8WKVWMIT1NNH8CHLF" hidden="1">#REF!</definedName>
    <definedName name="BExD6H2TE0WWAUIWVSSCLPZ6B88N" hidden="1">#REF!</definedName>
    <definedName name="BExD6HOETWD8HIJITI9JZZCM96PF" hidden="1">#REF!</definedName>
    <definedName name="BExD6NTNUAI3YBXSDGYM0WJXZ84C" hidden="1">#REF!</definedName>
    <definedName name="BExD6OKKHZ119HN6SPOVMTJRBZPO" hidden="1">#REF!</definedName>
    <definedName name="BExD6PRPI2Y2MPQ0G8Z45HVZAZEM" hidden="1">[1]Program!#REF!</definedName>
    <definedName name="BExD6QIRXEW7GOU761FD5XN89Q50" hidden="1">#REF!</definedName>
    <definedName name="BExD6V5YJ9HCE28J0N210ORDB9YD" hidden="1">#REF!</definedName>
    <definedName name="BExD6XV0BDU8LPQPWSKHU0XX0UPR" hidden="1">#REF!</definedName>
    <definedName name="BExD6Y5TZCPJ9BUWH9RRZK5HWGJC" hidden="1">#REF!</definedName>
    <definedName name="BExD6YLXIWPRHBPCLS22VRGC5AK3" hidden="1">#REF!</definedName>
    <definedName name="BExD71LTOE015TV5RSAHM8NT8GVW" hidden="1">#REF!</definedName>
    <definedName name="BExD73USXVADC7EHGHVTQNCT06ZA" hidden="1">#REF!</definedName>
    <definedName name="BExD78Y8KGX8K34GKCLBE97KXJD2" hidden="1">#REF!</definedName>
    <definedName name="BExD7AG6R9IHOPG5WRG0IV35LRMH" hidden="1">[2]Program!#REF!</definedName>
    <definedName name="BExD7CE8ZR0EL3ZQP0AYQ5XQUH9L" hidden="1">#REF!</definedName>
    <definedName name="BExD7D5C36Z9MNTH95WTO5IF81DZ" hidden="1">#REF!</definedName>
    <definedName name="BExD7GAIGULTB3YHM1OS9RBQOTEC" hidden="1">#REF!</definedName>
    <definedName name="BExD7GAIHX094KROB46WFTL2XBWL" hidden="1">#REF!</definedName>
    <definedName name="BExD7GAJ01W9SGCV33RKZXS6IXL4" hidden="1">#REF!</definedName>
    <definedName name="BExD7GG047FCHV15OOTPWLYS4MV4" hidden="1">#REF!</definedName>
    <definedName name="BExD7IE1DHIS52UFDCTSKPJQNRD5" hidden="1">#REF!</definedName>
    <definedName name="BExD7IUBGUWHYC9UNZ1IY5XFYKQN" hidden="1">#REF!</definedName>
    <definedName name="BExD7IZMKM0QIFE7EV1NYL6EZVJZ" hidden="1">#REF!</definedName>
    <definedName name="BExD7JQOJ35HGL8U2OCEI2P2JT7I" hidden="1">#REF!</definedName>
    <definedName name="BExD7KSDKNDNH95NDT3S7GM3MUU2" hidden="1">#REF!</definedName>
    <definedName name="BExD7SVOH5J3ZVHK9KI2N1XE0CC3" hidden="1">#REF!</definedName>
    <definedName name="BExD7V4ODW1HQ7FV2T29NMKT6RZ8" hidden="1">#REF!</definedName>
    <definedName name="BExD7V4PCVR1ACVPOJXKJ4CSROIX" hidden="1">#REF!</definedName>
    <definedName name="BExD7WH4VMC6TB9KGTL1GVFAWJFO" hidden="1">#REF!</definedName>
    <definedName name="BExD80IWBDV7LAMV5GL6FP1ZBABQ" hidden="1">#REF!</definedName>
    <definedName name="BExD819S39VUTMASCBMYI883THJ3" hidden="1">#REF!</definedName>
    <definedName name="BExD83DAEKNBRH31YQLBQ6TIIKZ7" hidden="1">#REF!</definedName>
    <definedName name="BExD83TGB9HFS3EGBRXVIMW1I9C0" hidden="1">#REF!</definedName>
    <definedName name="BExD84VAM4K61UVK5I0A49PDK0LA" hidden="1">#REF!</definedName>
    <definedName name="BExD85X4VHXY0XOPTCH2UQRWRBW1" hidden="1">#REF!</definedName>
    <definedName name="BExD862FMVISAW4K2Z0VY73J1OFO" hidden="1">#REF!</definedName>
    <definedName name="BExD86O0XMLHKJHJ1HTQQZ6TEDIA" hidden="1">#REF!</definedName>
    <definedName name="BExD8BGM7XPKRCZZRU5REIPJD7YD" hidden="1">#REF!</definedName>
    <definedName name="BExD8CYKX2WGEDSW6KFP6MND1PM0" hidden="1">#REF!</definedName>
    <definedName name="BExD8DEVDGUZWPUAHX1D0HOIFSN1" hidden="1">#REF!</definedName>
    <definedName name="BExD8DPGQOCLHW7EDIEY1RNV9LIG" hidden="1">#REF!</definedName>
    <definedName name="BExD8H5MGJFMK4HK6DOAGTFYV6JT" hidden="1">#REF!</definedName>
    <definedName name="BExD8H5O087KQVWIVPUUID5VMGMS" hidden="1">#REF!</definedName>
    <definedName name="BExD8JJZ5ETPR2R829ZRE39GEQ7O" hidden="1">#REF!</definedName>
    <definedName name="BExD8KR4VRJ2XW0661ZEBH52F2IG" hidden="1">#REF!</definedName>
    <definedName name="BExD8KWFYVMYYY2YJ34JT4QNLLTE" hidden="1">#REF!</definedName>
    <definedName name="BExD8KWLIUKJW2VQFTL7SOGWFMQ2" hidden="1">#REF!</definedName>
    <definedName name="BExD8L1XBS48YJCV2EK8IYUOXSUG" hidden="1">#REF!</definedName>
    <definedName name="BExD8MUMT71WIOFONRSD0L5X6NBX" hidden="1">#REF!</definedName>
    <definedName name="BExD8NARMEUL656ARXPE1Y32WXP7" hidden="1">#REF!</definedName>
    <definedName name="BExD8OCLZMFN5K3VZYI4Q4ITVKUA" hidden="1">#REF!</definedName>
    <definedName name="BExD8X6TAMS93C4DKAITUVXQZ7TK" hidden="1">#REF!</definedName>
    <definedName name="BExD924XIT8540C9EXA548IWNNSU" hidden="1">#REF!</definedName>
    <definedName name="BExD93C1R6LC0631ECHVFYH0R0PD" hidden="1">#REF!</definedName>
    <definedName name="BExD94DS6GK1R4SNRBPMBO8TFZTH" hidden="1">#REF!</definedName>
    <definedName name="BExD94J981WBLWK76TPGHU6OTETG" hidden="1">#REF!</definedName>
    <definedName name="BExD97TXIO0COVNN4OH3DEJ33YLM" hidden="1">#REF!</definedName>
    <definedName name="BExD99RZ1RFIMK6O1ZHSPJ68X9Y5" hidden="1">#REF!</definedName>
    <definedName name="BExD9F0VZCENX0Z58GPGE8Y26Z26" hidden="1">#REF!</definedName>
    <definedName name="BExD9IMBI0P6S6QRAXHE26HMK86D" hidden="1">#REF!</definedName>
    <definedName name="BExD9L0ID3VSOU609GKWYTA5BFMA" hidden="1">#REF!</definedName>
    <definedName name="BExD9L5ZN0SKCZ2VNRAZHVDQZB28" hidden="1">#REF!</definedName>
    <definedName name="BExD9M7SEMG0JK2FUTTZXWIEBTKB" hidden="1">#REF!</definedName>
    <definedName name="BExD9MNYBYB1AICQL5165G472IE2" hidden="1">[2]Table!#REF!</definedName>
    <definedName name="BExD9N9I2SV506ER5QUTUTWQGMKX" hidden="1">#REF!</definedName>
    <definedName name="BExD9P7KJLY6T5E1UK1ST0X5ZRW6" hidden="1">#REF!</definedName>
    <definedName name="BExD9PNSYT7GASEGUVL48MUQ02WO" hidden="1">#REF!</definedName>
    <definedName name="BExD9TK2MIWFH5SKUYU9ZKF4NPHQ" hidden="1">#REF!</definedName>
    <definedName name="BExD9VT3ASAZUZGXB4N28DW8X89B" hidden="1">#REF!</definedName>
    <definedName name="BExD9YI6ZM0Z74N39U0M74YC55PR" hidden="1">#REF!</definedName>
    <definedName name="BExDA3LGODGEZRYKJAQ1SZ2E81PC" hidden="1">#REF!</definedName>
    <definedName name="BExDA6LD9061UULVKUUI4QP8SK13" hidden="1">#REF!</definedName>
    <definedName name="BExDA6LDIE4HKEUEP24A271BPZUT" hidden="1">#REF!</definedName>
    <definedName name="BExDABOTC8XM8558PVO7MB6F6DCT" hidden="1">#REF!</definedName>
    <definedName name="BExDADSAC6HQADSHJHMKRWW5UCNF" hidden="1">#REF!</definedName>
    <definedName name="BExDAGMVMNLQ6QXASB9R6D8DIT12" hidden="1">#REF!</definedName>
    <definedName name="BExDAMS0EVEXWYDC8U34MUNZYY6K" hidden="1">#REF!</definedName>
    <definedName name="BExDAN2SXVIZ5TY9L7E1AOV782BL" hidden="1">#REF!</definedName>
    <definedName name="BExDAOVJHP3QZ6G6D8SNUJPBEKWR" hidden="1">Tech '[4]2'!$B$6:$S$142</definedName>
    <definedName name="BExDAU4G4M0FNFZM4S0WGUCO63TW" hidden="1">#REF!</definedName>
    <definedName name="BExDAYBHSZ6W58ULP3RVEFSBF1LK" hidden="1">#REF!</definedName>
    <definedName name="BExDAYBHU9ADLXI8VRC7F608RVGM" hidden="1">#REF!</definedName>
    <definedName name="BExDB22A3D2J3WOKLEGNTLH3DKLA" hidden="1">#REF!</definedName>
    <definedName name="BExDB2YM2JO4VAD6ZM5ZGQRC3K3M" hidden="1">#REF!</definedName>
    <definedName name="BExDB39GNDHCPPB7U2PZQO5TJ1OI" hidden="1">#REF!</definedName>
    <definedName name="BExDB3V05OSLF7CXBUY7QN46YQJU" hidden="1">#REF!</definedName>
    <definedName name="BExDB57MPYBCG1PKZ6BI404WSJ97" hidden="1">#REF!</definedName>
    <definedName name="BExDB6K4RDGDE3KUEP7NCIU1COIR" hidden="1">#REF!</definedName>
    <definedName name="BExDBDR1XR0FV0CYUCB2OJ7CJCZU" hidden="1">#REF!</definedName>
    <definedName name="BExDBECNFJKO0HIOIKTWDCSWP755" hidden="1">#REF!</definedName>
    <definedName name="BExDBI8WRY61SHXKAT4UFXLB15E8" hidden="1">#REF!</definedName>
    <definedName name="BExDBMFZVQJLPFN23YRMBVXE4QFG" hidden="1">Table '[4]2'!$B$6:$F$9</definedName>
    <definedName name="BExDBQXSTNOXRXFVCUBDQJV2BIHO" hidden="1">#REF!</definedName>
    <definedName name="BExDBZBW3EHQF6J0XXIT3ZMXPL8C" hidden="1">#REF!</definedName>
    <definedName name="BExDC7F818VN0S18ID7XRCRVYPJ4" hidden="1">#REF!</definedName>
    <definedName name="BExDCHWWI78V45IQR4LEE9MBCJD3" hidden="1">#REF!</definedName>
    <definedName name="BExDCL7K96PC9VZYB70ZW3QPVIJE" hidden="1">#REF!</definedName>
    <definedName name="BExDCP3UZ3C2O4C1F7KMU0Z9U32N" hidden="1">#REF!</definedName>
    <definedName name="BExDCS3QC71XLN5P1GN4X3P21T6Z" hidden="1">#REF!</definedName>
    <definedName name="BExENDR2U81JKSSKE5KBPNNYBILU" hidden="1">#REF!</definedName>
    <definedName name="BExENRJDC2MGQRJ6EHLAWX5I4SRS" hidden="1">#REF!</definedName>
    <definedName name="BExEOBX3WECDMYCV9RLN49APTXMM" hidden="1">#REF!</definedName>
    <definedName name="BExEOTLNJM0F44XFXNK3444KVRDA" hidden="1">#REF!</definedName>
    <definedName name="BExEOUSV2M55Y8PAE406UAYCJ16O" hidden="1">#REF!</definedName>
    <definedName name="BExEP1E944A7MUC5I2B9P5VPKVB4" hidden="1">#REF!</definedName>
    <definedName name="BExEP4E4F36662JDI0TOD85OP7X9" hidden="1">#REF!</definedName>
    <definedName name="BExEP4OWYINBB8O7634GPW1GNY5J" hidden="1">#REF!</definedName>
    <definedName name="BExEP4ZOMKWWLON0DS4MM5VRY7CA" hidden="1">#REF!</definedName>
    <definedName name="BExEP5LAKDKXMN6E1Y75U5MLYYM5" hidden="1">#REF!</definedName>
    <definedName name="BExEP7388TKNL6FEJW00XN7FHEUG" hidden="1">#REF!</definedName>
    <definedName name="BExEPC6NDAB21IZ0L9SIGMT0QR88" hidden="1">#REF!</definedName>
    <definedName name="BExEPF6KAXKTOUV1JOSO7JYIQMZH" hidden="1">#REF!</definedName>
    <definedName name="BExEPFHBL4LGDKF15UW8ZO5K2RL3" hidden="1">#REF!</definedName>
    <definedName name="BExEPIMJSI0JNB6HAHKYYPGV5W3N" hidden="1">#REF!</definedName>
    <definedName name="BExEPJIWQOCJNGMFA9KTYHXN5DSJ" hidden="1">#REF!</definedName>
    <definedName name="BExEPN9VIYI0FVL0HLZQXJFO6TT0" hidden="1">#REF!</definedName>
    <definedName name="BExEPS7TF7RCZMYVHGOK3DHJYK06" hidden="1">#REF!</definedName>
    <definedName name="BExEPTEXHTPGC33I7OMNW0T8VGB8" hidden="1">#REF!</definedName>
    <definedName name="BExEPU61OYDJQAJGEIC35ICH4KBK" hidden="1">#REF!</definedName>
    <definedName name="BExEPXM1E7E1AXVXJRW5A6HYRVZH" hidden="1">#REF!</definedName>
    <definedName name="BExEPYT6VDSMR8MU2341Q5GM2Y9V" hidden="1">[2]Table!#REF!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422TZ1GZRRYDZ0QXJCGUN3S" hidden="1">#REF!</definedName>
    <definedName name="BExEQ900YZ7KKKKNMOXG12FB4CQY" hidden="1">#REF!</definedName>
    <definedName name="BExEQB8ZWXO6IIGOEPWTLOJGE2NR" hidden="1">#REF!</definedName>
    <definedName name="BExEQBEBUCHL09MR461ZTUB1IJKS" hidden="1">#REF!</definedName>
    <definedName name="BExEQBED0T2X9TNLD6CXPVIEAI59" hidden="1">#REF!</definedName>
    <definedName name="BExEQBZX0EL6LIKPY01197ACK65H" hidden="1">#REF!</definedName>
    <definedName name="BExEQD73QE34MW57L1HFXSTB7QEG" hidden="1">#REF!</definedName>
    <definedName name="BExEQDXZALJLD4OBF74IKZBR13SR" hidden="1">#REF!</definedName>
    <definedName name="BExEQEE84Y68SNAN0DZ0LJLQ9HW0" hidden="1">#REF!</definedName>
    <definedName name="BExEQFLE2RPWGMWQAI4JMKUEFRPT" hidden="1">#REF!</definedName>
    <definedName name="BExEQIAJ95GC68SDFWF0ML3EN4H7" hidden="1">#REF!</definedName>
    <definedName name="BExEQLL6I7N3FDMAT8FZH8PAFDM0" hidden="1">#REF!</definedName>
    <definedName name="BExEQQ30JLUVGXATX0S4XE8C33LH" hidden="1">#REF!</definedName>
    <definedName name="BExEQTZAP8R69U31W4LKGTKKGKQE" hidden="1">#REF!</definedName>
    <definedName name="BExEQWJ3IMXUNYY2X9KGQJSZ64PD" hidden="1">Table '[4]2'!$B$6:$F$9</definedName>
    <definedName name="BExER2O72H1F9WV6S1J04C15PXX7" hidden="1">#REF!</definedName>
    <definedName name="BExER4MAMBTMH0PEK0ZSX5M0PROC" hidden="1">#REF!</definedName>
    <definedName name="BExER7RMYGOTE7XXI5U76AO1P3V9" hidden="1">#REF!</definedName>
    <definedName name="BExERA0FZ0A0MDEPOOPRO8T64FCZ" hidden="1">#REF!</definedName>
    <definedName name="BExERBNWRQ2PX0UQZSECBLQHJ3A1" hidden="1">#REF!</definedName>
    <definedName name="BExERBNX1R4CU9LS4OPRNS9PUX66" hidden="1">#REF!</definedName>
    <definedName name="BExERCETL5ZVXSS6EENB85QCSRYG" hidden="1">#REF!</definedName>
    <definedName name="BExERIUTB21WQ9WVQXUCDCGSH23E" hidden="1">#REF!</definedName>
    <definedName name="BExEROP549PMN3GOZHFWE6A83S0Z" hidden="1">#REF!</definedName>
    <definedName name="BExERQNDP3RGBQVZH3C5WVSX0IU0" hidden="1">#REF!</definedName>
    <definedName name="BExERRP1YAE1O52KAR6KY8G7SKXU" hidden="1">#REF!</definedName>
    <definedName name="BExERRUIKIOATPZ9U4HQ0V52RJAU" hidden="1">#REF!</definedName>
    <definedName name="BExERRZU71S273GYJOT37BXK16QI" hidden="1">#REF!</definedName>
    <definedName name="BExERSANFNM1O7T65PC5MJ301YET" hidden="1">#REF!</definedName>
    <definedName name="BExERSLFEDXNMOLAZ2VOI6VVJCBW" hidden="1">#REF!</definedName>
    <definedName name="BExERWCEBKQRYWRQLYJ4UCMMKTHG" hidden="1">[2]Table!#REF!</definedName>
    <definedName name="BExERWSHS5678NWP0NM8J09K2OGY" hidden="1">#REF!</definedName>
    <definedName name="BExERZ6U1882NC5WP67BZCT76CNU" hidden="1">#REF!</definedName>
    <definedName name="BExES44RHHDL3V7FLV6M20834WF1" hidden="1">#REF!</definedName>
    <definedName name="BExES4A7VE2X3RYYTVRLKZD4I7WU" hidden="1">#REF!</definedName>
    <definedName name="BExES5XHU1T6O7YFC8NJQDPRHTWO" hidden="1">#REF!</definedName>
    <definedName name="BExES6ZC8R7PHJ21OVJFLIR7DY30" hidden="1">#REF!</definedName>
    <definedName name="BExES92VIEP4CF3WNOHJY0DTDYG0" hidden="1">#REF!</definedName>
    <definedName name="BExESFDFR8Y8EHU39YY0N9RXORXI" hidden="1">#REF!</definedName>
    <definedName name="BExESITLD21S6SHHL4MTEJ8MTZUC" hidden="1">#REF!</definedName>
    <definedName name="BExESIYX4PGZ17CFAB2UTQD2HM32" hidden="1">#REF!</definedName>
    <definedName name="BExESMEWU65NVDVRORBLD7R0B9IB" hidden="1">#REF!</definedName>
    <definedName name="BExESMKD95A649M0WRSG6CXXP326" hidden="1">#REF!</definedName>
    <definedName name="BExESNBG9LPA17WMOGI58GDG9A88" hidden="1">#REF!</definedName>
    <definedName name="BExESR27ZXJG5VMY4PR9D940VS7T" hidden="1">#REF!</definedName>
    <definedName name="BExESU24MWPXF70X8JOUCK6GW39K" hidden="1">#REF!</definedName>
    <definedName name="BExESXI5DHX6BG99VJPASFVU0H18" hidden="1">#REF!</definedName>
    <definedName name="BExESZ03KXL8DQ2591HLR56ZML94" hidden="1">#REF!</definedName>
    <definedName name="BExESZAW5N443NRTKIP59OEI1CR6" hidden="1">#REF!</definedName>
    <definedName name="BExET13MKRPQ9ISKHD8KMFMNNVVD" hidden="1">#REF!</definedName>
    <definedName name="BExET3HXQ60A4O2OLKX8QNXRI6LQ" hidden="1">#REF!</definedName>
    <definedName name="BExET4E9VR2JPPA4Q4IYZD7QOQ44" hidden="1">#REF!</definedName>
    <definedName name="BExET4P2XYGM3M4AFAF3WUKWCWRJ" hidden="1">#REF!</definedName>
    <definedName name="BExET6SMVAK82X7Z7T0WXDWNZ2US" hidden="1">#REF!</definedName>
    <definedName name="BExET91LWG812OJY7OMGP7OIX6AW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FSANMJ8XUX6UXOOD9WL6AMV" hidden="1">#REF!</definedName>
    <definedName name="BExETI6MAB0VUP157DOLY5MB79S5" hidden="1">#REF!</definedName>
    <definedName name="BExETJ303UHKKIRBFDFAEEB48ILO" hidden="1">#REF!</definedName>
    <definedName name="BExETJDS5KE590N9JCJRWO81DOUF" hidden="1">#REF!</definedName>
    <definedName name="BExETJOK72MDYGSN0AWNQZ162O48" hidden="1">#REF!</definedName>
    <definedName name="BExETP2SELGPOI3DJN4VVWWPPBLV" hidden="1">#REF!</definedName>
    <definedName name="BExETQ4GV8XL75300F5YY9N8XYIJ" hidden="1">#REF!</definedName>
    <definedName name="BExETQ9XRXLUACN82805SPSPNKHI" hidden="1">#REF!</definedName>
    <definedName name="BExETQFFLH766OHX0PD3NEIK0DIF" hidden="1">#REF!</definedName>
    <definedName name="BExETR0YRMOR63E6DHLEHV9QVVON" hidden="1">#REF!</definedName>
    <definedName name="BExETT9T1EQ6Z99UOFFF6XJ1C4TE" hidden="1">#REF!</definedName>
    <definedName name="BExETVDCXGPYA4OP2UI1URTJ60TK" hidden="1">#REF!</definedName>
    <definedName name="BExETVTGY38YXYYF7N73OYN6FYY3" hidden="1">#REF!</definedName>
    <definedName name="BExEU3RH087G2WK8CAG47R3LWX2O" hidden="1">#REF!</definedName>
    <definedName name="BExEU3WT4W6EY7UM8H4RKMCS39RQ" hidden="1">#REF!</definedName>
    <definedName name="BExEU4NTL6AQTIIEWH5CXZV8J7E4" hidden="1">#REF!</definedName>
    <definedName name="BExEU9GGHY1R8ZAGTDRRV37YSDF6" hidden="1">#REF!</definedName>
    <definedName name="BExEU9LTWWW7ZNNKR6ACHSOS5N2W" hidden="1">#REF!</definedName>
    <definedName name="BExEUAI5W3HM05890T7S5BWDR8G1" hidden="1">#REF!</definedName>
    <definedName name="BExEUHJRDLHSDLWZGHTZXE2NA0MK" hidden="1">#REF!</definedName>
    <definedName name="BExEUM6Y5MUDV2WYYY9ICV8796JQ" hidden="1">#REF!</definedName>
    <definedName name="BExEUNE4T242Y59C6MS28MXEUGCP" hidden="1">#REF!</definedName>
    <definedName name="BExEUOFT2VT1FH2HUYSUWLQ6IMLM" hidden="1">#REF!</definedName>
    <definedName name="BExEUTDWQSIIX3Z6V20RJY4SXNDM" hidden="1">#REF!</definedName>
    <definedName name="BExEUTOOSAR1CJ6S2O9NTTQMWXNZ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94A63AZ53C400GA2675ZTCD" hidden="1">#REF!</definedName>
    <definedName name="BExEVAM8BLTWVS6IMVJWDOZBQK9R" hidden="1">#REF!</definedName>
    <definedName name="BExEVED62JQS4CXNWMYNZLW2TR25" hidden="1">#REF!</definedName>
    <definedName name="BExEVET98G3FU6QBF9LHYWSAMV0O" hidden="1">#REF!</definedName>
    <definedName name="BExEVFPO3R71G45FP1EDP2BYEBL1" hidden="1">#REF!</definedName>
    <definedName name="BExEVGRIAKD9J67VT0FD8YIIQQ51" hidden="1">#REF!</definedName>
    <definedName name="BExEVHNVOJ32L70WKKX3NRXXQ81V" hidden="1">#REF!</definedName>
    <definedName name="BExEVHYOGPGSDQI1M1U78ULM875W" hidden="1">#REF!</definedName>
    <definedName name="BExEVL3UZ22W55ZRF3F0J21PKQLX" hidden="1">#REF!</definedName>
    <definedName name="BExEVNCUT0PDUYNJH7G6BSEWZOT2" hidden="1">#REF!</definedName>
    <definedName name="BExEVPGF4V5J0WQRZKUM8F9TTKZJ" hidden="1">#REF!</definedName>
    <definedName name="BExEVQ7APHZ94B1UJCNH7ZEMPND5" hidden="1">#REF!</definedName>
    <definedName name="BExEVU8V92L4LUO6PU01AOXMGW3X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VZSK85RI5CBHBBGU5NPULO9N" hidden="1">#REF!</definedName>
    <definedName name="BExEW0JL1GFFCXMDGW54CI7Y8FZN" hidden="1">#REF!</definedName>
    <definedName name="BExEW0ZP5X5P4ASVQ1VVD4CWX9ZI" hidden="1">Tech '[4]2'!$B$7:$F$10</definedName>
    <definedName name="BExEW26VJYHM1EW0FDLFGSF2VFVY" hidden="1">#REF!</definedName>
    <definedName name="BExEW2SH43KE9AY4ZBXMSP4WAVYS" hidden="1">#REF!</definedName>
    <definedName name="BExEW6357VV6LVZCWOOM0R3T78QK" hidden="1">#REF!</definedName>
    <definedName name="BExEW68M9WL8214QH9C7VCK7BN08" hidden="1">#REF!</definedName>
    <definedName name="BExEW8HFKH6F47KIHYBDRUEFZ2ZZ" hidden="1">#REF!</definedName>
    <definedName name="BExEW8XK9000P5GNEB76DCXO83PG" hidden="1">#REF!</definedName>
    <definedName name="BExEWCJ1QIHY9XYKP5RMK8OV6I5L" hidden="1">#REF!</definedName>
    <definedName name="BExEWF2T9E585Z32GUGMT7MREDTX" hidden="1">[6]Program!#REF!</definedName>
    <definedName name="BExEWFIXGUFP04Q5T1JUGVJR2OPQ" hidden="1">#REF!</definedName>
    <definedName name="BExEWHXF5F2E8FN7TRI5U2ZY0T0P" hidden="1">#REF!</definedName>
    <definedName name="BExEWJKP2L0PYJWEYJOHD1XHKVC4" hidden="1">#REF!</definedName>
    <definedName name="BExEWL83TH44PHJCTIGK1VBC7BZ5" hidden="1">#REF!</definedName>
    <definedName name="BExEWLIUQFW12DL0NK12FWPRH7QV" hidden="1">#REF!</definedName>
    <definedName name="BExEWLO75K95C6IRKHXSP7VP81T4" hidden="1">#REF!</definedName>
    <definedName name="BExEWLZ12X4MLAALKPXGZV2BBEG7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WTGQ3RDSEGWX6LF00F1C41J6" hidden="1">#REF!</definedName>
    <definedName name="BExEWVES4ZPPFJCM9WK67SNT25DT" hidden="1">#REF!</definedName>
    <definedName name="BExEWW5UMO6TO8J0BU0M4DLUNOYM" hidden="1">#REF!</definedName>
    <definedName name="BExEWXD16OL1K1TK06PV9QH29SVT" hidden="1">#REF!</definedName>
    <definedName name="BExEWZ5PH7M4P9G8WL0RVQWGL5P7" hidden="1">#REF!</definedName>
    <definedName name="BExEX4JY8SJ6DF2IMFPQ5ES23RJA" hidden="1">#REF!</definedName>
    <definedName name="BExEX85F3OSW8NSCYGYPS9372Z1Q" hidden="1">#REF!</definedName>
    <definedName name="BExEX9HWY2G6928ZVVVQF77QCM2C" hidden="1">#REF!</definedName>
    <definedName name="BExEXBAN7V1Q6KO7UHMPMEHKCV79" hidden="1">#REF!</definedName>
    <definedName name="BExEXBQWAYKMVBRJRHB8PFCSYFVN" hidden="1">#REF!</definedName>
    <definedName name="BExEXEFZHNERBE58CC24I1OO2RO3" hidden="1">#REF!</definedName>
    <definedName name="BExEXHW00RRW9LXTNRJNE5KJ0LO5" hidden="1">#REF!</definedName>
    <definedName name="BExEXRBSOGD60U3ZOVXNIJAKSK2S" hidden="1">#REF!</definedName>
    <definedName name="BExEXRBZ0DI9E2UFLLKYWGN66B61" hidden="1">#REF!</definedName>
    <definedName name="BExEXRHAC0VISZISX73XMJFJ59UV" hidden="1">[2]Program!#REF!</definedName>
    <definedName name="BExEXSOEO0SDPJ1D5ADE174ZCA2N" hidden="1">#REF!</definedName>
    <definedName name="BExEXU6DS3NPFX1JUPVK1SU2VMYV" hidden="1">#REF!</definedName>
    <definedName name="BExEXUX9IA81Y1OVKS57C7PNS7IB" hidden="1">#REF!</definedName>
    <definedName name="BExEXY83S0MLMWRTV56DN29OPNNY" hidden="1">#REF!</definedName>
    <definedName name="BExEXZ4IZP84NYBIS46G96PJVHAZ" hidden="1">#REF!</definedName>
    <definedName name="BExEY067KMBNYP9WMRGOH8ITDBLD" hidden="1">#REF!</definedName>
    <definedName name="BExEY95VOH2ZET0LYI5148BJSSUZ" hidden="1">#REF!</definedName>
    <definedName name="BExEY9GN5A75N33CBC46YO16ANP2" hidden="1">#REF!</definedName>
    <definedName name="BExEYA7PNLP9CJSRSV6P54B63RKV" hidden="1">#REF!</definedName>
    <definedName name="BExEYDI7TC4OVT5X47MKW0WM7YK9" hidden="1">#REF!</definedName>
    <definedName name="BExEYEELCF7W75FUHHQN93C3P9Q2" hidden="1">#REF!</definedName>
    <definedName name="BExEYGCSYH6XC1X89ZT8VJVQ6THP" hidden="1">#REF!</definedName>
    <definedName name="BExEYJCQMKYMI0IGW9AXKIA71I4F" hidden="1">#REF!</definedName>
    <definedName name="BExEYJI2DDN79SZMJ20WO128UDNL" hidden="1">#REF!</definedName>
    <definedName name="BExEYK92ZUJ7WHOMTRY7FK82SYQN" hidden="1">#REF!</definedName>
    <definedName name="BExEYLG9FL9V1JPPNZ3FUDNSEJ4V" hidden="1">#REF!</definedName>
    <definedName name="BExEYLR2KCUUZM848ID3XVCZQUO1" hidden="1">#REF!</definedName>
    <definedName name="BExEYOW8C1B3OUUCIGEC7L8OOW1Z" hidden="1">#REF!</definedName>
    <definedName name="BExEYSHQAEMAFXS6C5NVEODRUH1K" hidden="1">#REF!</definedName>
    <definedName name="BExEYUQJXZT6N5HJH8ACJF6SRWEE" hidden="1">#REF!</definedName>
    <definedName name="BExEYVHM7COM2XBAZH71USCAT6K9" hidden="1">#REF!</definedName>
    <definedName name="BExEYW8O56SE67A8CIT413PPQFWN" hidden="1">#REF!</definedName>
    <definedName name="BExEYXQGOT90CC2QXVUDAMIS2SD6" hidden="1">#REF!</definedName>
    <definedName name="BExEYY17N22FDMK6IA4HQRCTNPYL" hidden="1">#REF!</definedName>
    <definedName name="BExEZ1S6VZCG01ZPLBSS9Z1SBOJ2" hidden="1">#REF!</definedName>
    <definedName name="BExEZCF5VS46T7MNAEGSIQCQM8WU" hidden="1">#REF!</definedName>
    <definedName name="BExEZFPZKLS4GGKV39NX0GL8AK7B" hidden="1">#REF!</definedName>
    <definedName name="BExEZGBFNJR8DLPN0V11AU22L6WY" hidden="1">#REF!</definedName>
    <definedName name="BExEZI45BD68TOJ6MOWAKJNG00XB" hidden="1">#REF!</definedName>
    <definedName name="BExEZIKEXO22UT1EAKXYHCK8317D" hidden="1">#REF!</definedName>
    <definedName name="BExEZJWVZVRC2C3FAVNUJHJKWX6Z" hidden="1">#REF!</definedName>
    <definedName name="BExEZMB7DLMKFGJZGOVFPOKQ1J0Z" hidden="1">#REF!</definedName>
    <definedName name="BExEZQCXR66LS9YBHU1H7WRJI9LG" hidden="1">#REF!</definedName>
    <definedName name="BExEZQYJW81F362CWKW5HLAAM45I" hidden="1">#REF!</definedName>
    <definedName name="BExEZSLRQHV3BZCSAWJ88GWQV44X" hidden="1">#REF!</definedName>
    <definedName name="BExEZSLS6HY5RYL4SGPU8XH3IHLV" hidden="1">#REF!</definedName>
    <definedName name="BExEZSWLMZZ2RK34GSJ9Q3NPCFT2" hidden="1">#REF!</definedName>
    <definedName name="BExEZZCHL56815CDLGGLIRBJT8SW" hidden="1">#REF!</definedName>
    <definedName name="BExEZZNFD0S61F3EIJXSR6KBQWA7" hidden="1">#REF!</definedName>
    <definedName name="BExF02Y3V3QEPO2XLDSK47APK9XJ" hidden="1">#REF!</definedName>
    <definedName name="BExF09OS91RT7N7IW8JLMZ121ZP3" hidden="1">#REF!</definedName>
    <definedName name="BExF0B6RD4NPR7LW4D3ULIU9DOU8" hidden="1">#REF!</definedName>
    <definedName name="BExF0GKYS9X6S2R0V4ZMJ0MLZ1NQ" hidden="1">#REF!</definedName>
    <definedName name="BExF0LOEHV42P2DV7QL8O7HOQ3N9" hidden="1">#REF!</definedName>
    <definedName name="BExF0NRXT81ACVGXEF7V6TZIDYY2" hidden="1">#REF!</definedName>
    <definedName name="BExF0Q67UAJJ29NK69RPRHTBRNTU" hidden="1">#REF!</definedName>
    <definedName name="BExF0QH116YF95UAL83HSM0C2X7Y" hidden="1">#REF!</definedName>
    <definedName name="BExF0QX4S7S53BZNP46MXI5OTYO6" hidden="1">#REF!</definedName>
    <definedName name="BExF0UO3L4YHP9RFW5ML2Q3JL2VQ" hidden="1">#REF!</definedName>
    <definedName name="BExF0WRM9VO25RLSO03ZOCE8H7K5" hidden="1">#REF!</definedName>
    <definedName name="BExF0Y47SDLIMDE1OYCMHV3RI4W6" hidden="1">#REF!</definedName>
    <definedName name="BExF0ZB7OAZP2ZJZLNDWAQDJVQTO" hidden="1">#REF!</definedName>
    <definedName name="BExF0ZRI7W4RSLIDLHTSM0AWXO3S" hidden="1">#REF!</definedName>
    <definedName name="BExF10NVGY7NVS3Y6ZSDH34FKGSF" hidden="1">#REF!</definedName>
    <definedName name="BExF19CT3MMZZ2T5EWMDNG3UOJ01" hidden="1">#REF!</definedName>
    <definedName name="BExF1FSOAOB8EQRA7CM5NRX6Q75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NAF4DPSR48D4YY7FFU3A4HQ" hidden="1">#REF!</definedName>
    <definedName name="BExF1OSCDOCF939XRCQZSG1MZUSM" hidden="1">#REF!</definedName>
    <definedName name="BExF1QL3TAG6NZ0Q8FBA0DESJ49C" hidden="1">#REF!</definedName>
    <definedName name="BExF1TFOL7AVRYIUD0392609PXQR" hidden="1">#REF!</definedName>
    <definedName name="BExF1UC12Y71QRZ873KZSAHL378M" hidden="1">#REF!</definedName>
    <definedName name="BExF1US4ZIQYSU5LBFYNRA9N0K2O" hidden="1">#REF!</definedName>
    <definedName name="BExF1V2Y0NQKLXVEA1WAIRSV4R12" hidden="1">#REF!</definedName>
    <definedName name="BExF1WVP9NPULSL3533F6J6ULX4S" hidden="1">#REF!</definedName>
    <definedName name="BExF1ZQ32LSX59BZLIOQW1ARU9U5" hidden="1">#REF!</definedName>
    <definedName name="BExF200VK438ANZMJEAPZ2RQDB8U" hidden="1">#REF!</definedName>
    <definedName name="BExF21OBXGVA9D1CPMHVJHL599BC" hidden="1">#REF!</definedName>
    <definedName name="BExF230YQP05YGUPCPD2R46R327K" hidden="1">#REF!</definedName>
    <definedName name="BExF247YW81WCTNXVNOYOFZWLSMI" hidden="1">#REF!</definedName>
    <definedName name="BExF25KLA34828R9J0FRXQL41MI5" hidden="1">#REF!</definedName>
    <definedName name="BExF25VCWVCBW174X49Q93FRCLTU" hidden="1">#REF!</definedName>
    <definedName name="BExF27O43Y7RQP8YYU4KX8PNKR0D" hidden="1">#REF!</definedName>
    <definedName name="BExF28PXA9VBW4OZ74OITX6LHR12" hidden="1">#REF!</definedName>
    <definedName name="BExF2A2F3L424VUDIW1TM9GF0CZT" hidden="1">Tech '[4]2'!$B$7:$F$10</definedName>
    <definedName name="BExF2AIIPHKPK9Y2NLB2ZDMXX4YC" hidden="1">#REF!</definedName>
    <definedName name="BExF2AYTSPFKUUVFICDVGRK3YKS7" hidden="1">#REF!</definedName>
    <definedName name="BExF2CWZN6E87RGTBMD4YQI2QT7R" hidden="1">#REF!</definedName>
    <definedName name="BExF2DD4TU3A3T9ELGPIK2Y4DGDN" hidden="1">#REF!</definedName>
    <definedName name="BExF2DYO1WQ7GMXSTAQRDBW1NSFG" hidden="1">#REF!</definedName>
    <definedName name="BExF2E3ZDZF9DOTZ7OB1DKHZHP3V" hidden="1">#REF!</definedName>
    <definedName name="BExF2HUYJA47V5QCXJ7H8LSLON82" hidden="1">#REF!</definedName>
    <definedName name="BExF2JIDFAIU6ROA3AWOL0Q97MRO" hidden="1">#REF!</definedName>
    <definedName name="BExF2LR83KWDOSK9ACAROCGMTQ8X" hidden="1">#REF!</definedName>
    <definedName name="BExF2MSWNUY9Z6BZJQZ538PPTION" hidden="1">#REF!</definedName>
    <definedName name="BExF2QZYWHTYGUTTXR15CKCV3LS7" hidden="1">#REF!</definedName>
    <definedName name="BExF2RLI5UKYJY6SN16S13WSPX8Y" hidden="1">#REF!</definedName>
    <definedName name="BExF2T8Y6TSJ74RMSZOA9CEH4OZ6" hidden="1">#REF!</definedName>
    <definedName name="BExF2XW4627GVE7PH7IY4NPG4WAS" hidden="1">#REF!</definedName>
    <definedName name="BExF31N3YM4F37EOOY8M8VI1KXN8" hidden="1">#REF!</definedName>
    <definedName name="BExF37C1YKBT79Z9SOJAG5MXQGTU" hidden="1">#REF!</definedName>
    <definedName name="BExF388FUGAN3LV0YF2MBYV0VA23" hidden="1">#REF!</definedName>
    <definedName name="BExF3A6HPA6DGYALZNHHJPMCUYZR" hidden="1">#REF!</definedName>
    <definedName name="BExF3AS2T7GFVNU9JPBXWUQH845Y" hidden="1">#REF!</definedName>
    <definedName name="BExF3CA171KKYEX6SWX9BW0270IA" hidden="1">#REF!</definedName>
    <definedName name="BExF3G0SGAVVLUUOVVJZTL5FHZE3" hidden="1">#REF!</definedName>
    <definedName name="BExF3GBMLCA5ZT2251N0N3CRN11O" hidden="1">#REF!</definedName>
    <definedName name="BExF3I9T44X7DV9HHV51DVDDPPZG" hidden="1">[2]Table!#REF!</definedName>
    <definedName name="BExF3JMFX5DILOIFUDIO1HZUK875" hidden="1">#REF!</definedName>
    <definedName name="BExF3JX1Y1IMPFI0CWE1901YKOUL" hidden="1">#REF!</definedName>
    <definedName name="BExF3NIPV3SIYDMSRSXZNXQHQGQK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3RET913530OJZJYWUA4LCSLF" hidden="1">#REF!</definedName>
    <definedName name="BExF3X9A9ESFICRFCVL22H7PEDI1" hidden="1">#REF!</definedName>
    <definedName name="BExF42SSBVPMLK2UB3B7FPEIY9TU" hidden="1">#REF!</definedName>
    <definedName name="BExF4B6XRPUI4P3GK2L1CBYJNAJ3" hidden="1">#REF!</definedName>
    <definedName name="BExF4HXSWB50BKYPWA0HTT8W56H6" hidden="1">#REF!</definedName>
    <definedName name="BExF4JVTAFQI420Y5UQUK7XXDKX6" hidden="1">#REF!</definedName>
    <definedName name="BExF4KHF04IWW4LQ95FHQPFE4Y9K" hidden="1">#REF!</definedName>
    <definedName name="BExF4M4UTULOYH48RIG7T1O96JC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4Z0MS9SPI96MKD574OYZVWAK" hidden="1">#REF!</definedName>
    <definedName name="BExF52GTGP8MHGII4KJ8TJGR8W8U" hidden="1">#REF!</definedName>
    <definedName name="BExF537P2M5YLLJGZU99XEX6NTV5" hidden="1">#REF!</definedName>
    <definedName name="BExF57K7L3UC1I2FSAWURR4SN0UN" hidden="1">#REF!</definedName>
    <definedName name="BExF58GLA60UMHTF75QAKIUJNGWA" hidden="1">#REF!</definedName>
    <definedName name="BExF59I9OWD34Y4H6CWXT413GTG7" hidden="1">Tech '[4]2'!$B$7</definedName>
    <definedName name="BExF59NQHJ39J7AF8B91RVX0H3P6" hidden="1">#REF!</definedName>
    <definedName name="BExF5F79KP6LE2I1P7SPNFX5WCLO" hidden="1">[2]Program!#REF!</definedName>
    <definedName name="BExF5HR2GFV7O8LKG9SJ4BY78LYA" hidden="1">#REF!</definedName>
    <definedName name="BExF5O1NROR7S87LYBPX8EFJSW3B" hidden="1">#REF!</definedName>
    <definedName name="BExF5O6YA3QXOVO2OO4SJR1QJ2EY" hidden="1">#REF!</definedName>
    <definedName name="BExF5SOT4ILTXA7L8UI4O2C96D2T" hidden="1">#REF!</definedName>
    <definedName name="BExF5V34QZE2QHRPB4CT9E5W4ZI3" hidden="1">#REF!</definedName>
    <definedName name="BExF5WFQU6EUBYB8W5SBUASYHN1H" hidden="1">#REF!</definedName>
    <definedName name="BExF5ZFO2A29GHWR5ES64Z9OS16J" hidden="1">#REF!</definedName>
    <definedName name="BExF606J5MOIZIPNQTIGDZ3U2HR0" hidden="1">#REF!</definedName>
    <definedName name="BExF63S045JO7H2ZJCBTBVH3SUIF" hidden="1">#REF!</definedName>
    <definedName name="BExF642TEGTXCI9A61ZOONJCB0U1" hidden="1">#REF!</definedName>
    <definedName name="BExF65Q2GOYZYAAB8NZRTYXMOSMV" hidden="1">#REF!</definedName>
    <definedName name="BExF67O951CF8UJF3KBDNR0E83C1" hidden="1">#REF!</definedName>
    <definedName name="BExF6AO78AFWXMIYVLHJQ628DSE5" hidden="1">#REF!</definedName>
    <definedName name="BExF6DIMJ7VW1RV5ARCBIXTBDYPU" hidden="1">#REF!</definedName>
    <definedName name="BExF6EV7I35NVMIJGYTB6E24YVPA" hidden="1">[2]Table!#REF!</definedName>
    <definedName name="BExF6FGUF393KTMBT40S5BYAFG00" hidden="1">#REF!</definedName>
    <definedName name="BExF6GIHRU9Y7NP6SWBZKANLYBM7" hidden="1">[3]Table!#REF!</definedName>
    <definedName name="BExF6GNYXWY8A0SY4PW1B6KJMMTM" hidden="1">#REF!</definedName>
    <definedName name="BExF6IB8K74Z0AFT05GPOKKZW7C9" hidden="1">#REF!</definedName>
    <definedName name="BExF6IM6ONY76370JGPZ3VC96Z5P" hidden="1">Tech '[4]2'!$B$6:$Z$1904</definedName>
    <definedName name="BExF6JNWE4H8L694Y8Z1VCZ9EMVP" hidden="1">#REF!</definedName>
    <definedName name="BExF6NUXJI11W2IAZNAM1QWC0459" hidden="1">#REF!</definedName>
    <definedName name="BExF6OWLY0O78MD7QHTQ77IO1O3N" hidden="1">#REF!</definedName>
    <definedName name="BExF6RR76KNVIXGJOVFO8GDILKGZ" hidden="1">#REF!</definedName>
    <definedName name="BExF6T3NQ83M76UMR8DUJATH3B6Q" hidden="1">#REF!</definedName>
    <definedName name="BExF6ZE8D5CMPJPRWT6S4HM56LPF" hidden="1">#REF!</definedName>
    <definedName name="BExF6ZP1TFPBO9M5T7RJYQRTR628" hidden="1">#REF!</definedName>
    <definedName name="BExF70G2QKN0YYYLX3CNJLJL3LEC" hidden="1">#REF!</definedName>
    <definedName name="BExF71SL7S5BDGRZ694893ZZ2ZTI" hidden="1">#REF!</definedName>
    <definedName name="BExF71Y129WBH14UUSXZ82X9TLVH" hidden="1">#REF!</definedName>
    <definedName name="BExF73AJ6GVLYA8JBUTZLQZZ2DMD" hidden="1">#REF!</definedName>
    <definedName name="BExF75ZLO70A0J8IKO0N1SICB4P1" hidden="1">#REF!</definedName>
    <definedName name="BExF76FV8SF7AJK7B35AL7VTZF6D" hidden="1">#REF!</definedName>
    <definedName name="BExF7B8J2UHM6BX705NOPMGBH5DX" hidden="1">#REF!</definedName>
    <definedName name="BExF7EOIMC1OYL1N7835KGOI0FIZ" hidden="1">#REF!</definedName>
    <definedName name="BExF7EOJ1WT9DQJGJ8AGTKGR4LEL" hidden="1">#REF!</definedName>
    <definedName name="BExF7FKW27YBUWG0O8N7WZDEQ8PX" hidden="1">#REF!</definedName>
    <definedName name="BExF7FVNFEHQQH5MIO6AIUWSERR7" hidden="1">#REF!</definedName>
    <definedName name="BExF7J6D92D8M6TMJUVRTJGR4OK8" hidden="1">[2]Program!#REF!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RV9JQHNUU59Z7TLWW2ARAN8" hidden="1">#REF!</definedName>
    <definedName name="BExF7U9L5RX778ZQLE6I426ZS4HA" hidden="1">#REF!</definedName>
    <definedName name="BExF7XV1Y41GDCHHNPRQZX4GUAEB" hidden="1">#REF!</definedName>
    <definedName name="BExF81GI8B8WBHXFTET68A9358BR" hidden="1">#REF!</definedName>
    <definedName name="BExF84R8ZH2K4C0CYI1IVFH8WUYD" hidden="1">#REF!</definedName>
    <definedName name="BExF8695GLS6VQDR7PB61VP7PU7C" hidden="1">#REF!</definedName>
    <definedName name="BExF86JZI89KF5SIMOLNRD4S8SZ3" hidden="1">#REF!</definedName>
    <definedName name="BExF87GC0M66ES89IS5SYLAUDXGN" hidden="1">#REF!</definedName>
    <definedName name="BExF88NHS1AOSAEEA2C33TFDEYQS" hidden="1">#REF!</definedName>
    <definedName name="BExF8KXWBJ4YK6NBK9MHQMWQR2MY" hidden="1">[1]Program!#REF!</definedName>
    <definedName name="BExF9380S000V8CA3TT1YXYV1MOY" hidden="1">#REF!</definedName>
    <definedName name="BExF9CTA0UGH0U2JUPUJKMEEI1Z2" hidden="1">#REF!</definedName>
    <definedName name="BExGK7R4MUYE1KW1SZ9CJRJ5SFSY" hidden="1">#REF!</definedName>
    <definedName name="BExGKA5GATIYO7K748BTOOLP62O5" hidden="1">#REF!</definedName>
    <definedName name="BExGKBY5BT1MF8D9O7RMH1SAIWVI" hidden="1">#REF!</definedName>
    <definedName name="BExGKMFTIIPPJL7MW1P2YNCJ207B" hidden="1">#REF!</definedName>
    <definedName name="BExGKN1FBU391L619VHBPC1ZD4PZ" hidden="1">#REF!</definedName>
    <definedName name="BExGKNC6UCNO0YTOPVJZMQ34IVMH" hidden="1">#REF!</definedName>
    <definedName name="BExGKQMUZ7DJW38Y4X9R4BBKGF18" hidden="1">#REF!</definedName>
    <definedName name="BExGKT17Q7NLLXEVPD5JH5USNBZN" hidden="1">#REF!</definedName>
    <definedName name="BExGL97US0Y3KXXASUTVR26XLT70" hidden="1">#REF!</definedName>
    <definedName name="BExGLC7R4C33RO0PID97ZPPVCW4M" hidden="1">#REF!</definedName>
    <definedName name="BExGLEWUZK8T7GQQO40YR03CGJU5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2FR1BPP9TV01BEWBBA1G6ZC" hidden="1">#REF!</definedName>
    <definedName name="BExGM4DZ65OAQP7MA4LN6QMYZOFF" hidden="1">#REF!</definedName>
    <definedName name="BExGM66Q7WIOTET0U2ABZB044A9N" hidden="1">#REF!</definedName>
    <definedName name="BExGMBA3WB17DF4UFDSNIBFS3N8O" hidden="1">#REF!</definedName>
    <definedName name="BExGMCXCWEC9XNUOEMZ61TMI6CUO" hidden="1">#REF!</definedName>
    <definedName name="BExGMEFBL47KYW564WF1RQ6VY453" hidden="1">#REF!</definedName>
    <definedName name="BExGMJDGIH0MEPC2TUSFUCY2ROTB" hidden="1">#REF!</definedName>
    <definedName name="BExGMKPW2HPKN0M0XKF3AZ8YP0D6" hidden="1">#REF!</definedName>
    <definedName name="BExGML66A4P2MYD71TSH2AZ74AFG" hidden="1">#REF!</definedName>
    <definedName name="BExGMP2F175LGL6QVSJGP6GKYHHA" hidden="1">#REF!</definedName>
    <definedName name="BExGMPIIP8GKML2VVA8OEFL43NCS" hidden="1">#REF!</definedName>
    <definedName name="BExGMU0EABGENLFQATNYKAZ67A2A" hidden="1">#REF!</definedName>
    <definedName name="BExGMV7JFJQ9MFQMNOZ96I3DEFPW" hidden="1">#REF!</definedName>
    <definedName name="BExGMZ3SRIXLXMWBVOXXV3M4U4YL" hidden="1">#REF!</definedName>
    <definedName name="BExGMZ3UBN48IXU1ZEFYECEMZ1IM" hidden="1">#REF!</definedName>
    <definedName name="BExGN0LRKAPMAKXJTDAKS7Q1MV6S" hidden="1">#REF!</definedName>
    <definedName name="BExGN302ZAN42JWDTY9QGRE5FQG3" hidden="1">#REF!</definedName>
    <definedName name="BExGN3R4T2T3CBK9SK0YJ8A3AH4I" hidden="1">#REF!</definedName>
    <definedName name="BExGN4I0QATXNZCLZJM1KH1OIJQH" hidden="1">#REF!</definedName>
    <definedName name="BExGN9FZ2RWCMSY1YOBJKZMNIM9R" hidden="1">#REF!</definedName>
    <definedName name="BExGNAHTP5T6NOO33HS90W27IPJM" hidden="1">#REF!</definedName>
    <definedName name="BExGNCFW1HJRE2CBZ65J7JB4DCF3" hidden="1">#REF!</definedName>
    <definedName name="BExGNDSIMTHOCXXG6QOGR6DA8SGG" hidden="1">#REF!</definedName>
    <definedName name="BExGNEU71C52D6X1CT407MAVNUG1" hidden="1">#REF!</definedName>
    <definedName name="BExGNHE0JWP6CUREJUKJLJEYIK5W" hidden="1">#REF!</definedName>
    <definedName name="BExGNI52AWZUF94S9H8PCBLOJC58" hidden="1">[2]Program!#REF!</definedName>
    <definedName name="BExGNIL61XU9MNMD6GWV0850SIE1" hidden="1">#REF!</definedName>
    <definedName name="BExGNIQGC8XTJIUM75OMF08S3J9V" hidden="1">#REF!</definedName>
    <definedName name="BExGNJC67Z8VETJNSUG55K35D95Y" hidden="1">#REF!</definedName>
    <definedName name="BExGNM6L767CZ6R48SWN2I2F5566" hidden="1">#REF!</definedName>
    <definedName name="BExGNMXNA4OK34GHUKZ1HPYFQNFS" hidden="1">#REF!</definedName>
    <definedName name="BExGNN2YQ9BDAZXT2GLCSAPXKIM7" hidden="1">#REF!</definedName>
    <definedName name="BExGNPBUQ4MFVXFVD9LJPL5PZU68" hidden="1">#REF!</definedName>
    <definedName name="BExGNSS0CKRPKHO25R3TDBEL2NHX" hidden="1">#REF!</definedName>
    <definedName name="BExGNT2S9DZ6AKO1S7NAZZLGLUCR" hidden="1">#REF!</definedName>
    <definedName name="BExGNYH0MO8NOVS85L15G0RWX4GW" hidden="1">#REF!</definedName>
    <definedName name="BExGNZO44DEG8CGIDYSEGDUQ531R" hidden="1">#REF!</definedName>
    <definedName name="BExGO1X43O3J62QL5VVMGNJJAG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A0BETSOSL9F38PSA85QKALC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E7C2HSW9M6L6R25H0Z4JEKM" hidden="1">#REF!</definedName>
    <definedName name="BExGOI3M84PCOV0FSX0APR834A9T" hidden="1">#REF!</definedName>
    <definedName name="BExGOJQWS4K1VDJFUUU6Y69A03LE" hidden="1">#REF!</definedName>
    <definedName name="BExGOL903YF63SRYHHD7UNE2B0E7" hidden="1">#REF!</definedName>
    <definedName name="BExGOO8VU2OL5VC3G6MG5C4GHDXI" hidden="1">#REF!</definedName>
    <definedName name="BExGOOE7B9QDN69U7GONQBG7FOD3" hidden="1">#REF!</definedName>
    <definedName name="BExGOQ1H8FN5RUG59K7IWTXWGR21" hidden="1">#REF!</definedName>
    <definedName name="BExGOROWSCEN1I6IXZVXWNFSY76K" hidden="1">#REF!</definedName>
    <definedName name="BExGOUJBXXU2013MDRCGRUMK2E6V" hidden="1">#REF!</definedName>
    <definedName name="BExGOX346F8OPAI5SM0HZX051GR3" hidden="1">#REF!</definedName>
    <definedName name="BExGOX34CEBT4V69TP7ZSAJ26Y9P" hidden="1">#REF!</definedName>
    <definedName name="BExGOXDWFTN4HPPIB69Z2OGLSUXF" hidden="1">#REF!</definedName>
    <definedName name="BExGOXJDHUDPDT8I8IVGVW9J0R5Q" hidden="1">#REF!</definedName>
    <definedName name="BExGOZS7XDTJIXQTC1L5DVZMDFC8" hidden="1">#REF!</definedName>
    <definedName name="BExGP26IG5VB6AS2CJYPPT8BW5VQ" hidden="1">#REF!</definedName>
    <definedName name="BExGP4A2TXG50L9I2OENF5QAP9XV" hidden="1">#REF!</definedName>
    <definedName name="BExGP9ISR1V274Q0ZDMTWXD45R0Y" hidden="1">#REF!</definedName>
    <definedName name="BExGPB0QWZQYZ4O1B28QZMIZK4R5" hidden="1">#REF!</definedName>
    <definedName name="BExGPB0RS57QG6FJOII6EGJAMJ8V" hidden="1">#REF!</definedName>
    <definedName name="BExGPH604N2IGRKP9EGDWXPDCAAB" hidden="1">#REF!</definedName>
    <definedName name="BExGPHGT5KDOCMV2EFS4OVKTWBRD" hidden="1">#REF!</definedName>
    <definedName name="BExGPID72Y4Y619LWASUQZKZHJNC" hidden="1">#REF!</definedName>
    <definedName name="BExGPJKC0HUPD86JCDY2QDCYAP85" hidden="1">#REF!</definedName>
    <definedName name="BExGPMERCX28YHE3RIMGXD5B6RQR" hidden="1">#REF!</definedName>
    <definedName name="BExGPPENQIANVGLVQJ77DK5JPRTB" hidden="1">#REF!</definedName>
    <definedName name="BExGPSK0RLVRW05LCMYZ8CYMQ6BB" hidden="1">#REF!</definedName>
    <definedName name="BExGPSUTO9JOKPOVDYO65C6A17YC" hidden="1">#REF!</definedName>
    <definedName name="BExGPT05LW1T636T2WVNF8P62RA4" hidden="1">#REF!</definedName>
    <definedName name="BExGPWGA3L30JYKOXG4WISHVU0D8" hidden="1">#REF!</definedName>
    <definedName name="BExGQ1JPDLIYZJ76Z4YJNR4XO896" hidden="1">#REF!</definedName>
    <definedName name="BExGQ1ZU4967P72AHF4V1D0FOL5C" hidden="1">#REF!</definedName>
    <definedName name="BExGQ36ZOMR9GV8T05M605MMOY3Y" hidden="1">#REF!</definedName>
    <definedName name="BExGQ4OX3H56ZGLIOHVP8V2KMRIW" hidden="1">#REF!</definedName>
    <definedName name="BExGQ61DTJ0SBFMDFBAK3XZ9O0ZO" hidden="1">#REF!</definedName>
    <definedName name="BExGQ6SG8NBGGUHLMC4CLZZHSQ77" hidden="1">#REF!</definedName>
    <definedName name="BExGQ6SG9XEOD0VMBAR22YPZWSTA" hidden="1">#REF!</definedName>
    <definedName name="BExGQ8QOCU84G14VRKANA8WTMUCY" hidden="1">#REF!</definedName>
    <definedName name="BExGQC6MW1ZCA6O9I0WDQIMXJ071" hidden="1">#REF!</definedName>
    <definedName name="BExGQG2XN8PSY9YK9DIBN0ELCR26" hidden="1">#REF!</definedName>
    <definedName name="BExGQGDP41U4YCRY15JYJ321QWJY" hidden="1">#REF!</definedName>
    <definedName name="BExGQGJ1A7LNZUS8QSMOG8UNGLMK" hidden="1">#REF!</definedName>
    <definedName name="BExGQIS1MB5LEWYTHN4RK0ZGDDD2" hidden="1">#REF!</definedName>
    <definedName name="BExGQLBORW4VQJ5852A63JSJJWWS" hidden="1">#REF!</definedName>
    <definedName name="BExGQLRWLR9RW4HJSH3K4MUM3LZA" hidden="1">#REF!</definedName>
    <definedName name="BExGQORTTN6TIW908Y9VLW6I0TNV" hidden="1">#REF!</definedName>
    <definedName name="BExGQOX56KMJY2H62F3ZE773T2I1" hidden="1">#REF!</definedName>
    <definedName name="BExGQOX5SC3QE5GND2P8HAHC7ZN6" hidden="1">#REF!</definedName>
    <definedName name="BExGQP2M90PWKZU8RDMLC9SJN90J" hidden="1">#REF!</definedName>
    <definedName name="BExGQPO7ENFEQC0NC6MC9OZR2LHY" hidden="1">#REF!</definedName>
    <definedName name="BExGQRM9NCME1AQA8RNH8GRKBEY8" hidden="1">#REF!</definedName>
    <definedName name="BExGQT9N4D7PLFBO2WC3M6KE6BZW" hidden="1">#REF!</definedName>
    <definedName name="BExGQU62DYX9LQG5VJZM8A0R3D7O" hidden="1">#REF!</definedName>
    <definedName name="BExGQX0H4EZMXBJTKJJE4ICJWN5O" hidden="1">#REF!</definedName>
    <definedName name="BExGQXM2EQQ2ZALNVNN9L57J2THH" hidden="1">#REF!</definedName>
    <definedName name="BExGQYIFPI8V28KIEWQ1HLFHFN6T" hidden="1">#REF!</definedName>
    <definedName name="BExGQZERCJ0MPUVR5V4UNZ4K43VQ" hidden="1">#REF!</definedName>
    <definedName name="BExGR0LYD6JPOCKNSA8X69QAB8AN" hidden="1">#REF!</definedName>
    <definedName name="BExGR0RF7QFAQ1LNHKV1RTPFI8UH" hidden="1">#REF!</definedName>
    <definedName name="BExGR23WEFG8G3CHQC5Q2M1VP9Q0" hidden="1">#REF!</definedName>
    <definedName name="BExGR35PZWHL4DDW5YP8RXE6OI8T" hidden="1">#REF!</definedName>
    <definedName name="BExGR4CW3WRIID17GGX4MI9ZDHFE" hidden="1">[2]Table!#REF!</definedName>
    <definedName name="BExGR65GJX27MU2OL6NI5PB8XVB4" hidden="1">#REF!</definedName>
    <definedName name="BExGR6LQ97HETGS3CT96L4IK0JSH" hidden="1">#REF!</definedName>
    <definedName name="BExGR6R86DO99CCI8GMNYFZQAY0L" hidden="1">#REF!</definedName>
    <definedName name="BExGR7Y79PQSN424L2R9YLRYX0WZ" hidden="1">#REF!</definedName>
    <definedName name="BExGR9ATP2LVT7B9OCPSLJ11H9SX" hidden="1">#REF!</definedName>
    <definedName name="BExGRHZROC86IFGNDBDWZNBH5Q2V" hidden="1">#REF!</definedName>
    <definedName name="BExGrid1">#REF!</definedName>
    <definedName name="BExGRLAFH8SIVMQPO5PYB00HVOS6" hidden="1">#REF!</definedName>
    <definedName name="BExGROVWCCR4X8B9VLKKP5XA484H" hidden="1">Table '[4]2'!$B$6:$F$9</definedName>
    <definedName name="BExGRS6L9L23DVN9SJJSHPGISYL5" hidden="1">#REF!</definedName>
    <definedName name="BExGRSC244X3BGTVMECC27SKC09G" hidden="1">#REF!</definedName>
    <definedName name="BExGRUKVVKDL8483WI70VN2QZDGD" hidden="1">#REF!</definedName>
    <definedName name="BExGRW2ULKB7Y7YLFOICYBGK5LJM" hidden="1">#REF!</definedName>
    <definedName name="BExGRWOG8H774BWL55XHDM510RIO" hidden="1">#REF!</definedName>
    <definedName name="BExGS2IWR5DUNJ1U9PAKIV8CMBNI" hidden="1">#REF!</definedName>
    <definedName name="BExGS4MAAFHW24JZJGVFZN3SD1FB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EIC5OW4U7YCFNAR00O7TTAM" hidden="1">[2]Program!#REF!</definedName>
    <definedName name="BExGSH7GMOM09QVSJS9TWM9J43CQ" hidden="1">#REF!</definedName>
    <definedName name="BExGSM03P03HC5D4LGUYJQGQJP8W" hidden="1">#REF!</definedName>
    <definedName name="BExGSN1RE4MS2PQ1JPU7LD9M0GZM" hidden="1">#REF!</definedName>
    <definedName name="BExGSO3MFVL7GH6UF7A5S4Z3LOZ6" hidden="1">#REF!</definedName>
    <definedName name="BExGSOEENCVTENIBUUV9IRSG9KO5" hidden="1">#REF!</definedName>
    <definedName name="BExGSQY65LH1PCKKM5WHDW83F35O" hidden="1">#REF!</definedName>
    <definedName name="BExGSSW7WSTOF2YIEXTORL2VCVA8" hidden="1">#REF!</definedName>
    <definedName name="BExGSV52LXWYEARUK549MLTO95JI" hidden="1">#REF!</definedName>
    <definedName name="BExGSXJECGNCMVZOAMZNP7U7OUQR" hidden="1">#REF!</definedName>
    <definedName name="BExGSYW1GKISF0PMUAK3XJK9PEW9" hidden="1">#REF!</definedName>
    <definedName name="BExGT0372FXB61XD4R310YQWL7EB" hidden="1">#REF!</definedName>
    <definedName name="BExGT0DZJB6LSF6L693UUB9EY1VQ" hidden="1">#REF!</definedName>
    <definedName name="BExGT7KXMZ0EEOU8PRJCBB93YZUA" hidden="1">#REF!</definedName>
    <definedName name="BExGTGVFIF8HOQXR54SK065A8M4K" hidden="1">#REF!</definedName>
    <definedName name="BExGTIYX3OWPIINOGY1E4QQYSKHP" hidden="1">#REF!</definedName>
    <definedName name="BExGTJKI6RHAV2WUKV46O0OIHAED" hidden="1">#REF!</definedName>
    <definedName name="BExGTKGUN0KUU3C0RL2LK98D8MEK" hidden="1">#REF!</definedName>
    <definedName name="BExGTKGVL5LS0PMH8XXOQBLHQ80J" hidden="1">#REF!</definedName>
    <definedName name="BExGTONWUSR8SRMPOEI6UCDAWHT7" hidden="1">#REF!</definedName>
    <definedName name="BExGTP9INWGBM717JZ7WCDCHNM56" hidden="1">#REF!</definedName>
    <definedName name="BExGTTLWWXOQ8G85IO5UVYJC4S9K" hidden="1">#REF!</definedName>
    <definedName name="BExGTU7HF3H258VDCIR34X9Z31B1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6SLJJS51POP0EN016FUXKMI" hidden="1">#REF!</definedName>
    <definedName name="BExGU6SO0Y9B3S8FOFGONMX1FLQI" hidden="1">#REF!</definedName>
    <definedName name="BExGUC6TVZBPFOX9FQD98GRKJUGK" hidden="1">#REF!</definedName>
    <definedName name="BExGUDDZ59HRCKKN4K39EAKIRQDL" hidden="1">#REF!</definedName>
    <definedName name="BExGUDDZXFFQHAF4UZF8ZB1HO7H6" hidden="1">#REF!</definedName>
    <definedName name="BExGUGU6TR3A6QF4D6V28XP584AC" hidden="1">#REF!</definedName>
    <definedName name="BExGUIBXBRHGM97ZX6GBA4ZDQ79C" hidden="1">#REF!</definedName>
    <definedName name="BExGUIHFBA5D1SIJIT2HW78YCQ0J" hidden="1">#REF!</definedName>
    <definedName name="BExGUJ8BC4RU649GGH3HC1D8NAGT" hidden="1">TEST-#REF!</definedName>
    <definedName name="BExGUM2Y3Y7SP3DJPVV8X8IF4M5U" hidden="1">#REF!</definedName>
    <definedName name="BExGUM8D91UNPCOO4TKP9FGX85TF" hidden="1">#REF!</definedName>
    <definedName name="BExGUQF9N9FKI7S0H30WUAEB5LPD" hidden="1">[2]Table!#REF!</definedName>
    <definedName name="BExGUQVJE1MV019H8EUN9O73RXA9" hidden="1">#REF!</definedName>
    <definedName name="BExGUR6BA03XPBK60SQUW197GJ5X" hidden="1">#REF!</definedName>
    <definedName name="BExGUUBIU4B889WTRZ9PJ6NPK99G" hidden="1">[6]Program!#REF!</definedName>
    <definedName name="BExGUVIP60TA4B7X2PFGMBFUSKGX" hidden="1">#REF!</definedName>
    <definedName name="BExGUY2HLJQ7T25PU5HPTOESEZU1" hidden="1">#REF!</definedName>
    <definedName name="BExGUZKF06F209XL1IZWVJEQ82EE" hidden="1">#REF!</definedName>
    <definedName name="BExGV17Q9ZOG9ZW38OCKVK5GDOBK" hidden="1">#REF!</definedName>
    <definedName name="BExGV1NZ4ZC04WJP1Q2EFFV6KMEC" hidden="1">#REF!</definedName>
    <definedName name="BExGV242RIVM9QW6O6RNB832RHP7" hidden="1">[2]Program!#REF!</definedName>
    <definedName name="BExGV2EVT380QHD4AP2RL9MR8L5L" hidden="1">#REF!</definedName>
    <definedName name="BExGV35XZ8X2W8W5RYAK3PVRDU2J" hidden="1">Table '[4]2'!$B$6:$F$9</definedName>
    <definedName name="BExGV7CXWGEWAKVFV2H67H2KVD3Z" hidden="1">#REF!</definedName>
    <definedName name="BExGVE3NCDQOD7Z0NNSTDKURFVJX" hidden="1">#REF!</definedName>
    <definedName name="BExGVFWDKW8LO48OL2ZZUGFJFDDA" hidden="1">#REF!</definedName>
    <definedName name="BExGVK8WDUAQZTM92AGIC7EOX0IV" hidden="1">#REF!</definedName>
    <definedName name="BExGVNE5W5MCD0YUEPGFP27G5QDL" hidden="1">#REF!</definedName>
    <definedName name="BExGVV6OOLDQ3TXZK51TTF3YX0WN" hidden="1">#REF!</definedName>
    <definedName name="BExGVZTV2C3A5JB52HGSCNMILA4J" hidden="1">[2]Program!#REF!</definedName>
    <definedName name="BExGW0KVOL93Z29HD7AAKNQ59I24" hidden="1">#REF!</definedName>
    <definedName name="BExGW0KVS7U0C87XFZ78QW991IEV" hidden="1">#REF!</definedName>
    <definedName name="BExGW2IY866Y5B7T0PAOTDUOX6OB" hidden="1">#REF!</definedName>
    <definedName name="BExGW2Z7AMPG6H9EXA9ML6EZVGGA" hidden="1">#REF!</definedName>
    <definedName name="BExGWABG5VT5XO1A196RK61AXA8C" hidden="1">#REF!</definedName>
    <definedName name="BExGWDBCCUXM48LFSLPCUT6XQTE5" hidden="1">#REF!</definedName>
    <definedName name="BExGWDM54TLU0FNV7VHRNCYAOHJG" hidden="1">#REF!</definedName>
    <definedName name="BExGWEO0JDG84NYLEAV5NSOAGMJZ" hidden="1">#REF!</definedName>
    <definedName name="BExGWF44H0EL5NVTF4RRBZJEFKRV" hidden="1">TEST-[5]LISTA!$B$7:$F$1857</definedName>
    <definedName name="BExGWGWTZ2EV4BBTQFB9USEJF7TS" hidden="1">#REF!</definedName>
    <definedName name="BExGWH7NV56O847ZD01KTFQULH8M" hidden="1">#REF!</definedName>
    <definedName name="BExGWLEOC70Z8QAJTPT2PDHTNM4L" hidden="1">#REF!</definedName>
    <definedName name="BExGWNCXLCRTLBVMTXYJ5PHQI6SS" hidden="1">#REF!</definedName>
    <definedName name="BExGWOEKPCW5PCSPRL9ASAXDMK87" hidden="1">#REF!</definedName>
    <definedName name="BExGWS5IEDOHA1X1EIGKV4KMABT2" hidden="1">#REF!</definedName>
    <definedName name="BExGWU92FRQLAMLJWLVL4HRDHIC7" hidden="1">#REF!</definedName>
    <definedName name="BExGWXUJ967IXUX7Y00NHY0OLTFH" hidden="1">#REF!</definedName>
    <definedName name="BExGWXUJOJA1KBLLVTMSH01QKQE7" hidden="1">#REF!</definedName>
    <definedName name="BExGX453OMLZPGJF63K8PNB8EDJJ" hidden="1">#REF!</definedName>
    <definedName name="BExGX6U82UEZ9WCYOG4MILRI6F8P" hidden="1">#REF!</definedName>
    <definedName name="BExGX6U988MCFIGDA1282F92U9AA" hidden="1">#REF!</definedName>
    <definedName name="BExGX7FTB1CKAT5HUW6H531FIY6I" hidden="1">#REF!</definedName>
    <definedName name="BExGX7QKWYSYK6T48B66M0MQ5P32" hidden="1">Table '[4]2'!$B$5:$I$8</definedName>
    <definedName name="BExGX9DVACJQIZ4GH6YAD2A7F70O" hidden="1">#REF!</definedName>
    <definedName name="BExGXAQB8G5MVNTZHJYGCF9ZR3CM" hidden="1">#REF!</definedName>
    <definedName name="BExGXAVSGVBG937PYHLXJ5QGO6RM" hidden="1">#REF!</definedName>
    <definedName name="BExGXBMU2YYOIKH3GXFB4O28IIWZ" hidden="1">#REF!</definedName>
    <definedName name="BExGXDVP2S2Y8Z8Q43I78RCIK3DD" hidden="1">#REF!</definedName>
    <definedName name="BExGXJ9W5JU7TT9S0BKL5Y6VVB39" hidden="1">#REF!</definedName>
    <definedName name="BExGXMQ2VH08VIGPNIJDZB7C3K46" hidden="1">#REF!</definedName>
    <definedName name="BExGXQGVELUHEDSBNLEGTLOGNVS5" hidden="1">#REF!</definedName>
    <definedName name="BExGXV41BHOVGLRV1MVEUWYT6AN9" hidden="1">#REF!</definedName>
    <definedName name="BExGXVV34UI0K21F3C79FTXBD6EY" hidden="1">#REF!</definedName>
    <definedName name="BExGXWB73RJ4BASBQTQ8EY0EC1EB" hidden="1">[2]Table!#REF!</definedName>
    <definedName name="BExGXWWRMS2NV8ACFKUROY38FCD5" hidden="1">#REF!</definedName>
    <definedName name="BExGXZ0A54BNZUQ9LKMD0HP53WID" hidden="1">#REF!</definedName>
    <definedName name="BExGXZ0ABB43C7SMRKZHWOSU9EQX" hidden="1">#REF!</definedName>
    <definedName name="BExGY5WG2SNJ8PRQMH52KMQEPIM5" hidden="1">#REF!</definedName>
    <definedName name="BExGY6SU3SYVCJ3AG2ITY59SAZ5A" hidden="1">#REF!</definedName>
    <definedName name="BExGY6YA4P5KMY2VHT0DYK3YTFAX" hidden="1">#REF!</definedName>
    <definedName name="BExGY8AS76O9WOK16CZWTIRFCHTW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FCF2EEMN7WFG48MBSL67ESY" hidden="1">#REF!</definedName>
    <definedName name="BExGYFHPLVSF5KZ1GCOZ3YIDPVDF" hidden="1">#REF!</definedName>
    <definedName name="BExGYGJJJ3BBCQAOA51WHP01HN73" hidden="1">#REF!</definedName>
    <definedName name="BExGYHAGH0IZT9WAS43U752U84WI" hidden="1">#REF!</definedName>
    <definedName name="BExGYJZLFACIC9DELLH4S0K2P6PF" hidden="1">#REF!</definedName>
    <definedName name="BExGYKFUK3DQO1LD074Q5NCEW1ZT" hidden="1">#REF!</definedName>
    <definedName name="BExGYKQL6E2B48KSQHXUA909D19N" hidden="1">#REF!</definedName>
    <definedName name="BExGYOS6TV2C72PLRFU8RP1I58GY" hidden="1">#REF!</definedName>
    <definedName name="BExGYW9Y7MIDZBTCJUPTV31FE15A" hidden="1">#REF!</definedName>
    <definedName name="BExGYXBMKNF52ZKO1GTCVAF59NME" hidden="1">#REF!</definedName>
    <definedName name="BExGYXRVBL4OZDKMHRJVJSLOP7YV" hidden="1">#REF!</definedName>
    <definedName name="BExGYXXCM53K2H84S4WZTHTHZPHE" hidden="1">#REF!</definedName>
    <definedName name="BExGYY2PBI68I55GPNKXV5RYR1WF" hidden="1">#REF!</definedName>
    <definedName name="BExGZ0MC1XT4VWABFT1UK2UMI0CP" hidden="1">#REF!</definedName>
    <definedName name="BExGZ30NLUF70UWAWTDA4K3ZM7ZS" hidden="1">#REF!</definedName>
    <definedName name="BExGZ9RG3P6PVXESVP28YG46TQCI" hidden="1">#REF!</definedName>
    <definedName name="BExGZAYMISWY2GLEQ6HSU4H8IQ1A" hidden="1">#REF!</definedName>
    <definedName name="BExGZJ78ZWZCVHZ3BKEKFJZ6MAEO" hidden="1">#REF!</definedName>
    <definedName name="BExGZLG9HZMF6JJNTH1C8F0IRQDV" hidden="1">Tech '[4]2'!$B$7</definedName>
    <definedName name="BExGZLLLOD2E5A3IAO8AE3IQ6807" hidden="1">#REF!</definedName>
    <definedName name="BExGZNJSM3D8JICLB7FG34RK776E" hidden="1">#REF!</definedName>
    <definedName name="BExGZOLH2QV73J3M9IWDDPA62TP4" hidden="1">#REF!</definedName>
    <definedName name="BExGZOWA0OLXUS9OBSLBNLC5QU6E" hidden="1">#REF!</definedName>
    <definedName name="BExGZP1PWGFKVVVN4YDIS22DZPCR" hidden="1">#REF!</definedName>
    <definedName name="BExGZQ3FE8G7R3B8BN748FJDYPWS" hidden="1">#REF!</definedName>
    <definedName name="BExGZQE86MIBSPOVT37GF1T0YKMB" hidden="1">#REF!</definedName>
    <definedName name="BExGZSN96MC2HMMYQ3BMZ50490SJ" hidden="1">#REF!</definedName>
    <definedName name="BExGZT3CN6TYRVMJ570L14TCEKOY" hidden="1">Tech '[4]2'!$B$7:$F$10</definedName>
    <definedName name="BExGZVSFLK286T3LIUYZRZEN6I7O" hidden="1">#REF!</definedName>
    <definedName name="BExGZYXS0GTA29TRAW6KAUBGG6D4" hidden="1">#REF!</definedName>
    <definedName name="BExGZZZGDA0GOMVGVK3ZQ5NQXUWB" hidden="1">#REF!</definedName>
    <definedName name="BExH00L21GZX5YJJGVMOAWBERLP5" hidden="1">#REF!</definedName>
    <definedName name="BExH00L270PPYCNWZ7PRHEI7CK8A" hidden="1">#REF!</definedName>
    <definedName name="BExH02ZD6VAY1KQLAQYBBI6WWIZB" hidden="1">#REF!</definedName>
    <definedName name="BExH07XC83E8WXF2O7EJTNS1DOZD" hidden="1">#REF!</definedName>
    <definedName name="BExH08Z6LQCGGSGSAILMHX4X7JMD" hidden="1">#REF!</definedName>
    <definedName name="BExH0B2P8RM916AVX5GDLBMYOPB4" hidden="1">#REF!</definedName>
    <definedName name="BExH0DRTMRQ2UR341BO07Q1RPAKM" hidden="1">#REF!</definedName>
    <definedName name="BExH0EYYFU68QADIOOBXBOEY3DFS" hidden="1">#REF!</definedName>
    <definedName name="BExH0EZ06CSUDW4FKAP7GP3V8GEV" hidden="1">#REF!</definedName>
    <definedName name="BExH0HISCA0NBPDP6X3KD90Q16A0" hidden="1">#REF!</definedName>
    <definedName name="BExH0KT9Z8HEVRRQRGQ8YHXRLIJA" hidden="1">#REF!</definedName>
    <definedName name="BExH0LV4YF9AJ04XXQHJXOHXYK90" hidden="1">#REF!</definedName>
    <definedName name="BExH0M0FDN12YBOCKL3XL2Z7T7Y8" hidden="1">#REF!</definedName>
    <definedName name="BExH0O9G06YPZ5TN9RYT326I1CP2" hidden="1">#REF!</definedName>
    <definedName name="BExH0QCZ7AA625SU2DSS08K14APG" hidden="1">#REF!</definedName>
    <definedName name="BExH0S08L186CB35CY3T34C92BMA" hidden="1">#REF!</definedName>
    <definedName name="BExH0TICV7RL3M01HCJH35FB3E0O" hidden="1">#REF!</definedName>
    <definedName name="BExH0WNJAKTJRCKMTX8O4KNMIIJM" hidden="1">#REF!</definedName>
    <definedName name="BExH0X3N7SFFIUGETBJL8SXF3RGE" hidden="1">#REF!</definedName>
    <definedName name="BExH0Y5JGUO7Z6TD8HXAB8MDIXSA" hidden="1">#REF!</definedName>
    <definedName name="BExH0ZHZ9M95FTG627XS2DJFGYZL" hidden="1">#REF!</definedName>
    <definedName name="BExH12HVG6085KSURYOTAH1TEU3O" hidden="1">#REF!</definedName>
    <definedName name="BExH12Y4WX542WI3ZEM15AK4UM9J" hidden="1">#REF!</definedName>
    <definedName name="BExH17QSM2JXDYT3C05ODMHHUM1F" hidden="1">#REF!</definedName>
    <definedName name="BExH19UAZ2S17HKR4HHNKQH9QG0E" hidden="1">#REF!</definedName>
    <definedName name="BExH1AFVY3DFB10LXJXXA05EU6X8" hidden="1">#REF!</definedName>
    <definedName name="BExH1FDSRY12HI6S4JFGM8R4EB6D" hidden="1">#REF!</definedName>
    <definedName name="BExH1FDTQXR9QQ31WDB7OPXU7MPT" hidden="1">#REF!</definedName>
    <definedName name="BExH1FOMEUIJNIDJAUY0ZQFBJSY9" hidden="1">#REF!</definedName>
    <definedName name="BExH1FU43HG0ELQNA23LNWKYL5CC" hidden="1">#REF!</definedName>
    <definedName name="BExH1JFFHEBFX9BWJMNIA3N66R3Z" hidden="1">#REF!</definedName>
    <definedName name="BExH1LTVO790I3M9W9J6TP3TZ5LX" hidden="1">#REF!</definedName>
    <definedName name="BExH1N0WLGVDBPMOAH3AU0R7JE0Q" hidden="1">#REF!</definedName>
    <definedName name="BExH1NRXNXU0WLQASP81I62087ON" hidden="1">#REF!</definedName>
    <definedName name="BExH1PF6YP9WUFJOPKI8M2G5WA4Y" hidden="1">#REF!</definedName>
    <definedName name="BExH1Q0WUN8C1ZAYX74HMQWHJ7Y9" hidden="1">#REF!</definedName>
    <definedName name="BExH1QMD1UU8X5NZERDZ7OIP3IBI" hidden="1">#REF!</definedName>
    <definedName name="BExH1WBCZSGQAZOUV5WMS2C7M6CJ" hidden="1">#REF!</definedName>
    <definedName name="BExH1XO0FF4WRXYCJTLKM12OFJFA" hidden="1">#REF!</definedName>
    <definedName name="BExH1Z0GIUSVTF2H1G1I3PDGBNK2" hidden="1">[2]Table!#REF!</definedName>
    <definedName name="BExH225UTM6S9FW4MUDZS7F1PQSH" hidden="1">#REF!</definedName>
    <definedName name="BExH23271RF7AYZ542KHQTH68GQ7" hidden="1">#REF!</definedName>
    <definedName name="BExH2GJQDWB0ZCRJB37YNLL61021" hidden="1">#REF!</definedName>
    <definedName name="BExH2GJQR4JALNB314RY0LDI49VH" hidden="1">#REF!</definedName>
    <definedName name="BExH2HLFI8DUIBABQEUD9X143K45" hidden="1">#REF!</definedName>
    <definedName name="BExH2JZR49T7644JFVE7B3N7RZM9" hidden="1">#REF!</definedName>
    <definedName name="BExH2MZN4MSAHOUSMI9Y0FHYT7AU" hidden="1">#REF!</definedName>
    <definedName name="BExH2MZO1HOIRNPY7DFU6KWS5THO" hidden="1">#REF!</definedName>
    <definedName name="BExH2PORVV5FASF5GTNVE3B5S9JK" hidden="1">#REF!</definedName>
    <definedName name="BExH2SONB3O97JWXBDCY36KK238Z" hidden="1">#REF!</definedName>
    <definedName name="BExH2UHF0QTJG107MULYB16WBJM9" hidden="1">#REF!</definedName>
    <definedName name="BExH2VU17ZSQ6UMFZ9FOP753TT9E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J0IVUMECKRLQINU0NTOMDX" hidden="1">#REF!</definedName>
    <definedName name="BExH31J0PXBNNU5GEQI3S7BPJDKT" hidden="1">#REF!</definedName>
    <definedName name="BExH31TU385T3EA3D1MBZGSAZ5EK" hidden="1">#REF!</definedName>
    <definedName name="BExH31Z3JNVJPESWKXHILGXZHP2M" hidden="1">#REF!</definedName>
    <definedName name="BExH32KO7SQ76S373KE3P7BA5L99" hidden="1">#REF!</definedName>
    <definedName name="BExH3BPW245WVGA1K1DGTL1XWDCH" hidden="1">#REF!</definedName>
    <definedName name="BExH3BV6UCHKNZEYYM88W3FE4RVM" hidden="1">#REF!</definedName>
    <definedName name="BExH3BV71TBZP7TI377EOABBYAEX" hidden="1">#REF!</definedName>
    <definedName name="BExH3E9HZ3QJCDZW7WI7YACFQCHE" hidden="1">#REF!</definedName>
    <definedName name="BExH3GIIGR15LOD5918UDNP6N7MS" hidden="1">#REF!</definedName>
    <definedName name="BExH3HK6VP1N7A8QYFOATRK37JC7" hidden="1">#REF!</definedName>
    <definedName name="BExH3IRB6764RQ5HBYRLH6XCT29X" hidden="1">#REF!</definedName>
    <definedName name="BExH3JNPKV2X4K64R3O43RLJ31DQ" hidden="1">#REF!</definedName>
    <definedName name="BExH3NJZS7H5WCKZBO8X3AOSVSW4" hidden="1">#REF!</definedName>
    <definedName name="BExH3UQY76F31ZZJR5GLRIV3VFPY" hidden="1">#REF!</definedName>
    <definedName name="BExH4HTPYPQ91XIJ8IWIMHWOB0RA" hidden="1">#REF!</definedName>
    <definedName name="BExIFJNPYZJUQJXEKIZ5F7YA9H3N" hidden="1">#REF!</definedName>
    <definedName name="BExIG2U8V6RSB47SXLCQG3Q68YRO" hidden="1">#REF!</definedName>
    <definedName name="BExIG9FMY6OOSODNTWQJ2F28Y2FK" hidden="1">#REF!</definedName>
    <definedName name="BExIGHTQOSBTYJJ18PGNA5OML1CE" hidden="1">#REF!</definedName>
    <definedName name="BExIGI4JB7AS1WJBHUZAZCJ9RMLE" hidden="1">#REF!</definedName>
    <definedName name="BExIGJBO8R13LV7CZ7C1YCP974NN" hidden="1">#REF!</definedName>
    <definedName name="BExIGREZBFX5E37IZTP9D3BI7AUW" hidden="1">#REF!</definedName>
    <definedName name="BExIGSM4XYDB00VX3N75E5QEM3CJ" hidden="1">#REF!</definedName>
    <definedName name="BExIGV5T9S8W8WMR0R9OZ4UALRFL" hidden="1">#REF!</definedName>
    <definedName name="BExIGWT86FPOEYTI8GXCGU5Y3KGK" hidden="1">#REF!</definedName>
    <definedName name="BExIH3PEZ1T5E0MKWMXWMPI00KLH" hidden="1">#REF!</definedName>
    <definedName name="BExIH51URLQJA6KNX5CJKIUIR5UQ" hidden="1">#REF!</definedName>
    <definedName name="BExIHB1M778BYH0DZZTT1IJCTDAH" hidden="1">#REF!</definedName>
    <definedName name="BExIHB749A32LV5Z68A2ELWFD03H" hidden="1">#REF!</definedName>
    <definedName name="BExIHBHXA7E7VUTBVHXXXCH3A5CL" hidden="1">#REF!</definedName>
    <definedName name="BExIHDANS3VETLJM6LLR5ZIUSBSO" hidden="1">#REF!</definedName>
    <definedName name="BExIHGAJXDI91AG7VBTZRXSFUNDD" hidden="1">#REF!</definedName>
    <definedName name="BExIHN6R0FZ54SOGRSRENZX05IGX" hidden="1">#REF!</definedName>
    <definedName name="BExIHNMT9P59WY619GEWB1XONTAE" hidden="1">#REF!</definedName>
    <definedName name="BExIHNMTY8HBM7KQDSTMXEM6MHL4" hidden="1">#REF!</definedName>
    <definedName name="BExIHPQBRM0SBN625YNKWUU08AP9" hidden="1">#REF!</definedName>
    <definedName name="BExIHPQCQTGEW8QOJVIQ4VX0P6DX" hidden="1">#REF!</definedName>
    <definedName name="BExIHQHF9ZPG7XJQFM9AJMHAVVPF" hidden="1">#REF!</definedName>
    <definedName name="BExIHU2VDKR82FMYIFCKDXNSY730" hidden="1">#REF!</definedName>
    <definedName name="BExIHU2VSXTKRMO3RHJI6RZ206Q5" hidden="1">#REF!</definedName>
    <definedName name="BExIHWH6NO1D2UOMBNOG0ZOUYIH3" hidden="1">#REF!</definedName>
    <definedName name="BExIHXZ4E1733VAQC369WMSEKWR1" hidden="1">#REF!</definedName>
    <definedName name="BExIHZ6ALVREAYK4T741OOLGXOZA" hidden="1">#REF!</definedName>
    <definedName name="BExII1KN91Q7DLW0UB7W2TJ5ACT9" hidden="1">#REF!</definedName>
    <definedName name="BExII20QQ1K3GHOPL1ZQX5SL618M" hidden="1">#REF!</definedName>
    <definedName name="BExII50LI8I0CDOOZEMIVHVA2V95" hidden="1">#REF!</definedName>
    <definedName name="BExIIB0DUWL64OST0BATPPGG41HQ" hidden="1">#REF!</definedName>
    <definedName name="BExIIDPHPX2PTN9RNC7FH5QFK5J8" hidden="1">#REF!</definedName>
    <definedName name="BExIIHLS13OX7NLNUPCKAZ6KB30K" hidden="1">#REF!</definedName>
    <definedName name="BExIIJ3R5E9ZYHRRM9BMZ4JY217F" hidden="1">#REF!</definedName>
    <definedName name="BExIIJK0H13CB4Q3OIACC8MXVTJT" hidden="1">#REF!</definedName>
    <definedName name="BExIILCQU8JQCP43Z7OE97MH6D06" hidden="1">Tech '[7]1'!$B$7:$L$231</definedName>
    <definedName name="BExIIMUOIOKKEWBD3OIO0147Z2W4" hidden="1">#REF!</definedName>
    <definedName name="BExIIOHYIEQ0DS8QC40L0C79QUAO" hidden="1">#REF!</definedName>
    <definedName name="BExIIOSQ9VWHGGOZIWGWGTV7GR8Y" hidden="1">#REF!</definedName>
    <definedName name="BExIIRSN0HO7JCLTF0XK92H6Z2AF" hidden="1">#REF!</definedName>
    <definedName name="BExIIT53Q46BR9YNIF07A81B4U21" hidden="1">#REF!</definedName>
    <definedName name="BExIIXHMV0DV41DCRHEP9E0KR3TV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IYOS8ZKZHLOL26AZBCLVU9XV" hidden="1">#REF!</definedName>
    <definedName name="BExIJ18EWV0S8GDCW975YYBPNBRL" hidden="1">#REF!</definedName>
    <definedName name="BExIJ3160YCWGAVEU0208ZGXXG3P" hidden="1">#REF!</definedName>
    <definedName name="BExIJ31CKZFEMIFD585N37X41MJ0" hidden="1">#REF!</definedName>
    <definedName name="BExIJ6HAZAJ488ZO7A0MIUX7TM7B" hidden="1">#REF!</definedName>
    <definedName name="BExIJ72WNHJBWF9BCGE33T2DFFE9" hidden="1">#REF!</definedName>
    <definedName name="BExIJ7DOGO66W4Y0WJSTSH187EG2" hidden="1">#REF!</definedName>
    <definedName name="BExIJ8Q4WWPTKVONF0FPLTD4L7CH" hidden="1">#REF!</definedName>
    <definedName name="BExIJ9MI8QNCVF6L1SK4ZWC4CPJ7" hidden="1">#REF!</definedName>
    <definedName name="BExIJC6AR93CBJHW9VBKTWKUQSFU" hidden="1">#REF!</definedName>
    <definedName name="BExIJFGZJ5ED9D6KAY4PGQYLELAX" hidden="1">#REF!</definedName>
    <definedName name="BExIJK464ZYQE0JC7TT26D5EVV0S" hidden="1">#REF!</definedName>
    <definedName name="BExIJQK80ZEKSTV62E59AYJYUNLI" hidden="1">#REF!</definedName>
    <definedName name="BExIJRGGKDA5GYLF8XURUDUENEOK" hidden="1">#REF!</definedName>
    <definedName name="BExIJRGLK2HOMEEZ6UCT1G68I34H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EJY8ZL007PX3593FMCEZSV" hidden="1">#REF!</definedName>
    <definedName name="BExIJWK0NGTGQ4X7D5VIVXD14JHI" hidden="1">#REF!</definedName>
    <definedName name="BExIJWPCIYINEJUTXU74VK7WG031" hidden="1">#REF!</definedName>
    <definedName name="BExIJY79SGUMMXTQSOBM0KQDTDU1" hidden="1">#REF!</definedName>
    <definedName name="BExIJZ3NTWJ4X2UDI85IZWWW53DS" hidden="1">#REF!</definedName>
    <definedName name="BExIJZP8AKK000EFDGK7KZ1YKRXT" hidden="1">#REF!</definedName>
    <definedName name="BExIK2909GAMCXX1MKYL6GZRTMV4" hidden="1">#REF!</definedName>
    <definedName name="BExIK6AM9AURUH2I4W8RKQB7USRB" hidden="1">#REF!</definedName>
    <definedName name="BExIK8UEHZX4HVDWMY6U9M2Y57U0" hidden="1">#REF!</definedName>
    <definedName name="BExIKHTXPZR5A8OHB6HDP6QWDHAD" hidden="1">#REF!</definedName>
    <definedName name="BExIKKZ9JKCZLG038P7OMII4R5K2" hidden="1">#REF!</definedName>
    <definedName name="BExIKMMJOETSAXJYY1SIKM58LMA2" hidden="1">#REF!</definedName>
    <definedName name="BExIKPH5P4QOU1ZCRQHT652BL20I" hidden="1">#REF!</definedName>
    <definedName name="BExIKQ2QKIS9LTDOJ4KNJL7ZZQOB" hidden="1">#REF!</definedName>
    <definedName name="BExIKRF6AQ6VOO9KCIWSM6FY8M7D" hidden="1">#REF!</definedName>
    <definedName name="BExIKTYZESFT3LC0ASFMFKSE0D1X" hidden="1">#REF!</definedName>
    <definedName name="BExIKU49RNQF4OC9TNXEVECXS033" hidden="1">#REF!</definedName>
    <definedName name="BExIKXVA6M8K0PTRYAGXS666L335" hidden="1">#REF!</definedName>
    <definedName name="BExIL0PMZ2SXK9R6MLP43KBU1J2P" hidden="1">#REF!</definedName>
    <definedName name="BExIL45UAJTQCLO0PRR3OAT4FUN0" hidden="1">#REF!</definedName>
    <definedName name="BExIL8I82AWSI5XFZ1P2747YH1Q7" hidden="1">#REF!</definedName>
    <definedName name="BExILAAXRTRAD18K74M6MGUEEPUM" hidden="1">#REF!</definedName>
    <definedName name="BExILBI3LT1UEBU3EWTPY8G27PSR" hidden="1">#REF!</definedName>
    <definedName name="BExILCEGQDTL40GDKZUZPBKTCNQB" hidden="1">#REF!</definedName>
    <definedName name="BExILG5F338C0FFLMVOKMKF8X5ZP" hidden="1">#REF!</definedName>
    <definedName name="BExILGLHXOHUL0ESDH72LZ7544GE" hidden="1">#REF!</definedName>
    <definedName name="BExILGQTQM0HOD0BJI90YO7GOIN3" hidden="1">#REF!</definedName>
    <definedName name="BExILJ558DU4VWYTKQGUZWNZN6KS" hidden="1">#REF!</definedName>
    <definedName name="BExILJAN07YSOTRZOTVWG4ONYZP9" hidden="1">#REF!</definedName>
    <definedName name="BExILVA80NKW2FOB0V28FVVXM22K" hidden="1">#REF!</definedName>
    <definedName name="BExILX88VFBHFTAA1ORKRE2IAX4K" hidden="1">[6]Program!#REF!</definedName>
    <definedName name="BExILX8FCGUW6HWHS0PSA527OL5Y" hidden="1">#REF!</definedName>
    <definedName name="BExIM02UP3RCUWZ2RO86WO6595EZ" hidden="1">#REF!</definedName>
    <definedName name="BExIM3TNJJNYVRP0YFOXUKA4LJ9E" hidden="1">#REF!</definedName>
    <definedName name="BExIM3Z3QUAE4DF0SYHZ02K6H9KW" hidden="1">#REF!</definedName>
    <definedName name="BExIM6O8BO8JESDN0BG77W81DC74" hidden="1">#REF!</definedName>
    <definedName name="BExIM9DBUB7ZGF4B20FVUO9QGOX2" hidden="1">#REF!</definedName>
    <definedName name="BExIMDKDA54K6OWRGKKAAL13C5YD" hidden="1">#REF!</definedName>
    <definedName name="BExIMGK9Z94TFPWWZFMD10HV0IF6" hidden="1">#REF!</definedName>
    <definedName name="BExIMIT427CJSYOCFG8JGTIJC8EC" hidden="1">#REF!</definedName>
    <definedName name="BExIMNAYE9LL0QQSO5TF0SJOQO22" hidden="1">#REF!</definedName>
    <definedName name="BExIMNGGFHOYPLOT5EMI67GWJ89K" hidden="1">#REF!</definedName>
    <definedName name="BExIMNWJ3GVWIW13O2G1HPDA3M5W" hidden="1">#REF!</definedName>
    <definedName name="BExIMPEGKG18TELVC33T4OQTNBWC" hidden="1">#REF!</definedName>
    <definedName name="BExIMQ5FHUHOZ19LTL1Q49SKDXRO" hidden="1">#REF!</definedName>
    <definedName name="BExIMRI0JWYS9AGO0VX5EPAP2JMQ" hidden="1">#REF!</definedName>
    <definedName name="BExIMTAR1TFV3DP2D7HWECJEOYUG" hidden="1">#REF!</definedName>
    <definedName name="BExIMUHWFKXHF4W8L0GC12KIN60E" hidden="1">#REF!</definedName>
    <definedName name="BExIMWANTWYXLJNEE4E5WYFLFJBV" hidden="1">#REF!</definedName>
    <definedName name="BExIMZAKNPYX5RKSJA1CU8C1OU8W" hidden="1">#REF!</definedName>
    <definedName name="BExIN4OR435DL1US13JQPOQK8GD5" hidden="1">[2]Table!#REF!</definedName>
    <definedName name="BExIN5FMOIA968ZWB3XA1GOI4AL6" hidden="1">#REF!</definedName>
    <definedName name="BExIN5FT79A7LRAIEFUIB7C4KIXH" hidden="1">#REF!</definedName>
    <definedName name="BExIN618C28BWS48V0BAFTA93BXU" hidden="1">#REF!</definedName>
    <definedName name="BExIN6MTFZJAISJ7ZYKQL90U7H85" hidden="1">#REF!</definedName>
    <definedName name="BExIN7327CLVQIGI0VKBCEEKUBCA" hidden="1">#REF!</definedName>
    <definedName name="BExIN7DVN7MLNY6EATFJOJFWNZLU" hidden="1">#REF!</definedName>
    <definedName name="BExIN8FK0VJT3CRRWGRO3XE26YZS" hidden="1">#REF!</definedName>
    <definedName name="BExINI6A7H3KSFRFA6UBBDPKW37F" hidden="1">#REF!</definedName>
    <definedName name="BExINIMK8XC3JOBT2EXYFHHH52H0" hidden="1">#REF!</definedName>
    <definedName name="BExINKKN7NMGO8RX9BKWY0QEL4MG" hidden="1">#REF!</definedName>
    <definedName name="BExINLX401ZKEGWU168DS4JUM2J6" hidden="1">#REF!</definedName>
    <definedName name="BExINMYYJO1FTV1CZF6O5XCFAMQX" hidden="1">#REF!</definedName>
    <definedName name="BExINOBE6O8P8KJZN7SYY3CS00Y7" hidden="1">Tech '[7]1'!$B$7:$L$223</definedName>
    <definedName name="BExINP2H4KI05FRFV5PKZFE00HKO" hidden="1">#REF!</definedName>
    <definedName name="BExINPYTXET2MQTJE2A9P0T3ZIN7" hidden="1">#REF!</definedName>
    <definedName name="BExINU5VSTH1UWI6UYLHLIA6G2UU" hidden="1">#REF!</definedName>
    <definedName name="BExINVT50DNQFXWZEBLEC0HIJDBS" hidden="1">#REF!</definedName>
    <definedName name="BExINWUU309VQ0NHX86QBBYCSFDZ" hidden="1">#REF!</definedName>
    <definedName name="BExINXB3N6D88RNNBPHMS80H5CQK" hidden="1">#REF!</definedName>
    <definedName name="BExINYT1S9HTKX12F6T1MBDFL53T" hidden="1">#REF!</definedName>
    <definedName name="BExINZELVWYGU876QUUZCIMXPBQC" hidden="1">#REF!</definedName>
    <definedName name="BExIO2USDXYE59FMGVP3M9EIKKSW" hidden="1">#REF!</definedName>
    <definedName name="BExIO2UTA5UN3Y48Y74F8XIOIP8T" hidden="1">#REF!</definedName>
    <definedName name="BExIO41TA56GBBY1MMBS15C3B1OV" hidden="1">#REF!</definedName>
    <definedName name="BExIO4NDDD9TWJQ1RQK9Z4GT7QPY" hidden="1">#REF!</definedName>
    <definedName name="BExIO4STQUMMIE6GPBZ97CO2YXHD" hidden="1">#REF!</definedName>
    <definedName name="BExIO83I367RHHVQVLBPGHZRRFYY" hidden="1">#REF!</definedName>
    <definedName name="BExIOCQUQHKUU1KONGSDOLQTQEIC" hidden="1">#REF!</definedName>
    <definedName name="BExIOCW4U6K1A2EV1KXLK8A2M8TD" hidden="1">#REF!</definedName>
    <definedName name="BExIODCAIZ6EX7JJWIYOU3SDQYZ8" hidden="1">#REF!</definedName>
    <definedName name="BExIOEUDLMQULYKSXV94CO63QD9I" hidden="1">#REF!</definedName>
    <definedName name="BExIOF5610822LV3PZFODKG0ZGUW" hidden="1">#REF!</definedName>
    <definedName name="BExIOFL8Y5O61VLKTB4H20IJNWS1" hidden="1">#REF!</definedName>
    <definedName name="BExIOHZL1OYY1CTLPRJK0RET05J2" hidden="1">#REF!</definedName>
    <definedName name="BExIOKDXMIGFED91C2P34LSZ826Z" hidden="1">#REF!</definedName>
    <definedName name="BExIOLVUJFL91A2ZOX97ELHK10CJ" hidden="1">#REF!</definedName>
    <definedName name="BExIOMBXRW5NS4ZPYX9G5QREZ5J6" hidden="1">#REF!</definedName>
    <definedName name="BExIOOVQV3NJ691F6JXTRW669BKE" hidden="1">#REF!</definedName>
    <definedName name="BExIOQ2WD4SE3ABH95IEAN46YQFI" hidden="1">#REF!</definedName>
    <definedName name="BExIORA2USPZS5QP7KBCRJ7YJXU1" hidden="1">#REF!</definedName>
    <definedName name="BExIORA3GK78T7C7SNBJJUONJ0LS" hidden="1">#REF!</definedName>
    <definedName name="BExIORFDXP4AVIEBLSTZ8ETSXMNM" hidden="1">#REF!</definedName>
    <definedName name="BExIORFJNFG4T770BUGQEEBBJ6TF" hidden="1">#REF!</definedName>
    <definedName name="BExIOSH8NPM2XPI5QICFQOF8WTDG" hidden="1">#REF!</definedName>
    <definedName name="BExIOTZ5EFZ2NASVQ05RH15HRSW6" hidden="1">#REF!</definedName>
    <definedName name="BExIOV6AZOC8KCSR95O08Q9146Q2" hidden="1">#REF!</definedName>
    <definedName name="BExIOYX3H3O1CJE2JCD1WN5U3I69" hidden="1">#REF!</definedName>
    <definedName name="BExIP3EYMLXYSYD644AIULVB4SM4" hidden="1">#REF!</definedName>
    <definedName name="BExIP8YN05AYQECQO0HGVTAM1OKJ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ENI79DDTRIOG3KLTDIPOZ2" hidden="1">#REF!</definedName>
    <definedName name="BExIPDLT8JYAMGE5HTN4D1YHZF3V" hidden="1">#REF!</definedName>
    <definedName name="BExIPG040Q08EWIWL6CAVR3GRI43" hidden="1">#REF!</definedName>
    <definedName name="BExIPGWH8ABFRV2LZYX15C5WDL4X" hidden="1">#REF!</definedName>
    <definedName name="BExIPKCNG2M6L73ES2UQI5310WB7" hidden="1">#REF!</definedName>
    <definedName name="BExIPKNFUDPDKOSH5GHDVNA8D66S" hidden="1">#REF!</definedName>
    <definedName name="BExIPLJTRJRKOL7VVP0PEP05W0QL" hidden="1">#REF!</definedName>
    <definedName name="BExIPMWB6ZQ3YU1F82YJJKEAYR5Z" hidden="1">#REF!</definedName>
    <definedName name="BExIPN73CJVA7AB0V3FF7M8VEEM5" hidden="1">#REF!</definedName>
    <definedName name="BExIPU37V8E31FORASJ41SKX0M1Z" hidden="1">#REF!</definedName>
    <definedName name="BExIPUE112CLZSI0KFEBG79D0VIQ" hidden="1">#REF!</definedName>
    <definedName name="BExIPXOPEO00DQRERF1F9NJMZJNT" hidden="1">#REF!</definedName>
    <definedName name="BExIPYFR9Q89IRAL0HPOES7623H9" hidden="1">#REF!</definedName>
    <definedName name="BExIPZHH01HZ5118MYCHQNN7Z0GJ" hidden="1">#REF!</definedName>
    <definedName name="BExIQ0ZEZD99N0AA610OD5K3NIH3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7A08HD6D6XPJS05X4G1LXZE" hidden="1">#REF!</definedName>
    <definedName name="BExIQ9TMQT2EIXSVQW7GVSOAW2VJ" hidden="1">#REF!</definedName>
    <definedName name="BExIQ9Z2LASTCX86SQJG50I0MS66" hidden="1">#REF!</definedName>
    <definedName name="BExIQBMDE1L6J4H27K1FMSHQKDSE" hidden="1">#REF!</definedName>
    <definedName name="BExIQCDFFALELXAMMR1ZQBGNV1HO" hidden="1">#REF!</definedName>
    <definedName name="BExIQCTILU1D6OD8XR0K44Z9OTI8" hidden="1">#REF!</definedName>
    <definedName name="BExIQE65LVXUOF3UZFO7SDHFJH22" hidden="1">#REF!</definedName>
    <definedName name="BExIQG9OO2KKBOWTMD1OXY36TEGA" hidden="1">#REF!</definedName>
    <definedName name="BExIQIII4MABGPDVFEBH294F5JBS" hidden="1">#REF!</definedName>
    <definedName name="BExIQL2AWB0ME7X5377EMMD02IZJ" hidden="1">#REF!</definedName>
    <definedName name="BExIQMV2PKPLUTMZKC85WQJFNK11" hidden="1">#REF!</definedName>
    <definedName name="BExIQQWMGRQ0X7R2XO9YLNJC0U4K" hidden="1">#REF!</definedName>
    <definedName name="BExIQRI65WV11PXKO03YVDKCTLXV" hidden="1">TEST-#REF!</definedName>
    <definedName name="BExIQS9A2STSMU4GTJP0MSFDS1RK" hidden="1">#REF!</definedName>
    <definedName name="BExIQVPADDY7FVHT14F38MNSLGT8" hidden="1">#REF!</definedName>
    <definedName name="BExIQX1XBB31HZTYEEVOBSE3C5A6" hidden="1">#REF!</definedName>
    <definedName name="BExIQYP5T1TPAQYW7QU1Q98BKX7W" hidden="1">#REF!</definedName>
    <definedName name="BExIQZAQSPHZTPKUH9AXCJ4RPNXR" hidden="1">#REF!</definedName>
    <definedName name="BExIR2ALYRP9FW99DK2084J7IIDC" hidden="1">#REF!</definedName>
    <definedName name="BExIR2W7PIW9CU5EMHCEJA3J12AB" hidden="1">#REF!</definedName>
    <definedName name="BExIR3CBEEWU512DZKC3VAG2H0XC" hidden="1">#REF!</definedName>
    <definedName name="BExIR4ZRIDOOLFGTCULBPXM9W7W6" hidden="1">#REF!</definedName>
    <definedName name="BExIR8FQETPTQYW37DBVDWG3J4JW" hidden="1">#REF!</definedName>
    <definedName name="BExIRAZJF9DFLVU8L6CEL8YVL16Q" hidden="1">#REF!</definedName>
    <definedName name="BExIRB50I4SIMEEQXEEHGPES9N0T" hidden="1">#REF!</definedName>
    <definedName name="BExIRHVOWXKHZ8WLZX52SZVD849E" hidden="1">#REF!</definedName>
    <definedName name="BExIRK9Z4TWTCBCKZEWIR1BKLUZ2" hidden="1">#REF!</definedName>
    <definedName name="BExIRLH4PUM13XRLSSMLNGB31UP9" hidden="1">#REF!</definedName>
    <definedName name="BExIRLRYNF5FWLFVHD7W8U40506Q" hidden="1">Tech '[4]2'!$B$7:$F$10</definedName>
    <definedName name="BExIRMZ41TOP8PMS52B7VJ54K5GL" hidden="1">#REF!</definedName>
    <definedName name="BExIRRBGTY01OQOI3U5SW59RFDFI" hidden="1">#REF!</definedName>
    <definedName name="BExIS1298RP47L2EHCZE9JEABNZC" hidden="1">#REF!</definedName>
    <definedName name="BExIS4T0DRF57HYO7OGG72KBOFOI" hidden="1">#REF!</definedName>
    <definedName name="BExIS77BJDDK18PGI9DSEYZPIL7P" hidden="1">#REF!</definedName>
    <definedName name="BExIS7CTAS6B8CYNWI3F0JT9J2G4" hidden="1">#REF!</definedName>
    <definedName name="BExIS8UQUBIGDIFBLM3BEAQBBNWY" hidden="1">#REF!</definedName>
    <definedName name="BExIS8USL1T3Z97CZ30HJ98E2GXQ" hidden="1">#REF!</definedName>
    <definedName name="BExIS95J6A410KP3BJS1NLSMLAXK" hidden="1">#REF!</definedName>
    <definedName name="BExISC5B700MZUBFTQ9K4IKTF7HR" hidden="1">[2]Table!#REF!</definedName>
    <definedName name="BExISCLJSTCJ7V4SY6SVNR12C66F" hidden="1">#REF!</definedName>
    <definedName name="BExISDHXS49S1H56ENBPRF1NLD5C" hidden="1">#REF!</definedName>
    <definedName name="BExISDHXYB06XEMD72IROKADWJKU" hidden="1">#REF!</definedName>
    <definedName name="BExISDY7B7W74E2MNIJYTFZ0OFGP" hidden="1">#REF!</definedName>
    <definedName name="BExISHE7MVFAELFO57LDDETJD4PC" hidden="1">#REF!</definedName>
    <definedName name="BExISHJH6IDKDE5IZ712MGXVUPQP" hidden="1">#REF!</definedName>
    <definedName name="BExISHJJI5GB1826F7DZX4E9QIDH" hidden="1">#REF!</definedName>
    <definedName name="BExISJ6WFYQKE0RGTDWHAWUAE1AP" hidden="1">#REF!</definedName>
    <definedName name="BExISM1JLV54A21A164IURMPGUMU" hidden="1">#REF!</definedName>
    <definedName name="BExISNZJW5HOTID5IG6F8R16XKKS" hidden="1">#REF!</definedName>
    <definedName name="BExISRFKJYUZ4AKW44IJF7RF9Y90" hidden="1">#REF!</definedName>
    <definedName name="BExISTOJM6XSL87QXY3AABK1OELC" hidden="1">#REF!</definedName>
    <definedName name="BExISTOJUIIFPZK0IL6RTP1GAIHY" hidden="1">#REF!</definedName>
    <definedName name="BExISXVMA6VBUU03P0WJONF68ONH" hidden="1">#REF!</definedName>
    <definedName name="BExISY0XTIQUT5LONC56WUE4LZ0D" hidden="1">#REF!</definedName>
    <definedName name="BExISZOCZ4U24SY37O1VF0L2ALCX" hidden="1">#REF!</definedName>
    <definedName name="BExIT1MK8TBAK3SNP36A8FKDQSOK" hidden="1">#REF!</definedName>
    <definedName name="BExIT2IT2V9GEHP8BOT7V4TQL64A" hidden="1">#REF!</definedName>
    <definedName name="BExIT4MA5KNH8KUBQUT2HHH2X2CP" hidden="1">#REF!</definedName>
    <definedName name="BExITBNYANV2S8KD56GOGCKW393R" hidden="1">#REF!</definedName>
    <definedName name="BExITE7JYOU4H9VICS35KBXR8P3M" hidden="1">#REF!</definedName>
    <definedName name="BExITED0Y5E7AZZ4QBJSI99PU4NL" hidden="1">#REF!</definedName>
    <definedName name="BExItemGrid">#REF!</definedName>
    <definedName name="BExITK7CP87YUFQCJ1JV1H8LEJRQ" hidden="1">Tech '[4]2'!$B$7:$G$11</definedName>
    <definedName name="BExITXZOXDQ77M8D0C6LHK4CVG8W" hidden="1">#REF!</definedName>
    <definedName name="BExITY563GDHFFMYAZW6CG3L418S" hidden="1">#REF!</definedName>
    <definedName name="BExITZC5IYB2CXHTRJ6NF4Z63XXH" hidden="1">#REF!</definedName>
    <definedName name="BExITZCB1N5T21PPVOBC4AGV0VVO" hidden="1">#REF!</definedName>
    <definedName name="BExIU1VYPKQRK7H3XE29A516M5MX" hidden="1">#REF!</definedName>
    <definedName name="BExIU68ILS4WBTF4P7R7ZNF67MNY" hidden="1">#REF!</definedName>
    <definedName name="BExIUA4QT7XLYN0DPVS9F7IG4IS5" hidden="1">#REF!</definedName>
    <definedName name="BExIUB6GMB0SK1G4X7OS9A0AYW30" hidden="1">#REF!</definedName>
    <definedName name="BExIUBBQZLO41WY5P1ZRQYXI9PTH" hidden="1">#REF!</definedName>
    <definedName name="BExIUD4OJGH65NFNQ4VMCE3R4J1X" hidden="1">#REF!</definedName>
    <definedName name="BExIUF814DVSS8QPNNDGYQDXHYWW" hidden="1">Table '[4]2'!$B$12:$F$15</definedName>
    <definedName name="BExIULDA32LAHIJUHBSXUDWFGIFE" hidden="1">#REF!</definedName>
    <definedName name="BExIULYTKJ6F74ZZ6GFR3H0502B9" hidden="1">#REF!</definedName>
    <definedName name="BExIUQ5WRQFNLSY80F9PVS6QHAB4" hidden="1">#REF!</definedName>
    <definedName name="BExIUTB5OAAXYW0OFMP0PS40SPOB" hidden="1">#REF!</definedName>
    <definedName name="BExIUUT2MHIOV6R3WHA0DPM1KBKY" hidden="1">#REF!</definedName>
    <definedName name="BExIUXI7T2XUZCSZE9GKUIN8NC2X" hidden="1">#REF!</definedName>
    <definedName name="BExIUYPDT1AM6MWGWQS646PIZIWC" hidden="1">#REF!</definedName>
    <definedName name="BExIV0I2O9F8D1UK1SI8AEYR6U0A" hidden="1">#REF!</definedName>
    <definedName name="BExIV1EGQ4GRI46IR8OV77NQC9DY" hidden="1">#REF!</definedName>
    <definedName name="BExIV1P8BEWOIY2X8LM11YWFOUMQ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6HV8M136K4BEYM0QFCLARX7" hidden="1">#REF!</definedName>
    <definedName name="BExIV73FJQCIUBMV8SQRM1SUKK3B" hidden="1">#REF!</definedName>
    <definedName name="BExIV7E8ZLCAQTWY896R5JUBVI3I" hidden="1">Tech '[4]2'!$B$7:$F$10</definedName>
    <definedName name="BExIVC6WZMHRBRGIBUVX0CO2RK05" hidden="1">#REF!</definedName>
    <definedName name="BExIVCXWL6H5LD9DHDIA4F5U9TQL" hidden="1">#REF!</definedName>
    <definedName name="BExIVD3991RQVBC7QXIOHVLU6BBH" hidden="1">#REF!</definedName>
    <definedName name="BExIVE54FHPADVNYASUI04VPQXAZ" hidden="1">#REF!</definedName>
    <definedName name="BExIVEQNQJWCUEKLY1435FQG75M0" hidden="1">#REF!</definedName>
    <definedName name="BExIVHVWLE97GSYXI5MCGEPG5OPB" hidden="1">#REF!</definedName>
    <definedName name="BExIVIXQDP4V5IICT2NXRDFKFSYB" hidden="1">#REF!</definedName>
    <definedName name="BExIVMOIPSEWSIHIDDLOXESQ28A0" hidden="1">#REF!</definedName>
    <definedName name="BExIVNVNJX9BYDLC88NG09YF5XQ6" hidden="1">#REF!</definedName>
    <definedName name="BExIVNVNQYQNP6SA2JT1HXL3PRVI" hidden="1">#REF!</definedName>
    <definedName name="BExIVPZ7WEPR7UWDDPPXB3O74M61" hidden="1">#REF!</definedName>
    <definedName name="BExIVQKR0N3GJEO2AAL6EYRG1FI0" hidden="1">#REF!</definedName>
    <definedName name="BExIVQVKLMGSRYT1LFZH0KUIA4OR" hidden="1">#REF!</definedName>
    <definedName name="BExIVU0XWYQ5PP5DS24NNWA9FPP4" hidden="1">#REF!</definedName>
    <definedName name="BExIVYTFI35KNR2XSA6N8OJYUTUR" hidden="1">#REF!</definedName>
    <definedName name="BExIW42AU9V00SGAWXVG2K91NOJ6" hidden="1">#REF!</definedName>
    <definedName name="BExIWB3SY3WRIVIOF988DNNODBOA" hidden="1">#REF!</definedName>
    <definedName name="BExIWB99CG0H52LRD6QWPN4L6DV2" hidden="1">#REF!</definedName>
    <definedName name="BExIWCLQKMTPX7ANO7Q8KGJU1CM5" hidden="1">#REF!</definedName>
    <definedName name="BExIWEJY39WVFCOY146Q8JHXA2NM" hidden="1">#REF!</definedName>
    <definedName name="BExIWG1W7XP9DFYYSZAIOSHM0QLQ" hidden="1">#REF!</definedName>
    <definedName name="BExIWH3KUK94B7833DD4TB0Y6KP9" hidden="1">#REF!</definedName>
    <definedName name="BExIWKE9MGIDWORBI43AWTUNYFAN" hidden="1">[2]Table!#REF!</definedName>
    <definedName name="BExIWTJ9T25MSGIEOCH9ZG2ZI7CO" hidden="1">#REF!</definedName>
    <definedName name="BExIWVSAMV93WU2ZM0ZSERUK71MY" hidden="1">#REF!</definedName>
    <definedName name="BExIWXFPIVO2DX2MKWNI4E1W8XPH" hidden="1">#REF!</definedName>
    <definedName name="BExIWZTUWEU82KKG3HC5YCA321OT" hidden="1">#REF!</definedName>
    <definedName name="BExIX2DMJCFY68X9XPKX7A9YBWQV" hidden="1">#REF!</definedName>
    <definedName name="BExIX34PM5DBTRHRQWP6PL6WIX88" hidden="1">#REF!</definedName>
    <definedName name="BExIX3KSZQA6NJP5YH22KGKT6YBE" hidden="1">#REF!</definedName>
    <definedName name="BExIX4S01VKH0V2KWQZGAY2FUFFS" hidden="1">#REF!</definedName>
    <definedName name="BExIX5OAP9KSUE5SIZCW9P39Q4WE" hidden="1">#REF!</definedName>
    <definedName name="BExIX5TNUF2KIBUDMCSN0VOOEVT7" hidden="1">#REF!</definedName>
    <definedName name="BExIX6VI47QTWCDAS5WT5UR7A319" hidden="1">#REF!</definedName>
    <definedName name="BExIXBYWXL3HB305KTM8ZLMAZW9S" hidden="1">#REF!</definedName>
    <definedName name="BExIXFKDQRW4YCNIN1WZONKR5AS3" hidden="1">#REF!</definedName>
    <definedName name="BExIXGRJPVJMUDGSG7IHPXPNO69B" hidden="1">#REF!</definedName>
    <definedName name="BExIXHILO4ZLVAMF5Z405WSMMFZC" hidden="1">#REF!</definedName>
    <definedName name="BExIXLPIXPQJ2WSPXOP0NVNBX8KC" hidden="1">#REF!</definedName>
    <definedName name="BExIXM5R87ZL3FHALWZXYCPHGX3E" hidden="1">#REF!</definedName>
    <definedName name="BExIXPWK3QBLF306C4Z9FZBNU9UG" hidden="1">#REF!</definedName>
    <definedName name="BExIXR9747LTLE07VH8LLB9ANW4K" hidden="1">#REF!</definedName>
    <definedName name="BExIXS036ZCKT2Z8XZKLZ8PFWQGL" hidden="1">#REF!</definedName>
    <definedName name="BExIXU3LH01HJU3RBNUI3VAK630U" hidden="1">#REF!</definedName>
    <definedName name="BExIXUUJ4YE91RI070CL1Q31Q3G5" hidden="1">[3]Table!#REF!</definedName>
    <definedName name="BExIXY5CF9PFM0P40AZ4U51TMWV0" hidden="1">#REF!</definedName>
    <definedName name="BExIY0ZRKNHB5K2EO9YIF3LPXK28" hidden="1">#REF!</definedName>
    <definedName name="BExIY2N7BDZXT9L7HEPUXDR18G6Q" hidden="1">#REF!</definedName>
    <definedName name="BExIY3ZNARQ46PBN3ZV2YLI8EXG4" hidden="1">#REF!</definedName>
    <definedName name="BExIY68I6QLFR9ZN3DY8I4GAM2LW" hidden="1">#REF!</definedName>
    <definedName name="BExIY7ACTC73DJVJLG36Y7CEEUMW" hidden="1">#REF!</definedName>
    <definedName name="BExIY9ZH1SKUDTLAMMU97FJ2TC0O" hidden="1">#REF!</definedName>
    <definedName name="BExIYEXJBK8JDWIRSVV4RJSKZVV1" hidden="1">#REF!</definedName>
    <definedName name="BExIYFTRNOXDG8WDDOWIO8D807AN" hidden="1">#REF!</definedName>
    <definedName name="BExIYGA14VGX68VRBKB1FRZWFH67" hidden="1">#REF!</definedName>
    <definedName name="BExIYGKTI45O1BXX05KDGVNMLRGT" hidden="1">#REF!</definedName>
    <definedName name="BExIYI2RH0K4225XO970K2IQ1E79" hidden="1">#REF!</definedName>
    <definedName name="BExIYMPZ0KS2KOJFQAUQJ77L7701" hidden="1">#REF!</definedName>
    <definedName name="BExIYNRSW2U64CZY0TS5OIEARK58" hidden="1">#REF!</definedName>
    <definedName name="BExIYOO4P2NLI0GTES3GN8FDL0US" hidden="1">#REF!</definedName>
    <definedName name="BExIYOO5U1GSMR9NI0CACR81C0T6" hidden="1">#REF!</definedName>
    <definedName name="BExIYP9Q6FV9T0R9G3UDKLS4TTYX" hidden="1">#REF!</definedName>
    <definedName name="BExIYRTCOZA1OQ7D46XDWMCW6RFR" hidden="1">#REF!</definedName>
    <definedName name="BExIYZGJJSJ8V2KKNM9K6QQP94K7" hidden="1">#REF!</definedName>
    <definedName name="BExIYZGLDQ1TN7BIIN4RLDP31GIM" hidden="1">#REF!</definedName>
    <definedName name="BExIZ0CZ1XHJ60UQXYDKNHWMCFRT" hidden="1">#REF!</definedName>
    <definedName name="BExIZ37CVAXU0D8AHKGNBNRJG91T" hidden="1">#REF!</definedName>
    <definedName name="BExIZ4K0EZJK6PW3L8SVKTJFSWW9" hidden="1">#REF!</definedName>
    <definedName name="BExIZ4PBX1CHQ717B0GDSPERSS4O" hidden="1">#REF!</definedName>
    <definedName name="BExIZAECOEZGBAO29QMV14E6XDIV" hidden="1">#REF!</definedName>
    <definedName name="BExIZD3GJ7TC179ZVOWHT18FCTSN" hidden="1">#REF!</definedName>
    <definedName name="BExIZEW5HUTV24F5BVALYZ8Y3XV0" hidden="1">#REF!</definedName>
    <definedName name="BExIZKVXYD5O2JBU81F2UFJZLLSI" hidden="1">#REF!</definedName>
    <definedName name="BExIZPZDHC8HGER83WHCZAHOX7LK" hidden="1">#REF!</definedName>
    <definedName name="BExIZV2SFTWBOHFQCKIHQTZ04L6Y" hidden="1">#REF!</definedName>
    <definedName name="BExIZY2PUZ0OF9YKK1B13IW0VS6G" hidden="1">#REF!</definedName>
    <definedName name="BExJ00RSNKVWQ0QZQRG7YCKUFJZQ" hidden="1">#REF!</definedName>
    <definedName name="BExJ08KB42GOUC2P92D8UI7KEHKL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J11MY9B0F7RFESFSORX1Z25QM" hidden="1">#REF!</definedName>
    <definedName name="BExJ1D0X2ZBLURJUYFUD6C17DN0O" hidden="1">#REF!</definedName>
    <definedName name="BExKC4YVS1QLO026DSBMGUKAE2X0" hidden="1">#REF!</definedName>
    <definedName name="BExKCCREBIWYDT3KYY47J6PKFUJC" hidden="1">#REF!</definedName>
    <definedName name="BExKCDCZBLWVY1XPL5MKVFG9EM16" hidden="1">#REF!</definedName>
    <definedName name="BExKCDYKAEV45AFXHVHZZ62E5BM3" hidden="1">#REF!</definedName>
    <definedName name="BExKCJYCSUB6N79ANN1Z8WDR7ZW5" hidden="1">#REF!</definedName>
    <definedName name="BExKDJBKAJPY1RL4WY6D99TGYHCW" hidden="1">#REF!</definedName>
    <definedName name="BExKDJX3US7FHG8MDG0LMSBAZPA2" hidden="1">#REF!</definedName>
    <definedName name="BExKDKO0W4AGQO1V7K6Q4VM750FT" hidden="1">#REF!</definedName>
    <definedName name="BExKDLF10G7W77J87QWH3ZGLUCLW" hidden="1">#REF!</definedName>
    <definedName name="BExKDM0NH8JUWEPIJUS4IFDUSM1X" hidden="1">#REF!</definedName>
    <definedName name="BExKDO45GL6PAZQR3PAOWFVA6WLZ" hidden="1">#REF!</definedName>
    <definedName name="BExKDO46RJ2KGPW9G3H3SATHXV22" hidden="1">#REF!</definedName>
    <definedName name="BExKDYB06L6AYH4HMQSC4TJIKN5Z" hidden="1">#REF!</definedName>
    <definedName name="BExKE576RIQD2OZVHIC60WSPMYFC" hidden="1">#REF!</definedName>
    <definedName name="BExKE8XZEPHU2ANY8E9LGJLDH48C" hidden="1">#REF!</definedName>
    <definedName name="BExKEEXS04IKNGKCJWDM7QRSDNKL" hidden="1">#REF!</definedName>
    <definedName name="BExKEFE0I3MT6ZLC4T1L9465HKTN" hidden="1">#REF!</definedName>
    <definedName name="BExKEHC2WCIOMMOB16EN77NTF8A1" hidden="1">#REF!</definedName>
    <definedName name="BExKEIU00Y6TBNX2ZNZWKO0BX4MK" hidden="1">#REF!</definedName>
    <definedName name="BExKEK6O5BVJP4VY02FY7JNAZ6BT" hidden="1">#REF!</definedName>
    <definedName name="BExKEKMRQLC0TPETMUVPBOHVEK6D" hidden="1">#REF!</definedName>
    <definedName name="BExKEKXK6E6QX339ELPXDIRZSJE0" hidden="1">#REF!</definedName>
    <definedName name="BExKEOOIBMP7N8033EY2CJYCBX6H" hidden="1">#REF!</definedName>
    <definedName name="BExKES9ZA5L22XTSO9Y8GAI2RIIH" hidden="1">#REF!</definedName>
    <definedName name="BExKES9ZKE9OTQZE0G9VR3DN36UT" hidden="1">#REF!</definedName>
    <definedName name="BExKEW0RR5LA3VC46A2BEOOMQE56" hidden="1">#REF!</definedName>
    <definedName name="BExKEXO7LQDFL47WZS6PTFUQV8QQ" hidden="1">Table '[4]2'!$B$5:$G$9</definedName>
    <definedName name="BExKF02HYBPMKRSPJGAK1MWM2V4R" hidden="1">#REF!</definedName>
    <definedName name="BExKF3IJ080HBSK072PS4JC194LJ" hidden="1">#REF!</definedName>
    <definedName name="BExKF6T7H8K6ZQLML54OPIDDJU6P" hidden="1">#REF!</definedName>
    <definedName name="BExKFA3V58GZRB4XB9TUM9E8QLNN" hidden="1">#REF!</definedName>
    <definedName name="BExKFA3VI1CZK21SM0N3LZWT9LA1" hidden="1">#REF!</definedName>
    <definedName name="BExKFD995JGXBZHGXTYZ8FBUH2I1" hidden="1">#REF!</definedName>
    <definedName name="BExKFEAXEXS0KPGOFK2SHPOP8JZ7" hidden="1">#REF!</definedName>
    <definedName name="BExKFINBFV5J2NFRCL4YUO3YF0ZE" hidden="1">#REF!</definedName>
    <definedName name="BExKFISRBFACTAMJSALEYMY66F6X" hidden="1">#REF!</definedName>
    <definedName name="BExKFLSNRSD76QK1CFWCFWTN0AJF" hidden="1">#REF!</definedName>
    <definedName name="BExKFME9YBXOWVNAR1D4RL11Q81F" hidden="1">#REF!</definedName>
    <definedName name="BExKFOSK5DJ151C4E8544UWMYTOC" hidden="1">#REF!</definedName>
    <definedName name="BExKFOY24OK2WXW2N7UXSKE436QO" hidden="1">[2]Program!#REF!</definedName>
    <definedName name="BExKFXS9HED5NN75C83GDGL1NEVV" hidden="1">#REF!</definedName>
    <definedName name="BExKFYJC4EVEV54F82K6VKP7Q3OU" hidden="1">#REF!</definedName>
    <definedName name="BExKFZQB278DCVPCBEDMDDN1NA90" hidden="1">#REF!</definedName>
    <definedName name="BExKG2Q7000BZA7DXPH869YIP20D" hidden="1">#REF!</definedName>
    <definedName name="BExKG3BS0XS3D25BPXM4F8HIX2GL" hidden="1">#REF!</definedName>
    <definedName name="BExKG4IYHBKQQ8J8FN10GB2IKO33" hidden="1">#REF!</definedName>
    <definedName name="BExKG8KO0T2K2PJKN0MY59LZRPC0" hidden="1">#REF!</definedName>
    <definedName name="BExKGAIR23JYPM5C8KNITAV81QGM" hidden="1">#REF!</definedName>
    <definedName name="BExKGATJDMRSTKZOAKYEXU1KHS6E" hidden="1">#REF!</definedName>
    <definedName name="BExKGCBHB93MD6POCCEU733YUKEN" hidden="1">#REF!</definedName>
    <definedName name="BExKGCRQG24I8K39WGMJPOP0TTX4" hidden="1">#REF!</definedName>
    <definedName name="BExKGF0L44S78D33WMQ1A75TRKB9" hidden="1">#REF!</definedName>
    <definedName name="BExKGFRN31B3G20LMQ4LRF879J68" hidden="1">#REF!</definedName>
    <definedName name="BExKGG2GU7EA7S0F047LDF5WBX5H" hidden="1">TEST-[5]LISTA!$B$7:$F$1857</definedName>
    <definedName name="BExKGHUYXPX1HPQUWZDQ1KNC4ISK" hidden="1">#REF!</definedName>
    <definedName name="BExKGJ7NOPTWJDBQ4OVGVUW887LN" hidden="1">#REF!</definedName>
    <definedName name="BExKGJD3U3ADZILP20U3EURP0UQP" hidden="1">#REF!</definedName>
    <definedName name="BExKGL0DI2XDBET7E95G93IY0WZ1" hidden="1">#REF!</definedName>
    <definedName name="BExKGNK5YGKP0YHHTAAOV17Z9EIM" hidden="1">#REF!</definedName>
    <definedName name="BExKGTEGQC01QP5CZYJTFKTTCWFX" hidden="1">#REF!</definedName>
    <definedName name="BExKGTJYDH593VBG9JAR07L8NZQY" hidden="1">#REF!</definedName>
    <definedName name="BExKGV77YH9YXIQTRKK2331QGYKF" hidden="1">#REF!</definedName>
    <definedName name="BExKGWEEIX1UWXFKQBPC08JDLA8P" hidden="1">#REF!</definedName>
    <definedName name="BExKGWUGUAZ9RHGMMEHY6AG0GBZC" hidden="1">#REF!</definedName>
    <definedName name="BExKH0ANKNJUT5MEASVBDV24PB47" hidden="1">#REF!</definedName>
    <definedName name="BExKH3FTZ5VGTB86W9M4AB39R0G8" hidden="1">#REF!</definedName>
    <definedName name="BExKH3FV5U5O6XZM7STS3NZKQFGJ" hidden="1">#REF!</definedName>
    <definedName name="BExKH6L8BUEGZ1O7ZYFE7R04MJJV" hidden="1">#REF!</definedName>
    <definedName name="BExKH8DYPOYNNCBNECRCDL0FNVVQ" hidden="1">#REF!</definedName>
    <definedName name="BExKHA6PRNGCSA5OJFU1ZQ4EK106" hidden="1">[1]Program!#REF!</definedName>
    <definedName name="BExKHAMUH8NR3HRV0V6FHJE3ROLN" hidden="1">#REF!</definedName>
    <definedName name="BExKHCA8UWIR27E3L9K42I4BW5RS" hidden="1">#REF!</definedName>
    <definedName name="BExKHCFKOWFHO2WW0N7Y5XDXEWAO" hidden="1">#REF!</definedName>
    <definedName name="BExKHD14BP2TS0B7PPUXTZT5P261" hidden="1">#REF!</definedName>
    <definedName name="BExKHIVLONZ46HLMR50DEXKEUNEP" hidden="1">#REF!</definedName>
    <definedName name="BExKHM69USS4LHBNIMYRPVP0F62W" hidden="1">Table '[4]2'!$B$5:$G$9</definedName>
    <definedName name="BExKHPM9XA0ADDK7TUR0N38EXWEP" hidden="1">#REF!</definedName>
    <definedName name="BExKHQINHUVG4WZYDHVAKMHW3O1M" hidden="1">[2]Program!#REF!</definedName>
    <definedName name="BExKHZT5IN46LYQ51PXOG8SQ4IIS" hidden="1">#REF!</definedName>
    <definedName name="BExKI4076KXCDE5KXL79KT36OKLO" hidden="1">#REF!</definedName>
    <definedName name="BExKI703H6LLQ9SUAO1Q66RXBCFT" hidden="1">#REF!</definedName>
    <definedName name="BExKI7LO70WYISR7Q0Y1ZDWO9M3B" hidden="1">#REF!</definedName>
    <definedName name="BExKI81YFINZ3LV9IN365RO6I55S" hidden="1">#REF!</definedName>
    <definedName name="BExKIF3EJVHVPSEU2J9NRYHUWTRR" hidden="1">#REF!</definedName>
    <definedName name="BExKIGQV6TXIZG039HBOJU62WP2U" hidden="1">#REF!</definedName>
    <definedName name="BExKIH6XN4JXORMW2ICM2T7HYFIT" hidden="1">#REF!</definedName>
    <definedName name="BExKII3CL7HBTFEOIKL7PA6NDSEW" hidden="1">#REF!</definedName>
    <definedName name="BExKIKSG66YYPQ3T0NC6Z8B8VUK8" hidden="1">#REF!</definedName>
    <definedName name="BExKILE008SF3KTAN8WML3XKI1NZ" hidden="1">[2]Table!#REF!</definedName>
    <definedName name="BExKINSBB6RS7I489QHMCOMU4Z2X" hidden="1">#REF!</definedName>
    <definedName name="BExKIU87ZKSOC2DYZWFK6SAK9I8E" hidden="1">#REF!</definedName>
    <definedName name="BExKIVQ75SH1BQ25QODWZNLANZEJ" hidden="1">#REF!</definedName>
    <definedName name="BExKIYF8A87QPVTJC0YEM7O8GDHS" hidden="1">#REF!</definedName>
    <definedName name="BExKIZBMKET7RYAON19IG3NC96D6" hidden="1">#REF!</definedName>
    <definedName name="BExKJ268K2D575G0J8IBSEPYYQDZ" hidden="1">#REF!</definedName>
    <definedName name="BExKJ2X2ZY1T5B58GY6UJ2NVI45S" hidden="1">#REF!</definedName>
    <definedName name="BExKJ449HLYX2DJ9UF0H9GTPSQ73" hidden="1">#REF!</definedName>
    <definedName name="BExKJC7KDOQJV2HAUZG946ZKAPPC" hidden="1">#REF!</definedName>
    <definedName name="BExKJDK82HPFXZ5BTFL237ZWR2F3" hidden="1">#REF!</definedName>
    <definedName name="BExKJELX2RUC8UEC56IZPYYZXHA7" hidden="1">#REF!</definedName>
    <definedName name="BExKJH0861CYYE1PUR0Q55A2F4XU" hidden="1">#REF!</definedName>
    <definedName name="BExKJHGI7WXD3OJI9HZ6L92P4H4L" hidden="1">#REF!</definedName>
    <definedName name="BExKJINMXS61G2TZEXCJAWVV4F57" hidden="1">#REF!</definedName>
    <definedName name="BExKJJ98MTVUVX9HU7NNIF8C191X" hidden="1">#REF!</definedName>
    <definedName name="BExKJJK1LU1XYW41Z77K1S08I7T8" hidden="1">#REF!</definedName>
    <definedName name="BExKJK5ME8KB7HA0180L7OUZDDGV" hidden="1">#REF!</definedName>
    <definedName name="BExKJN5IF0VMDILJ5K8ZENF2QYV1" hidden="1">#REF!</definedName>
    <definedName name="BExKJOCMU80T6VTG9H8HOA08MYJC" hidden="1">#REF!</definedName>
    <definedName name="BExKJPZXMJF4AE99L8L74ZQXITU6" hidden="1">#REF!</definedName>
    <definedName name="BExKJRHVI8LFOS81QZLGR51LJSL5" hidden="1">#REF!</definedName>
    <definedName name="BExKJSZTSNT8Q6YTG615B7SXE7YL" hidden="1">#REF!</definedName>
    <definedName name="BExKJUSJL67KLK6C7S92DIJI77NI" hidden="1">#REF!</definedName>
    <definedName name="BExKJUSJPFUIK20FTVAFJWR2OUYX" hidden="1">#REF!</definedName>
    <definedName name="BExKJV3CR7US4UO97A18U43LS9O4" hidden="1">#REF!</definedName>
    <definedName name="BExKJW56RU96WGWBLHEUG645RZBT" hidden="1">#REF!</definedName>
    <definedName name="BExKJYE0HRWQTB4FI28GT5BT5U55" hidden="1">#REF!</definedName>
    <definedName name="BExKK0C1SJRGR8RSUFB75G5E6NU6" hidden="1">Table '[4]2'!$B$6:$F$9</definedName>
    <definedName name="BExKK4OKMCK59O7XLOSNJOCELFOE" hidden="1">#REF!</definedName>
    <definedName name="BExKK6C0GACH7G2ZQRXOWE0KDEWB" hidden="1">#REF!</definedName>
    <definedName name="BExKK8VP5RS3D0UXZVKA37C4SYBP" hidden="1">#REF!</definedName>
    <definedName name="BExKKB4I3JJ0LKPZ18IU5741ZAFI" hidden="1">[1]Program!#REF!</definedName>
    <definedName name="BExKKFX528F1JX004CCV6J0RLJE3" hidden="1">#REF!</definedName>
    <definedName name="BExKKI658CWD80SPHPE7IWL7OSFH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KYYC8A0ABP4GR9IR5A33TY2M" hidden="1">#REF!</definedName>
    <definedName name="BExKL002TQQTZZ9BETERCDLUDV0K" hidden="1">#REF!</definedName>
    <definedName name="BExKL0GBMT9RGKW4FVM9E205O7H1" hidden="1">#REF!</definedName>
    <definedName name="BExKL290VOZUHVWL82NYHO5R2WN9" hidden="1">#REF!</definedName>
    <definedName name="BExKLD6S9L66QYREYHBE5J44OK7X" hidden="1">#REF!</definedName>
    <definedName name="BExKLEZK32L28GYJWVO63BZ5E1JD" hidden="1">#REF!</definedName>
    <definedName name="BExKLFL2ZU2ZGHIQZY7Y0L03T7VV" hidden="1">#REF!</definedName>
    <definedName name="BExKLGBZ8D7W1HW672WZB4ZK47TN" hidden="1">#REF!</definedName>
    <definedName name="BExKLIQBNUO1G5YR6684S8H616F6" hidden="1">#REF!</definedName>
    <definedName name="BExKLLKVVHT06LA55JB2FC871DC5" hidden="1">#REF!</definedName>
    <definedName name="BExKLLQ8BGWPX57MTGMBZ13QB49E" hidden="1">Table '[4]2'!$B$6:$E$7</definedName>
    <definedName name="BExKLNIY6BSZDLQCUNX30MKR6SE4" hidden="1">#REF!</definedName>
    <definedName name="BExKLPBP2YAC9A0JO39MV28H4NCS" hidden="1">#REF!</definedName>
    <definedName name="BExKLVGYDSUBGG7DT7TIEXDOMI00" hidden="1">[6]Program!#REF!</definedName>
    <definedName name="BExKLWYWL8HEKZRA5IGCCM60HYID" hidden="1">#REF!</definedName>
    <definedName name="BExKLX9OMIZRVELEESUGRFHXM0CU" hidden="1">#REF!</definedName>
    <definedName name="BExKM1M34QJI4JLGIYQQ0OGU8YVS" hidden="1">#REF!</definedName>
    <definedName name="BExKM9PCO6060VO8QPUWG9W70R8F" hidden="1">#REF!</definedName>
    <definedName name="BExKMDAUNTDZEK6Y8NJFY55AM1R8" hidden="1">#REF!</definedName>
    <definedName name="BExKMLOZLAZ6WND2ELFNO59S4NNG" hidden="1">#REF!</definedName>
    <definedName name="BExKMMAKB5B41Y5GZBZM4H0QZXXL" hidden="1">#REF!</definedName>
    <definedName name="BExKMQXPUSXGE8BQ86F0RFKICW7B" hidden="1">#REF!</definedName>
    <definedName name="BExKMWBX4EH3EYJ07UFEM08NB40Z" hidden="1">#REF!</definedName>
    <definedName name="BExKMZ6HQJX7TBJBF68QDGE7FZKD" hidden="1">#REF!</definedName>
    <definedName name="BExKN1VLORMIAZIXAB40TUCJFSAZ" hidden="1">#REF!</definedName>
    <definedName name="BExKN3OCNIXUGUL52SRMC4G9QGR1" hidden="1">#REF!</definedName>
    <definedName name="BExKN8RS5FLMB9SYYVDLVJFLK0FG" hidden="1">#REF!</definedName>
    <definedName name="BExKN9IOCWBP96RP4TW5EV3OALP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J3Z2G218BPMKZ4B85OIZ3UQ" hidden="1">#REF!</definedName>
    <definedName name="BExKNM3TO8JLDR94J4BKF7TE6872" hidden="1">#REF!</definedName>
    <definedName name="BExKNPJZFDPAFSVUX5ZHNWHCRTZF" hidden="1">#REF!</definedName>
    <definedName name="BExKNQWHCJ7MZVA3TX1E5EOFJRG8" hidden="1">#REF!</definedName>
    <definedName name="BExKNRNJWZI9QE50LQILMK4A8ZNF" hidden="1">#REF!</definedName>
    <definedName name="BExKNRSUEZ5X3Z78W4EMNTHQO5ML" hidden="1">#REF!</definedName>
    <definedName name="BExKNV8UOHVWEHDJWI2WMJ9X6QHZ" hidden="1">#REF!</definedName>
    <definedName name="BExKNVZW890T98ZER4OKZ24WIVM9" hidden="1">#REF!</definedName>
    <definedName name="BExKNYUAYWR68YCUOIW6WYVNJ198" hidden="1">#REF!</definedName>
    <definedName name="BExKNZLD7UATC1MYRNJD8H2NH4KU" hidden="1">#REF!</definedName>
    <definedName name="BExKNZQUKQQG2Y97R74G4O4BJP1L" hidden="1">#REF!</definedName>
    <definedName name="BExKO06WYOUBMO40BUGRR9J6RQD5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2LA4UH8R8JXG8KTJ9RR6721" hidden="1">#REF!</definedName>
    <definedName name="BExKO31J3W2SF76X3U09TMQ3T9LI" hidden="1">#REF!</definedName>
    <definedName name="BExKO438WZ8FKOU00NURGFMOYXWN" hidden="1">#REF!</definedName>
    <definedName name="BExKO8L1R9RPI7I4F3Y0FH06PV7Y" hidden="1">#REF!</definedName>
    <definedName name="BExKOBVR6FBO1U02GWCHZEQEFC13" hidden="1">#REF!</definedName>
    <definedName name="BExKODIZGWW2EQD0FEYW6WK6XLCM" hidden="1">#REF!</definedName>
    <definedName name="BExKODTRL6YSJQDLWS6DH44N93EV" hidden="1">#REF!</definedName>
    <definedName name="BExKOEA1HY8RIY04636RSKF38SDX" hidden="1">#REF!</definedName>
    <definedName name="BExKOG2SS8BHM9KODUUMJX2N91TR" hidden="1">#REF!</definedName>
    <definedName name="BExKOGZ5X0RD5ZMBT9K04G6UY4DF" hidden="1">#REF!</definedName>
    <definedName name="BExKOK9VM7CR6WDU0X6EETU5LJ06" hidden="1">#REF!</definedName>
    <definedName name="BExKOPO2HPWVQGAKW8LOZMPIDEFG" hidden="1">#REF!</definedName>
    <definedName name="BExKP1238IZN2F779O7MSJWX5034" hidden="1">#REF!</definedName>
    <definedName name="BExKP3AWXLX9YXE6ORZ0MK72OLHZ" hidden="1">#REF!</definedName>
    <definedName name="BExKP3WHJ6MROVIKH90OLR17E2QK" hidden="1">#REF!</definedName>
    <definedName name="BExKP8ZWYJ3QONQTYTSWNWKPF1U4" hidden="1">Table '[4]2'!$B$6:$F$9</definedName>
    <definedName name="BExKPBZTDEE79LBYMHPBJ5YBH71M" hidden="1">#REF!</definedName>
    <definedName name="BExKPCLDR2WAM2ABTBQB67OWHNEN" hidden="1">#REF!</definedName>
    <definedName name="BExKPEZP0QTKOTLIMMIFSVTHQEEK" hidden="1">#REF!</definedName>
    <definedName name="BExKPFW475AAPK88H326QR7Q6ZSK" hidden="1">#REF!</definedName>
    <definedName name="BExKPHE04NCM7F7N7BY0YZFR2F87" hidden="1">#REF!</definedName>
    <definedName name="BExKPLAAKYBK5OOZXIS7FM1GV59W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PYH17H0F2JK32YVMN7CDQMBY" hidden="1">#REF!</definedName>
    <definedName name="BExKQ1RQ5RREGSDMQ3LBWTM30AHT" hidden="1">#REF!</definedName>
    <definedName name="BExKQ6EV681H5RVP8WPDKCGAHUXC" hidden="1">#REF!</definedName>
    <definedName name="BExKQ6PNRZYYXDNYF8QA9OQ96XJX" hidden="1">#REF!</definedName>
    <definedName name="BExKQ99GHZ9UQ4VDGOP9EOM1WP4J" hidden="1">#REF!</definedName>
    <definedName name="BExKQBT3VO578T9TPQMIP0MHCLH6" hidden="1">#REF!</definedName>
    <definedName name="BExKQG5LWVMIEDDOSVIYVG0FCDZD" hidden="1">#REF!</definedName>
    <definedName name="BExKQGAXRQAVJAGX8GVF3REP9NHH" hidden="1">#REF!</definedName>
    <definedName name="BExKQHNK734Z0AXLHAAE92VD6G9S" hidden="1">#REF!</definedName>
    <definedName name="BExKQJ01GRP9KX7BHWUGSV76KSSN" hidden="1">#REF!</definedName>
    <definedName name="BExKQJ5IFSW9VKCW7PZZBAL5TJD8" hidden="1">#REF!</definedName>
    <definedName name="BExKQJAUN10VIRMZLOD9F8JY4HP5" hidden="1">#REF!</definedName>
    <definedName name="BExKQJGAAWNM3NT19E9I0CQDBTU0" hidden="1">#REF!</definedName>
    <definedName name="BExKQLUFW4BI18RKRPX8KA1WEWJ3" hidden="1">#REF!</definedName>
    <definedName name="BExKQLUM8GUUGQ7J8BAZPJANKN27" hidden="1">#REF!</definedName>
    <definedName name="BExKQM5FEQ7M0X52PWF5FO9BL5VN" hidden="1">#REF!</definedName>
    <definedName name="BExKQM5GJ1ZN5REKFE7YVBQ0KXWF" hidden="1">#REF!</definedName>
    <definedName name="BExKQO3G0R230211GSQXEUMGOJJH" hidden="1">#REF!</definedName>
    <definedName name="BExKQOEA7HV9U5DH9C8JXFD62EKH" hidden="1">#REF!</definedName>
    <definedName name="BExKQQ71278061G7ZFYGPWOMOMY2" hidden="1">#REF!</definedName>
    <definedName name="BExKQQY19Y30MKT8VIVU7CXWBKIW" hidden="1">#REF!</definedName>
    <definedName name="BExKQROXFHOAXZAJ9P338TCB51AS" hidden="1">#REF!</definedName>
    <definedName name="BExKQSAK9XKSXJUGIPBLX5ZWMBMG" hidden="1">#REF!</definedName>
    <definedName name="BExKQTXRG3ECU8NT47UR7643LO5G" hidden="1">#REF!</definedName>
    <definedName name="BExKQVL7HPOIZ4FHANDFMVOJLEPR" hidden="1">#REF!</definedName>
    <definedName name="BExKQVW0GAHCOXHJA1OOLQRKV9A1" hidden="1">#REF!</definedName>
    <definedName name="BExKQXZJDCRO2WA5PWLCYFHK4CIJ" hidden="1">#REF!</definedName>
    <definedName name="BExKQYAB17DYRIJ34GHHVI29PJM1" hidden="1">#REF!</definedName>
    <definedName name="BExKR0ZFAXWMVQGO51QZOC0Y9NEA" hidden="1">#REF!</definedName>
    <definedName name="BExKR1VSCJ5242BJN1XS0QFEGSX4" hidden="1">#REF!</definedName>
    <definedName name="BExKR32XG1WY77WDT8KW9FJPGQTU" hidden="1">#REF!</definedName>
    <definedName name="BExKR4A3KWYRDTXCF3ZEINTEOU1N" hidden="1">#REF!</definedName>
    <definedName name="BExKR8RZSEHW184G0Z56B4EGNU72" hidden="1">#REF!</definedName>
    <definedName name="BExKR9TTUY115BZ5D7N5SQSJAIQW" hidden="1">#REF!</definedName>
    <definedName name="BExKRFO3NTQ5JKKVO4J2GD9Q8J1E" hidden="1">#REF!</definedName>
    <definedName name="BExKRMV2J84Q7FGCOTW87JHVJ7MP" hidden="1">#REF!</definedName>
    <definedName name="BExKRQLUPRQRM44MYT2CGRMMSMVS" hidden="1">Table '[4]2'!$B$6:$E$7</definedName>
    <definedName name="BExKRS3TU9ZISEFNAGIP4D2THSPK" hidden="1">#REF!</definedName>
    <definedName name="BExKRVUSQ6PA7ZYQSTEQL3X7PB9P" hidden="1">#REF!</definedName>
    <definedName name="BExKRW5JYO8NUNHWG95W9N27DIZ9" hidden="1">#REF!</definedName>
    <definedName name="BExKRY3KZ7F7RB2KH8HXSQ85IEQO" hidden="1">#REF!</definedName>
    <definedName name="BExKS0NEDXQH8DKRTU7TV8MAFYTZ" hidden="1">#REF!</definedName>
    <definedName name="BExKS9C45FIBX0XWJL9UAX0DWOET" hidden="1">#REF!</definedName>
    <definedName name="BExKSA36NYOFWH0NY5O9E7HLCLFS" hidden="1">#REF!</definedName>
    <definedName name="BExKSA37DZTCK6H13HPIKR0ZFVL8" hidden="1">#REF!</definedName>
    <definedName name="BExKSAJ9PLFSAM5DGYLJ0LGWBOCJ" hidden="1">#REF!</definedName>
    <definedName name="BExKSBADBTD5P1BMBGC22NSOZ5WM" hidden="1">#REF!</definedName>
    <definedName name="BExKSDDV44I83OP4GSMFWK31EBXG" hidden="1">#REF!</definedName>
    <definedName name="BExKSEFKWKL5ID3FPRQIO8P3AOAT" hidden="1">#REF!</definedName>
    <definedName name="BExKSFHEJYQU3MJ64AXH349TS3AS" hidden="1">#REF!</definedName>
    <definedName name="BExKSFMOMSZYDE0WNC94F40S6636" hidden="1">#REF!</definedName>
    <definedName name="BExKSHQ9K79S8KYUWIV5M5LAHHF1" hidden="1">#REF!</definedName>
    <definedName name="BExKSI10RMEULTREOGVPZVYO68HF" hidden="1">#REF!</definedName>
    <definedName name="BExKSIS3VA1NCEFCZZSIK8B3YIBZ" hidden="1">#REF!</definedName>
    <definedName name="BExKSJTWG9L3FCX8FLK4EMUJMF27" hidden="1">#REF!</definedName>
    <definedName name="BExKSMDKVAO0A43CLVBQQD41BXOS" hidden="1">#REF!</definedName>
    <definedName name="BExKSPDG4ZHCY39U47GXTHFK3IGT" hidden="1">#REF!</definedName>
    <definedName name="BExKSR66M8VX6DOVY5XKESJ3UH2N" hidden="1">#REF!</definedName>
    <definedName name="BExKSU0MKNAVZYYPKCYTZDWQX4R8" hidden="1">#REF!</definedName>
    <definedName name="BExKSVYTXQPJSXSAE9T94BT6MFAV" hidden="1">#REF!</definedName>
    <definedName name="BExKSX60G1MUS689FXIGYP2F7C62" hidden="1">#REF!</definedName>
    <definedName name="BExKSXM3VBZM247S7N8ATOZZ869D" hidden="1">#REF!</definedName>
    <definedName name="BExKSYT9ALA9KIIVP8CSFU2FHSE3" hidden="1">#REF!</definedName>
    <definedName name="BExKT2UZ7Y2VWF5NQE18SJRLD2RN" hidden="1">#REF!</definedName>
    <definedName name="BExKT3GJFNGAM09H5F615E36A38C" hidden="1">#REF!</definedName>
    <definedName name="BExKT77DS2R7HLCC0QEM0RVUX4OZ" hidden="1">#REF!</definedName>
    <definedName name="BExKTGHTYI5A1KSE3AYK9V2PDS39" hidden="1">#REF!</definedName>
    <definedName name="BExKTGHU41U7OXQNLCH9L528CTKN" hidden="1">#REF!</definedName>
    <definedName name="BExKTLFXQOHBO2S1ZXVUI0NUGPRQ" hidden="1">#REF!</definedName>
    <definedName name="BExKTNE04XD2JNYLZU90F7QDQNX3" hidden="1">#REF!</definedName>
    <definedName name="BExKTNOTGQFH9X346CCWGQCORIUK" hidden="1">#REF!</definedName>
    <definedName name="BExKTO52BQ3Q74AMEAM5QA6KSQA5" hidden="1">#REF!</definedName>
    <definedName name="BExKTPN17WR0MAV3SBACNW6EYK7Y" hidden="1">#REF!</definedName>
    <definedName name="BExKTQU17GRH4938YJ96OCXKDE3B" hidden="1">#REF!</definedName>
    <definedName name="BExKTQZGN8GI3XGSEXMPCCA3S19H" hidden="1">#REF!</definedName>
    <definedName name="BExKTTZDKO13UX65FJFKGGDVIIE3" hidden="1">#REF!</definedName>
    <definedName name="BExKTUKYYU0F6TUW1RXV24LRAZFE" hidden="1">#REF!</definedName>
    <definedName name="BExKU3FBLHQBIUTN6XEZW5GC9OG1" hidden="1">#REF!</definedName>
    <definedName name="BExKU6VAYSK762GMVRZA7LKSOLW9" hidden="1">#REF!</definedName>
    <definedName name="BExKU7M9E9SDO8DD9O4M1KFI989I" hidden="1">#REF!</definedName>
    <definedName name="BExKU82I99FEUIZLODXJDOJC96CQ" hidden="1">#REF!</definedName>
    <definedName name="BExKU8YVGTRLR3LGH9PEVKPDNM2B" hidden="1">#REF!</definedName>
    <definedName name="BExKU9EYQS263540JI0XSM95OVYV" hidden="1">Tech '[4]2'!$B$7</definedName>
    <definedName name="BExKUDM0DFSCM3D91SH0XLXJSL18" hidden="1">#REF!</definedName>
    <definedName name="BExKUEIDJANP71VRD7A0IA2F1MPM" hidden="1">#REF!</definedName>
    <definedName name="BExKUEIEGD9JH03Q4QGCL2ZVM2AQ" hidden="1">#REF!</definedName>
    <definedName name="BExKUEYNEK5QBXNCUCIBFP2P3RVU" hidden="1">#REF!</definedName>
    <definedName name="BExKUEYO6XR8F8JJXYP86OR50SC1" hidden="1">#REF!</definedName>
    <definedName name="BExKUIENCZG1B8E2M9C58MU80J2A" hidden="1">#REF!</definedName>
    <definedName name="BExKULEKJLA77AUQPDUHSM94Y76Z" hidden="1">#REF!</definedName>
    <definedName name="BExKUPASS3H5268MTUCTQGAWNU4C" hidden="1">#REF!</definedName>
    <definedName name="BExKUXE5B2ANZDVYTVVGBZMAJ7UP" hidden="1">#REF!</definedName>
    <definedName name="BExKV08R85MKI3MAX9E2HERNQUNL" hidden="1">#REF!</definedName>
    <definedName name="BExKV4AAUNNJL5JWD7PX6BFKVS6O" hidden="1">#REF!</definedName>
    <definedName name="BExKV631B2CDY4M8111QPZQD6N7O" hidden="1">#REF!</definedName>
    <definedName name="BExKV8S497WD25N3LA72PSCGO8G3" hidden="1">#REF!</definedName>
    <definedName name="BExKVAA2Q988BQUMR57545DDZDHX" hidden="1">#REF!</definedName>
    <definedName name="BExKVDKRZFOO0AN6U0XIY0H733N9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VHH2IIJ1KI8DVL28ZKRWRI6E" hidden="1">#REF!</definedName>
    <definedName name="BExKVNMAK4MSHLKV06NPPD640T9W" hidden="1">#REF!</definedName>
    <definedName name="BExKVZGG3IGEH4CG372E48J5QY5Q" hidden="1">#REF!</definedName>
    <definedName name="BExKW0CSH7DA02YSNV64PSEIXB2P" hidden="1">#REF!</definedName>
    <definedName name="BExKW8G4GJIM2BSSYRPBEMNQQQW4" hidden="1">#REF!</definedName>
    <definedName name="BExM9NUG3Q31X01AI9ZJCZIX25CS" hidden="1">#REF!</definedName>
    <definedName name="BExM9OG182RP30MY23PG49LVPZ1C" hidden="1">#REF!</definedName>
    <definedName name="BExM9SXWWKNHXM7LXLGZNDWU03PE" hidden="1">#REF!</definedName>
    <definedName name="BExM9UQN0TIL2QB8BQX5YK9L7EW9" hidden="1">#REF!</definedName>
    <definedName name="BExMA64MW1S18NH8DCKPCCEI5KCB" hidden="1">#REF!</definedName>
    <definedName name="BExMA8IWNAYEN4J609OPP8PBHAZ3" hidden="1">#REF!</definedName>
    <definedName name="BExMA94I7G06UZY4O70MFA8SI412" hidden="1">#REF!</definedName>
    <definedName name="BExMALEWFUEM8Y686IT03ECURUBR" hidden="1">#REF!</definedName>
    <definedName name="BExMAP0EMYMUTBS9S3WYAQZQ9Z89" hidden="1">#REF!</definedName>
    <definedName name="BExMAUELGK2U4HW0CBMW1E0HMQDV" hidden="1">#REF!</definedName>
    <definedName name="BExMAXJS82ZJ8RS22VLE0V0LDUII" hidden="1">#REF!</definedName>
    <definedName name="BExMAZNAR2BC03QNZXFZTD34LRUG" hidden="1">[2]Table!#REF!</definedName>
    <definedName name="BExMAZNCAYSZJ5OU47UOMSBUCETP" hidden="1">#REF!</definedName>
    <definedName name="BExMAZY4PP8PR8L2SUCY80QXVQER" hidden="1">#REF!</definedName>
    <definedName name="BExMB0ZXUYILQG7GC6Z81VDF1H8Z" hidden="1">#REF!</definedName>
    <definedName name="BExMB4QRS0R3MTB4CMUHFZ84LNZQ" hidden="1">#REF!</definedName>
    <definedName name="BExMBC35WKQY5CWQJLV4D05O6971" hidden="1">#REF!</definedName>
    <definedName name="BExMBESB365WO3LIUQZ2Y8XW2FR4" hidden="1">#REF!</definedName>
    <definedName name="BExMBFOO7J8ZV4NLQY593ZER1KDU" hidden="1">#REF!</definedName>
    <definedName name="BExMBFTZV4Q1A5KG25C1N9PHQNSW" hidden="1">#REF!</definedName>
    <definedName name="BExMBK6ISK3U7KHZKUJXIDKGF6VW" hidden="1">#REF!</definedName>
    <definedName name="BExMBKS3UCKKVOQ7A2M2ES09JSLD" hidden="1">#REF!</definedName>
    <definedName name="BExMBTRQW0E9IIURAY3QPFDQPH4E" hidden="1">#REF!</definedName>
    <definedName name="BExMBYPQDG9AYDQ5E8IECVFREPO6" hidden="1">[2]Table!#REF!</definedName>
    <definedName name="BExMC4K6XM5WXR1HEIEFV46ULHBF" hidden="1">Tech '[4]2'!$B$7:$F$10</definedName>
    <definedName name="BExMC4PJPYSFJDWGKGCAHLPEHQ5I" hidden="1">#REF!</definedName>
    <definedName name="BExMC5B2FWIT8S6MKMSNWFMPY287" hidden="1">#REF!</definedName>
    <definedName name="BExMC5R82S07KSLMO7YA8CCU0ZAI" hidden="1">#REF!</definedName>
    <definedName name="BExMC6205CLZ527R42ZFF27PMCZJ" hidden="1">#REF!</definedName>
    <definedName name="BExMC73UUICKMECX2KS7T3O25IWG" hidden="1">#REF!</definedName>
    <definedName name="BExMC8AZUTX8LG89K2JJR7ZG62XX" hidden="1">#REF!</definedName>
    <definedName name="BExMCA96YR10V72G2R0SCIKPZLIZ" hidden="1">#REF!</definedName>
    <definedName name="BExMCAPB2KR2CNKS8MYVWTH5MOT2" hidden="1">#REF!</definedName>
    <definedName name="BExMCB5JU5I2VQDUBS4O42BTEVKI" hidden="1">#REF!</definedName>
    <definedName name="BExMCDZZKG0RAYLWE58SF8SP2XS6" hidden="1">#REF!</definedName>
    <definedName name="BExMCFSQFSEMPY5IXDIRKZDASDBR" hidden="1">#REF!</definedName>
    <definedName name="BExMCGP3BEJGI8LUAAHTK1MCOAPN" hidden="1">#REF!</definedName>
    <definedName name="BExMCMZOEYWVOOJ98TBHTTCS7XB8" hidden="1">#REF!</definedName>
    <definedName name="BExMCNW1RV9XJ4RQD5MQGC7STPUB" hidden="1">#REF!</definedName>
    <definedName name="BExMCO1DC9JIXPD55JF1VHYTXY8R" hidden="1">#REF!</definedName>
    <definedName name="BExMCRSC61GNE2C255DR0NN6NYI0" hidden="1">#REF!</definedName>
    <definedName name="BExMCS8EF2W3FS9QADNKREYSI8P0" hidden="1">#REF!</definedName>
    <definedName name="BExMCSOOE6NLVIOUSCHP8QJMIS4Z" hidden="1">#REF!</definedName>
    <definedName name="BExMCUHEGQ2NEJL53SCF1PRARJAQ" hidden="1">#REF!</definedName>
    <definedName name="BExMCUS7GSOM96J0HJ7EH0FFM2AC" hidden="1">#REF!</definedName>
    <definedName name="BExMCXMMDFHHNJDRURMCXF1DGUOM" hidden="1">#REF!</definedName>
    <definedName name="BExMCYTT6TVDWMJXO1NZANRTVNAN" hidden="1">#REF!</definedName>
    <definedName name="BExMD1851EJWIBPTWINMAKFFO64V" hidden="1">#REF!</definedName>
    <definedName name="BExMD5F6IAV108XYJLXUO9HD0IT6" hidden="1">#REF!</definedName>
    <definedName name="BExMD963673NTBXBO0VDNBAG9YWM" hidden="1">#REF!</definedName>
    <definedName name="BExMDANV66W9T3XAXID40XFJ0J93" hidden="1">#REF!</definedName>
    <definedName name="BExMDBV7CB0RVBE3DGA5KK8WLRTN" hidden="1">#REF!</definedName>
    <definedName name="BExMDDNSQO0P36OSMDAG3TQ90669" hidden="1">#REF!</definedName>
    <definedName name="BExMDE42653LMKW1FASCHQJOTAVK" hidden="1">#REF!</definedName>
    <definedName name="BExMDGD1KQP7NNR78X2ZX4FCBQ1S" hidden="1">#REF!</definedName>
    <definedName name="BExMDIRDK0DI8P86HB7WPH8QWLSQ" hidden="1">#REF!</definedName>
    <definedName name="BExMDOLP4WGM31CI79FMM7ZYO8Q5" hidden="1">#REF!</definedName>
    <definedName name="BExMDPI2FVMORSWDDCVAJ85WYAYO" hidden="1">#REF!</definedName>
    <definedName name="BExMDQ3NI3GV1A8JDHIRIL4YLESR" hidden="1">#REF!</definedName>
    <definedName name="BExMDUWB7VWHFFR266QXO46BNV2S" hidden="1">#REF!</definedName>
    <definedName name="BExMDVSN8RYXTDMLBX2RHZ7VDGJW" hidden="1">#REF!</definedName>
    <definedName name="BExMDVSO20ADTTVCKT513NZBKC0Q" hidden="1">#REF!</definedName>
    <definedName name="BExMDWE98A3VWDRIH0MMLFWLO11N" hidden="1">#REF!</definedName>
    <definedName name="BExMDX54L0P49ZDDZS67KEEEVEGE" hidden="1">#REF!</definedName>
    <definedName name="BExME11KG6927GJWKG1575C8347N" hidden="1">#REF!</definedName>
    <definedName name="BExME2U47N8LZG0BPJ49ANY5QVV2" hidden="1">#REF!</definedName>
    <definedName name="BExME3AEM41HFAR9HJNBTP1CMH58" hidden="1">#REF!</definedName>
    <definedName name="BExME6QCVXTV9V2XZZZR53XLSECB" hidden="1">#REF!</definedName>
    <definedName name="BExME71BQV30Y9JQS50KB07AEPV6" hidden="1">Table '[4]2'!$B$6:$F$9</definedName>
    <definedName name="BExME76NRH431WBB6SEVLWUEKOUE" hidden="1">#REF!</definedName>
    <definedName name="BExME7HG1IL3VM1VSTSJONI7HQPV" hidden="1">#REF!</definedName>
    <definedName name="BExME88DH5DUKMUFI9FNVECXFD2E" hidden="1">#REF!</definedName>
    <definedName name="BExME9A7MOGAK7YTTQYXP5DL6VYA" hidden="1">#REF!</definedName>
    <definedName name="BExMEFFAKR1M53N97EWZ8QTOATPC" hidden="1">#REF!</definedName>
    <definedName name="BExMEJMCFAZ9H0Q45PLHQ5ZOAS2B" hidden="1">#REF!</definedName>
    <definedName name="BExMEKTHIM47ERJ7ML7M759FF32G" hidden="1">#REF!</definedName>
    <definedName name="BExMEM65FIZ1QK7M0WF3WZ993CVH" hidden="1">#REF!</definedName>
    <definedName name="BExMENO2HS4CN71R6XPLFCJ4RTVS" hidden="1">#REF!</definedName>
    <definedName name="BExMENTES7JHC9MUJFHHG1OVPDLU" hidden="1">#REF!</definedName>
    <definedName name="BExMEOV9YFRY5C3GDLU60GIX10BY" hidden="1">#REF!</definedName>
    <definedName name="BExMEQD760ZIKU7IPOCXI8SHBRDW" hidden="1">#REF!</definedName>
    <definedName name="BExMEY095ELVR1FY94CBBWCTD3ND" hidden="1">#REF!</definedName>
    <definedName name="BExMEY09ESM4H2YGKEQQRYUD114R" hidden="1">#REF!</definedName>
    <definedName name="BExMEYGH2WBYR447MS8TN4KIKVW4" hidden="1">#REF!</definedName>
    <definedName name="BExMF4AT94J74BVKU4QP84FNAS7V" hidden="1">#REF!</definedName>
    <definedName name="BExMF4G4IUPQY1Y5GEY5N3E04CL6" hidden="1">#REF!</definedName>
    <definedName name="BExMF873P7U8W902T9CDXM2ZL6Q4" hidden="1">#REF!</definedName>
    <definedName name="BExMF9UIGYMOAQK0ELUWP0S0HZZY" hidden="1">#REF!</definedName>
    <definedName name="BExMFDLBSWFMRDYJ2DZETI3EXKN2" hidden="1">#REF!</definedName>
    <definedName name="BExMFECCX2TL7X598R1NDYNKPQ1C" hidden="1">#REF!</definedName>
    <definedName name="BExMFFJCU2N6QOC5V50II5WTLPAF" hidden="1">#REF!</definedName>
    <definedName name="BExMFH6SWBYCN98LEO4HJ8MYBMEV" hidden="1">#REF!</definedName>
    <definedName name="BExMFLDTMRTCHKA37LQW67BG8D5C" hidden="1">#REF!</definedName>
    <definedName name="BExMFLJ5VHQ8FI1CALRXFV5KESL9" hidden="1">#REF!</definedName>
    <definedName name="BExMFMFIIKNPLBHGNEV3PUDO92CE" hidden="1">#REF!</definedName>
    <definedName name="BExMFODQ3ZLFPV0GAXY266JKU0ZD" hidden="1">#REF!</definedName>
    <definedName name="BExMFQ102FN53YEFF1Q73O5PKTN2" hidden="1">#REF!</definedName>
    <definedName name="BExMFQXDS4V7YVWKQULHDPNY74IL" hidden="1">[2]Program!#REF!</definedName>
    <definedName name="BExMFY4B5JW31L4PL9F4S16LTC8G" hidden="1">#REF!</definedName>
    <definedName name="BExMFZBHGLO6ELS0ND29N31HOWS4" hidden="1">#REF!</definedName>
    <definedName name="BExMG1PSBBX8LAGNYAWZ69ZDLJTV" hidden="1">#REF!</definedName>
    <definedName name="BExMG2BDRMPI539DNESZBLP3PC16" hidden="1">[2]Program!#REF!</definedName>
    <definedName name="BExMGB5M3JWZUYH5GK61BPT3ZFGO" hidden="1">#REF!</definedName>
    <definedName name="BExMGCT0VQ3CXK10V3Y2VOL63JM8" hidden="1">#REF!</definedName>
    <definedName name="BExMGFI4HKAIPMC1IXAKVGJW8D72" hidden="1">#REF!</definedName>
    <definedName name="BExMGFSWSVUC8O4EM6ZP6T82VC1A" hidden="1">#REF!</definedName>
    <definedName name="BExMGG3PFIHPHX7NXB7HDFI3N12L" hidden="1">#REF!</definedName>
    <definedName name="BExMGP3DVQSF85OM1PDDFDBSQDX8" hidden="1">#REF!</definedName>
    <definedName name="BExMGP8PZRQSR9YV6LWSEP31PTST" hidden="1">#REF!</definedName>
    <definedName name="BExMGTQPQW8EQH62V84ZTL1VPPIC" hidden="1">#REF!</definedName>
    <definedName name="BExMGU6UE4XXL5MELY2ITA63D74D" hidden="1">#REF!</definedName>
    <definedName name="BExMGYZGIYGDWCIDNMY7BRQXO3GX" hidden="1">#REF!</definedName>
    <definedName name="BExMH1DSHDECQM96LCQX78PBAZB1" hidden="1">#REF!</definedName>
    <definedName name="BExMH2FF5STWONA7GC7J5Z7TI1D6" hidden="1">#REF!</definedName>
    <definedName name="BExMH3H9TW5TJCNU5Z1EWXP3BAEP" hidden="1">#REF!</definedName>
    <definedName name="BExMH5A0PVLPXSMT5K8AL46EKV7H" hidden="1">#REF!</definedName>
    <definedName name="BExMHBF4ACQCQXM4GUAAWP828I7N" hidden="1">#REF!</definedName>
    <definedName name="BExMHHEX685IWYT7YONR4246DEHP" hidden="1">#REF!</definedName>
    <definedName name="BExMHOWPB34KPZ76M2KIX2C9R2VB" hidden="1">#REF!</definedName>
    <definedName name="BExMHPT2C8ZFNF88JB9TCTKE3M4A" hidden="1">#REF!</definedName>
    <definedName name="BExMHQ3SOY1MJKGC7A7V7RVSGZOP" hidden="1">#REF!</definedName>
    <definedName name="BExMHQK3D86Y8ZJTS629FCING5V7" hidden="1">#REF!</definedName>
    <definedName name="BExMHSI4AK3VM09O637VK4ULBP1J" hidden="1">#REF!</definedName>
    <definedName name="BExMHSSYC6KVHA3QDTSYPN92TWMI" hidden="1">#REF!</definedName>
    <definedName name="BExMHU5KGNP3BOHFWJ5SXRYBOE12" hidden="1">#REF!</definedName>
    <definedName name="BExMHVYAQNYQ9M37VH7LA0I08DX7" hidden="1">#REF!</definedName>
    <definedName name="BExMHZ3HZWEV50MOC5KMUMHD5PAE" hidden="1">#REF!</definedName>
    <definedName name="BExMI0WA793SF41LQ40A28U8OXQY" hidden="1">#REF!</definedName>
    <definedName name="BExMI3AJ9477KDL4T9DHET4LJJTW" hidden="1">#REF!</definedName>
    <definedName name="BExMI3QOZTYEQUF0SE6AK4HHWJO7" hidden="1">#REF!</definedName>
    <definedName name="BExMI5E3LLP2XIYCAZ6RRR851TE1" hidden="1">#REF!</definedName>
    <definedName name="BExMI6FXM0EN6XWS1OY5YW0EGFL9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FA69O3I206YNEP8MK5RE563" hidden="1">#REF!</definedName>
    <definedName name="BExMIIQ5MBWSIHTFWAQADXMZC22Q" hidden="1">#REF!</definedName>
    <definedName name="BExMIJBR7BNB7JGFR2OWMH8L4D44" hidden="1">#REF!</definedName>
    <definedName name="BExMIKIWLQ7UKLERT3N5EU46TWQ5" hidden="1">#REF!</definedName>
    <definedName name="BExMIKZ5EDDZDK5D6GTXJPH9XWND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WIGRFQBQNLJIEUC82D06DZA" hidden="1">#REF!</definedName>
    <definedName name="BExMIYB84X1Q1QXC5SH4C88UYFFZ" hidden="1">#REF!</definedName>
    <definedName name="BExMIZT6AN7E6YMW2S87CTCN2UXH" hidden="1">#REF!</definedName>
    <definedName name="BExMJ15T9F3475M0896SG60TN0SR" hidden="1">#REF!</definedName>
    <definedName name="BExMJ27HE4EL2UX1WTO2NVO6QX57" hidden="1">#REF!</definedName>
    <definedName name="BExMJ51XJZN31B84NVPI18J3CWTB" hidden="1">#REF!</definedName>
    <definedName name="BExMJA01LCAWUR1OX7H4E7JGNN3W" hidden="1">#REF!</definedName>
    <definedName name="BExMJC3KPNQUFW7JQJ1DATOPLWGL" hidden="1">#REF!</definedName>
    <definedName name="BExMJCJNNG83I9DTPD2RMWHTACT1" hidden="1">#REF!</definedName>
    <definedName name="BExMJKCB7WOLJP3GIM647N06WD4G" hidden="1">#REF!</definedName>
    <definedName name="BExMJN6QFF7BIDWEFW2EYX0091MJ" hidden="1">#REF!</definedName>
    <definedName name="BExMJNC8ZFB9DRFOJ961ZAJ8U3A8" hidden="1">#REF!</definedName>
    <definedName name="BExMJPVVKY8HLSR8TA3607NSJZ17" hidden="1">#REF!</definedName>
    <definedName name="BExMJTBU1TICYZ55XZZJ7SJ9DL1N" hidden="1">#REF!</definedName>
    <definedName name="BExMJTBV8A3D31W2IQHP9RDFPPHQ" hidden="1">#REF!</definedName>
    <definedName name="BExMJTMNMDHG5APE0XLI1BMZB6IH" hidden="1">#REF!</definedName>
    <definedName name="BExMJUZAI5SP79CSG75B5PVOSFCO" hidden="1">#REF!</definedName>
    <definedName name="BExMK0OA4CYPHQFXIOZFG5E4Y027" hidden="1">#REF!</definedName>
    <definedName name="BExMK2RTXN4QJWEUNX002XK8VQP8" hidden="1">#REF!</definedName>
    <definedName name="BExMK5GW9E67LLYMLH2DIF26HKJG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LYDV6M4NV2BJ761KASLV8BU" hidden="1">#REF!</definedName>
    <definedName name="BExMKM3NXDSD42QWZQLBR9NSEJ6V" hidden="1">#REF!</definedName>
    <definedName name="BExMKOI0IEYQSWL82F4MI37J9NZ3" hidden="1">#REF!</definedName>
    <definedName name="BExMKOSS158X3OACQL5MPVK5F93C" hidden="1">#REF!</definedName>
    <definedName name="BExMKR1LFZGVW4YU2U7RV592XLDZ" hidden="1">#REF!</definedName>
    <definedName name="BExMKSE92VBEOU91URKV1QOM5I25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V3C1VMQAZWX5AB5U9P6H2CG" hidden="1">#REF!</definedName>
    <definedName name="BExMKZ535P011X4TNV16GCOH4H21" hidden="1">#REF!</definedName>
    <definedName name="BExMKZVYZAF1QTTMZOO97T7GFAUK" hidden="1">#REF!</definedName>
    <definedName name="BExML3S9MF71FXIX58WSRRHSL5RW" hidden="1">#REF!</definedName>
    <definedName name="BExML3XQNDIMX55ZCHHXKUV3D6E6" hidden="1">#REF!</definedName>
    <definedName name="BExML4J58JTUUJ7WU0XMEXSLA8WX" hidden="1">#REF!</definedName>
    <definedName name="BExML5QGSWHLI18BGY4CGOTD3UWH" hidden="1">#REF!</definedName>
    <definedName name="BExMLC0VIU7UMTZVJTTRGZRSGQ8A" hidden="1">#REF!</definedName>
    <definedName name="BExMLEF93I5UUD7FPUSOVUBS6MRY" hidden="1">#REF!</definedName>
    <definedName name="BExMLIX26RC2RK0WF9MTJZJK626J" hidden="1">#REF!</definedName>
    <definedName name="BExMLJILRMUO825GLKJ2FC4M9Z50" hidden="1">#REF!</definedName>
    <definedName name="BExMLO5Z61RE85X8HHX2G4IU3AZW" hidden="1">#REF!</definedName>
    <definedName name="BExMLP7N0Q1ZOESV7SHB89BWLG5A" hidden="1">#REF!</definedName>
    <definedName name="BExMLPNWJ6NEZMO5JLK7TRQ6AQ2H" hidden="1">#REF!</definedName>
    <definedName name="BExMLVI7UORSHM9FMO8S2EI0TMTS" hidden="1">#REF!</definedName>
    <definedName name="BExMM23L7NKPFKZETMR51DNW1IKJ" hidden="1">#REF!</definedName>
    <definedName name="BExMM2JPLPYBU7MHZ98T237Z9KRR" hidden="1">#REF!</definedName>
    <definedName name="BExMM5UCOT2HSSN0ZIPZW55GSOVO" hidden="1">#REF!</definedName>
    <definedName name="BExMM8OYZ4O6RWMORFCZ387CVWVZ" hidden="1">#REF!</definedName>
    <definedName name="BExMM8ZQQLV2VYMGZQTQ2PX7ZO6M" hidden="1">[2]Program!#REF!</definedName>
    <definedName name="BExMM8ZRS5RQ8H1H55RVPVTDL5NL" hidden="1">#REF!</definedName>
    <definedName name="BExMM9AK39MOYDOJIEQNMMACSC5H" hidden="1">#REF!</definedName>
    <definedName name="BExMMA6X22ZXDXEOIADOXO0505CB" hidden="1">#REF!</definedName>
    <definedName name="BExMMAHQ0VIVBXOAB5IJGKH4BPXE" hidden="1">#REF!</definedName>
    <definedName name="BExMMDSF8CJAB7BBIQVU7CXFKYXR" hidden="1">#REF!</definedName>
    <definedName name="BExMMFL4SBOJ4KTENQ4U1ZG72ONQ" hidden="1">#REF!</definedName>
    <definedName name="BExMMH8EAZB09XXQ5X4LR0P4NHG9" hidden="1">#REF!</definedName>
    <definedName name="BExMMIQH5BABNZVCIQ7TBCQ10AY5" hidden="1">#REF!</definedName>
    <definedName name="BExMMN865Q6AZR72V10AQHUOJUEU" hidden="1">[2]Program!#REF!</definedName>
    <definedName name="BExMMNIZ2T7M22WECMUQXEF4NJ71" hidden="1">#REF!</definedName>
    <definedName name="BExMMOVMO79W874TCHLZPN2PZJW2" hidden="1">#REF!</definedName>
    <definedName name="BExMMPH7IQKBHDLONHENJV3B4VNK" hidden="1">Tech '[4]2'!$B$7:$F$10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U4D319DVEYNFBDDKD8M4JAP" hidden="1">#REF!</definedName>
    <definedName name="BExMMV0P6P5YS3C35G0JYYHI7992" hidden="1">[2]Table!#REF!</definedName>
    <definedName name="BExMMZTDDCFDHK0GU54VF8EVH99F" hidden="1">#REF!</definedName>
    <definedName name="BExMN0KE4I9HSMHN19Y9QJG91YXU" hidden="1">#REF!</definedName>
    <definedName name="BExMN39JDVJ7XB3OY0UHSNKIPW2M" hidden="1">#REF!</definedName>
    <definedName name="BExMN3V2FJQBOP67HK0ZW4I9ZWL7" hidden="1">#REF!</definedName>
    <definedName name="BExMN63XVKNEQ2BXX2ZR5H5GYB1P" hidden="1">#REF!</definedName>
    <definedName name="BExMN7GKI6OCR1D9LFPCDQREMICH" hidden="1">#REF!</definedName>
    <definedName name="BExMN8YIMMRUTPOVY7AW5Z7JE88W" hidden="1">#REF!</definedName>
    <definedName name="BExMNDAUZTEMX9B81TGEGLWJK02U" hidden="1">#REF!</definedName>
    <definedName name="BExMNDAV97DXBFQOO0N6L527QCFH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KXY03WKXU8OECOYG19NHUPZ" hidden="1">#REF!</definedName>
    <definedName name="BExMNMQTZUIAXKEZUJ2WO5UTZFWG" hidden="1">#REF!</definedName>
    <definedName name="BExMNNC8WYYH3AUPPUZROLVVK4R3" hidden="1">TEST-#REF!</definedName>
    <definedName name="BExMNNN6X63PBHZD3DAW2DD9XAG2" hidden="1">#REF!</definedName>
    <definedName name="BExMNP4ZUG59TDNUTGKMWFEJIGTN" hidden="1">#REF!</definedName>
    <definedName name="BExMNQ1J7QX20FWV4DQ41E6S4T2W" hidden="1">#REF!</definedName>
    <definedName name="BExMNQMY2IUP61KESI720VOMTAJ1" hidden="1">#REF!</definedName>
    <definedName name="BExMNR38HMPLWAJRQ9MMS3ZAZ9IU" hidden="1">#REF!</definedName>
    <definedName name="BExMNRDZULKJMVY2VKIIRM2M5A1M" hidden="1">#REF!</definedName>
    <definedName name="BExMNTMUQCRPGM0175JF69D733MX" hidden="1">#REF!</definedName>
    <definedName name="BExMNUU14TGGUZ5LDRLLSQUZ8MWI" hidden="1">#REF!</definedName>
    <definedName name="BExMNUZHMKFZ814RTA641MNKZ7HQ" hidden="1">#REF!</definedName>
    <definedName name="BExMNW6NIOK4PW2K16RX2DT8BCKP" hidden="1">#REF!</definedName>
    <definedName name="BExMNYFGYSV9QDOQ4C2EU7WZHMSQ" hidden="1">#REF!</definedName>
    <definedName name="BExMNZ13BQXAKO2T3SAH1XW6N26N" hidden="1">#REF!</definedName>
    <definedName name="BExMO686WE47X6H6DPXWQD275MJW" hidden="1">#REF!</definedName>
    <definedName name="BExMO9IOWKTWHO8LQJJQI5P3INWY" hidden="1">#REF!</definedName>
    <definedName name="BExMOD45W63V1SCQR47QR4ZQV83C" hidden="1">#REF!</definedName>
    <definedName name="BExMOHWT41AY7YUYM4H16SZV9LJL" hidden="1">#REF!</definedName>
    <definedName name="BExMOI29DOEK5R1A5QZPUDKF7N6T" hidden="1">#REF!</definedName>
    <definedName name="BExMOJ9GY6AQGI153FV703AE296H" hidden="1">#REF!</definedName>
    <definedName name="BExMOJERF3IZU83EL8GLP6N3NJ7U" hidden="1">#REF!</definedName>
    <definedName name="BExMOM96B3A8OMFG045Z312XIH4D" hidden="1">#REF!</definedName>
    <definedName name="BExMORY5PLXHIEF5XM981CUJ165C" hidden="1">#REF!</definedName>
    <definedName name="BExMOY8XAUVJUX8NYX56RYBBV4SE" hidden="1">#REF!</definedName>
    <definedName name="BExMP06Y7JRUYXTNBLZEZIIFMP8Z" hidden="1">#REF!</definedName>
    <definedName name="BExMP18NI2MERYXXHCJOHAO1TO86" hidden="1">#REF!</definedName>
    <definedName name="BExMP4JCU8MM6ZOUIWL1K9132OR1" hidden="1">#REF!</definedName>
    <definedName name="BExMP54YFVH8GHZ8EJ14QEL4VTS8" hidden="1">TEST-[5]LISTA!$B$7:$F$1857</definedName>
    <definedName name="BExMP6MW68LSK8FT1P9RF6VZ8FP1" hidden="1">#REF!</definedName>
    <definedName name="BExMPAJ5AJAXGKGK3F6H3ODS6RF4" hidden="1">#REF!</definedName>
    <definedName name="BExMPD2X55FFBVJ6CBUKNPROIOEU" hidden="1">#REF!</definedName>
    <definedName name="BExMPG2TPCSE8UEIT8EKEJD08EQC" hidden="1">#REF!</definedName>
    <definedName name="BExMPGDN0Y4Y0GRT8XUWJ4X2AOEF" hidden="1">#REF!</definedName>
    <definedName name="BExMPGTVPYQ1ACGV1RRRS5LYB125" hidden="1">#REF!</definedName>
    <definedName name="BExMPGZ848E38FUH1JBQN97DGWAT" hidden="1">#REF!</definedName>
    <definedName name="BExMPLBKFPJM4GF27I2D45X0U9QF" hidden="1">#REF!</definedName>
    <definedName name="BExMPLH0O2KPJAJWK4N4C6RTS814" hidden="1">#REF!</definedName>
    <definedName name="BExMPMTICOSMQENOFKQ18K0ZT4S8" hidden="1">#REF!</definedName>
    <definedName name="BExMPMZ07II0R4KGWQQ7PGS3RZS4" hidden="1">#REF!</definedName>
    <definedName name="BExMPN9RQ8Q7I9HKZAL12AMDZYZ6" hidden="1">#REF!</definedName>
    <definedName name="BExMPOBH04JMDO6Z8DMSEJZM4ANN" hidden="1">#REF!</definedName>
    <definedName name="BExMPQEZEMKLWZ8C7I2GV6M78YQV" hidden="1">#REF!</definedName>
    <definedName name="BExMPSD77XQ3HA6A4FZOJK8G2JP3" hidden="1">#REF!</definedName>
    <definedName name="BExMPY26MO28XTNKMKLMCKR1RULV" hidden="1">#REF!</definedName>
    <definedName name="BExMPYYJWD6N6DTG57DCGOCCLG4M" hidden="1">#REF!</definedName>
    <definedName name="BExMQ17EF3SX6H4AQZUYH6HGK9B9" hidden="1">#REF!</definedName>
    <definedName name="BExMQ2JVURGM2477L3DBZUQLQ06F" hidden="1">#REF!</definedName>
    <definedName name="BExMQ41ZQNCI291UVV7EBWD8RXWS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ASNH4G8PC82LCC08YZDA85L" hidden="1">#REF!</definedName>
    <definedName name="BExMQBZU5EHJEN4OZOZAPZX5Y3TR" hidden="1">#REF!</definedName>
    <definedName name="BExMQFFU6TAR4UR28T1WV65Q7H1O" hidden="1">#REF!</definedName>
    <definedName name="BExMQGXSLPT4A6N47LE6FBVHWBOF" hidden="1">#REF!</definedName>
    <definedName name="BExMQH39VUDX54FGLRE5RXWW3LRJ" hidden="1">#REF!</definedName>
    <definedName name="BExMQJSDYR3NRM6ALNJS04SSLCWD" hidden="1">#REF!</definedName>
    <definedName name="BExMQNTZ08Y0YG534WI7II9YZFOM" hidden="1">#REF!</definedName>
    <definedName name="BExMQOFJB5KRFEI0T5Y44VKD03UV" hidden="1">#REF!</definedName>
    <definedName name="BExMQQDR2YYS5U7HZOKVRE42SVF4" hidden="1">#REF!</definedName>
    <definedName name="BExMQQZBS6844DNNPH3QX715DDU2" hidden="1">#REF!</definedName>
    <definedName name="BExMQR4MYP8SFWBTOVLML4PXXC48" hidden="1">#REF!</definedName>
    <definedName name="BExMQSBR7PL4KLB1Q4961QO45Y4G" hidden="1">#REF!</definedName>
    <definedName name="BExMQT2U5TJ6HVQ7ZDG14F0RGZ5G" hidden="1">#REF!</definedName>
    <definedName name="BExMQUKSPUCDUO172HH708O67IRB" hidden="1">#REF!</definedName>
    <definedName name="BExMR1MA4I1X77714ZEPUVC8W398" hidden="1">#REF!</definedName>
    <definedName name="BExMR2TGRI0D82SZWZ1DD7B80BWE" hidden="1">#REF!</definedName>
    <definedName name="BExMR4GUTFCN4RD7H81IOKECLEG3" hidden="1">#REF!</definedName>
    <definedName name="BExMR8YQHA7N77HGHY4Y6R30I3XT" hidden="1">#REF!</definedName>
    <definedName name="BExMRE7F90HS1CIBU1IWZHQALEYD" hidden="1">#REF!</definedName>
    <definedName name="BExMRENOIARWRYOIVPDIEBVNRDO7" hidden="1">#REF!</definedName>
    <definedName name="BExMRGGGHBWZXRHOD0UJFLPM8JXV" hidden="1">#REF!</definedName>
    <definedName name="BExMRHSX6J2BCL3BYS21T8XJJW2E" hidden="1">#REF!</definedName>
    <definedName name="BExMRP5C9V3XNIT2DRA9I6G73H2V" hidden="1">#REF!</definedName>
    <definedName name="BExMRPG54LNH7HRC92MBSUT6UL6L" hidden="1">#REF!</definedName>
    <definedName name="BExMRPLGF6LG9RYK4I4RL39UB52Z" hidden="1">#REF!</definedName>
    <definedName name="BExMRRJNUMGRSDD5GGKKGEIZ6FTS" hidden="1">#REF!</definedName>
    <definedName name="BExMRSW42JGFCDBHUJXQ9H9LUI50" hidden="1">#REF!</definedName>
    <definedName name="BExMRSW5RZO9BYUB2IBJ2T3ES1JP" hidden="1">#REF!</definedName>
    <definedName name="BExMRU3ACIU0RD2BNWO55LH5U2BR" hidden="1">#REF!</definedName>
    <definedName name="BExMS1QHWASCXE6D5KVKCPFNOE21" hidden="1">#REF!</definedName>
    <definedName name="BExMS3DRUJ5CTQMU9OAYMAO1KW72" hidden="1">#REF!</definedName>
    <definedName name="BExMS4A47L1CZL1RLX8FBH7RGGY9" hidden="1">#REF!</definedName>
    <definedName name="BExMS5S35OTU0DQZ7P89HSV3LFI7" hidden="1">#REF!</definedName>
    <definedName name="BExMS7VM660KBL6ND8KFJE0O4M3L" hidden="1">#REF!</definedName>
    <definedName name="BExMSDVDWFK43DXF2WTPWS2D84ZL" hidden="1">#REF!</definedName>
    <definedName name="BExMSKGT347BD418CKGV5QKM3HCI" hidden="1">#REF!</definedName>
    <definedName name="BExMSM9I7XZ0BC793Y8GWVJNG1V9" hidden="1">#REF!</definedName>
    <definedName name="BExMSQRCC40AP8BDUPL2I2DNC210" hidden="1">#REF!</definedName>
    <definedName name="BExMT25DGD0EIGKSEAYADP45AID7" hidden="1">#REF!</definedName>
    <definedName name="BExMT5G1FGB6ZC8FV3KVVO1VHPVO" hidden="1">#REF!</definedName>
    <definedName name="BExMTEFRPM45Y3NO9AHO9HVECODM" hidden="1">#REF!</definedName>
    <definedName name="BExO4J9LR712G00TVA82VNTG8O7H" hidden="1">#REF!</definedName>
    <definedName name="BExO4LNY90YF5PUQV41Y73QNTF37" hidden="1">#REF!</definedName>
    <definedName name="BExO4MV34NKULELULXLEYPGBRRUW" hidden="1">#REF!</definedName>
    <definedName name="BExO4P9G3CC5P66YXQJ1MQZE3Q3L" hidden="1">#REF!</definedName>
    <definedName name="BExO4Q5T1IO39TUFXG41PZPWD8H5" hidden="1">#REF!</definedName>
    <definedName name="BExO55G2KVZ7MIJ30N827CLH0I2A" hidden="1">#REF!</definedName>
    <definedName name="BExO56CFPGR5H7QAWCX629STJBYC" hidden="1">#REF!</definedName>
    <definedName name="BExO5A8PZD9EUHC5CMPU6N3SQ15L" hidden="1">#REF!</definedName>
    <definedName name="BExO5B52SMY8M7W38H8ZXX1RWEFT" hidden="1">Tech '[4]2'!$B$7:$F$10</definedName>
    <definedName name="BExO5BFUNJ1DFBEPVD7R3VUHYA1T" hidden="1">#REF!</definedName>
    <definedName name="BExO5D8M5X02DECE3J3QWKT87815" hidden="1">#REF!</definedName>
    <definedName name="BExO5DU5O0OLL6UTKB829RYYKXII" hidden="1">#REF!</definedName>
    <definedName name="BExO5MTVKY6Q9X3ZVJNZDWWYKVW9" hidden="1">#REF!</definedName>
    <definedName name="BExO5P85N35HOPRIRR2MGE5RMEAS" hidden="1">#REF!</definedName>
    <definedName name="BExO5TF8NOBF7IQ6XACGJLBIDFZ6" hidden="1">#REF!</definedName>
    <definedName name="BExO5W4CWRRHDMWKR8ZUI9ED84Y8" hidden="1">#REF!</definedName>
    <definedName name="BExO5XMAHL7CY3X0B1OPKZ28DCJ5" hidden="1">#REF!</definedName>
    <definedName name="BExO61IJIOOR1QEGSOUYMDR9KP0A" hidden="1">[1]Program!#REF!</definedName>
    <definedName name="BExO62PPPGU1M6I4G75MZC7GP80S" hidden="1">#REF!</definedName>
    <definedName name="BExO660EH5GJQVCS61MVQ00FJRCM" hidden="1">#REF!</definedName>
    <definedName name="BExO66LZJKY4PTQVREELI6POS4AY" hidden="1">#REF!</definedName>
    <definedName name="BExO683XQ5WU4JB1EIEG08HEJE6A" hidden="1">#REF!</definedName>
    <definedName name="BExO69B31KWLWKD35M1W3BJPARXP" hidden="1">#REF!</definedName>
    <definedName name="BExO6DI3NBRF6K3OOL3BWYMS79MB" hidden="1">#REF!</definedName>
    <definedName name="BExO6DY99ZKCJ29A44CVFKWFS6QU" hidden="1">#REF!</definedName>
    <definedName name="BExO6KZVKXJZCFEYQGWRX335LRQF" hidden="1">#REF!</definedName>
    <definedName name="BExO6LLHCYTF7CIVHKAO0NMET14Q" hidden="1">#REF!</definedName>
    <definedName name="BExO6MXYLSO3PCZPLBFNFFXB4KPX" hidden="1">#REF!</definedName>
    <definedName name="BExO6N3ERLI179Z6SWDRDDD6T9RA" hidden="1">#REF!</definedName>
    <definedName name="BExO6OQNS47H2VHVJYVAYQ5LU5IW" hidden="1">#REF!</definedName>
    <definedName name="BExO6TDZJFEM82MSTM3LZ2YOEEFQ" hidden="1">#REF!</definedName>
    <definedName name="BExO6UQGJ2XD2AD4UCRD6ZDP7E5U" hidden="1">#REF!</definedName>
    <definedName name="BExO6XQDFG3Y6NM2S20Q7AV1ZB6L" hidden="1">#REF!</definedName>
    <definedName name="BExO75OCQHKAFUQ5I8IT4PET0BUJ" hidden="1">#REF!</definedName>
    <definedName name="BExO76Q23581KVZKC1VG6P5N8T33" hidden="1">#REF!</definedName>
    <definedName name="BExO7A0RAM8VLJ9WVOS0CNSGVOZA" hidden="1">#REF!</definedName>
    <definedName name="BExO7AGT604V3BRQHPNCOX0UGYK5" hidden="1">#REF!</definedName>
    <definedName name="BExO7D632HEJ4PZQH3BVMZSP54R5" hidden="1">#REF!</definedName>
    <definedName name="BExO7GWWCADJOEB7Q4OAGWPW40SC" hidden="1">#REF!</definedName>
    <definedName name="BExO7JB6LOHZKECTT5413TJCUIG0" hidden="1">#REF!</definedName>
    <definedName name="BExO7MWOI4NUEH1P4ASHSJ9WNRUT" hidden="1">#REF!</definedName>
    <definedName name="BExO7OUQS3XTUQ2LDKGQ8AAQ3OJJ" hidden="1">#REF!</definedName>
    <definedName name="BExO7P06ZTVVIQHR798QC17DWP68" hidden="1">#REF!</definedName>
    <definedName name="BExO7Q1VYM9RJSVIPB800C1GC0B9" hidden="1">#REF!</definedName>
    <definedName name="BExO7QYFAF92B46FMHGBIC5NBCQ2" hidden="1">#REF!</definedName>
    <definedName name="BExO7RUSODZC2NQZMT2AFSMV2ONF" hidden="1">#REF!</definedName>
    <definedName name="BExO7S04XBLVU7ICSS7I51LMLMOB" hidden="1">#REF!</definedName>
    <definedName name="BExO7VG9TQNQHEYOVHNIE69DQY4M" hidden="1">#REF!</definedName>
    <definedName name="BExO7W1PSMP8KLLJ6LI9QUDVQEVV" hidden="1">#REF!</definedName>
    <definedName name="BExO7WY2QDO481QU01SGR70AOM8U" hidden="1">#REF!</definedName>
    <definedName name="BExO7XZWEU8KMSB5GBEN7G1PFAPE" hidden="1">#REF!</definedName>
    <definedName name="BExO83U8UVRI2PXHWT78GSQQLEX8" hidden="1">#REF!</definedName>
    <definedName name="BExO84L99VSHSPUF270I6Y6HF879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DA64TM9W8J65J3Z53F7ZW2X" hidden="1">#REF!</definedName>
    <definedName name="BExO8F2XYQF7AYTDE8HMJUKE839I" hidden="1">#REF!</definedName>
    <definedName name="BExO8I2TF8ZHX1I1VHXN8XKZ4DG8" hidden="1">#REF!</definedName>
    <definedName name="BExO8IZ05ZG0XVOL3W41KBQE176A" hidden="1">#REF!</definedName>
    <definedName name="BExO8OIOL0LMEQ6INPCJRDA4X1BH" hidden="1">#REF!</definedName>
    <definedName name="BExO8TM4L261JTCSQ24FHE73242J" hidden="1">#REF!</definedName>
    <definedName name="BExO8TM5V5CFSV5A13AYOWY4NGRS" hidden="1">#REF!</definedName>
    <definedName name="BExO8UTAGQWDBQZEEF4HUNMLQCVU" hidden="1">#REF!</definedName>
    <definedName name="BExO8WM11ULAGBSKAVJS69UZKNRG" hidden="1">#REF!</definedName>
    <definedName name="BExO937E20IHMGQOZMECL3VZC7OX" hidden="1">#REF!</definedName>
    <definedName name="BExO93SYD4T18E5BNR5W5D7I06W3" hidden="1">#REF!</definedName>
    <definedName name="BExO94UTJKQQ7TJTTJRTSR70YVJC" hidden="1">#REF!</definedName>
    <definedName name="BExO9800Y591Q6YYNEFS9FQPU3VV" hidden="1">#REF!</definedName>
    <definedName name="BExO9CXYPA61U9VCSREABMKWME1L" hidden="1">#REF!</definedName>
    <definedName name="BExO9GOX73VRYLPUGQROVWMR8OG7" hidden="1">Tech '[4]2'!$B$6:$S$142</definedName>
    <definedName name="BExO9J3A438976RXIUX5U9SU5T55" hidden="1">[2]Table!#REF!</definedName>
    <definedName name="BExO9KVZTM2WTUSEF5TKROF31RGL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9VDMGUN4BGPCDZ8N6NVCVTP1" hidden="1">#REF!</definedName>
    <definedName name="BExO9VTPOO599P09MUFN96TE9TLM" hidden="1">#REF!</definedName>
    <definedName name="BExO9ZKOFVW393D7QF9R98EX4YJR" hidden="1">#REF!</definedName>
    <definedName name="BExOA6GUTKAAYU57RP59DEO1UQ3G" hidden="1">#REF!</definedName>
    <definedName name="BExOA8PPAT6BFKDHD9OQK39O9RSG" hidden="1">#REF!</definedName>
    <definedName name="BExOA9BARJBVV7NB3KVLP7BRINUA" hidden="1">#REF!</definedName>
    <definedName name="BExOABPL0PRNH7V69R8EVJJ9EDC2" hidden="1">#REF!</definedName>
    <definedName name="BExOAFR6JHRK4AP8O7TB9UDEAVJL" hidden="1">#REF!</definedName>
    <definedName name="BExOAGCX9ISY83KMXO02KFMKR8OW" hidden="1">#REF!</definedName>
    <definedName name="BExOAHEL891P3Q8QMBSKLYS7ZIQY" hidden="1">#REF!</definedName>
    <definedName name="BExOAHJW5LR80KYHI3WVIU68DP6R" hidden="1">#REF!</definedName>
    <definedName name="BExOAJCTBDJX9G4GFVD0RVZOW0X4" hidden="1">#REF!</definedName>
    <definedName name="BExOAK90SZUTP7ALTDTK49AYDJYV" hidden="1">#REF!</definedName>
    <definedName name="BExOALLMSRYN2XKK2OOL6ZLC0FZK" hidden="1">#REF!</definedName>
    <definedName name="BExOAOR13JDBH566YYQI7NR8G4V4" hidden="1">#REF!</definedName>
    <definedName name="BExOAQ3GKCT7YZW1EMVU3EILSZL2" hidden="1">#REF!</definedName>
    <definedName name="BExOAR56378E5G4ZK6SBO5PX6WV3" hidden="1">#REF!</definedName>
    <definedName name="BExOAW8L6LJXWFFI4ZE40FYWTPY2" hidden="1">#REF!</definedName>
    <definedName name="BExOAWZO300XAT3RVHX5A8Q7ME6P" hidden="1">#REF!</definedName>
    <definedName name="BExOB04U8JQPEYGIQ7Q2GLO28I92" hidden="1">#REF!</definedName>
    <definedName name="BExOB3QBG1884CD00U3TG27FXNLI" hidden="1">#REF!</definedName>
    <definedName name="BExOB4MOJYY9E632O6D8U9PNZRFQ" hidden="1">#REF!</definedName>
    <definedName name="BExOB7HAJMHQ9AXVZGEWGR18J5VZ" hidden="1">#REF!</definedName>
    <definedName name="BExOB886RIKYRO6D0LXJDAB2M84Z" hidden="1">#REF!</definedName>
    <definedName name="BExOB9KT2THGV4SPLDVFTFXS4B14" hidden="1">#REF!</definedName>
    <definedName name="BExOBAMI80ALTX607H7U8KCCAK4M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NNWXJI9Y0IQ9VT4NMZCB3SW" hidden="1">#REF!</definedName>
    <definedName name="BExOBOUXMP88KJY2BX2JLUJH5N0K" hidden="1">#REF!</definedName>
    <definedName name="BExOBP0FKQ4SVR59FB48UNLKCOR6" hidden="1">#REF!</definedName>
    <definedName name="BExOBPRB84TXZ83NFNE32BI9UDHE" hidden="1">#REF!</definedName>
    <definedName name="BExOBQYG5GUSE6N2EGE6XFDTR1C9" hidden="1">#REF!</definedName>
    <definedName name="BExOBS0AP2X4OKU3N49BQUCGUQA3" hidden="1">#REF!</definedName>
    <definedName name="BExOBUJWJPZZY3KGTCHMOHWQBCZJ" hidden="1">#REF!</definedName>
    <definedName name="BExOBYAVUCQ0IGM0Y6A75QHP0Q1A" hidden="1">#REF!</definedName>
    <definedName name="BExOBYLMYCYZ1NJLHJCPLA3PVKYK" hidden="1">#REF!</definedName>
    <definedName name="BExOBYLO8NTLBKV3569Y2UNNIV1K" hidden="1">#REF!</definedName>
    <definedName name="BExOC08Y6OIMB5N7XH5Q1IR1M20Q" hidden="1">#REF!</definedName>
    <definedName name="BExOC3UEHB1CZNINSQHZANWJYKR8" hidden="1">#REF!</definedName>
    <definedName name="BExOC7LCVAJC36Q60I8PKPCD0T1S" hidden="1">#REF!</definedName>
    <definedName name="BExOC9OV1GYL5ESII55P7BSGSVYQ" hidden="1">#REF!</definedName>
    <definedName name="BExOCBSF3XGO9YJ23LX2H78VOUR7" hidden="1">#REF!</definedName>
    <definedName name="BExOCBSFGQBECPDSD9TUIQ1P7QPV" hidden="1">#REF!</definedName>
    <definedName name="BExOCCE0H8OXA48CX3HUHH04FOYY" hidden="1">#REF!</definedName>
    <definedName name="BExOCCOS7FSAESWNEBZ10IN72G1P" hidden="1">#REF!</definedName>
    <definedName name="BExOCK6JP1IB9PQXXWVH60W6SEV0" hidden="1">#REF!</definedName>
    <definedName name="BExOCKHB62BAHIFGCDB4S044CJ67" hidden="1">#REF!</definedName>
    <definedName name="BExOCKHBS1GLX3JFK8CQDOY9W1GW" hidden="1">#REF!</definedName>
    <definedName name="BExOCKXFMOW6WPFEVX1I7R7FNDSS" hidden="1">#REF!</definedName>
    <definedName name="BExOCNBR0ERX1MVR1ANA68RA7LVA" hidden="1">#REF!</definedName>
    <definedName name="BExOCNXB5K0BRLK3BSSMU51EAVJT" hidden="1">#REF!</definedName>
    <definedName name="BExOCPKLK04Z1M90YUXAEMDAN6SC" hidden="1">#REF!</definedName>
    <definedName name="BExOCQRW67S5VPXUJ6XEWND1J42A" hidden="1">#REF!</definedName>
    <definedName name="BExOCQX7MZG1R6UPBHNGI606SL8K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8WLR6OPOB0ZUPM1Y7506TRN" hidden="1">#REF!</definedName>
    <definedName name="BExODAPAUAZWGDXDUIRBTVZQZ6A9" hidden="1">#REF!</definedName>
    <definedName name="BExODEWDDEABM4ZY3XREJIBZ8IVP" hidden="1">#REF!</definedName>
    <definedName name="BExODGECKOE5N15YSBBW9UCM8XA2" hidden="1">#REF!</definedName>
    <definedName name="BExODGP4EXGDEUW6TY9J3UFLSVOS" hidden="1">#REF!</definedName>
    <definedName name="BExODI71R7LWCTBWUIXJ8ILEVRWD" hidden="1">#REF!</definedName>
    <definedName name="BExODOSFWK087911JSFLCZ54L7C6" hidden="1">#REF!</definedName>
    <definedName name="BExODZFEIWV26E8RFU7XQYX1J458" hidden="1">#REF!</definedName>
    <definedName name="BExOE0XBR52WEHQ1ADTHVYKV864S" hidden="1">#REF!</definedName>
    <definedName name="BExOE184PXLGOC6PZ9IJ5XKHO4ZZ" hidden="1">#REF!</definedName>
    <definedName name="BExOE2Q37E9TNU2ROMWR8QRMBKZJ" hidden="1">#REF!</definedName>
    <definedName name="BExOE7IPM8T6X6281928GCI86L2H" hidden="1">#REF!</definedName>
    <definedName name="BExOE89QWLYZ033JJYOXL9EN126C" hidden="1">#REF!</definedName>
    <definedName name="BExOEBKG55EROA2VL360A06LKASE" hidden="1">#REF!</definedName>
    <definedName name="BExOEFWTJVXVVO4MWP61RDMY6YY7" hidden="1">#REF!</definedName>
    <definedName name="BExOEH9BHW53XDAQ2ZEXN496BW0O" hidden="1">#REF!</definedName>
    <definedName name="BExOEJYKKI2ATEHQDZD4KL68T8JK" hidden="1">#REF!</definedName>
    <definedName name="BExOELLUF3TZGOJYL2M9EKSZZJGH" hidden="1">#REF!</definedName>
    <definedName name="BExOERG5LWXYYEN1DY1H2FWRJS9T" hidden="1">#REF!</definedName>
    <definedName name="BExOEV1S6JJVO5PP4BZ20SNGZR7D" hidden="1">#REF!</definedName>
    <definedName name="BExOEW3H9T8RWSK6UKV9Y5AYK8AK" hidden="1">#REF!</definedName>
    <definedName name="BExOF34XO73YUC8PL2E5H6Z5QF6G" hidden="1">Tech '[4]2'!$B$6:$S$39</definedName>
    <definedName name="BExOF34YBO1M3CMVY0089MHMLZBM" hidden="1">#REF!</definedName>
    <definedName name="BExOF5ZJR1UJ9IQRGDTEZM7GPQX4" hidden="1">#REF!</definedName>
    <definedName name="BExOF6QF05WHWROW2M9NQ9ALY67Y" hidden="1">Tech '[4]2'!$B$7:$F$10</definedName>
    <definedName name="BExOF7HGQBHFHZGDH4S2ZJ8D2H6Q" hidden="1">#REF!</definedName>
    <definedName name="BExOFEDNCYI2TPTMQ8SJN3AW4YMF" hidden="1">#REF!</definedName>
    <definedName name="BExOFGMFYCPUFU37AOC2OZB47DHC" hidden="1">Tech '[4]2'!$B$7:$G$11</definedName>
    <definedName name="BExOFIF79P7PVBNX33V8K33YERF0" hidden="1">#REF!</definedName>
    <definedName name="BExOFJH1W33H5R9GH680DNXTZ0ZN" hidden="1">#REF!</definedName>
    <definedName name="BExOFLPWC1W0M7AJWZ525943KPC9" hidden="1">#REF!</definedName>
    <definedName name="BExOFN2CCI1J0EUWG6CV07EKJOT7" hidden="1">#REF!</definedName>
    <definedName name="BExOFNO3TEW8PHZG8MZRU91SASTF" hidden="1">#REF!</definedName>
    <definedName name="BExOFOKAZXSOQF1XCFD37HTO95KZ" hidden="1">#REF!</definedName>
    <definedName name="BExOFS0GZM64OYUEJIZ7PYC3S61H" hidden="1">#REF!</definedName>
    <definedName name="BExOFUET650FR7Y9U6QOY0ZRO0NR" hidden="1">#REF!</definedName>
    <definedName name="BExOFVLXVD6RVHSQO8KZOOACSV24" hidden="1">#REF!</definedName>
    <definedName name="BExOFVR9Q05D35RTBF3AEUD7I469" hidden="1">#REF!</definedName>
    <definedName name="BExOFWYLHTN7U5ZDNM1H0IDNMLBE" hidden="1">#REF!</definedName>
    <definedName name="BExOFX3XGQ8JPUEPABCPHKC2HMVM" hidden="1">#REF!</definedName>
    <definedName name="BExOFY0AR2ENP7BHB9LZVX8DGPA2" hidden="1">#REF!</definedName>
    <definedName name="BExOG1AZCK9QN09SNEN2DTTFFCLJ" hidden="1">#REF!</definedName>
    <definedName name="BExOG2SW3XOGP9VAPQ3THV3VWV12" hidden="1">#REF!</definedName>
    <definedName name="BExOG3PA6NGBQKSU6X6MWHOX3Y3H" hidden="1">#REF!</definedName>
    <definedName name="BExOG45J81K4OPA40KW5VQU54KY3" hidden="1">#REF!</definedName>
    <definedName name="BExOG5CONIISBMCBWCF6UIY86EU3" hidden="1">#REF!</definedName>
    <definedName name="BExOG68XA3MJA8MMXSJ13V7M9TNG" hidden="1">#REF!</definedName>
    <definedName name="BExOG6JP8EM5G2NDPMWQ62F7LKXK" hidden="1">#REF!</definedName>
    <definedName name="BExOG6JUN96B1LOUFH5U1AB3TRMD" hidden="1">#REF!</definedName>
    <definedName name="BExOG8N8N6GEIG3ZYGM6RP9MQT5F" hidden="1">#REF!</definedName>
    <definedName name="BExOGA5BFLAF78NRG7AXK0Y1VQEL" hidden="1">#REF!</definedName>
    <definedName name="BExOGFE2SCL8HHT4DFAXKLUTJZOG" hidden="1">#REF!</definedName>
    <definedName name="BExOGKC0TQ8CIBW48JRN1JQ18TLQ" hidden="1">#REF!</definedName>
    <definedName name="BExOGLDW4840JGUY252K6L11RZED" hidden="1">#REF!</definedName>
    <definedName name="BExOGMQB6BKGRJTB5WNZ70ENJESN" hidden="1">#REF!</definedName>
    <definedName name="BExOGMVUENAKM810KTTSQVV65IT1" hidden="1">#REF!</definedName>
    <definedName name="BExOGSFBS5HHEBZAF6HJNL2WSUDD" hidden="1">#REF!</definedName>
    <definedName name="BExOGT6D0LJ3C22RDW8COECKB1J5" hidden="1">#REF!</definedName>
    <definedName name="BExOGT6E4PLRL0LCL8YEJ5LL37C3" hidden="1">#REF!</definedName>
    <definedName name="BExOGTMI1HT31M1RGWVRAVHAK7DE" hidden="1">#REF!</definedName>
    <definedName name="BExOGWBLR6A99JWN81QB75T58QDM" hidden="1">#REF!</definedName>
    <definedName name="BExOGXO9JE5XSE9GC3I6O21UEKAO" hidden="1">#REF!</definedName>
    <definedName name="BExOGYVEAJFUXQVT8YQO2U7YT5OY" hidden="1">#REF!</definedName>
    <definedName name="BExOGZGTOB1PSI7E7HCQ0QOWW4WS" hidden="1">#REF!</definedName>
    <definedName name="BExOH1F0GPC70NR1GHIL4ZXBCAQS" hidden="1">#REF!</definedName>
    <definedName name="BExOH2GVFOFXDG3YQK89NSKG7WJG" hidden="1">#REF!</definedName>
    <definedName name="BExOH3D3VFPZI0VB2K8QEZJ8MMOX" hidden="1">#REF!</definedName>
    <definedName name="BExOH4V15L44VSWCG5G8DM4D3PFU" hidden="1">#REF!</definedName>
    <definedName name="BExOH5WUPKDSZBOSLHXNC72H51MH" hidden="1">#REF!</definedName>
    <definedName name="BExOH6YQDI570DOKHN7ZV4GNSHY0" hidden="1">#REF!</definedName>
    <definedName name="BExOH7KB5HAPBB5K1Z3DIW5LCRSI" hidden="1">#REF!</definedName>
    <definedName name="BExOH9ICZ13C1LAW8OTYTR9S7ZP3" hidden="1">#REF!</definedName>
    <definedName name="BExOHBB43JS54D6MARIQR5PJNUDG" hidden="1">#REF!</definedName>
    <definedName name="BExOHEAZDGA93PEC2MD8Y957Y6F8" hidden="1">#REF!</definedName>
    <definedName name="BExOHELSIUW7G995Q4L3JFKQCUTB" hidden="1">#REF!</definedName>
    <definedName name="BExOHFI5FJH5NX3UFUG91H6Y0NCC" hidden="1">#REF!</definedName>
    <definedName name="BExOHHAV774J095LX1WDYKDOP1JM" hidden="1">#REF!</definedName>
    <definedName name="BExOHKLJC1UJVU22ZHRAMHY312Z7" hidden="1">Table '[4]2'!$B$6:$F$9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QALBLJIOFJ93FA05ZSJOTVU" hidden="1">#REF!</definedName>
    <definedName name="BExOHR1G1I9A9CI1HG94EWBLWNM2" hidden="1">#REF!</definedName>
    <definedName name="BExOHTQPP8LQ98L6PYUI6QW08YID" hidden="1">#REF!</definedName>
    <definedName name="BExOHU6UWJDL8EWMAPFQR2TN4C0R" hidden="1">#REF!</definedName>
    <definedName name="BExOHX6Q6NJI793PGX59O5EKTP4G" hidden="1">#REF!</definedName>
    <definedName name="BExOI12ZT35A8SJM900FSNR8LEET" hidden="1">#REF!</definedName>
    <definedName name="BExOI3S4BZXT4VR8QP3V30TL229F" hidden="1">#REF!</definedName>
    <definedName name="BExOI5VMTHH7Y8MQQ1N635CHYI0P" hidden="1">#REF!</definedName>
    <definedName name="BExOI6RZBVF4KNZINWAB8L4YT4XV" hidden="1">#REF!</definedName>
    <definedName name="BExOIEVCP4Y6VDS23AK84MCYYHRT" hidden="1">#REF!</definedName>
    <definedName name="BExOIG2AQHRS0T5P5RBP166N9XIP" hidden="1">#REF!</definedName>
    <definedName name="BExOIHPQIXR0NDR5WD01BZKPKEO3" hidden="1">#REF!</definedName>
    <definedName name="BExOIK41KX5ZO1C7IJUABR2060NV" hidden="1">#REF!</definedName>
    <definedName name="BExOILRHVXGJDYC78SSBR3RLKG8G" hidden="1">#REF!</definedName>
    <definedName name="BExOILWRX28YCK1F9Q0BH8V19HZH" hidden="1">#REF!</definedName>
    <definedName name="BExOIM7L0Z3LSII9P7ZTV4KJ8RMA" hidden="1">#REF!</definedName>
    <definedName name="BExOIN9ETPA87K6NINBIFRSWHK4C" hidden="1">#REF!</definedName>
    <definedName name="BExOIRGHNGMF2P2U9K7AHC4GZNAX" hidden="1">#REF!</definedName>
    <definedName name="BExOIWJVMJ6MG6JC4SPD1L00OHU1" hidden="1">#REF!</definedName>
    <definedName name="BExOIYCN8Z4JK3OOG86KYUCV0ME8" hidden="1">#REF!</definedName>
    <definedName name="BExOIZ8UEN8UDD0SOP8ZCVUA7T1G" hidden="1">#REF!</definedName>
    <definedName name="BExOJ3AKZ9BCBZT3KD8WMSLK6MN2" hidden="1">#REF!</definedName>
    <definedName name="BExOJ7XQK71I4YZDD29AKOOWZ47E" hidden="1">#REF!</definedName>
    <definedName name="BExOJFA6R7S06OLC9XS54RZ8P37J" hidden="1">#REF!</definedName>
    <definedName name="BExOJFL00W1LK0V13ERJT3BA8R0C" hidden="1">#REF!</definedName>
    <definedName name="BExOJM0W6XGSW5MXPTTX0GNF6SFT" hidden="1">#REF!</definedName>
    <definedName name="BExOJM6CLWL6FIP1XZS6Y2B2Z7X0" hidden="1">#REF!</definedName>
    <definedName name="BExOJVBBMOO8QP73361YNTEH9IUC" hidden="1">#REF!</definedName>
    <definedName name="BExOJXEUJJ9SYRJXKYYV2NCCDT2R" hidden="1">#REF!</definedName>
    <definedName name="BExOJZ2BKKNRKKHOASCYOWOB0ZVI" hidden="1">#REF!</definedName>
    <definedName name="BExOK0EQYM9JUMAGWOUN7QDH7VMZ" hidden="1">#REF!</definedName>
    <definedName name="BExOK0PKW6T9L00X4Y64235SDCJR" hidden="1">#REF!</definedName>
    <definedName name="BExOK4WM9O7QNG6O57FOASI5QSN1" hidden="1">#REF!</definedName>
    <definedName name="BExOK7G8TPE6NI9QIJO4FP9OCEF5" hidden="1">#REF!</definedName>
    <definedName name="BExOKBHZOK5F06T5FJFEJZNI2TMJ" hidden="1">#REF!</definedName>
    <definedName name="BExOKBNA7EIMMR8UWTLN2ZO2OU49" hidden="1">#REF!</definedName>
    <definedName name="BExOKCECQSFWA99RY6KEDPH30KT6" hidden="1">#REF!</definedName>
    <definedName name="BExOKCP5F4IK47UULABCNGTOX4CC" hidden="1">#REF!</definedName>
    <definedName name="BExOKDAQ31PVS0Q7NXOF66C24GYL" hidden="1">#REF!</definedName>
    <definedName name="BExOKGLEX2TWRD16M2DKKKBWNAGS" hidden="1">#REF!</definedName>
    <definedName name="BExOKKHOPWUVRJGQJ5ONR2U40JX8" hidden="1">#REF!</definedName>
    <definedName name="BExOKNHKZVI06SHFKTYM3JCV41M6" hidden="1">#REF!</definedName>
    <definedName name="BExOKNSDTJNJQ0AMED59WS3YCKEV" hidden="1">#REF!</definedName>
    <definedName name="BExOKTXMJP351VXKH8VT6SXUNIMF" hidden="1">#REF!</definedName>
    <definedName name="BExOKU8GMLOCNVORDE329819XN67" hidden="1">#REF!</definedName>
    <definedName name="BExOKUDQS7STNP4QW1AFFL9KOPV4" hidden="1">#REF!</definedName>
    <definedName name="BExOKVKWKWZD3A4SC2KGUKPE7ML3" hidden="1">#REF!</definedName>
    <definedName name="BExOKWH96XHFND478QQXLP9OD3RY" hidden="1">#REF!</definedName>
    <definedName name="BExOL0Z3Z7IAMHPB91EO2MF49U57" hidden="1">#REF!</definedName>
    <definedName name="BExOL7KH12VAR0LG741SIOJTLWFD" hidden="1">#REF!</definedName>
    <definedName name="BExOL8RNA7ID4R857HDDS7XJ93CL" hidden="1">#REF!</definedName>
    <definedName name="BExOL8WYNZNSIFGAS6QNS4H95WH3" hidden="1">#REF!</definedName>
    <definedName name="BExOLA4438XNGRN01R2GKLYV7LQY" hidden="1">Table '[4]2'!$B$6:$E$7</definedName>
    <definedName name="BExOLB5SC7VD8OG53K8II93SAENQ" hidden="1">#REF!</definedName>
    <definedName name="BExOLD411QWFX4FN11349510DRJ8" hidden="1">#REF!</definedName>
    <definedName name="BExOLD9BV1NRA156TPPBO4IRH6YJ" hidden="1">#REF!</definedName>
    <definedName name="BExOLGPHDV9QBFO91XYE1DPLUI74" hidden="1">#REF!</definedName>
    <definedName name="BExOLICXFHJLILCJVFMJE5MGGWKR" hidden="1">#REF!</definedName>
    <definedName name="BExOLJK38EEG0F6FQW8MGWWYPG61" hidden="1">#REF!</definedName>
    <definedName name="BExOLK06LJYZSWO9LUKD2P1U0LVG" hidden="1">#REF!</definedName>
    <definedName name="BExOLKLQBRI929WS5BLQJSQ47HLF" hidden="1">#REF!</definedName>
    <definedName name="BExOLOI0WJS3QC12I3ISL0D9AWOF" hidden="1">#REF!</definedName>
    <definedName name="BExOLUSL56DFV6VH26H67SAF554T" hidden="1">#REF!</definedName>
    <definedName name="BExOLUXY45441BCQSPHKZT4Y6B9C" hidden="1">#REF!</definedName>
    <definedName name="BExOLYZNCQU9YFRCJTSR1R7098U7" hidden="1">#REF!</definedName>
    <definedName name="BExOLYZNG5RBD0BTS1OEZJNU92Q5" hidden="1">#REF!</definedName>
    <definedName name="BExOM01C6U9NQ5GHKJP6ISQ8L5UT" hidden="1">#REF!</definedName>
    <definedName name="BExOM3HIJ3UZPOKJI68KPBJAHPDC" hidden="1">#REF!</definedName>
    <definedName name="BExOM6S758QVFN6MFXZTVVI45ZQB" hidden="1">#REF!</definedName>
    <definedName name="BExOMB4JQJ9UFRRISG8TUU5QICZA" hidden="1">#REF!</definedName>
    <definedName name="BExOMBFCBGGM6KO5RX1LMJ0M22S4" hidden="1">#REF!</definedName>
    <definedName name="BExOMF0SZ3K37UAYRC0JHUSM2YFE" hidden="1">#REF!</definedName>
    <definedName name="BExOMI672TH8VPB5MGW4I7CD339Q" hidden="1">#REF!</definedName>
    <definedName name="BExOMIBHF1PZUL8A9N9YHZZI86D9" hidden="1">#REF!</definedName>
    <definedName name="BExOMKPURE33YQ3K1JG9NVQD4W49" hidden="1">#REF!</definedName>
    <definedName name="BExOMM2G39XM5CD0LE6CILIXRYHB" hidden="1">#REF!</definedName>
    <definedName name="BExOMP7NGCLUNFK50QD2LPKRG078" hidden="1">#REF!</definedName>
    <definedName name="BExOMU0A6XMY48SZRYL4WQZD13BI" hidden="1">#REF!</definedName>
    <definedName name="BExOMURDFA9QL230A0IYN4NSLZPU" hidden="1">#REF!</definedName>
    <definedName name="BExOMVT0HSNC59DJP4CLISASGHKL" hidden="1">#REF!</definedName>
    <definedName name="BExOMX07K5M2L9Z7HH4W5B8ML7NK" hidden="1">#REF!</definedName>
    <definedName name="BExOMZPBCTN27UCW16AB5RODAK0F" hidden="1">#REF!</definedName>
    <definedName name="BExON0AX35F2SI0UCVMGWGVIUNI3" hidden="1">#REF!</definedName>
    <definedName name="BExON2P7U93VP85Z1K331O4DERPJ" hidden="1">#REF!</definedName>
    <definedName name="BExON3ASCEVH6IHLJHWYGTTWAINE" hidden="1">#REF!</definedName>
    <definedName name="BExON3LKGWMYXTE0GUE6JSF95Y3J" hidden="1">#REF!</definedName>
    <definedName name="BExON3QVSJYEQD16BJXAJ9G9VZV1" hidden="1">#REF!</definedName>
    <definedName name="BExON41U4296DV3DPG6I5EF3OEYF" hidden="1">#REF!</definedName>
    <definedName name="BExON58UZ71C0XD1X991RCV0Q6MB" hidden="1">#REF!</definedName>
    <definedName name="BExON8UB96J8UZO1ZX4IVWLM8DGA" hidden="1">#REF!</definedName>
    <definedName name="BExON958CY4U6D9YOFTOTUJLIYJK" hidden="1">#REF!</definedName>
    <definedName name="BExONB3A7CO4YD8RB41PHC93BQ9M" hidden="1">#REF!</definedName>
    <definedName name="BExONFL4TFXSXWK3WNKGBKED9MO0" hidden="1">#REF!</definedName>
    <definedName name="BExONFQH6UUXF8V0GI4BRIST9RFO" hidden="1">#REF!</definedName>
    <definedName name="BExONHZH7UYWNNGHN1TBE5KBBVQI" hidden="1">#REF!</definedName>
    <definedName name="BExONIL1EPN8W1SVF4S473NVT9G0" hidden="1">#REF!</definedName>
    <definedName name="BExONIL31DZWU7IFVN3VV0XTXJA1" hidden="1">#REF!</definedName>
    <definedName name="BExONJ1BU17R0F5A2UP1UGJBOGKS" hidden="1">#REF!</definedName>
    <definedName name="BExONJMR80HG2FEOQYY2RV61DTMP" hidden="1">#REF!</definedName>
    <definedName name="BExONKOKOSIBUJ8PWCHARC3ECBRD" hidden="1">#REF!</definedName>
    <definedName name="BExONNOHHBF8J1AA1FLZ3Q80IYQF" hidden="1">#REF!</definedName>
    <definedName name="BExONNZ9VMHVX3J6NLNJY7KZA61O" hidden="1">#REF!</definedName>
    <definedName name="BExONPBQVA12PHRQ13NAPMV8OK8R" hidden="1">#REF!</definedName>
    <definedName name="BExONRQ1BAA4F3TXP2MYQ4YCZ09S" hidden="1">#REF!</definedName>
    <definedName name="BExONS0U1BUFL5LHYSM0QUVEZ28P" hidden="1">#REF!</definedName>
    <definedName name="BExONVBIXX436X1BG1TMAO4S9LD0" hidden="1">#REF!</definedName>
    <definedName name="BExONVH0RGQ4GH083ZAOCD8NNBGB" hidden="1">#REF!</definedName>
    <definedName name="BExONX49UYYAURWUG921XGWJSIRC" hidden="1">#REF!</definedName>
    <definedName name="BExOO1WWIZSGB0YTGKESB45TSVMZ" hidden="1">#REF!</definedName>
    <definedName name="BExOO3V3L7FAGG0MDDCJZE3D60EX" hidden="1">#REF!</definedName>
    <definedName name="BExOO4B8FPAFYPHCTYTX37P1TQM5" hidden="1">#REF!</definedName>
    <definedName name="BExOO6V0MOXV3OGB6ET56JU9IVB6" hidden="1">#REF!</definedName>
    <definedName name="BExOOA078O43VYFI2DXA7M4JBQZV" hidden="1">#REF!</definedName>
    <definedName name="BExOOBI5QCGFS84JIIV8TIVNOAXN" hidden="1">#REF!</definedName>
    <definedName name="BExOOD05OIF8C54O3MMFD2L3Y44C" hidden="1">#REF!</definedName>
    <definedName name="BExOOGAT2HA83QHNA10UL69AY5VI" hidden="1">#REF!</definedName>
    <definedName name="BExOOGLL9QVR6XU5VQJKNJ3MLHZE" hidden="1">#REF!</definedName>
    <definedName name="BExOOHSRY0XCJ14Z5F5DPMNCWFT4" hidden="1">#REF!</definedName>
    <definedName name="BExOOIULUDOJRMYABWV5CCL906X6" hidden="1">#REF!</definedName>
    <definedName name="BExOOMW5Q20AFQJLU9XQS843GXIY" hidden="1">#REF!</definedName>
    <definedName name="BExOOO3B06XMQ6L2AVZJDSW5EJS5" hidden="1">#REF!</definedName>
    <definedName name="BExOOQ6V69Z88S8GUHVO8AWFBUYN" hidden="1">TEST-#REF!</definedName>
    <definedName name="BExOORE1DP6UVW28XJX2VS05649B" hidden="1">#REF!</definedName>
    <definedName name="BExOOTN0KTXJCL7E476XBN1CJ553" hidden="1">#REF!</definedName>
    <definedName name="BExOOU33NBEO709CM0RIZWBNDOIZ" hidden="1">#REF!</definedName>
    <definedName name="BExOP2S18PQ9PIAIASVTH3WYHT7Q" hidden="1">#REF!</definedName>
    <definedName name="BExOP5H4TWV6WOYA6H3DNE0SXDTA" hidden="1">#REF!</definedName>
    <definedName name="BExOP62PG4MXCZRST2D4WNPSS0CG" hidden="1">#REF!</definedName>
    <definedName name="BExOP6OBTACKYKWAL980ICK39WLB" hidden="1">#REF!</definedName>
    <definedName name="BExOP9DEBV5W5P4Q25J3XCJBP5S9" hidden="1">#REF!</definedName>
    <definedName name="BExOPFNYRBL0BFM23LZBJTADNOE4" hidden="1">#REF!</definedName>
    <definedName name="BExOPG9L3EW2MOTUC7C8Q0P2H6FL" hidden="1">#REF!</definedName>
    <definedName name="BExOPINVFSIZMCVT9YGT2AODVCX3" hidden="1">#REF!</definedName>
    <definedName name="BExOPJV0G43Z50LNI0UWME9NPU9S" hidden="1">#REF!</definedName>
    <definedName name="BExOQ1JN4SAC44RTMZIGHSW023WA" hidden="1">#REF!</definedName>
    <definedName name="BExOQ256YMF115DJL3KBPNKABJ90" hidden="1">#REF!</definedName>
    <definedName name="BExOQ31KP6DAMEA27XFG47SKTKAZ" hidden="1">#REF!</definedName>
    <definedName name="BExOQLMISREXV7WTKJUWC57XSQ3I" hidden="1">#REF!</definedName>
    <definedName name="BExQ19DEUOLC11IW32E2AMVZLFF1" hidden="1">#REF!</definedName>
    <definedName name="BExQ1FD6KISGYU1JWEQ4G243ZPVD" hidden="1">#REF!</definedName>
    <definedName name="BExQ1HRIBWA3RDFI9ZYC2T22CUS0" hidden="1">#REF!</definedName>
    <definedName name="BExQ1L27VBFI19MY7TZWAU4D41ZO" hidden="1">#REF!</definedName>
    <definedName name="BExQ1X1RE71HCCMKWV64X8HPHR0R" hidden="1">#REF!</definedName>
    <definedName name="BExQ29C73XR33S3668YYSYZAIHTG" hidden="1">#REF!</definedName>
    <definedName name="BExQ2AU3GSUHFDOCR6TU0EQFIB6E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TV6YARWPMQL61AHKERXXTIJ" hidden="1">#REF!</definedName>
    <definedName name="BExQ2XM4Q3EMOII7VWP295995MX3" hidden="1">#REF!</definedName>
    <definedName name="BExQ300G8I8TK45A0MVHV15422EU" hidden="1">#REF!</definedName>
    <definedName name="BExQ36LSNREZ1E57R7XQBMCN9G1N" hidden="1">#REF!</definedName>
    <definedName name="BExQ39R28MXSG2SEV956F0KZ20AN" hidden="1">#REF!</definedName>
    <definedName name="BExQ3B3OBTYOR1ZC6QCOIYEPT209" hidden="1">#REF!</definedName>
    <definedName name="BExQ3D1P3M5Z3HLMEZ17E0BLEE4U" hidden="1">#REF!</definedName>
    <definedName name="BExQ3EUGLD3K0RFYCFWBACICVUL7" hidden="1">#REF!</definedName>
    <definedName name="BExQ3IQPAIEQXDZ15VOQ14YVA58P" hidden="1">#REF!</definedName>
    <definedName name="BExQ3O4W7QF8BOXTUT4IOGF6YKUD" hidden="1">#REF!</definedName>
    <definedName name="BExQ3OVTDC5B16G1TX7PFA1HSIAX" hidden="1">#REF!</definedName>
    <definedName name="BExQ3PXOWSN8561ZR8IEY8ZASI3B" hidden="1">#REF!</definedName>
    <definedName name="BExQ3SC0025U8UA98JNFSM29X9R7" hidden="1">#REF!</definedName>
    <definedName name="BExQ3TZF04IPY0B0UG9CQQ5736UA" hidden="1">#REF!</definedName>
    <definedName name="BExQ3XKUUBMB729CXBCYJMTGWN3Q" hidden="1">#REF!</definedName>
    <definedName name="BExQ3Y6G7UK2PFOPCTSZTVRDIQLO" hidden="1">#REF!</definedName>
    <definedName name="BExQ3ZO8TTI4ZSIWNMMMHN7VTYTV" hidden="1">#REF!</definedName>
    <definedName name="BExQ41BOL730OSEM60CEMAMP4ARQ" hidden="1">#REF!</definedName>
    <definedName name="BExQ42IU9MNDYLODP41DL6YTZMAR" hidden="1">#REF!</definedName>
    <definedName name="BExQ42Z4F4UVB5VGBGKT4AOR8GG5" hidden="1">[6]Program!#REF!</definedName>
    <definedName name="BExQ452HF7N1HYPXJXQ8WD6SOWUV" hidden="1">#REF!</definedName>
    <definedName name="BExQ48O40HBEZWA7DLLD5KGBMXYR" hidden="1">#REF!</definedName>
    <definedName name="BExQ499KBJ5W7A1G293A0K14EVQB" hidden="1">#REF!</definedName>
    <definedName name="BExQ4B7Q3NN5PZMR9C0YCQ9KMIUO" hidden="1">#REF!</definedName>
    <definedName name="BExQ4BTBSHPHVEDRCXC2ROW8PLFC" hidden="1">#REF!</definedName>
    <definedName name="BExQ4DGKF54SRKQUTUT4B1CZSS62" hidden="1">#REF!</definedName>
    <definedName name="BExQ4JGC325VYQASG2LFJ43EH8QN" hidden="1">#REF!</definedName>
    <definedName name="BExQ4KCRHKLBF8K9GFGW0OSWBUOB" hidden="1">#REF!</definedName>
    <definedName name="BExQ4PAVIX80OLW70CSN71GUE5AV" hidden="1">#REF!</definedName>
    <definedName name="BExQ4PG626YC202CG2RK6GAGE3FV" hidden="1">#REF!</definedName>
    <definedName name="BExQ4QSSX4JK5GBZ4OB1CBBT2UP8" hidden="1">#REF!</definedName>
    <definedName name="BExQ4T74LQ5PYTV1MUQUW75A4BDY" hidden="1">#REF!</definedName>
    <definedName name="BExQ4UJKOIRF276A7TBOZIUPH45R" hidden="1">#REF!</definedName>
    <definedName name="BExQ4XJHD7EJCNH7S1MJDZJ2MNWG" hidden="1">#REF!</definedName>
    <definedName name="BExQ4Z6X28HNU8D0947TKYADK2V5" hidden="1">#REF!</definedName>
    <definedName name="BExQ4ZC7LXL6LP7RTMRTG1HNQ3T8" hidden="1">Tech '[4]2'!$B$7:$D$8</definedName>
    <definedName name="BExQ5039ZCEWBUJHU682G4S89J03" hidden="1">#REF!</definedName>
    <definedName name="BExQ51FR8DXUTTRVQ6ZM7BCRP4YQ" hidden="1">#REF!</definedName>
    <definedName name="BExQ53U1WPQDQWX1BVV1GSXRBF6E" hidden="1">#REF!</definedName>
    <definedName name="BExQ56DTGNTC9LLF4Y1OON948TOZ" hidden="1">#REF!</definedName>
    <definedName name="BExQ56Z9W6YHZHRXOFFI8EFA7CDI" hidden="1">#REF!</definedName>
    <definedName name="BExQ5AFFGXOIB3G44B6JOR5ANML4" hidden="1">#REF!</definedName>
    <definedName name="BExQ5B10HNREKSONNC830DB72FX8" hidden="1">#REF!</definedName>
    <definedName name="BExQ5D9USXKOFKSDGRO2FJI0BZFO" hidden="1">#REF!</definedName>
    <definedName name="BExQ5ERYMONIF3LOTJYD4JORZRE9" hidden="1">#REF!</definedName>
    <definedName name="BExQ5F81V56LXA1QA4IC98KCKX4Z" hidden="1">#REF!</definedName>
    <definedName name="BExQ5IYU5BDFG0NLWXHAVQRDJVQI" hidden="1">#REF!</definedName>
    <definedName name="BExQ5KX3Z668H1KUCKZ9J24HUQ1F" hidden="1">#REF!</definedName>
    <definedName name="BExQ5OD2W988U85FMM7VCS5X1TG8" hidden="1">#REF!</definedName>
    <definedName name="BExQ5OTC9DTHTG2HWGFKW0WHAYZW" hidden="1">#REF!</definedName>
    <definedName name="BExQ5PEX69LNZ3YFI6UOCNVC5U71" hidden="1">#REF!</definedName>
    <definedName name="BExQ5PV0Q8YIRZY0I77J5L3FL6UC" hidden="1">#REF!</definedName>
    <definedName name="BExQ5QRDZB1HAOEBUTDMS9FSECTS" hidden="1">#REF!</definedName>
    <definedName name="BExQ5SPMSOCJYLAY20NB5A6O32RE" hidden="1">#REF!</definedName>
    <definedName name="BExQ5UICMGTMK790KTLK49MAGXRC" hidden="1">#REF!</definedName>
    <definedName name="BExQ5W5LKN1M63XYWA9WAIPXUCOY" hidden="1">#REF!</definedName>
    <definedName name="BExQ5YUUK9FD0QGTY4WD0W90O7OL" hidden="1">#REF!</definedName>
    <definedName name="BExQ61PB5PDVYD2C9U2JUHWHILUA" hidden="1">#REF!</definedName>
    <definedName name="BExQ63793YQ9BH7JLCNRIATIGTRG" hidden="1">#REF!</definedName>
    <definedName name="BExQ63I13Z79JTP54F1TT4KEQIYR" hidden="1">#REF!</definedName>
    <definedName name="BExQ6A8PYS2J3JFMGFA2YNZGVPW6" hidden="1">#REF!</definedName>
    <definedName name="BExQ6BW4CFX02P9D1ULOEBCE39HQ" hidden="1">Tech '[7]1'!$B$7:$L$327</definedName>
    <definedName name="BExQ6CHQ8BFW675J92GVLPK2QUQS" hidden="1">#REF!</definedName>
    <definedName name="BExQ6CN1EF2UPZ57ZYMGK8TUJQSS" hidden="1">#REF!</definedName>
    <definedName name="BExQ6FHM51U2O7L35UOV7SET0EYC" hidden="1">#REF!</definedName>
    <definedName name="BExQ6FSF4HD4XY7QA3SQ94FIUAWI" hidden="1">#REF!</definedName>
    <definedName name="BExQ6HL62DYD9ELLW7GKRY8Z477W" hidden="1">#REF!</definedName>
    <definedName name="BExQ6JJ6GQ820H268M24Q000VLS5" hidden="1">#REF!</definedName>
    <definedName name="BExQ6L6MHA4M3P9S2LF85RS2YXMO" hidden="1">#REF!</definedName>
    <definedName name="BExQ6M2YXJ8AMRJF3QGHC40ADAHZ" hidden="1">#REF!</definedName>
    <definedName name="BExQ6M8B0X44N9TV56ATUVHGDI00" hidden="1">#REF!</definedName>
    <definedName name="BExQ6NKT7GLCK5DO3FT99FA0VH7Y" hidden="1">#REF!</definedName>
    <definedName name="BExQ6PIZEB3532T46HXOTSDMM8XR" hidden="1">#REF!</definedName>
    <definedName name="BExQ6POGIGME65WP0W9DHPQW3DQG" hidden="1">#REF!</definedName>
    <definedName name="BExQ6POH065GV0I74XXVD0VUPBJW" hidden="1">#REF!</definedName>
    <definedName name="BExQ6Q4KNCQE07TEL74BFTSBRI98" hidden="1">#REF!</definedName>
    <definedName name="BExQ6WF6ARFWODBMTCU7Z5LSGOIJ" hidden="1">#REF!</definedName>
    <definedName name="BExQ6WV9KPSMXPPLGZ3KK4WNYTHU" hidden="1">#REF!</definedName>
    <definedName name="BExQ6YTGULY20OEAMKZ0Y3UH7LBZ" hidden="1">#REF!</definedName>
    <definedName name="BExQ6Z9KTYCB1FNDZ85R0LMT64BK" hidden="1">#REF!</definedName>
    <definedName name="BExQ6Z9QG23VJP28JUWPQTY1K20B" hidden="1">#REF!</definedName>
    <definedName name="BExQ6ZKDCYER0PTIWAZGY9F32114" hidden="1">#REF!</definedName>
    <definedName name="BExQ77NOR63YJ4X2TE5WA5211SR6" hidden="1">#REF!</definedName>
    <definedName name="BExQ783XTMM2A9I3UKCFWJH1PP2N" hidden="1">#REF!</definedName>
    <definedName name="BExQ79LX01ZPQB8EGD1ZHR2VK2H3" hidden="1">#REF!</definedName>
    <definedName name="BExQ7ACYPS8AX0JXBH043BOJEDU7" hidden="1">#REF!</definedName>
    <definedName name="BExQ7B3V9MGDK2OIJ61XXFBFLJFZ" hidden="1">#REF!</definedName>
    <definedName name="BExQ7CB046NVPF9ZXDGA7OXOLSLX" hidden="1">#REF!</definedName>
    <definedName name="BExQ7CR9D9ABEPYJUDIKO9DZXUL0" hidden="1">#REF!</definedName>
    <definedName name="BExQ7IWDCGGOO1HTJ97YGO1CK3R9" hidden="1">#REF!</definedName>
    <definedName name="BExQ7JNFIEGS2HKNBALH3Q2N5G7Z" hidden="1">#REF!</definedName>
    <definedName name="BExQ7JSQWEA7KON26M230HJXPAZV" hidden="1">#REF!</definedName>
    <definedName name="BExQ7KEC92IUMSF6YO8WTMP2O0T1" hidden="1">#REF!</definedName>
    <definedName name="BExQ7MY3U2Z1IZ71U5LJUD00VVB4" hidden="1">#REF!</definedName>
    <definedName name="BExQ7PXTIY414GJ9A1JF67DMB3K6" hidden="1">#REF!</definedName>
    <definedName name="BExQ7Q8NDJ3HI11ZY60MXU4PYJMS" hidden="1">#REF!</definedName>
    <definedName name="BExQ7UFQ7AHA3605GX78IC8C2X54" hidden="1">#REF!</definedName>
    <definedName name="BExQ7XL2Q1GVUFL1F9KK0K0EXMWG" hidden="1">#REF!</definedName>
    <definedName name="BExQ7ZTWVZ7KBTB60P0IUYMC8266" hidden="1">#REF!</definedName>
    <definedName name="BExQ81BUYAIG14ML9Q9NX9ZPS5N3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5IWJVUVYDEDHGFJIBKR5N9T" hidden="1">#REF!</definedName>
    <definedName name="BExQ88ITY68L3UQPU6KYOBFIBRYN" hidden="1">#REF!</definedName>
    <definedName name="BExQ8A0RPE3IMIFIZLUE7KD2N21W" hidden="1">#REF!</definedName>
    <definedName name="BExQ8ABK6H1ADV2R2OYT8NFFYG2N" hidden="1">#REF!</definedName>
    <definedName name="BExQ8BYZTL121NV2M6S86FWL6TKB" hidden="1">#REF!</definedName>
    <definedName name="BExQ8CVCU3U1RFXL7BDNRNWKXC7W" hidden="1">#REF!</definedName>
    <definedName name="BExQ8DM90XJ6GCJIK9LC5O82I2TJ" hidden="1">#REF!</definedName>
    <definedName name="BExQ8DRJ8W4OZEYCI7MJE4BPYDXQ" hidden="1">[1]Program!#REF!</definedName>
    <definedName name="BExQ8G0K46ZORA0QVQTDI7Z8LXGF" hidden="1">#REF!</definedName>
    <definedName name="BExQ8JB8ZPVRZJ4XQPPUD56B6KI5" hidden="1">#REF!</definedName>
    <definedName name="BExQ8O3WEU8HNTTGKTW5T0QSKCLP" hidden="1">#REF!</definedName>
    <definedName name="BExQ8O9B8MSTEB3T9FBNQYTLZY74" hidden="1">#REF!</definedName>
    <definedName name="BExQ8U95JXE2ZGDDWOEHH46ENO5L" hidden="1">#REF!</definedName>
    <definedName name="BExQ8UUP7KQWLXPL81ZMF3AC1K7V" hidden="1">#REF!</definedName>
    <definedName name="BExQ8WCO29N2YLSA6XOW5DI9T56A" hidden="1">#REF!</definedName>
    <definedName name="BExQ8WNAE97RVSLZ2XXPOKTUFVRV" hidden="1">Table '[4]2'!$B$6:$E$7</definedName>
    <definedName name="BExQ8X3KIWOJYWCLL1YH58PRK0VI" hidden="1">[8]Tech!#REF!</definedName>
    <definedName name="BExQ8ZCEDBOBJA3D9LDP5TU2WYGR" hidden="1">#REF!</definedName>
    <definedName name="BExQ92SKX9RYFG6X8PEDZZ6M1XZT" hidden="1">#REF!</definedName>
    <definedName name="BExQ94LAW6MAQBWY25WTBFV5PPZJ" hidden="1">#REF!</definedName>
    <definedName name="BExQ97QIPOSSRK978N8P234Y1XA4" hidden="1">#REF!</definedName>
    <definedName name="BExQ9DQATTM64NGUOQWM96CIR7J1" hidden="1">#REF!</definedName>
    <definedName name="BExQ9DVR0WJQK432BJFWT5WHPMRB" hidden="1">#REF!</definedName>
    <definedName name="BExQ9E6FBAXTHGF3RXANFIA77GXP" hidden="1">#REF!</definedName>
    <definedName name="BExQ9F2YH4UUCCMQITJ475B3S3NP" hidden="1">#REF!</definedName>
    <definedName name="BExQ9FTUUSC8DI412NEQ8XD029K3" hidden="1">#REF!</definedName>
    <definedName name="BExQ9GKVJLOX682MVRY6W3ZQGWVN" hidden="1">#REF!</definedName>
    <definedName name="BExQ9HXCDHUHQBMQILQ2FVANKAAA" hidden="1">#REF!</definedName>
    <definedName name="BExQ9KX9734KIAK7IMRLHCPYDHO2" hidden="1">#REF!</definedName>
    <definedName name="BExQ9L81FF4I7816VTPFBDWVU4CW" hidden="1">#REF!</definedName>
    <definedName name="BExQ9LIU9Y03GAK6MXXWQL3SEYYI" hidden="1">#REF!</definedName>
    <definedName name="BExQ9LIUXUBHDV6DVXHHI56P0VFX" hidden="1">#REF!</definedName>
    <definedName name="BExQ9LOB7WSAPPVHC6GUMDFNOQQO" hidden="1">#REF!</definedName>
    <definedName name="BExQ9M4E2ACZOWWWP1JJIQO8AHUM" hidden="1">#REF!</definedName>
    <definedName name="BExQ9NRP5HIF2R3UOI7NSJDSJHNQ" hidden="1">Tech '[4]2'!$B$7:$D$8</definedName>
    <definedName name="BExQ9OTJU7WTBI50U2RY6OG44JPH" hidden="1">#REF!</definedName>
    <definedName name="BExQ9TGOIIDO8L2VKK7BOZVQC300" hidden="1">#REF!</definedName>
    <definedName name="BExQ9UTANMJCK7LJ4OQMD6F2Q01L" hidden="1">#REF!</definedName>
    <definedName name="BExQ9V43NHGB4U9LVLC4XW2PDP10" hidden="1">#REF!</definedName>
    <definedName name="BExQ9W5XHPEZCE490TKEVLIO4NME" hidden="1">#REF!</definedName>
    <definedName name="BExQ9XD49ECKEVVEBVGRO1L7XTSQ" hidden="1">#REF!</definedName>
    <definedName name="BExQ9ZLYHWABXAA9NJDW8ZS0UQ9P" hidden="1">[2]Table!#REF!</definedName>
    <definedName name="BExQA2LUQSHTJI8NA5U14ZIW315N" hidden="1">#REF!</definedName>
    <definedName name="BExQA324HSCK40ENJUT9CS9EC71B" hidden="1">#REF!</definedName>
    <definedName name="BExQA55GY0STSNBWQCWN8E31ZXCS" hidden="1">#REF!</definedName>
    <definedName name="BExQA5LRR7L4522J28SQC6SHJNW1" hidden="1">#REF!</definedName>
    <definedName name="BExQA7JRXVDLMR0A0YC59DEBS622" hidden="1">#REF!</definedName>
    <definedName name="BExQA9HZIN9XEMHEEVHT99UU9Z82" hidden="1">#REF!</definedName>
    <definedName name="BExQAC73RJ1KV8YORS6EUG7TGJK6" hidden="1">#REF!</definedName>
    <definedName name="BExQACCFD7F1PLR8XIO1VW9XF2T0" hidden="1">#REF!</definedName>
    <definedName name="BExQAELFYH92K8CJL155181UDORO" hidden="1">#REF!</definedName>
    <definedName name="BExQAEQQQX9C79RXRC7501WFS3K9" hidden="1">#REF!</definedName>
    <definedName name="BExQAFN4BAGI58ADT9SVLCO6TAJC" hidden="1">#REF!</definedName>
    <definedName name="BExQAG8PP8R5NJKNQD1U4QOSD6X5" hidden="1">#REF!</definedName>
    <definedName name="BExQAKVZN9HKGXLSNQU79EG2R7JT" hidden="1">#REF!</definedName>
    <definedName name="BExQAN4TRA42T4G4O5KNXYWWE1PX" hidden="1">#REF!</definedName>
    <definedName name="BExQAQ4QO2NIV5FREWHRS3V420QU" hidden="1">#REF!</definedName>
    <definedName name="BExQARXHMTXC1G9G9XBWLFF9J0W1" hidden="1">#REF!</definedName>
    <definedName name="BExQAWVLM1SGWKD7OZNNIMIS46YU" hidden="1">#REF!</definedName>
    <definedName name="BExQAYTOHSJELLKQFXYU82BWVW3B" hidden="1">#REF!</definedName>
    <definedName name="BExQAYZ4S2OH0LVGKG14S2DGDBQ6" hidden="1">#REF!</definedName>
    <definedName name="BExQB5KD0UY33RXHFQMKRBPFFM4P" hidden="1">#REF!</definedName>
    <definedName name="BExQBACYTQBMEDD1HBD8SDTFPJAG" hidden="1">#REF!</definedName>
    <definedName name="BExQBB429RH2889CE0G3S66HL74I" hidden="1">#REF!</definedName>
    <definedName name="BExQBCWS2P7ZB9Z2FEDJT2SFSG9H" hidden="1">#REF!</definedName>
    <definedName name="BExQBDICMZTSA1X73TMHNO4JSFLN" hidden="1">[2]Table!#REF!</definedName>
    <definedName name="BExQBEER6CRCRPSSL61S0OMH57ZA" hidden="1">#REF!</definedName>
    <definedName name="BExQBIGGY5TXI2FJVVZSLZ0LTZYH" hidden="1">#REF!</definedName>
    <definedName name="BExQBM1RUSIQ85LLMM2159BYDPIP" hidden="1">#REF!</definedName>
    <definedName name="BExQBM78H0TYXCMII594G8IEZCJM" hidden="1">#REF!</definedName>
    <definedName name="BExQBPSOZ47V81YAEURP0NQJNTJH" hidden="1">#REF!</definedName>
    <definedName name="BExQBQEBMY0E69YA0DHBT00RKQYQ" hidden="1">#REF!</definedName>
    <definedName name="BExQBY6U6UH3G0WPQOR6LTP5AXE7" hidden="1">#REF!</definedName>
    <definedName name="BExQBY6UAWFUWC1LQ03FKO1SH7KH" hidden="1">#REF!</definedName>
    <definedName name="BExQC5TWT21CGBKD0IHAXTIN2QB8" hidden="1">#REF!</definedName>
    <definedName name="BExQC82WWEOW7KAJDDWMYN2PE4U7" hidden="1">#REF!</definedName>
    <definedName name="BExQC94JL9F5GW4S8DQCAF4WB2DA" hidden="1">#REF!</definedName>
    <definedName name="BExQCA0YGCTBRFTLT8X18HW7E3GW" hidden="1">#REF!</definedName>
    <definedName name="BExQCAXB8CDJYTSJ2CB38XAAH76S" hidden="1">#REF!</definedName>
    <definedName name="BExQCB2SP34FTBN8NZDS1XTFGEIN" hidden="1">#REF!</definedName>
    <definedName name="BExQCCKQU69T94PC7WWMVDL2UIQM" hidden="1">#REF!</definedName>
    <definedName name="BExQCH2L4J1EQ8N54Z6S9LWKSLO4" hidden="1">#REF!</definedName>
    <definedName name="BExQCI9M5F9BX0WO90T8KQKXJECZ" hidden="1">#REF!</definedName>
    <definedName name="BExQCIF29AY3KO4JCCYNTYS77FAE" hidden="1">#REF!</definedName>
    <definedName name="BExQCKTD8AT0824LGWREXM1B5D1X" hidden="1">#REF!</definedName>
    <definedName name="BExQCREPE5ZXA8WUSJVZZ8IWBDFE" hidden="1">#REF!</definedName>
    <definedName name="BExQD3P48R87Z7A3M8MOWOM3DDI4" hidden="1">#REF!</definedName>
    <definedName name="BExQD571YWOXKR2SX85K5MKQ0AO2" hidden="1">#REF!</definedName>
    <definedName name="BExQDAFSOEQTPM2XCEAPY558FDZC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DK12OKET022XLV1YC3ONCLR7" hidden="1">#REF!</definedName>
    <definedName name="BExQDLZB1AKR693M49N15N9UOU7W" hidden="1">[2]Program!#REF!</definedName>
    <definedName name="BExQDRTLZS3PK4AX5BQHX3N908MA" hidden="1">#REF!</definedName>
    <definedName name="BExQDT685QZ549U7IKT64Y5VWK4S" hidden="1">#REF!</definedName>
    <definedName name="BExQDXYV0TBMMACBUMOT72KFUQJL" hidden="1">#REF!</definedName>
    <definedName name="BExQE1UYQ9ECYFA0WVYI12ROJZWL" hidden="1">#REF!</definedName>
    <definedName name="BExQE43ZXQ42FH955Z631O41WE61" hidden="1">#REF!</definedName>
    <definedName name="BExQE6IAA3QFZ6TX9BXPJISLE0Q1" hidden="1">#REF!</definedName>
    <definedName name="BExQE79D585XB1IQBY96D4IXV7FY" hidden="1">[2]Program!#REF!</definedName>
    <definedName name="BExQE809HDUZ2D9119ANU45U8OJW" hidden="1">#REF!</definedName>
    <definedName name="BExQEC7BRIJ30PTU3UPFOIP2HPE3" hidden="1">#REF!</definedName>
    <definedName name="BExQEJUD5RQJ325ULPV2E4W8QAL6" hidden="1">#REF!</definedName>
    <definedName name="BExQEMUA4HEFM4OVO8M8MA8PIAW1" hidden="1">#REF!</definedName>
    <definedName name="BExQEO1FJ3MRYOOBFHWSEUXTO85P" hidden="1">#REF!</definedName>
    <definedName name="BExQEQ4XZQFIKUXNU9H7WE7AMZ1U" hidden="1">#REF!</definedName>
    <definedName name="BExQEUHGYV9XMLKU2B9MDLHO0MYL" hidden="1">#REF!</definedName>
    <definedName name="BExQEZVNV8JZ6HFOFES3KCCDELEL" hidden="1">#REF!</definedName>
    <definedName name="BExQF00ZDAC842R706797DN4H4HE" hidden="1">#REF!</definedName>
    <definedName name="BExQF1OEB07CRAP6ALNNMJNJ3P2D" hidden="1">#REF!</definedName>
    <definedName name="BExQF2FCEYNFNUA9XG2XBH65339T" hidden="1">#REF!</definedName>
    <definedName name="BExQF7DE70QJAFUSLPJ8EFI2HY1F" hidden="1">#REF!</definedName>
    <definedName name="BExQF7TIRWXLF05US4JG9S8P8N76" hidden="1">#REF!</definedName>
    <definedName name="BExQF84BDH6OXJ2GNXDAZO92C9H7" hidden="1">[2]Program!#REF!</definedName>
    <definedName name="BExQF9BI4YEXF2KN4BNTUPTG389S" hidden="1">#REF!</definedName>
    <definedName name="BExQF9X2AQPFJZTCHTU5PTTR0JAH" hidden="1">#REF!</definedName>
    <definedName name="BExQFBKBKFQEYTQFXKLEQL8FEXJM" hidden="1">[3]Table!#REF!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FRDMO5Q9NE545X937XWX2SN" hidden="1">#REF!</definedName>
    <definedName name="BExQFFWU1UZHARK84YPAVKRIADCX" hidden="1">#REF!</definedName>
    <definedName name="BExQFGIGFNRWBBLE2EAXGW39PVFF" hidden="1">#REF!</definedName>
    <definedName name="BExQFGYIWDR4W0YF7XR6E4EWWJ02" hidden="1">#REF!</definedName>
    <definedName name="BExQFIWROGYLOO29U4PK8I2GHLQE" hidden="1">#REF!</definedName>
    <definedName name="BExQFMNOOBC2XE1R03V1MF8QJSDG" hidden="1">#REF!</definedName>
    <definedName name="BExQFNPE0JNBFPGM91B5GNSDG31N" hidden="1">#REF!</definedName>
    <definedName name="BExQFP1V5QVH8OQKOUMZW9EJVMT8" hidden="1">#REF!</definedName>
    <definedName name="BExQFPNFKA36IAPS22LAUMBDI4KE" hidden="1">#REF!</definedName>
    <definedName name="BExQFPSWEMA8WBUZ4WK20LR13VSU" hidden="1">[2]Table!#REF!</definedName>
    <definedName name="BExQFRLNC3HAA3QUKL341S0Y6HM4" hidden="1">#REF!</definedName>
    <definedName name="BExQFS776CZ9XHR19QHUHWKH8RXH" hidden="1">#REF!</definedName>
    <definedName name="BExQFTED762YALDK98JOS06MBORH" hidden="1">#REF!</definedName>
    <definedName name="BExQFVSPOSCCPF1TLJPIWYWYB8A9" hidden="1">#REF!</definedName>
    <definedName name="BExQFWJQXNQAW6LUMOEDS6KMJMYL" hidden="1">#REF!</definedName>
    <definedName name="BExQFWP36T0YFHPYSLEIIC0ROYMX" hidden="1">[2]Program!#REF!</definedName>
    <definedName name="BExQFYHSHTKWSTBFPL79KJC7JA1F" hidden="1">#REF!</definedName>
    <definedName name="BExQG46S5IHPB9NTXKOAJMZ6KMF4" hidden="1">#REF!</definedName>
    <definedName name="BExQG4MX12S9KQLNCNT0U7358FE6" hidden="1">#REF!</definedName>
    <definedName name="BExQG8TYRD2G42UA5ZPCRLNKUDMX" hidden="1">#REF!</definedName>
    <definedName name="BExQGBDQQVV54MFLWAUOVB5ZY79B" hidden="1">#REF!</definedName>
    <definedName name="BExQGFKTOP6WGJAF2OI8PXQPMWT4" hidden="1">#REF!</definedName>
    <definedName name="BExQGM0P8JPOW7M5IL0EV244TKGX" hidden="1">#REF!</definedName>
    <definedName name="BExQGMM9RZL83B2Z0ZZPHKUY6VTK" hidden="1">#REF!</definedName>
    <definedName name="BExQGO48J9MPCDQ96RBB9UN9AIGT" hidden="1">#REF!</definedName>
    <definedName name="BExQGQD9J1SO42F5BGJM8GO00VQH" hidden="1">#REF!</definedName>
    <definedName name="BExQGSBB6MJWDW7AYWA0MSFTXKRR" hidden="1">#REF!</definedName>
    <definedName name="BExQGVWRY3WZL02STF1WX4045LLU" hidden="1">#REF!</definedName>
    <definedName name="BExQGX9F5F07U04PNR0C915TLF3F" hidden="1">#REF!</definedName>
    <definedName name="BExQGXEPWD9OC920GWAM98C6YTOC" hidden="1">#REF!</definedName>
    <definedName name="BExQGYGEB3LI9QGE2JNMNUG0FMQ3" hidden="1">#REF!</definedName>
    <definedName name="BExQGYWOU1PXD4E82ATQH6MOWKK2" hidden="1">#REF!</definedName>
    <definedName name="BExQH03TESJMSH7D71U2HO16M8TF" hidden="1">#REF!</definedName>
    <definedName name="BExQH0UURAJ13AVO5UI04HSRGVYW" hidden="1">#REF!</definedName>
    <definedName name="BExQH3EIHSA262CTFVE6APXVEGW6" hidden="1">#REF!</definedName>
    <definedName name="BExQH6ZZY0NR8SE48PSI9D0CU1TC" hidden="1">#REF!</definedName>
    <definedName name="BExQH9P2MCXAJOVEO4GFQT6MNW22" hidden="1">#REF!</definedName>
    <definedName name="BExQH9ZW034FXD2FIBMNLWUITSOY" hidden="1">#REF!</definedName>
    <definedName name="BExQHB72K3IISQ0QMVIOTYCZ9QC8" hidden="1">#REF!</definedName>
    <definedName name="BExQHCZSBYUY8OKKJXFYWKBBM6AH" hidden="1">#REF!</definedName>
    <definedName name="BExQHMVTYHDUQ6NZ5FPNLUF9SY62" hidden="1">#REF!</definedName>
    <definedName name="BExQHPKWKORMHR1VVIIR62POA7H5" hidden="1">#REF!</definedName>
    <definedName name="BExQHPKXZ1K33V2F90NZIQRZYIAW" hidden="1">#REF!</definedName>
    <definedName name="BExQHPKZDECLJLL2P8VF4Y9P1YA4" hidden="1">#REF!</definedName>
    <definedName name="BExQHV4G2SJTMTVU2DVSDRG1PJMP" hidden="1">#REF!</definedName>
    <definedName name="BExQHVF9KD06AG2RXUQJ9X4PVGX4" hidden="1">#REF!</definedName>
    <definedName name="BExQHZBHVN2L4HC7ACTR73T5OCV0" hidden="1">#REF!</definedName>
    <definedName name="BExQHZGZ5JZ4AE00IROC5LG5734F" hidden="1">#REF!</definedName>
    <definedName name="BExQI2ROWFZ9G1UB33HY1EKHK6S2" hidden="1">TEST-[5]LISTA!$B$7:$F$1857</definedName>
    <definedName name="BExQI5M4PAOOLCUJ3D8YL7B9LXBX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CT281Q1E6HHLEIC7LOYTR4F" hidden="1">#REF!</definedName>
    <definedName name="BExQIDUXFRRQTUP42M6V5KODFDPZ" hidden="1">#REF!</definedName>
    <definedName name="BExQIEWM4YHWE15RFGAT8AWBZ25Y" hidden="1">#REF!</definedName>
    <definedName name="BExQIII2YKNNBPUFZNOC88FK394S" hidden="1">#REF!</definedName>
    <definedName name="BExQINW95C7N048P3U0KM5A2Q0VU" hidden="1">#REF!</definedName>
    <definedName name="BExQIQW6KOZQWSLZLJ0762TPTLRL" hidden="1">#REF!</definedName>
    <definedName name="BExQIS8O6R36CI01XRY9ISM99TW9" hidden="1">#REF!</definedName>
    <definedName name="BExQISE4YQSCD6LKXEULZNT6RC3X" hidden="1">#REF!</definedName>
    <definedName name="BExQISJLP8PJH9KI1QC44M009B75" hidden="1">#REF!</definedName>
    <definedName name="BExQIVJB9MJ25NDUHTCVMSODJY2C" hidden="1">#REF!</definedName>
    <definedName name="BExQIYOPZQZKKFWNU6WKLH3DYJLD" hidden="1">#REF!</definedName>
    <definedName name="BExQJ18C22LMC15RDK65LQ5B5MHF" hidden="1">#REF!</definedName>
    <definedName name="BExQJ5A37LF9MRFM0S6WRQKZUMFS" hidden="1">#REF!</definedName>
    <definedName name="BExQJ6H95MMO087CS81JRRVR589R" hidden="1">#REF!</definedName>
    <definedName name="BExQJ7IXTYN8ELZIUSOUURFAP5Z5" hidden="1">#REF!</definedName>
    <definedName name="BExQJBF7LAX128WR7VTMJC88ZLPG" hidden="1">#REF!</definedName>
    <definedName name="BExQJEVCKX6KZHNCLYXY7D0MX5KN" hidden="1">#REF!</definedName>
    <definedName name="BExQJFROUZI3FRB2FBM49DO0SVXW" hidden="1">[2]Program!#REF!</definedName>
    <definedName name="BExQJIBCENFZ4FNIPQ8IC1PBMHA9" hidden="1">#REF!</definedName>
    <definedName name="BExQJJYSDX8B0J1QGF2HL071KKA3" hidden="1">#REF!</definedName>
    <definedName name="BExQJLWTAM5ZSPV0HLQKY7HMMY5C" hidden="1">#REF!</definedName>
    <definedName name="BExQJOB4YD103IFZ79T6SY6PA9N6" hidden="1">#REF!</definedName>
    <definedName name="BExQJSI6ZJ3R0UKXZSKQXFHLOVZS" hidden="1">#REF!</definedName>
    <definedName name="BExQJWP8WFJ03BSIVUGAUCD37RWR" hidden="1">#REF!</definedName>
    <definedName name="BExQJX019VWBQMW1HCV154DP9287" hidden="1">#REF!</definedName>
    <definedName name="BExQJXLMK7LVLAYO2MZZ56APPMQN" hidden="1">#REF!</definedName>
    <definedName name="BExQJZ91AW0TYLIG9XAR676V6MXL" hidden="1">#REF!</definedName>
    <definedName name="BExQK1HV6SQQ7CP8H8IUKI9TYXTD" hidden="1">#REF!</definedName>
    <definedName name="BExQK1SODHG66277P2K5V2W6173O" hidden="1">#REF!</definedName>
    <definedName name="BExQK3LE5CSBW1E4H4KHW548FL2R" hidden="1">#REF!</definedName>
    <definedName name="BExQK8OTWFR2045HQBR8TJHUXFY7" hidden="1">#REF!</definedName>
    <definedName name="BExQKG6LD6PLNDGNGO9DJXY865BR" hidden="1">#REF!</definedName>
    <definedName name="BExQKKZ8MC083UXTAXQ7RA332JVW" hidden="1">#REF!</definedName>
    <definedName name="BExQKOVHKNMEHW19GVE3F2SG775Y" hidden="1">#REF!</definedName>
    <definedName name="BExQLE1TOW3A287TQB0AVWENT8O1" hidden="1">#REF!</definedName>
    <definedName name="BExQLK1M2UAJC596S1HOMNTIV4VM" hidden="1">#REF!</definedName>
    <definedName name="BExRXWHBRU4TT4T56N4KU2Y7LCBT" hidden="1">#REF!</definedName>
    <definedName name="BExRYA9L5SBRB2RVOUM1ITTFGELD" hidden="1">#REF!</definedName>
    <definedName name="BExRYKR9DS3YZBHGTEFIUO4RDA85" hidden="1">#REF!</definedName>
    <definedName name="BExRYOCP6WSYSKHQRSZBCQK2Y51R" hidden="1">#REF!</definedName>
    <definedName name="BExRYOYB4A3E5F6MTROY69LR0PMG" hidden="1">#REF!</definedName>
    <definedName name="BExRYT5D8FP50IFBS91H5SUF4PAL" hidden="1">#REF!</definedName>
    <definedName name="BExRYU1QLC0O0VB04C8ZOJ9Q801F" hidden="1">#REF!</definedName>
    <definedName name="BExRYZLA9EW71H4SXQR525S72LLP" hidden="1">#REF!</definedName>
    <definedName name="BExRZ1JGKYCJNDGHZ10AWANZHQPT" hidden="1">#REF!</definedName>
    <definedName name="BExRZ2FUBIA6RAI6HKKZIH63UHSI" hidden="1">#REF!</definedName>
    <definedName name="BExRZ66M8G9FQ0VFP077QSZBSOA5" hidden="1">#REF!</definedName>
    <definedName name="BExRZ8FMQQL46I8AQWU17LRNZD5T" hidden="1">#REF!</definedName>
    <definedName name="BExRZEKR0THTRYR5DBEKDMGBQZBW" hidden="1">[2]Program!#REF!</definedName>
    <definedName name="BExRZIRRIXRUMZ5GOO95S7460BMP" hidden="1">[2]Table!#REF!</definedName>
    <definedName name="BExRZK9RAHMM0ZLTNSK7A4LDC42D" hidden="1">#REF!</definedName>
    <definedName name="BExRZMYU0YNM2WIUDN60XDOPCF3E" hidden="1">#REF!</definedName>
    <definedName name="BExRZN9N06HQT2KWW0X9EHQJ86ZA" hidden="1">#REF!</definedName>
    <definedName name="BExRZNPW7C0GX8J3TC596L1W90QP" hidden="1">#REF!</definedName>
    <definedName name="BExRZOGSR69INI6GAEPHDWSNK5Q4" hidden="1">#REF!</definedName>
    <definedName name="BExRZOMATW5VEGC8G7H52HUPDCD9" hidden="1">#REF!</definedName>
    <definedName name="BExRZRM6LI6QJ1HNXW9UN5LZ4VQW" hidden="1">#REF!</definedName>
    <definedName name="BExRZSIJRSE6PC5VZWLPD79H8875" hidden="1">#REF!</definedName>
    <definedName name="BExRZW41JJLW6VRCGCSHE0PSRX4U" hidden="1">#REF!</definedName>
    <definedName name="BExRZZEOID3XTB17WNPXM5UM4EFI" hidden="1">#REF!</definedName>
    <definedName name="BExS000AXVBW29QLUMHUF3CBHHY0" hidden="1">#REF!</definedName>
    <definedName name="BExS02PDU3RIYDBR02EV6VUXEVN6" hidden="1">#REF!</definedName>
    <definedName name="BExS053OXD88UPWVMGX8GOPJQ1GZ" hidden="1">#REF!</definedName>
    <definedName name="BExS0ASQBKRTPDWFK0KUDFOS9LE5" hidden="1">#REF!</definedName>
    <definedName name="BExS0CW8WH9ESBECTJ5A1QCOHC91" hidden="1">#REF!</definedName>
    <definedName name="BExS0GHQUF6YT0RU3TKDEO8CSJYB" hidden="1">[2]Table!#REF!</definedName>
    <definedName name="BExS0IW0PQBHSCCZQ31HC6W3Y1QL" hidden="1">#REF!</definedName>
    <definedName name="BExS0K8IHC45I78DMZBOJ1P13KQA" hidden="1">#REF!</definedName>
    <definedName name="BExS0KOSKX6ZUKRYOK1RGTUGNQZ6" hidden="1">#REF!</definedName>
    <definedName name="BExS0LQGOCFC6EW1ALHJPPVQFF8J" hidden="1">#REF!</definedName>
    <definedName name="BExS0MXLIOXSU0F7VAWL80Z0Q3IX" hidden="1">#REF!</definedName>
    <definedName name="BExS0OVTKJBC32OLS0VBBMA0LQ91" hidden="1">#REF!</definedName>
    <definedName name="BExS0QTVO45RTC27LCB7RRF5F6NT" hidden="1">#REF!</definedName>
    <definedName name="BExS0UFCKI6Z4BDWL0C1TI1UZA8D" hidden="1">#REF!</definedName>
    <definedName name="BExS0W2M6SEFD9YZ1HZLLZNA4Z0B" hidden="1">#REF!</definedName>
    <definedName name="BExS0ZO3SKIQP9E7GJF6U8U6PASB" hidden="1">#REF!</definedName>
    <definedName name="BExS0ZTKVVBW3EHLQI396CVV1YNM" hidden="1">#REF!</definedName>
    <definedName name="BExS110PAURQBTSG8SL00OC297LC" hidden="1">#REF!</definedName>
    <definedName name="BExS127WIRH3SG8IFTSFXYFCAHUZ" hidden="1">#REF!</definedName>
    <definedName name="BExS152B2LFCRAUHSLI5T6QRNII0" hidden="1">#REF!</definedName>
    <definedName name="BExS15IJV0WW662NXQUVT3FGP4ST" hidden="1">#REF!</definedName>
    <definedName name="BExS16K97W9SWLRTYDE6RG80WHF8" hidden="1">#REF!</definedName>
    <definedName name="BExS16PROWSNHW3MZQBGQNQU7S8R" hidden="1">#REF!</definedName>
    <definedName name="BExS18T9ZKJEJHYA1EBPITPQWRCU" hidden="1">#REF!</definedName>
    <definedName name="BExS194110MR25BYJI3CJ2EGZ8XT" hidden="1">#REF!</definedName>
    <definedName name="BExS1BNVGNSGD4EP90QL8WXYWZ66" hidden="1">#REF!</definedName>
    <definedName name="BExS1CPIB29L5ACUAMZZMD3W2B0V" hidden="1">[6]Program!#REF!</definedName>
    <definedName name="BExS1DGF0VL42GQ6TXXKBIWFQYGX" hidden="1">#REF!</definedName>
    <definedName name="BExS1HCO9V9QRRH2DU5LDR26QP7M" hidden="1">#REF!</definedName>
    <definedName name="BExS1I3RIFLCOHYISXY6UZX3INUJ" hidden="1">#REF!</definedName>
    <definedName name="BExS1J5FYVDHY1L9ECZ0VRM4P81L" hidden="1">#REF!</definedName>
    <definedName name="BExS1R8QYD1BB7UARCWIBXJ9BQMZ" hidden="1">#REF!</definedName>
    <definedName name="BExS1UE39N6NCND7MAARSBWXS6HU" hidden="1">#REF!</definedName>
    <definedName name="BExS1VQKWZC7SM0UY7BWIPST3VU3" hidden="1">#REF!</definedName>
    <definedName name="BExS20OPRZQ7JQF745FHL1A5IGBT" hidden="1">#REF!</definedName>
    <definedName name="BExS226HTWL5WVC76MP5A1IBI8WD" hidden="1">#REF!</definedName>
    <definedName name="BExS22BZ9SLXWYC6WUEB6FO6YAKK" hidden="1">#REF!</definedName>
    <definedName name="BExS26OI2QNNAH2WMDD95Z400048" hidden="1">#REF!</definedName>
    <definedName name="BExS28BQSDLZN34JUK4D7JI3OSBK" hidden="1">#REF!</definedName>
    <definedName name="BExS2C2P82KJ1BF8YYXRDS1DEB4D" hidden="1">#REF!</definedName>
    <definedName name="BExS2D4DDML9U5NISGHRKVX8B31U" hidden="1">#REF!</definedName>
    <definedName name="BExS2DF6B4ZUF3VZLI4G6LJ3BF38" hidden="1">#REF!</definedName>
    <definedName name="BExS2HBFGAFV41LDVS1DT1GSYVLQ" hidden="1">#REF!</definedName>
    <definedName name="BExS2IIKFRAJCC4FXHM2O7OMODK8" hidden="1">#REF!</definedName>
    <definedName name="BExS2IIMXDFEL70WJJ8X3W999L37" hidden="1">#REF!</definedName>
    <definedName name="BExS2J9HF69JGTMCM9WHGB4U6UZV" hidden="1">#REF!</definedName>
    <definedName name="BExS2MEVK69LMQ0DXLGKWKNJ2WNF" hidden="1">#REF!</definedName>
    <definedName name="BExS2O7MKUP3HDHXAOQRB022T3D6" hidden="1">#REF!</definedName>
    <definedName name="BExS2OT61VXS58SSI0I90Z76DFCQ" hidden="1">#REF!</definedName>
    <definedName name="BExS2OT6WM18FIIFYZ0S9SO2K6LW" hidden="1">#REF!</definedName>
    <definedName name="BExS2QB5CSNG9A6DCCCQAKE08TR7" hidden="1">#REF!</definedName>
    <definedName name="BExS2QB5FS5LYTFYO4BROTWG3OV5" hidden="1">#REF!</definedName>
    <definedName name="BExS2RIBMZPBDB3W6PKRNHUM06WI" hidden="1">#REF!</definedName>
    <definedName name="BExS2TLU1HONYV6S3ZD9T12D7CIG" hidden="1">#REF!</definedName>
    <definedName name="BExS2VEKZ6LZ763AGU8EQBE5575Y" hidden="1">#REF!</definedName>
    <definedName name="BExS2XNEFAXGD4Z2JZ2ZK3B7HD9B" hidden="1">#REF!</definedName>
    <definedName name="BExS301PYCTRVFSXZ6AOQXDNUEO9" hidden="1">#REF!</definedName>
    <definedName name="BExS318UV9I2FXPQQWUKKX00QLPJ" hidden="1">#REF!</definedName>
    <definedName name="BExS3372X3WICPN90XE95EJ9UYSR" hidden="1">#REF!</definedName>
    <definedName name="BExS34E8HWWDDX3IYURWOKEFY7CB" hidden="1">#REF!</definedName>
    <definedName name="BExS34P13OTS45PDOXCNL247GDSF" hidden="1">#REF!</definedName>
    <definedName name="BExS34UBQ5S5ZC20KO1HYMMWQK3D" hidden="1">[2]Program!#REF!</definedName>
    <definedName name="BExS34UCBPL5GTO8PK3ZULX8GVNW" hidden="1">#REF!</definedName>
    <definedName name="BExS36HRRCPA70JQHAG2E86MOBWM" hidden="1">#REF!</definedName>
    <definedName name="BExS38QMRSWLIRX3O4F26W9PWBT4" hidden="1">#REF!</definedName>
    <definedName name="BExS3AJCKYC5Z0ANH5B3GTY4RXXC" hidden="1">#REF!</definedName>
    <definedName name="BExS3BAEYD5ZCE9ASYYJ38PJ84MD" hidden="1">#REF!</definedName>
    <definedName name="BExS3BL7KZUM0PK7UW1Y6M98ZKXC" hidden="1">#REF!</definedName>
    <definedName name="BExS3DDX4YZU2QMHJK04Z1WIACMD" hidden="1">#REF!</definedName>
    <definedName name="BExS3HA05O2IA5Q9IYUFAWF8NONJ" hidden="1">#REF!</definedName>
    <definedName name="BExS3HQAYUV5OULTGONZG9MCYU0Z" hidden="1">#REF!</definedName>
    <definedName name="BExS3LBS0SMTHALVM4NRI1BAV1NP" hidden="1">#REF!</definedName>
    <definedName name="BExS3LMKWDWQWLD2TSAI3RSKGX7P" hidden="1">#REF!</definedName>
    <definedName name="BExS3MTQ75VBXDGEBURP6YT8RROE" hidden="1">#REF!</definedName>
    <definedName name="BExS3OH5XH1H0NEUDJGB0D1EF3C6" hidden="1">#REF!</definedName>
    <definedName name="BExS3OMGYO0DFN5186UFKEXZ2RX3" hidden="1">#REF!</definedName>
    <definedName name="BExS3SDERJ27OER67TIGOVZU13A2" hidden="1">#REF!</definedName>
    <definedName name="BExS3V2JIJQGX0UQLQAS0VTUHQ21" hidden="1">#REF!</definedName>
    <definedName name="BExS3VILMOJ8T2RYLEMK3MC7YTHY" hidden="1">#REF!</definedName>
    <definedName name="BExS3VIMJ4309Y0ETZ09VLYOMKAV" hidden="1">#REF!</definedName>
    <definedName name="BExS3WV2VQ19L2A1DJ73AUFN7SRX" hidden="1">#REF!</definedName>
    <definedName name="BExS3X0K62CBJ6XWNENOY89I6WKJ" hidden="1">#REF!</definedName>
    <definedName name="BExS3X0L8OMWGYLQJHCD2497V0QA" hidden="1">#REF!</definedName>
    <definedName name="BExS3XBCJQDFPLL2UT2X7YKV9KVQ" hidden="1">#REF!</definedName>
    <definedName name="BExS430DRJHR0NQYB4MB35SW6UKH" hidden="1">#REF!</definedName>
    <definedName name="BExS46R5WDNU5KL04FKY5LHJUCB8" hidden="1">#REF!</definedName>
    <definedName name="BExS47CVRW9DZ209C8S3H7NP885H" hidden="1">#REF!</definedName>
    <definedName name="BExS4ASWKM93XA275AXHYP8AG6SU" hidden="1">#REF!</definedName>
    <definedName name="BExS4ASWVPPQ3Y2IW7LLY6XAATBE" hidden="1">#REF!</definedName>
    <definedName name="BExS4AY80BK1G5YBUHBF649MC5HV" hidden="1">#REF!</definedName>
    <definedName name="BExS4E8WNIVLHUBZEHN9VJTQA0U0" hidden="1">[2]Program!#REF!</definedName>
    <definedName name="BExS4IAMWTT1CKFNHGN8SPWSD3QR" hidden="1">#REF!</definedName>
    <definedName name="BExS4JN3Y6SVBKILQK0R9HS45Y52" hidden="1">#REF!</definedName>
    <definedName name="BExS4M6WYES2XELBLKOGM6T3UFEM" hidden="1">#REF!</definedName>
    <definedName name="BExS4P6S41O6Z6BED77U3GD9PNH1" hidden="1">#REF!</definedName>
    <definedName name="BExS4QU1TJ2KUWR5Y2TNCIKUIJBY" hidden="1">#REF!</definedName>
    <definedName name="BExS4R4U89I9V8JJMKKFA4RR5L09" hidden="1">#REF!</definedName>
    <definedName name="BExS4RL385VN1SO32QY7O0D03R6Q" hidden="1">#REF!</definedName>
    <definedName name="BExS4UFKWNI7QAX0PTOVVBUB0LP8" hidden="1">#REF!</definedName>
    <definedName name="BExS4WZD1ICLM0AW670B2VMAA38G" hidden="1">#REF!</definedName>
    <definedName name="BExS4ZTR1PKTY28VYUQY7RXPKNHV" hidden="1">#REF!</definedName>
    <definedName name="BExS51H0N51UT0FZOPZRCF1GU063" hidden="1">#REF!</definedName>
    <definedName name="BExS534GN1WYPY63OO2GHZLTJHJ8" hidden="1">#REF!</definedName>
    <definedName name="BExS54X72TJFC41FJK72MLRR2OO7" hidden="1">#REF!</definedName>
    <definedName name="BExS55O96F2MTMY2F7M600UALRHP" hidden="1">#REF!</definedName>
    <definedName name="BExS57X2J4HLKL57XNEW9JQL80A3" hidden="1">#REF!</definedName>
    <definedName name="BExS59F0PA1V2ZC7S5TN6IT41SXP" hidden="1">#REF!</definedName>
    <definedName name="BExS5BYO19H5ZKO75ERO60KF7DQH" hidden="1">#REF!</definedName>
    <definedName name="BExS5CKDKM9AQO9E05XQZTHVGXF7" hidden="1">#REF!</definedName>
    <definedName name="BExS5DRER9US6NXY9ATYT41KZII3" hidden="1">#REF!</definedName>
    <definedName name="BExS5GB5T2ZSBGXENLZS8C1KFHVJ" hidden="1">#REF!</definedName>
    <definedName name="BExS5HCU5GU7YCKUX7GO84F61X9W" hidden="1">#REF!</definedName>
    <definedName name="BExS5IPHML9KBFUONEHKZ2LJ81FW" hidden="1">#REF!</definedName>
    <definedName name="BExS5KCWNAPHB0U66WTY5LDLKXN4" hidden="1">#REF!</definedName>
    <definedName name="BExS5L3TGB8JVW9ROYWTKYTUPW27" hidden="1">#REF!</definedName>
    <definedName name="BExS5MLSF9SI4C9SCM2MTEUHJMBC" hidden="1">#REF!</definedName>
    <definedName name="BExS5NY7TQQ7GL9AHK6QY2TJ2LFN" hidden="1">#REF!</definedName>
    <definedName name="BExS5RUIHIJHPNJ73PUQF8A7FDGK" hidden="1">#REF!</definedName>
    <definedName name="BExS5SG3GBHVDR15MOYHV230A4BG" hidden="1">#REF!</definedName>
    <definedName name="BExS5THXYNGMK7NGFU22RHHHYKCJ" hidden="1">#REF!</definedName>
    <definedName name="BExS5THY76OUXL0JXJKEKHZDR60N" hidden="1">#REF!</definedName>
    <definedName name="BExS5TY0F5R1ZXIVJHAAVVG81G5H" hidden="1">#REF!</definedName>
    <definedName name="BExS63DZ1BLEY3J75Y5IPOZRM9FH" hidden="1">#REF!</definedName>
    <definedName name="BExS644V2DV3106L1TWLMZ1D0P5T" hidden="1">#REF!</definedName>
    <definedName name="BExS674RYYPF5SHPPSFSNXMUJZF5" hidden="1">#REF!</definedName>
    <definedName name="BExS6AFFQL7GAIZXNZGBE43QUVF2" hidden="1">#REF!</definedName>
    <definedName name="BExS6BXFZ7J35PYGJZNR6A8ZXCK1" hidden="1">#REF!</definedName>
    <definedName name="BExS6DFCH6YK1JXVCQY68LI88LV1" hidden="1">#REF!</definedName>
    <definedName name="BExS6FTNRXAHOO2IMBWKIPPRGS0G" hidden="1">#REF!</definedName>
    <definedName name="BExS6GKQ96EHVLYWNJDWXZXUZW90" hidden="1">#REF!</definedName>
    <definedName name="BExS6ITKSZFRR01YD5B0F676SYN7" hidden="1">#REF!</definedName>
    <definedName name="BExS6IYVVGGZJXGGYPX7UNAQOB2X" hidden="1">#REF!</definedName>
    <definedName name="BExS6JPXVN2ZPM2CXZX7DMLG5FC1" hidden="1">#REF!</definedName>
    <definedName name="BExS6KBIW5G358UVGE85WZMH9VJT" hidden="1">#REF!</definedName>
    <definedName name="BExS6KGU63BUOXCPJ9TSCDS9ZY2T" hidden="1">#REF!</definedName>
    <definedName name="BExS6LTHDEG1KQ2QNR6SFS93RVU5" hidden="1">#REF!</definedName>
    <definedName name="BExS6MF20W9T33VCVCLWEO39HFZ0" hidden="1">#REF!</definedName>
    <definedName name="BExS6N0LI574IAC89EFW6CLTCQ33" hidden="1">#REF!</definedName>
    <definedName name="BExS6UT5ML88Q21TVOOGDPOAKEM3" hidden="1">#REF!</definedName>
    <definedName name="BExS6WLUUTX5RGOGU90K7JT4Z2NA" hidden="1">#REF!</definedName>
    <definedName name="BExS6WRDBF3ST86ZOBBUL3GTCR11" hidden="1">#REF!</definedName>
    <definedName name="BExS6XNRKR0C3MTA0LV5B60UB908" hidden="1">#REF!</definedName>
    <definedName name="BExS6XT1R7UQPNOR03U7K0A49Y30" hidden="1">#REF!</definedName>
    <definedName name="BExS6ZB04774PBB51XMXD5NH1FBL" hidden="1">#REF!</definedName>
    <definedName name="BExS79HUY1GAJJP4VMMZHU8UJI6O" hidden="1">#REF!</definedName>
    <definedName name="BExS7D3BVPK8FAWQFJLHK2K8IB48" hidden="1">#REF!</definedName>
    <definedName name="BExS7DE4ZU2TETEK1JGW7SHO7QZY" hidden="1">#REF!</definedName>
    <definedName name="BExS7DU7IOWG5MHL28Z4KOM2V434" hidden="1">#REF!</definedName>
    <definedName name="BExS7EQKVL98L16N8ZOTW4R58V74" hidden="1">#REF!</definedName>
    <definedName name="BExS7G38ASJVTDO2IAPA36EB2SPF" hidden="1">#REF!</definedName>
    <definedName name="BExS7GDUFB9VZCT88B96ZF5DTENT" hidden="1">#REF!</definedName>
    <definedName name="BExS7HQI0PBQNP39JUZ69RMC7M7N" hidden="1">#REF!</definedName>
    <definedName name="BExS7LH9ZS4AR55232YYN9Y8F9ZE" hidden="1">#REF!</definedName>
    <definedName name="BExS7MJ54XY3UDXK95MVB8QNRKOY" hidden="1">#REF!</definedName>
    <definedName name="BExS7O13HPMX1TZ5U40LA8NO1ND6" hidden="1">#REF!</definedName>
    <definedName name="BExS7STPMBHACLPJW4XGWPT2EW3W" hidden="1">#REF!</definedName>
    <definedName name="BExS7T4HJZEF9UNZQRQ2Z3T19MTE" hidden="1">#REF!</definedName>
    <definedName name="BExS7TKQYLRZGM93UY3ZJZJBQNFJ" hidden="1">#REF!</definedName>
    <definedName name="BExS7TVIHJQ54K2Q7S5TI60WWB6A" hidden="1">#REF!</definedName>
    <definedName name="BExS7UMFZIYAF3A8WJ3T2YDV6E84" hidden="1">Tech '[4]2'!$B$7:$F$10</definedName>
    <definedName name="BExS7X61YV15PS8A9WBE9HBUDQE6" hidden="1">#REF!</definedName>
    <definedName name="BExS7Y2LNGVHSIBKC7C3R6X4LDR6" hidden="1">#REF!</definedName>
    <definedName name="BExS80RP8GCPNFHHGN85D3RLJQWW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5PNOJYULQ5EY0JW702AVUYJ" hidden="1">#REF!</definedName>
    <definedName name="BExS8ACU5PKL7WRUHZTTUU61LAAY" hidden="1">#REF!</definedName>
    <definedName name="BExS8BPG5A0GR5AO1U951NDGGR0L" hidden="1">#REF!</definedName>
    <definedName name="BExS8DT09FWFF0C0C1UXSHEUS8LZ" hidden="1">#REF!</definedName>
    <definedName name="BExS8GSUS17UY50TEM2AWF36BR9Z" hidden="1">#REF!</definedName>
    <definedName name="BExS8HJRBVG0XI6PWA9KTMJZMQXK" hidden="1">#REF!</definedName>
    <definedName name="BExS8LQTNX922FCMI8FORKMV1ZCD" hidden="1">#REF!</definedName>
    <definedName name="BExS8R51C8RM2FS6V6IRTYO9GA4A" hidden="1">#REF!</definedName>
    <definedName name="BExS8VXN2ZC7LJB1XP2NDL3K5JA1" hidden="1">#REF!</definedName>
    <definedName name="BExS8W8G0X4RIQXAZCCLUM05FF9P" hidden="1">#REF!</definedName>
    <definedName name="BExS8WDX408F60MH1X9B9UZ2H4R7" hidden="1">#REF!</definedName>
    <definedName name="BExS8Z2W2QEC3MH0BZIYLDFQNUIP" hidden="1">#REF!</definedName>
    <definedName name="BExS8ZZFBJUJFEVHEV2RDOFZ9B83" hidden="1">#REF!</definedName>
    <definedName name="BExS90A6SKMV3LR6SOCTRJWB7XGR" hidden="1">Tech '[4]2'!$B$6:$Z$1904</definedName>
    <definedName name="BExS92DKGRFFCIA9C0IXDOLO57EP" hidden="1">#REF!</definedName>
    <definedName name="BExS94103G0KVSCZWITUMFE5KASW" hidden="1">#REF!</definedName>
    <definedName name="BExS95IYOBL9LOU6HWVCIKDTDLUF" hidden="1">#REF!</definedName>
    <definedName name="BExS970VMB40OE1CEB7FR2ZHFGZ0" hidden="1">#REF!</definedName>
    <definedName name="BExS982QNUE3MOVYLB8RC9UA9QG4" hidden="1">#REF!</definedName>
    <definedName name="BExS98IUH00YDDHFX0RFFQKVWR2Q" hidden="1">#REF!</definedName>
    <definedName name="BExS98OB4321YCHLCQ022PXKTT2W" hidden="1">#REF!</definedName>
    <definedName name="BExS9ARTFLIYYX5LE4JKL0VA7VBS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M0DONMADC01V1DQQHJ5ZAFE" hidden="1">#REF!</definedName>
    <definedName name="BExS9Q1YB01U9YPXJOLOSDY8BRMC" hidden="1">#REF!</definedName>
    <definedName name="BExS9QNIF2W9A3YWRFAZTOYRRDNG" hidden="1">[2]Program!#REF!</definedName>
    <definedName name="BExS9TI2O044269Q52AX6PP1PP6J" hidden="1">#REF!</definedName>
    <definedName name="BExS9WI0A6PSEB8N9GPXF2Z7MWHM" hidden="1">#REF!</definedName>
    <definedName name="BExS9XEE20QK7KBQ9CZ0RA47LZYF" hidden="1">#REF!</definedName>
    <definedName name="BExS9Z735S3H6UPNPTP5DJ39QNY5" hidden="1">#REF!</definedName>
    <definedName name="BExSA270W8BY0MCZPMMWY6U88981" hidden="1">#REF!</definedName>
    <definedName name="BExSA5HP306TN9XJS0TU619DLRR7" hidden="1">#REF!</definedName>
    <definedName name="BExSAA4TQVBEW9YTSAC7IB9WGR0N" hidden="1">#REF!</definedName>
    <definedName name="BExSAAVWQOOIA6B3JHQVGP08HFEM" hidden="1">#REF!</definedName>
    <definedName name="BExSADFJGH987LOR5KXZL7ERPSN8" hidden="1">#REF!</definedName>
    <definedName name="BExSAFJ3IICU2M7QPVE4ARYMXZKX" hidden="1">#REF!</definedName>
    <definedName name="BExSAFOJKOLNWVU21YNRS7AJY08U" hidden="1">#REF!</definedName>
    <definedName name="BExSAH6ID8OHX379UXVNGFO8J6KQ" hidden="1">#REF!</definedName>
    <definedName name="BExSAOTJ78637ACEWWUHLK2GE9RN" hidden="1">#REF!</definedName>
    <definedName name="BExSAQBHIXGQRNIRGCJMBXUPCZQA" hidden="1">#REF!</definedName>
    <definedName name="BExSAQGSOLOWNRCRX3EQ31KEHNUC" hidden="1">#REF!</definedName>
    <definedName name="BExSAS9J0J3B0GO0WZWCO1T4KUNB" hidden="1">#REF!</definedName>
    <definedName name="BExSAT5WZEM6Z4GG7X374JPK349Y" hidden="1">#REF!</definedName>
    <definedName name="BExSAUTCT4P7JP57NOR9MTX33QJZ" hidden="1">#REF!</definedName>
    <definedName name="BExSAV45HOHCTLDLPN1RBP5EC6Y5" hidden="1">#REF!</definedName>
    <definedName name="BExSAVPPICE8CFJF0GN8FWLRCE0I" hidden="1">#REF!</definedName>
    <definedName name="BExSAWWULFUVZ9UHHEAF73VBFUQI" hidden="1">#REF!</definedName>
    <definedName name="BExSAY9CA9TFXQ9M9FBJRGJO9T9E" hidden="1">#REF!</definedName>
    <definedName name="BExSB0YEY6N5IO8J9ZLN0YTJSL14" hidden="1">#REF!</definedName>
    <definedName name="BExSB13WQNUGXUFAINLWG9OQ57S8" hidden="1">#REF!</definedName>
    <definedName name="BExSB4JYKQ3MINI7RAYK5M8BLJDC" hidden="1">#REF!</definedName>
    <definedName name="BExSB7EHXUS84OFLWVXUQF8KB1G9" hidden="1">#REF!</definedName>
    <definedName name="BExSBCCGC90CONZD0IPC4LGYPD1M" hidden="1">#REF!</definedName>
    <definedName name="BExSBLHMDPAU7TLJHXOGAD2L0A74" hidden="1">#REF!</definedName>
    <definedName name="BExSBMOS41ZRLWYLOU29V6Y7YORR" hidden="1">#REF!</definedName>
    <definedName name="BExSBP8FK3CVSF2UPCCHZ1Z47DLK" hidden="1">#REF!</definedName>
    <definedName name="BExSBQFKEFUSP4GYN73G1O5F29NY" hidden="1">#REF!</definedName>
    <definedName name="BExSBRBXXQMBU1TYDW1BXTEVEPRU" hidden="1">#REF!</definedName>
    <definedName name="BExSBWQ6A65VM5DKAZMU79KV1XQA" hidden="1">#REF!</definedName>
    <definedName name="BExSBZ4GUNPPSG2AFENWW2W8LJYL" hidden="1">#REF!</definedName>
    <definedName name="BExSC30Q2SNWNBQ2T4PHR3PDKW3R" hidden="1">#REF!</definedName>
    <definedName name="BExSC3BJ6X6SKKEILF57NR2XX1UI" hidden="1">#REF!</definedName>
    <definedName name="BExSC54998WTZ21DSL0R8UN0Y9JH" hidden="1">#REF!</definedName>
    <definedName name="BExSC59R5KDCO62RB5X6IKFIVCS9" hidden="1">#REF!</definedName>
    <definedName name="BExSC60N7WR9PJSNC9B7ORCX9NGY" hidden="1">#REF!</definedName>
    <definedName name="BExSC6WZJGW2M1FRITMYEF8ZLO6F" hidden="1">#REF!</definedName>
    <definedName name="BExSC9M353D3EKCXI5GRYJZYPZYZ" hidden="1">#REF!</definedName>
    <definedName name="BExSCAD0FTGKDDGLL78CM5XQUH3O" hidden="1">#REF!</definedName>
    <definedName name="BExSCE99EZTILTTCE4NJJF96OYYM" hidden="1">#REF!</definedName>
    <definedName name="BExSCF0AUWPDCKWZ9C00QM49FBCX" hidden="1">#REF!</definedName>
    <definedName name="BExSCG7H7NY66856A3OQJNVRCLWA" hidden="1">Tech '[4]2'!$B$7:$G$10</definedName>
    <definedName name="BExSCHUQZ2HFEWS54X67DIS8OSXZ" hidden="1">#REF!</definedName>
    <definedName name="BExSCILSKBE4Y2K6ND31HWKG18FO" hidden="1">#REF!</definedName>
    <definedName name="BExSCILT03TXE3R68SPM1LC1TO1Z" hidden="1">#REF!</definedName>
    <definedName name="BExSCOG41SKKG4GYU76WRWW1CTE6" hidden="1">#REF!</definedName>
    <definedName name="BExSCRQXXNPXHFIW1KC7G942YKYV" hidden="1">Table '[4]2'!$B$6:$F$9</definedName>
    <definedName name="BExSCVC9P86YVFMRKKUVRV29MZXZ" hidden="1">#REF!</definedName>
    <definedName name="BExSD16QIKEQKERR75S3B6YWTGG8" hidden="1">#REF!</definedName>
    <definedName name="BExSD16RWPJ4BKJERNVKGA3W1V8N" hidden="1">#REF!</definedName>
    <definedName name="BExSD233CH4MU9ZMGNRF97ZV7KWU" hidden="1">#REF!</definedName>
    <definedName name="BExSD28FYFAWCPCM1M8OSY2O4X48" hidden="1">#REF!</definedName>
    <definedName name="BExSD2U0F3BN6IN9N4R2DTTJG15H" hidden="1">#REF!</definedName>
    <definedName name="BExSD6A6NY15YSMFH51ST6XJY429" hidden="1">[2]Table!#REF!</definedName>
    <definedName name="BExSD9A24GM3D4TTV7HBLUTV6QWY" hidden="1">#REF!</definedName>
    <definedName name="BExSD9VH6PF6RQ135VOEE08YXPAW" hidden="1">#REF!</definedName>
    <definedName name="BExSDA103IDU3Z92AQWGL6EPJ7ZY" hidden="1">#REF!</definedName>
    <definedName name="BExSDB84U8AW67F2BK6DCOM7GV3X" hidden="1">#REF!</definedName>
    <definedName name="BExSDI9RK3ZXPQL0POO8VHJU8N27" hidden="1">#REF!</definedName>
    <definedName name="BExSDJ5ZE3T46HSF6W0OXL80TXQG" hidden="1">#REF!</definedName>
    <definedName name="BExSDJGWXNT5XVPOBSB88WMPSCQ6" hidden="1">#REF!</definedName>
    <definedName name="BExSDLEZ3L5XZO6CEX7RP8QNSA25" hidden="1">#REF!</definedName>
    <definedName name="BExSDP5Y04WWMX2WWRITWOX8R5I9" hidden="1">#REF!</definedName>
    <definedName name="BExSDS5SH8FO75GZUTSMGEAFZISP" hidden="1">Tech '[4]2'!$B$7:$E$8</definedName>
    <definedName name="BExSDSGM203BJTNS9MKCBX453HMD" hidden="1">#REF!</definedName>
    <definedName name="BExSDT20XUFXTDM37M148AXAP7HN" hidden="1">#REF!</definedName>
    <definedName name="BExSDXEJR7UVN8U72W1RET6M00G5" hidden="1">#REF!</definedName>
    <definedName name="BExSDXK0HXH5MAOY4QLSGIWOLGW1" hidden="1">#REF!</definedName>
    <definedName name="BExSDZCM0ZFXUUZP8ZLMDIHS8LU8" hidden="1">#REF!</definedName>
    <definedName name="BExSEAL9YSUTWOJT5MAFANRZOXVL" hidden="1">#REF!</definedName>
    <definedName name="BExSEAW2OMQLT6RX0J09MSD5TW3E" hidden="1">#REF!</definedName>
    <definedName name="BExSEB6W37O4R974BQYCC0T3LTMO" hidden="1">#REF!</definedName>
    <definedName name="BExSEEHK1VLWD7JBV9SVVVIKQZ3I" hidden="1">#REF!</definedName>
    <definedName name="BExSEJKZLX37P3V33TRTFJ30BFRK" hidden="1">#REF!</definedName>
    <definedName name="BExSEN6HPU40PFQLS84KBD3A1Q6M" hidden="1">#REF!</definedName>
    <definedName name="BExSEO85KXRJDD5GDB6ECPS5ODQ1" hidden="1">#REF!</definedName>
    <definedName name="BExSEP9UVOAI6TMXKNK587PQ3328" hidden="1">#REF!</definedName>
    <definedName name="BExSEU7YCJK8AFJE745NNYWBQA0Z" hidden="1">#REF!</definedName>
    <definedName name="BExSEVKK9RGU8JU6K0U72GHL66R0" hidden="1">[3]Table!#REF!</definedName>
    <definedName name="BExSEXYVCDWWIOI7QHZMX4MFUV64" hidden="1">#REF!</definedName>
    <definedName name="BExSF07QFLZCO4P6K6QF05XG7PH1" hidden="1">#REF!</definedName>
    <definedName name="BExSF07QRRTDGI3W1DVHZC4NYDKO" hidden="1">#REF!</definedName>
    <definedName name="BExSF2WUV3WBS01HMCCCGHNU4OUM" hidden="1">#REF!</definedName>
    <definedName name="BExSF50D8BSNRV7O2WXCOYUF5XM4" hidden="1">#REF!</definedName>
    <definedName name="BExSFE02JPJV96AZQXI73W1EGL19" hidden="1">#REF!</definedName>
    <definedName name="BExSFELNPJYUZX393PKWKNNZYV1N" hidden="1">#REF!</definedName>
    <definedName name="BExSFICG1UYEJ9F686I052C6V4UW" hidden="1">#REF!</definedName>
    <definedName name="BExSFJ8ZAGQ63A4MVMZRQWLVRGQ5" hidden="1">#REF!</definedName>
    <definedName name="BExSFKQRST2S9KXWWLCXYLKSF4G1" hidden="1">#REF!</definedName>
    <definedName name="BExSFLSM2LROLBRXEUWYG534LF80" hidden="1">#REF!</definedName>
    <definedName name="BExSFPE22ZMCVS7DGX7WA82UW3OT" hidden="1">#REF!</definedName>
    <definedName name="BExSFRMVNSYBEBI4LIVAPIE9WAXP" hidden="1">#REF!</definedName>
    <definedName name="BExSFVJ70R6ANYRODXS61H6LKK6M" hidden="1">#REF!</definedName>
    <definedName name="BExSFY89MYKPD9GKKBBZSL065I41" hidden="1">#REF!</definedName>
    <definedName name="BExSFYDRRTAZVPXRWUF5PDQ97WFF" hidden="1">#REF!</definedName>
    <definedName name="BExSFZVPFTXA3F0IJ2NGH1GXX9R7" hidden="1">#REF!</definedName>
    <definedName name="BExSG66A19EP7URYV0ZBVC35RAT1" hidden="1">#REF!</definedName>
    <definedName name="BExSG7TK3REGE3E31YDOC8TNZRHR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EEWSM6V6B3J3F29MN7WAH14" hidden="1">#REF!</definedName>
    <definedName name="BExSGG7MYKIENY02STAXTC4X9E24" hidden="1">#REF!</definedName>
    <definedName name="BExSGIB70TB0YFEQV30VUKHYUVBV" hidden="1">#REF!</definedName>
    <definedName name="BExSGJICQB8QUUT9RL14HCT1KS5U" hidden="1">#REF!</definedName>
    <definedName name="BExSGJT4LF1CNH5RN5GZ373ISW9D" hidden="1">#REF!</definedName>
    <definedName name="BExSGLB2URTLBCKBB4Y885W925F2" hidden="1">#REF!</definedName>
    <definedName name="BExSGOAYG73SFWOPAQV80P710GID" hidden="1">#REF!</definedName>
    <definedName name="BExSGOLRHZ4NFR0IOISPKD4QK1TG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GZUGY79HTZJHBOW1JB7U7BPA" hidden="1">#REF!</definedName>
    <definedName name="BExSH4HLTQVL4MI545VJL4WFN9U2" hidden="1">#REF!</definedName>
    <definedName name="BExSH4HMJS0TXSYHRWJRFTJ7NOSN" hidden="1">#REF!</definedName>
    <definedName name="BExSHAHFHS7MMNJR8JPVABRGBVIT" hidden="1">#REF!</definedName>
    <definedName name="BExSHDS3RJMD6MEJ67RL63M0SEIC" hidden="1">#REF!</definedName>
    <definedName name="BExSHGH88QZWW4RNAX4YKAZ5JEBL" hidden="1">#REF!</definedName>
    <definedName name="BExSHLKNN11HA6C6AIRA72XZJMLX" hidden="1">#REF!</definedName>
    <definedName name="BExSHNDE42T6EFBAJRGHG6BRAOB6" hidden="1">#REF!</definedName>
    <definedName name="BExSHOKK1OO3CX9Z28C58E5J1D9W" hidden="1">#REF!</definedName>
    <definedName name="BExSHQD8KYLTQGDXIRKCHQQ7MKIH" hidden="1">#REF!</definedName>
    <definedName name="BExSHQYV2LNNRU7XJFIAYTIZPHOD" hidden="1">#REF!</definedName>
    <definedName name="BExSHUKBQVT2G9G0K9ORVIJO6TU8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B30ANJJNOIZVAOFCIM48SXN" hidden="1">Table '[4]2'!$B$6:$F$9</definedName>
    <definedName name="BExTTO9R52GIB8JVQ60R4D6EET1C" hidden="1">[2]Program!#REF!</definedName>
    <definedName name="BExTTRKG7F4SR6LJVKI5M4119T5S" hidden="1">#REF!</definedName>
    <definedName name="BExTTZNS2PBCR93C9IUW49UZ4I6T" hidden="1">#REF!</definedName>
    <definedName name="BExTU09BQ4ZJGYDDO4661X0QR5X1" hidden="1">#REF!</definedName>
    <definedName name="BExTU2YFQ25JQ6MEMRHHN66VLTPJ" hidden="1">#REF!</definedName>
    <definedName name="BExTU4R63WPAATXQQOQA3EW56NDH" hidden="1">#REF!</definedName>
    <definedName name="BExTU75I8IEMNTTB9XPKP0TDNVIZ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1FYDEI5JAD0J26799FZSXB" hidden="1">#REF!</definedName>
    <definedName name="BExTUKXSZBM7C57G6NGLWGU4WOHY" hidden="1">#REF!</definedName>
    <definedName name="BExTUOOMC43GH95KQ1PJ86MN9XDF" hidden="1">#REF!</definedName>
    <definedName name="BExTUQMUUDYV4W96RZMM2LUFBZMP" hidden="1">#REF!</definedName>
    <definedName name="BExTUSQCFFYZCDNHWHADBC2E1ZP1" hidden="1">#REF!</definedName>
    <definedName name="BExTUUTV46P45N12IER9ARPFU0GV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[2]Table!#REF!</definedName>
    <definedName name="BExTV20UHIBOLIIOND4KLHQHHC57" hidden="1">[2]Program!#REF!</definedName>
    <definedName name="BExTV67VIM8PV6KO253M4DUBJQLC" hidden="1">#REF!</definedName>
    <definedName name="BExTVB5SVVVTT03VCNOOGVPQXACA" hidden="1">#REF!</definedName>
    <definedName name="BExTVELZCF2YA5L6F23BYZZR6WHF" hidden="1">#REF!</definedName>
    <definedName name="BExTVGPIQZ99YFXUC8OONUX5BD42" hidden="1">#REF!</definedName>
    <definedName name="BExTVL7BRO81XSLCQ2EMZ03ESTYB" hidden="1">#REF!</definedName>
    <definedName name="BExTVTLH2E1SH7Z2XBYHUOQBWWLI" hidden="1">#REF!</definedName>
    <definedName name="BExTVUCCM66872WK8GMHJGJRWG1L" hidden="1">Tech '[7]1'!$B$7:$L$349</definedName>
    <definedName name="BExTVUN6FOSBC5RQXC67NHKLFOWP" hidden="1">#REF!</definedName>
    <definedName name="BExTVXSHP7BI4QLLFNEZ48GA2RAN" hidden="1">#REF!</definedName>
    <definedName name="BExTVY36QWWWG0XSU63JU9XEB88X" hidden="1">#REF!</definedName>
    <definedName name="BExTVZQLP9VFLEYQ9280W13X7E8K" hidden="1">#REF!</definedName>
    <definedName name="BExTW1OT970WXWIKM239EPCI8BUP" hidden="1">#REF!</definedName>
    <definedName name="BExTW1ZKAN3NQKH4J7U6REVSURS0" hidden="1">#REF!</definedName>
    <definedName name="BExTW5QELCYGKKLSPR4XKLCUV38U" hidden="1">Tech '[4]2'!$B$7:$D$8</definedName>
    <definedName name="BExTWAJ01USIULUR65TMNAUY1FWT" hidden="1">#REF!</definedName>
    <definedName name="BExTWB4LA1PODQOH4LDTHQKBN16K" hidden="1">#REF!</definedName>
    <definedName name="BExTWBFE1SP9TK6EHI1O7FB459OF" hidden="1">#REF!</definedName>
    <definedName name="BExTWFX8OYD9IX59PTP73YAC8O9G" hidden="1">#REF!</definedName>
    <definedName name="BExTWI0Q8AWXUA3ZN7I5V3QK2KM1" hidden="1">#REF!</definedName>
    <definedName name="BExTWI0R31187AOWYLZ1W1WNI84K" hidden="1">#REF!</definedName>
    <definedName name="BExTWJTGTEM42YMMOXES1DOPT9UG" hidden="1">#REF!</definedName>
    <definedName name="BExTWJTIA3WUW1PUWXAOP9O8NKLZ" hidden="1">#REF!</definedName>
    <definedName name="BExTWMO2JVULGP65P9F6XFK9TZ97" hidden="1">#REF!</definedName>
    <definedName name="BExTWNKGCSAYKAWGTHVOEBI22UCC" hidden="1">#REF!</definedName>
    <definedName name="BExTWS7KFB9SYJYPB6GIH0N3WHOR" hidden="1">#REF!</definedName>
    <definedName name="BExTWSYGNF2FVHICZD9VI7RY0JFO" hidden="1">#REF!</definedName>
    <definedName name="BExTWTERU1SE8R3LRC2C4HQMOIB1" hidden="1">#REF!</definedName>
    <definedName name="BExTWW95OX07FNA01WF5MSSSFQLX" hidden="1">#REF!</definedName>
    <definedName name="BExTWZ92358D5O000PI9XL0A8MZ8" hidden="1">#REF!</definedName>
    <definedName name="BExTX1I2K5HJP2RD9YJHWT8V7TJQ" hidden="1">#REF!</definedName>
    <definedName name="BExTX3ATO14W55EUNHRLVB82CWD2" hidden="1">#REF!</definedName>
    <definedName name="BExTX476KI0RNB71XI5TYMANSGBG" hidden="1">#REF!</definedName>
    <definedName name="BExTXCQL1EUYCVDOOML6BYZUJFQV" hidden="1">TEST-[5]LISTA!$B$7:$F$1857</definedName>
    <definedName name="BExTXFFPJWA0LB853NMK8TU8GROB" hidden="1">#REF!</definedName>
    <definedName name="BExTXHOPUXF3B02X3IPA8V36U0KM" hidden="1">#REF!</definedName>
    <definedName name="BExTXIL2JPSHOBRQPZKE4NVEB3G8" hidden="1">#REF!</definedName>
    <definedName name="BExTXJ6HBAIXMMWKZTJNFDYVZCAY" hidden="1">#REF!</definedName>
    <definedName name="BExTXOVHDHRPKTYOZV53FIQBC0II" hidden="1">#REF!</definedName>
    <definedName name="BExTXT812NQT8GAEGH738U29BI0D" hidden="1">#REF!</definedName>
    <definedName name="BExTXWIP2TFPTQ76NHFOB72NICRZ" hidden="1">#REF!</definedName>
    <definedName name="BExTY1WXTBXUD0M1NWE12NMAUGCO" hidden="1">#REF!</definedName>
    <definedName name="BExTY4RDTNHDGCXLDRXAS56I95ZM" hidden="1">#REF!</definedName>
    <definedName name="BExTY5T62H651VC86QM4X7E28JVA" hidden="1">#REF!</definedName>
    <definedName name="BExTY640AXGFMMJ3SP95SZMECIVH" hidden="1">#REF!</definedName>
    <definedName name="BExTY8T41OBZ32MRCWT76H4XO1YE" hidden="1">#REF!</definedName>
    <definedName name="BExTYALTB72G63H2R0S17VCL1ZQH" hidden="1">#REF!</definedName>
    <definedName name="BExTYC3T4GDMUCOXK9B8J204X5WD" hidden="1">#REF!</definedName>
    <definedName name="BExTYEI4P023XVF6C6VBMED2UYIU" hidden="1">#REF!</definedName>
    <definedName name="BExTYHCJJ2NWRM1RV59FYR41534U" hidden="1">#REF!</definedName>
    <definedName name="BExTYKCEFJ83LZM95M1V7CSFQVEA" hidden="1">#REF!</definedName>
    <definedName name="BExTYL3GVPX3BR8Y6YP97V5UO81R" hidden="1">#REF!</definedName>
    <definedName name="BExTYPLA9N640MFRJJQPKXT7P88M" hidden="1">#REF!</definedName>
    <definedName name="BExTYPLBARP1AG3DJRI8LWETC03F" hidden="1">[2]Program!#REF!</definedName>
    <definedName name="BExTYTC34IGA1FF0752Q803Y8031" hidden="1">#REF!</definedName>
    <definedName name="BExTZ14NBAYTRJFHTCJY2PHRZ7PT" hidden="1">#REF!</definedName>
    <definedName name="BExTZ7F71SNTOX4LLZCK5R9VUMIJ" hidden="1">#REF!</definedName>
    <definedName name="BExTZ80T0G1BXHUMFAQUD45B8YND" hidden="1">#REF!</definedName>
    <definedName name="BExTZ8X5G9S3PA4FPSNK7T69W7QT" hidden="1">#REF!</definedName>
    <definedName name="BExTZ92GDESK7KK0JZCG3VK50I2T" hidden="1">#REF!</definedName>
    <definedName name="BExTZ92HD98TC46GSNL10ROEV39S" hidden="1">#REF!</definedName>
    <definedName name="BExTZ97Y0RMR8V5BI9F2H4MFB77O" hidden="1">#REF!</definedName>
    <definedName name="BExTZBMAW1ICY36KSZHH6AY3Y0A5" hidden="1">#REF!</definedName>
    <definedName name="BExTZCIO4GJZJLIKVP8TCCUBS98W" hidden="1">#REF!</definedName>
    <definedName name="BExTZCO57BY3RU9U4VH22NMEZCLK" hidden="1">Tech '[7]1'!$B$7:$L$223</definedName>
    <definedName name="BExTZE0L1DOCRWZ1ISRQ8E4ABMHF" hidden="1">#REF!</definedName>
    <definedName name="BExTZEGPIUZ4ZP5GHL41WDWTZQX5" hidden="1">#REF!</definedName>
    <definedName name="BExTZEM6E1V5LSK5CJ517RCFZQOQ" hidden="1">#REF!</definedName>
    <definedName name="BExTZERIO9KVWALU6Z0EZ7DURK6T" hidden="1">#REF!</definedName>
    <definedName name="BExTZFIJB5TFX1NDDFRLW7102P7Y" hidden="1">#REF!</definedName>
    <definedName name="BExTZFTBPW8GGYG9NW849Q7Y0D43" hidden="1">#REF!</definedName>
    <definedName name="BExTZI7NVKDMXH3OPLANS1WSDT2Y" hidden="1">#REF!</definedName>
    <definedName name="BExTZICYAS5KTNZX02TG0G3NHPZO" hidden="1">#REF!</definedName>
    <definedName name="BExTZK5PMCAXJL4DUIGL6H9Y8U4C" hidden="1">#REF!</definedName>
    <definedName name="BExTZKB6L5SXV5UN71YVTCBEIGWY" hidden="1">#REF!</definedName>
    <definedName name="BExTZLCU2E75BH90RH726OITH6IV" hidden="1">#REF!</definedName>
    <definedName name="BExTZLICVKK4NBJFEGL270GJ2VQO" hidden="1">#REF!</definedName>
    <definedName name="BExTZNR69CDQI81XYVKAIDLGSC72" hidden="1">#REF!</definedName>
    <definedName name="BExTZO2596CBZKPI7YNA1QQNPAIJ" hidden="1">#REF!</definedName>
    <definedName name="BExTZQR3B9A31RIDML22K4GG68HZ" hidden="1">#REF!</definedName>
    <definedName name="BExTZR7B3MMBJEGQ5UI1CLCHFVYC" hidden="1">#REF!</definedName>
    <definedName name="BExTZUCJI99A4GLUX6F2ITDMBZ40" hidden="1">#REF!</definedName>
    <definedName name="BExTZY3JBVLGKBZVS8NRDHWGPGL0" hidden="1">Tech '[4]2'!$B$6:$S$142</definedName>
    <definedName name="BExTZY8TDV4U7FQL7O10G6VKWKPJ" hidden="1">#REF!</definedName>
    <definedName name="BExTZYUEFFX7ORBXTAXZPLEGR9FF" hidden="1">#REF!</definedName>
    <definedName name="BExTZYZVGE94K3D7YL22F0TOLVVQ" hidden="1">#REF!</definedName>
    <definedName name="BExU01ZRDJZ7NWI1DAEQVLSCBVH2" hidden="1">#REF!</definedName>
    <definedName name="BExU02QNT4LT7H9JPUC4FXTLVGZT" hidden="1">#REF!</definedName>
    <definedName name="BExU08QG60DCMZY6USTH8TZJ869N" hidden="1">[2]Table!#REF!</definedName>
    <definedName name="BExU091A10QVE7583Q5CAHW138RD" hidden="1">#REF!</definedName>
    <definedName name="BExU096QNGQ7EQUUG4GDOTBNJ7OO" hidden="1">#REF!</definedName>
    <definedName name="BExU09C1TS0LVQLMB4BBCGSEIMJG" hidden="1">#REF!</definedName>
    <definedName name="BExU0BFJJQO1HJZKI14QGOQ6JROO" hidden="1">#REF!</definedName>
    <definedName name="BExU0D8ACY9VSRF21RH43N4834D7" hidden="1">#REF!</definedName>
    <definedName name="BExU0FH5WTGW8MRFUFMDDSMJ6YQ5" hidden="1">#REF!</definedName>
    <definedName name="BExU0FMLYKBHXH0JHAD0FA64EF92" hidden="1">#REF!</definedName>
    <definedName name="BExU0FMMD2NL5X8L0TZE5L3PXFCA" hidden="1">#REF!</definedName>
    <definedName name="BExU0FRX367BCG5JP38SX10LOJYZ" hidden="1">[2]Program!#REF!</definedName>
    <definedName name="BExU0GDOIL9U33QGU9ZU3YX3V1I4" hidden="1">#REF!</definedName>
    <definedName name="BExU0HKTO8WJDQDWRTUK5TETM3HS" hidden="1">#REF!</definedName>
    <definedName name="BExU0IH7ABJLGWWX8T9LOMEQTXG0" hidden="1">#REF!</definedName>
    <definedName name="BExU0MTJQPE041ZN7H8UKGV6MZT7" hidden="1">#REF!</definedName>
    <definedName name="BExU0P7VX87V2NLOVW72S891CSJC" hidden="1">#REF!</definedName>
    <definedName name="BExU0QV5ARH5PL6ZWMLMK42RU6OV" hidden="1">#REF!</definedName>
    <definedName name="BExU0SD42W8BGRMZQ8I8QJV99JOL" hidden="1">#REF!</definedName>
    <definedName name="BExU0WEUG939NOEL20PQRJSN9CVT" hidden="1">#REF!</definedName>
    <definedName name="BExU0X5VSYSI5S9B8S7DKUE1Q102" hidden="1">#REF!</definedName>
    <definedName name="BExU0YYGWG02FLWE4J8J4TYGK5EK" hidden="1">#REF!</definedName>
    <definedName name="BExU0ZUUFYHLUK4M4E8GLGIBBNT0" hidden="1">#REF!</definedName>
    <definedName name="BExU147D6RPG6ZVTSXRKFSVRHSBG" hidden="1">#REF!</definedName>
    <definedName name="BExU16AV3K7IIBHDEVQG6JC54W2U" hidden="1">#REF!</definedName>
    <definedName name="BExU16R10W1SOAPNG4CDJ01T7JRE" hidden="1">#REF!</definedName>
    <definedName name="BExU1779ZXOD3MB6UKL1QQKNQ4IN" hidden="1">#REF!</definedName>
    <definedName name="BExU17CKOR3GNIHDNVLH9L1IOJS9" hidden="1">#REF!</definedName>
    <definedName name="BExU1ACH6EA2YYPQGJCM31SOMP1P" hidden="1">#REF!</definedName>
    <definedName name="BExU1BJMZB5C1RGU5ZF1ZYLKO0F8" hidden="1">#REF!</definedName>
    <definedName name="BExU1C571OISXL0OKGTA8RSHVV3O" hidden="1">#REF!</definedName>
    <definedName name="BExU1DN4RELJSQTQUF8YK7BNGXKO" hidden="1">#REF!</definedName>
    <definedName name="BExU1E3FUMFCCVGG1IZTIIO64J6E" hidden="1">#REF!</definedName>
    <definedName name="BExU1GXUTLRPJN4MRINLAPHSZQFG" hidden="1">#REF!</definedName>
    <definedName name="BExU1IL9AOHFO85BZB6S60DK3N8H" hidden="1">#REF!</definedName>
    <definedName name="BExU1JHMQ50BFKY8KMW5MCX23B3D" hidden="1">#REF!</definedName>
    <definedName name="BExU1MXNAJH678YEL29WBWW3QI1O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RFHEHSXRZO6D64R2ES0ASSO" hidden="1">#REF!</definedName>
    <definedName name="BExU1RVQVGNLS1A6KGVNSF1A8M8Z" hidden="1">#REF!</definedName>
    <definedName name="BExU1VH2DUUIO720NY82O6Q4N42L" hidden="1">#REF!</definedName>
    <definedName name="BExU1VRURIWWVJ95O40WA23LMTJD" hidden="1">#REF!</definedName>
    <definedName name="BExU1WZ6OW3HTY5IN191HNFJ3VF7" hidden="1">#REF!</definedName>
    <definedName name="BExU1YBNVL4778KYXB2VIO7WZO0B" hidden="1">#REF!</definedName>
    <definedName name="BExU1ZISRN3XIRPIC5LD2BSR8A8S" hidden="1">#REF!</definedName>
    <definedName name="BExU21BJ5X02RY81BUSQFJUJFAXT" hidden="1">#REF!</definedName>
    <definedName name="BExU270IWLGK4Z3CV9SUDLWXSCPQ" hidden="1">#REF!</definedName>
    <definedName name="BExU27RFLRQX28WTK99OT0KM7607" hidden="1">#REF!</definedName>
    <definedName name="BExU27RG39M6091IFP10H06Y7RHL" hidden="1">#REF!</definedName>
    <definedName name="BExU287PGTJKEFT3W92HPC0M5UOZ" hidden="1">#REF!</definedName>
    <definedName name="BExU2941Z7GTMQ5O1VVPEU7YRR7P" hidden="1">#REF!</definedName>
    <definedName name="BExU2AWT1DNL683X45K8G8I2AU22" hidden="1">#REF!</definedName>
    <definedName name="BExU2M5CK6XK55UIHDVYRXJJJRI4" hidden="1">#REF!</definedName>
    <definedName name="BExU2N1PZFSD1KEUY5SFLIIXBPW0" hidden="1">#REF!</definedName>
    <definedName name="BExU2PQSFGFC91IVK47BERJGSWLX" hidden="1">#REF!</definedName>
    <definedName name="BExU2Q1MI5BMGXQAYIUL0VCXX6K3" hidden="1">#REF!</definedName>
    <definedName name="BExU2TXVT25ZTOFQAF6CM53Z1RLF" hidden="1">[2]Table!#REF!</definedName>
    <definedName name="BExU2UZQJ2MF4IFOBT5PZRKRKR11" hidden="1">#REF!</definedName>
    <definedName name="BExU2W1F942MPH8HWTPUSXLMNDZE" hidden="1">#REF!</definedName>
    <definedName name="BExU2X38J9YLKSCO8TD9EDEPJNU2" hidden="1">#REF!</definedName>
    <definedName name="BExU2XZLYIU19G7358W5T9E87AFR" hidden="1">#REF!</definedName>
    <definedName name="BExU2YFQTG28UDZ0KPGWJJD47C0E" hidden="1">#REF!</definedName>
    <definedName name="BExU30J8OQRG1SRPI1WMH4G8O6QG" hidden="1">#REF!</definedName>
    <definedName name="BExU31L3LL11NJ0FIBD5Y6RGDPYV" hidden="1">#REF!</definedName>
    <definedName name="BExU31VWLVATHNYV46ZRQAHDJEBT" hidden="1">#REF!</definedName>
    <definedName name="BExU3513CYTCA4SGI8WYSHLWHD5N" hidden="1">#REF!</definedName>
    <definedName name="BExU3688I73C3YTLNPVIQGWLGKIQ" hidden="1">#REF!</definedName>
    <definedName name="BExU38XC6LGE8FBWDE37DYNU490L" hidden="1">#REF!</definedName>
    <definedName name="BExU3B66MCKJFSKT3HL8B5EJGVX0" hidden="1">#REF!</definedName>
    <definedName name="BExU3C81B2Y5FEYNJ3MIL8WSQW12" hidden="1">#REF!</definedName>
    <definedName name="BExU3D9R4DRJADX0E7E2OZ3T6J9D" hidden="1">#REF!</definedName>
    <definedName name="BExU3HX1IEJGNDJI6N6CLR8ZJK9D" hidden="1">#REF!</definedName>
    <definedName name="BExU3I2IIXI3E7PRKG549AJGKX2J" hidden="1">#REF!</definedName>
    <definedName name="BExU3I7TN3Z4LXNMMP0ROQGW5MAF" hidden="1">#REF!</definedName>
    <definedName name="BExU3KM6GOFVJ5SWGVH2H94RX7TI" hidden="1">#REF!</definedName>
    <definedName name="BExU3M43PJP3NIUPG5FPL5C65L4H" hidden="1">#REF!</definedName>
    <definedName name="BExU3P3ZAYYYH4WKK3PZWX08NQYK" hidden="1">#REF!</definedName>
    <definedName name="BExU3P9ADVCJWBKUMFS9J7TCVVD8" hidden="1">#REF!</definedName>
    <definedName name="BExU3Q5OWL8841PKAT6NWY6BJTVJ" hidden="1">#REF!</definedName>
    <definedName name="BExU3QWQVA35KFNEQYRLU0ZG2TZ0" hidden="1">#REF!</definedName>
    <definedName name="BExU3T09IQQ3EC1N61JKEKZXPE06" hidden="1">#REF!</definedName>
    <definedName name="BExU3UNI9NR1RNZR07NSLSZMDOQQ" hidden="1">#REF!</definedName>
    <definedName name="BExU3ZQY5V2PQH4SZGOJZ9GSNMZG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JHYKMPM7L5HN4TNZN7CJJ9" hidden="1">#REF!</definedName>
    <definedName name="BExU47OZMS6TCWMEHHF0UCSFLLPI" hidden="1">#REF!</definedName>
    <definedName name="BExU47UA27OB9ZNNRP8V52TLB0JC" hidden="1">Table '[4]2'!$B$6:$F$9</definedName>
    <definedName name="BExU48FV5PK71YDATZYTZGG7NBDI" hidden="1">#REF!</definedName>
    <definedName name="BExU4D36E8TXN0M8KSNGEAFYP4DQ" hidden="1">#REF!</definedName>
    <definedName name="BExU4D8ICXQ6CSBSH6X0ZAJ2BIHD" hidden="1">#REF!</definedName>
    <definedName name="BExU4EKYUO13HPZ229FT0BVTWM1A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MIZMMFZZWTK4WHGFZSMWPS8" hidden="1">#REF!</definedName>
    <definedName name="BExU4NA00RRRBGRT6TOB0MXZRCRZ" hidden="1">#REF!</definedName>
    <definedName name="BExU4P2LRI9SC4IH5JMSX5LB9XGB" hidden="1">#REF!</definedName>
    <definedName name="BExU4U66N73FKXXQ5BIXND234LCV" hidden="1">#REF!</definedName>
    <definedName name="BExU4W9JHATCS4U6ZE2DGPF9JWJS" hidden="1">#REF!</definedName>
    <definedName name="BExU4XWZRGDFLCPK6HI2B3EXIQNU" hidden="1">#REF!</definedName>
    <definedName name="BExU4YYT1TZ2FQEVBXSIC19SX3LY" hidden="1">#REF!</definedName>
    <definedName name="BExU51IFNZXPBDES28457LR8X60M" hidden="1">#REF!</definedName>
    <definedName name="BExU529CJ5AWHU0WNPZUYLVVT9GO" hidden="1">#REF!</definedName>
    <definedName name="BExU529I6YHVOG83TJHWSILIQU1S" hidden="1">#REF!</definedName>
    <definedName name="BExU57YBPRPIWAN2T86KW2698Y6R" hidden="1">#REF!</definedName>
    <definedName name="BExU57YCIKPRD8QWL6EU0YR3NG3J" hidden="1">#REF!</definedName>
    <definedName name="BExU5DSTBWXLN6E59B757KRWRI6E" hidden="1">#REF!</definedName>
    <definedName name="BExU5DY5OOTC89DPL6W8KZJAMYZ3" hidden="1">#REF!</definedName>
    <definedName name="BExU5GN9K4NB25FF1BYREZPO0AE9" hidden="1">#REF!</definedName>
    <definedName name="BExU5JCD4H3RNLVWRXZPE30WQYA7" hidden="1">#REF!</definedName>
    <definedName name="BExU5JHUDYNI0F2HNVCIV3POCKSR" hidden="1">#REF!</definedName>
    <definedName name="BExU5N8L0E2WDEBA4ITD4A8FT8ON" hidden="1">#REF!</definedName>
    <definedName name="BExU5SMUJA6GF0YSG2JXGQ30VJJS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39XXVDNRXSFQNT4EXW7LTNR" hidden="1">#REF!</definedName>
    <definedName name="BExU65IRT52LGQT0TKVKZ1OIAIVU" hidden="1">#REF!</definedName>
    <definedName name="BExU65TJZZBNAG4YI9CM9K1TEX8B" hidden="1">#REF!</definedName>
    <definedName name="BExU664D6VPP3NSYW3XIUF24GIYY" hidden="1">#REF!</definedName>
    <definedName name="BExU66KMFBAP8JCVG9VM1RD1TNFF" hidden="1">#REF!</definedName>
    <definedName name="BExU67BIP4IDGLTCZMUKNEA7DFWZ" hidden="1">#REF!</definedName>
    <definedName name="BExU68IOM3CB3TACNAE9565TW7SH" hidden="1">#REF!</definedName>
    <definedName name="BExU69KDAN0R2NQEXNVWG2VXTVA1" hidden="1">#REF!</definedName>
    <definedName name="BExU69PUFUYF2EIZN306UA8Z2G1X" hidden="1">#REF!</definedName>
    <definedName name="BExU6AM82KN21E82HMWVP3LWP9IL" hidden="1">#REF!</definedName>
    <definedName name="BExU6D5ZHEBXUCJ3AJ0BICFA40AF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LEN0HPT9FQENP5T86Y4SK00" hidden="1">#REF!</definedName>
    <definedName name="BExU6MWL30NHY8I1G97R2SU1TD1Y" hidden="1">#REF!</definedName>
    <definedName name="BExU6PAVKIOAIMQ9XQIHHF1SUAGO" hidden="1">#REF!</definedName>
    <definedName name="BExU6QNDRHIOGCRBN0OMBPQKWY3O" hidden="1">#REF!</definedName>
    <definedName name="BExU6RZZZ5U1TW0X1N5NZR98VZ97" hidden="1">#REF!</definedName>
    <definedName name="BExU6WHTI7FNX2RTGZC78LTPVG44" hidden="1">#REF!</definedName>
    <definedName name="BExU6WXXC7SSQDMHSLUN5C2V4IYX" hidden="1">#REF!</definedName>
    <definedName name="BExU6Y542UBL2L402LYK6DNY3LZE" hidden="1">#REF!</definedName>
    <definedName name="BExU6YW6EZ1ZV6TWDEOXCAYUXBTH" hidden="1">#REF!</definedName>
    <definedName name="BExU6ZXUS7MR8U997TCCBGCOVK89" hidden="1">#REF!</definedName>
    <definedName name="BExU71FSJN6W6INHZE0577I6OLDA" hidden="1">#REF!</definedName>
    <definedName name="BExU73387E74XE8A9UKZLZNJYY65" hidden="1">#REF!</definedName>
    <definedName name="BExU74QIDB32TL0TA16AISOL08I1" hidden="1">#REF!</definedName>
    <definedName name="BExU76ZHCJM8I7VSICCMSTC33O6U" hidden="1">#REF!</definedName>
    <definedName name="BExU77L1ZM2BRJB4M5RWTLREPRBO" hidden="1">#REF!</definedName>
    <definedName name="BExU7BBTUF8BQ42DSGM94X5TG5GF" hidden="1">#REF!</definedName>
    <definedName name="BExU7BXFP8C0CW77VF53F8B8KM1T" hidden="1">#REF!</definedName>
    <definedName name="BExU7DKP4WEY4JMMC28W1QBCOMLU" hidden="1">#REF!</definedName>
    <definedName name="BExU7DVMNLPZ8DIZKTOS0GLZESXN" hidden="1">#REF!</definedName>
    <definedName name="BExU7EXBF4X6BT0YWKWGJIUNBUYG" hidden="1">#REF!</definedName>
    <definedName name="BExU7HH4EAHFQHT4AXKGWAWZP3I0" hidden="1">#REF!</definedName>
    <definedName name="BExU7JF5ZY3UGZS6PFG15J9BW53G" hidden="1">#REF!</definedName>
    <definedName name="BExU7MF1ZVPDHOSMCAXOSYICHZ4I" hidden="1">#REF!</definedName>
    <definedName name="BExU7MF2TBQ2QRY03A9JMZD422CH" hidden="1">#REF!</definedName>
    <definedName name="BExU7O2BJ6D5YCKEL6FD2EFCWYRX" hidden="1">#REF!</definedName>
    <definedName name="BExU7Q0JS9YIUKUPNSSAIDK2KJAV" hidden="1">#REF!</definedName>
    <definedName name="BExU7QBBP35UV52CGTRWC17IV3DV" hidden="1">#REF!</definedName>
    <definedName name="BExU7QRFE6VKHE4CJB47WYKXK3QT" hidden="1">#REF!</definedName>
    <definedName name="BExU7V3ZCYGV0GB57HYRXTTHUFUG" hidden="1">#REF!</definedName>
    <definedName name="BExU7VUWIK7942LR3XULMKX3BJWZ" hidden="1">#REF!</definedName>
    <definedName name="BExU80I6AE5OU7P7F5V7HWIZBJ4P" hidden="1">#REF!</definedName>
    <definedName name="BExU85AUW6RSKQIVXFO60KKE5T20" hidden="1">#REF!</definedName>
    <definedName name="BExU86NB26MCPYIISZ36HADONGT2" hidden="1">#REF!</definedName>
    <definedName name="BExU885EZZNSZV3GP298UJ8LB7OL" hidden="1">#REF!</definedName>
    <definedName name="BExU89XZ24NAEGSD8GN6NKO3596G" hidden="1">#REF!</definedName>
    <definedName name="BExU8A3GJQ43ERH83U6G5T9QI0GE" hidden="1">Tech '[4]2'!$B$7:$F$10</definedName>
    <definedName name="BExU8FSAUP9TUZ1NO9WXK80QPHWV" hidden="1">#REF!</definedName>
    <definedName name="BExU8FSGATXULCM675VF1KYAHGP1" hidden="1">#REF!</definedName>
    <definedName name="BExU8JOOSQ48GQJFBZNHHFC4AOVX" hidden="1">#REF!</definedName>
    <definedName name="BExU8KFLAN778MBN93NYZB0FV30G" hidden="1">#REF!</definedName>
    <definedName name="BExU8KQE6G6X1KS4NKKOU43TL73W" hidden="1">#REF!</definedName>
    <definedName name="BExU8MOM368HU1SQLU54UQDP6S52" hidden="1">#REF!</definedName>
    <definedName name="BExU8O6KBOA75QAU0ZQDSM5CCGVO" hidden="1">#REF!</definedName>
    <definedName name="BExU8S2O68RLH6LUDGJKFXMKKE5J" hidden="1">#REF!</definedName>
    <definedName name="BExU8UX9JX3XLB47YZ8GFXE0V7R2" hidden="1">#REF!</definedName>
    <definedName name="BExU8V2QEONF9R0X2D3R15MZ0GVY" hidden="1">#REF!</definedName>
    <definedName name="BExU8W4F1Y7UXTOO4R2EVHMGCOSU" hidden="1">#REF!</definedName>
    <definedName name="BExU91DC3DGKPZD6LTER2IRTF89C" hidden="1">#REF!</definedName>
    <definedName name="BExU96M1J7P9DZQ3S9H0C12KGYTW" hidden="1">#REF!</definedName>
    <definedName name="BExU97T7CJYATI7XYOTBJ8B9FIGO" hidden="1">#REF!</definedName>
    <definedName name="BExU9B98E0WUJ89KDTIKL2K0JEM7" hidden="1">#REF!</definedName>
    <definedName name="BExU9C097J8TOYINX3DEJ8B12WYU" hidden="1">#REF!</definedName>
    <definedName name="BExU9CGEFWEFQ8S0SGBE0PSMX8TP" hidden="1">#REF!</definedName>
    <definedName name="BExU9F05OR1GZ3057R6UL3WPEIYI" hidden="1">#REF!</definedName>
    <definedName name="BExU9GCSO5YILIKG6VAHN13DL75K" hidden="1">#REF!</definedName>
    <definedName name="BExU9GSW9N1FY7XEJP0TVJWJKJ27" hidden="1">#REF!</definedName>
    <definedName name="BExU9IG6YYX7TI1CMR8HLDD1E0P4" hidden="1">#REF!</definedName>
    <definedName name="BExU9JY4FQF6MAQ7JCIXSMKYG24W" hidden="1">#REF!</definedName>
    <definedName name="BExU9KJOZLO15N11MJVN782NFGJ0" hidden="1">#REF!</definedName>
    <definedName name="BExU9LG29XU2K1GNKRO4438JYQZE" hidden="1">#REF!</definedName>
    <definedName name="BExU9PSLEMD1KZF4BOIZ47I4AK72" hidden="1">#REF!</definedName>
    <definedName name="BExU9Q3DJ4483MHON0MABIB4SVV1" hidden="1">#REF!</definedName>
    <definedName name="BExU9RW36I5Z6JIXUIUB3PJH86LT" hidden="1">#REF!</definedName>
    <definedName name="BExUA28AO7OWDG3H23Q0CL4B7BHW" hidden="1">#REF!</definedName>
    <definedName name="BExUA3VPC48ZHK368WNXVKJ17B3G" hidden="1">#REF!</definedName>
    <definedName name="BExUA5O923FFNEBY8BPO1TU3QGBM" hidden="1">#REF!</definedName>
    <definedName name="BExUA5Z81ABNOVMKDBHW1AMBE7KA" hidden="1">#REF!</definedName>
    <definedName name="BExUA6Q4K25VH452AQ3ZIRBCMS61" hidden="1">#REF!</definedName>
    <definedName name="BExUABTKMVKVP09LQP7TRFMGZC7L" hidden="1">#REF!</definedName>
    <definedName name="BExUAFV4JMBSM2SKBQL9NHL0NIBS" hidden="1">#REF!</definedName>
    <definedName name="BExUAH2GHU99D3DKJ0CS7B8GBRIY" hidden="1">#REF!</definedName>
    <definedName name="BExUAMWQODKBXMRH1QCMJLJBF8M7" hidden="1">#REF!</definedName>
    <definedName name="BExUAPLV4Q6PTMH6ZGZ814ODW8KF" hidden="1">#REF!</definedName>
    <definedName name="BExUAS5HPTQM3J6NA90OU3DBNZ5N" hidden="1">#REF!</definedName>
    <definedName name="BExUAX8WS5OPVLCDXRGKTU2QMTFO" hidden="1">#REF!</definedName>
    <definedName name="BExUAZHY6NV4B6YFEN0GV9MITVTY" hidden="1">#REF!</definedName>
    <definedName name="BExUAZN8RUPBHXB1C3VRPDZK9QX4" hidden="1">#REF!</definedName>
    <definedName name="BExUB0P3GDF4YGEB5TRVDABJ1L3V" hidden="1">#REF!</definedName>
    <definedName name="BExUB33FJHDI3XKPQSVL75HO9RQ3" hidden="1">#REF!</definedName>
    <definedName name="BExUB3JHDL430WKBOVB9KNTSWU3Q" hidden="1">#REF!</definedName>
    <definedName name="BExUB4W4IZ461JHH105700XLX876" hidden="1">#REF!</definedName>
    <definedName name="BExUB4W5C7FRTSETQCT0FH7FA7O6" hidden="1">#REF!</definedName>
    <definedName name="BExUB7L8PQ32VOVBXP1R0YA3OP8G" hidden="1">#REF!</definedName>
    <definedName name="BExUB8HLEXSBVPZ5AXNQEK96F1N4" hidden="1">#REF!</definedName>
    <definedName name="BExUBAVXZ48M12V5TO1LH8BF3W3R" hidden="1">#REF!</definedName>
    <definedName name="BExUBCDVZIEA7YT0LPSMHL5ZSERQ" hidden="1">#REF!</definedName>
    <definedName name="BExUBE15EBQIKOZPER61RI29SCNQ" hidden="1">#REF!</definedName>
    <definedName name="BExUBF8B2BZMSBBLVIDVE20YP9Y0" hidden="1">#REF!</definedName>
    <definedName name="BExUBG4OU603NUBN6VQ6DCFJAGFL" hidden="1">#REF!</definedName>
    <definedName name="BExUBITSMEME9ZKYIUZ4CPM627H6" hidden="1">#REF!</definedName>
    <definedName name="BExUBKXBUCN760QYU7Q8GESBWOQH" hidden="1">#REF!</definedName>
    <definedName name="BExUBL2TA8NM3TGXZF97AR2HB0IO" hidden="1">#REF!</definedName>
    <definedName name="BExUBL83ED0P076RN9RJ8P1MZ299" hidden="1">#REF!</definedName>
    <definedName name="BExUBN64LPXX4Z738WO97YQ5MXMX" hidden="1">#REF!</definedName>
    <definedName name="BExUBNRVHXRIJBHKA2TWL10IFYUF" hidden="1">#REF!</definedName>
    <definedName name="BExUBPV8GB3LLCKQZCK9OFOFPN4G" hidden="1">#REF!</definedName>
    <definedName name="BExUBQMBO0OIE3FV13MN4TLSH1AD" hidden="1">#REF!</definedName>
    <definedName name="BExUBQX3P3IZCP70UMNVC25RXA1C" hidden="1">#REF!</definedName>
    <definedName name="BExUBRD733TAONMGC09QPWX7WLLA" hidden="1">#REF!</definedName>
    <definedName name="BExUBTBFSUIND2FG4IX28U5VZPQU" hidden="1">#REF!</definedName>
    <definedName name="BExUBXD62KTBZ32ZPVSXECCGTHZ7" hidden="1">#REF!</definedName>
    <definedName name="BExUBZB6P0ZR2P2RQRNBQ5S951O4" hidden="1">#REF!</definedName>
    <definedName name="BExUC1EPFH5I5QLO88GYRRQUL4LX" hidden="1">#REF!</definedName>
    <definedName name="BExUC55P17C3E38197X8T0J4TL3D" hidden="1">#REF!</definedName>
    <definedName name="BExUC5LTAKRJZRV4GQDG1LAOZ185" hidden="1">#REF!</definedName>
    <definedName name="BExUC623BDYEODBN0N4DO6PJQ7NU" hidden="1">#REF!</definedName>
    <definedName name="BExUC8WH8TCKBB5313JGYYQ1WFLT" hidden="1">#REF!</definedName>
    <definedName name="BExUC8WHRDLJV0UWK6TZEOFQ49QT" hidden="1">#REF!</definedName>
    <definedName name="BExUCAEGQZ6PB4AG64761OAR17RY" hidden="1">#REF!</definedName>
    <definedName name="BExUCDUET4FJ4XJAEP0EHOWASQRI" hidden="1">#REF!</definedName>
    <definedName name="BExUCF72MU36VBC7LPTWK6VWOS4Q" hidden="1">#REF!</definedName>
    <definedName name="BExUCFCDK6SPH86I6STXX8X3WMC4" hidden="1">#REF!</definedName>
    <definedName name="BExUCIN22WSC1QT5U2K5CYDXJDK1" hidden="1">Tech '[4]2'!$B$6:$S$180</definedName>
    <definedName name="BExUCLC6AQ5KR6LXSAXV4QQ8ASVG" hidden="1">#REF!</definedName>
    <definedName name="BExUCNVYTGAARBOTQXVPZW0GPJPL" hidden="1">#REF!</definedName>
    <definedName name="BExUCPTZTCDJCNFP99JDBGRELA76" hidden="1">#REF!</definedName>
    <definedName name="BExUCS31828NKXISRIFVMOVJTROE" hidden="1">#REF!</definedName>
    <definedName name="BExUCS8CI7SWVGX3T2YRNV5FRN58" hidden="1">[3]Table!#REF!</definedName>
    <definedName name="BExUCSDT9KGH9092SAFKQ04FU7HJ" hidden="1">#REF!</definedName>
    <definedName name="BExUCV87Z5SOWK71H745TAVH3M8Z" hidden="1">#REF!</definedName>
    <definedName name="BExUD4IOJ12X3PJG5WXNNGDRCKAP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KPCS5Q0I3RUJOTL5XRWIMUA" hidden="1">#REF!</definedName>
    <definedName name="BExUDLWHS1XLN53V123JHW8TADJO" hidden="1">#REF!</definedName>
    <definedName name="BExUDQ3JPLF15XXZMZ6T43VLXCV3" hidden="1">#REF!</definedName>
    <definedName name="BExUDWOXQGIZW0EAIIYLQUPXF8YV" hidden="1">#REF!</definedName>
    <definedName name="BExUDXAIC17W1FUU8Z10XUAVB7CS" hidden="1">#REF!</definedName>
    <definedName name="BExUDYHO3GBCLB1FD8JS23WCEF6Y" hidden="1">#REF!</definedName>
    <definedName name="BExUE5OMY7OAJQ9WR8C8HG311ORP" hidden="1">#REF!</definedName>
    <definedName name="BExUE7S55GJO1BSSGSK5Q1RVKKKD" hidden="1">#REF!</definedName>
    <definedName name="BExUEEOBK7COHCPZW2RCJXG2ASGF" hidden="1">#REF!</definedName>
    <definedName name="BExUEFKOQWXXGRNLAOJV2BJ66UB8" hidden="1">[2]Table!#REF!</definedName>
    <definedName name="BExUEG6A5IALNLVLOVHEFB0F06PI" hidden="1">#REF!</definedName>
    <definedName name="BExUEGRU78MDEHUWG9GKZ8TD70OZ" hidden="1">#REF!</definedName>
    <definedName name="BExUEI9S7UGN4YDTQJ28OOQ41V84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Q8ZAQAYJ5Y6NNKH2YVFBS5BB" hidden="1">#REF!</definedName>
    <definedName name="BExVQD6CVBAM2QSJK5CVX5DUSFSM" hidden="1">#REF!</definedName>
    <definedName name="BExVQDRY20G0G5RTF0V83B96COH0" hidden="1">#REF!</definedName>
    <definedName name="BExVQEOB4VQWZOY5FRFY4FXDCAE0" hidden="1">#REF!</definedName>
    <definedName name="BExVQKDBCF1JFDLCS1LGIQM0W05X" hidden="1">#REF!</definedName>
    <definedName name="BExVQMGV0KVXVHS1BLXCQAXCWKPD" hidden="1">#REF!</definedName>
    <definedName name="BExVQXK18H94IOIWC1OTTCIQQUV1" hidden="1">#REF!</definedName>
    <definedName name="BExVQY5MZNT1Y8KEYKC002OKUSKJ" hidden="1">#REF!</definedName>
    <definedName name="BExVR15ITEN8TF2H5MGLG77YNGFE" hidden="1">#REF!</definedName>
    <definedName name="BExVR3UMJQ5ET25WI3NWLGLQ9R8A" hidden="1">#REF!</definedName>
    <definedName name="BExVR8NAH73TVNEQ6TXX8GAYA4RX" hidden="1">#REF!</definedName>
    <definedName name="BExVR9OY8GHYL1ALU5V0XHRREMKC" hidden="1">#REF!</definedName>
    <definedName name="BExVRCZO7GFCBGBXK5N8HRLCZ7E5" hidden="1">#REF!</definedName>
    <definedName name="BExVRF8O3C7ACU6NKUIDN2V64WP3" hidden="1">#REF!</definedName>
    <definedName name="BExVRGFSTF43U7LWAO0UQQ7ESX08" hidden="1">#REF!</definedName>
    <definedName name="BExVROOFIFE8KBTPJ4W4KCT3AXVH" hidden="1">#REF!</definedName>
    <definedName name="BExVRYPZQFP7R0RFKQYUM5A89HHK" hidden="1">#REF!</definedName>
    <definedName name="BExVS3IM0L9KDBR9EBVSCYXN7EK9" hidden="1">#REF!</definedName>
    <definedName name="BExVS6II9HHGF1K7L9UUHD89CUU1" hidden="1">#REF!</definedName>
    <definedName name="BExVS6TAND82CBJNY4L4SO9LKEMV" hidden="1">#REF!</definedName>
    <definedName name="BExVS9T7VOJV9JL3RCWSU53UITP8" hidden="1">#REF!</definedName>
    <definedName name="BExVSCT2XWHERPEK1X2LS2CLJN1S" hidden="1">#REF!</definedName>
    <definedName name="BExVSGPCZ248T0PN8Q4CUJQ3HXUB" hidden="1">#REF!</definedName>
    <definedName name="BExVSJEHC7IUJ30X42GM14U4GJ41" hidden="1">#REF!</definedName>
    <definedName name="BExVSKAU6BW83DY1YU15B44ABG8J" hidden="1">#REF!</definedName>
    <definedName name="BExVSKQYZ4BPNPZ2QMFWPRDORLBS" hidden="1">#REF!</definedName>
    <definedName name="BExVSL1PTQKDN8UQ5SQVBMQW1JG9" hidden="1">#REF!</definedName>
    <definedName name="BExVSL787C8E4HFQZ2NVLT35I2XV" hidden="1">#REF!</definedName>
    <definedName name="BExVSP8SISY3X6PV71FFAXQXBA3Z" hidden="1">#REF!</definedName>
    <definedName name="BExVSPZTT63TQ2O24ES5WCMUK2P2" hidden="1">#REF!</definedName>
    <definedName name="BExVSTFTVV14SFGHQUOJL5SQ5TX9" hidden="1">#REF!</definedName>
    <definedName name="BExVSV8L1VH10WKY68LPBPMAA9KD" hidden="1">Tech '[4]2'!$B$7:$F$10</definedName>
    <definedName name="BExVSVJCIW93A1UFECDL3RUQWAT4" hidden="1">#REF!</definedName>
    <definedName name="BExVSW4XKH2LBFWZ5JCNVDTGF63Y" hidden="1">#REF!</definedName>
    <definedName name="BExVSWFQ864O44ZQTZ2N4WRQLKE3" hidden="1">#REF!</definedName>
    <definedName name="BExVSXC45JUS5Q58AQZKA095GA3N" hidden="1">#REF!</definedName>
    <definedName name="BExVSYJ9NSPFRD1FGWVBB7FSEVVE" hidden="1">#REF!</definedName>
    <definedName name="BExVT3MPE8LQ5JFN3HQIFKSQ80U4" hidden="1">#REF!</definedName>
    <definedName name="BExVT489KG8R840TQ9UNIQ5Y8U4U" hidden="1">#REF!</definedName>
    <definedName name="BExVT7TRK3NZHPME2TFBXOF1WBR9" hidden="1">#REF!</definedName>
    <definedName name="BExVT9H0R0T7WGQAAC0HABMG54YM" hidden="1">[2]Table!#REF!</definedName>
    <definedName name="BExVTCH387M0XD64UHP68HCWL8XO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MNQ4B1R6XS2RPBGUM55XEHZ" hidden="1">#REF!</definedName>
    <definedName name="BExVTN3ZUVJ199SJALZX8TIXURKJ" hidden="1">#REF!</definedName>
    <definedName name="BExVTNESHPVG0A0KZ7BRX26MS0PF" hidden="1">#REF!</definedName>
    <definedName name="BExVTTJVTNRSBHBTUZ78WG2JM5MK" hidden="1">#REF!</definedName>
    <definedName name="BExVTUAYUR922VXBNO4MN569BULR" hidden="1">#REF!</definedName>
    <definedName name="BExVTV1UN2MLB51OO4J9R2RHMO6Y" hidden="1">#REF!</definedName>
    <definedName name="BExVTW3OZ04QHKTFPPDM5JDNT6C1" hidden="1">#REF!</definedName>
    <definedName name="BExVTWJSIRTA2R1LZE0C2E4OCLN3" hidden="1">#REF!</definedName>
    <definedName name="BExVTWUM8VGTFKIOZBDMLIK930ZY" hidden="1">#REF!</definedName>
    <definedName name="BExVTX02YY111XWO9UHFJ8ITXOSG" hidden="1">#REF!</definedName>
    <definedName name="BExVTXLMYR87BC04D1ERALPUFVPG" hidden="1">#REF!</definedName>
    <definedName name="BExVU58PRD8GAQCXDC0MAO5DUDD3" hidden="1">#REF!</definedName>
    <definedName name="BExVU6QMM5J49S1312H8AMNK3Y8U" hidden="1">#REF!</definedName>
    <definedName name="BExVUD18DTWIMF2F9DITIDGD36DJ" hidden="1">#REF!</definedName>
    <definedName name="BExVUEJ7TUY3OD3YHD083TTEZ707" hidden="1">#REF!</definedName>
    <definedName name="BExVUFQBS79JUKIS6DHEU7KQ6VU8" hidden="1">#REF!</definedName>
    <definedName name="BExVUG157MV6XYE5HX8Q70HW7CVR" hidden="1">#REF!</definedName>
    <definedName name="BExVUHJ269GT8C1ABLGFWCZPBDWS" hidden="1">#REF!</definedName>
    <definedName name="BExVUIQ8Z0T4G58KQ67C8RRODXWC" hidden="1">#REF!</definedName>
    <definedName name="BExVUKZA0325Y2XKR3QHR1QTH9QK" hidden="1">#REF!</definedName>
    <definedName name="BExVUL9V3H8ZF6Y72LQBBN639YAA" hidden="1">#REF!</definedName>
    <definedName name="BExVUTTGG5N0UA5DB6C9R8ASJAMJ" hidden="1">#REF!</definedName>
    <definedName name="BExVUY0JGBF7ZGJGSDI8EPH5FBE3" hidden="1">#REF!</definedName>
    <definedName name="BExVV51ZWER61SDJ52NSMK867IQ1" hidden="1">#REF!</definedName>
    <definedName name="BExVV5T14N2HZIK7HQ4P2KG09U0J" hidden="1">#REF!</definedName>
    <definedName name="BExVV7R410VYLADLX9LNG63ID6H1" hidden="1">#REF!</definedName>
    <definedName name="BExVV992GZT6AIOZAETJBCKJNIKY" hidden="1">#REF!</definedName>
    <definedName name="BExVVA033OB71P301YYKYS90S2LK" hidden="1">#REF!</definedName>
    <definedName name="BExVVBCK3BVN95DGUXI52FLQHX62" hidden="1">#REF!</definedName>
    <definedName name="BExVVCEED4JEKF59OV0G3T4XFMFO" hidden="1">#REF!</definedName>
    <definedName name="BExVVDQVS56CN065BBOOXZKNTWDW" hidden="1">#REF!</definedName>
    <definedName name="BExVVECGYEXNF1IZXK0HOCPX4W3U" hidden="1">#REF!</definedName>
    <definedName name="BExVVF3IHBCGFE68RQJ394BBRG0T" hidden="1">#REF!</definedName>
    <definedName name="BExVVIUB0G6D3Q3DETVUFB8DTVA8" hidden="1">#REF!</definedName>
    <definedName name="BExVVKSJLPLD9MZETO36JNTK6JK8" hidden="1">#REF!</definedName>
    <definedName name="BExVVL3CHATQ6OMZOG9IEJPVM73H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RU0OF3SLZP2P8M6P8F9UVK5" hidden="1">Table '[4]2'!$B$5:$G$9</definedName>
    <definedName name="BExVVSFLIJ1515J9BRXO9ECA9OZR" hidden="1">#REF!</definedName>
    <definedName name="BExVVVA4RLTWB0X2CZVEU6EUFUW5" hidden="1">#REF!</definedName>
    <definedName name="BExVVYKPMF7BXZ1EKVAUI2PRU15I" hidden="1">#REF!</definedName>
    <definedName name="BExVW0843PNKQ9GVO009752ZC57Z" hidden="1">#REF!</definedName>
    <definedName name="BExVW0Z0AR0H1G6P9SJW2HNL6BG7" hidden="1">#REF!</definedName>
    <definedName name="BExVW3YV5XGIVJ97UUPDJGJ2P15B" hidden="1">#REF!</definedName>
    <definedName name="BExVW5RM7VZK0HSMB5HH2MI8SVUC" hidden="1">#REF!</definedName>
    <definedName name="BExVW5X571GEYR5SCU1Z2DHKWM79" hidden="1">#REF!</definedName>
    <definedName name="BExVW6IPCM1FCSU7IRKS41YY6PJ3" hidden="1">#REF!</definedName>
    <definedName name="BExVW6YTKA098AF57M4PHNQ54XMH" hidden="1">#REF!</definedName>
    <definedName name="BExVW8RIW595TOJEPYLAKURQBWQ4" hidden="1">#REF!</definedName>
    <definedName name="BExVWCIHQ4UNRS2WUU2LFDETY1FV" hidden="1">#REF!</definedName>
    <definedName name="BExVWDUXJ45RFP02MO60MLR4BRN2" hidden="1">#REF!</definedName>
    <definedName name="BExVWINKCH0V0NUWH363SMXAZE62" hidden="1">#REF!</definedName>
    <definedName name="BExVWONDORVFQ901K6VCPSVFROJN" hidden="1">#REF!</definedName>
    <definedName name="BExVWOY6Z35FARSA32BC3R6AOHE7" hidden="1">#REF!</definedName>
    <definedName name="BExVWP8Y92G5T3XYDQXY4VGQ21Z6" hidden="1">#REF!</definedName>
    <definedName name="BExVWQ00ZPK054IC804229TLWITY" hidden="1">#REF!</definedName>
    <definedName name="BExVWRCI8YR9UTI0XC9KOMRKYRKJ" hidden="1">#REF!</definedName>
    <definedName name="BExVWUN6KUYB32P1UBVW4CEPHN2M" hidden="1">#REF!</definedName>
    <definedName name="BExVWYORMCSRGR00ZYZIK6O9VQGT" hidden="1">[2]Program!#REF!</definedName>
    <definedName name="BExVWYU8EK669NP172GEIGCTVPPA" hidden="1">#REF!</definedName>
    <definedName name="BExVX3HJPV9ZPAY12RMBV261NE68" hidden="1">#REF!</definedName>
    <definedName name="BExVX3MVJ0GHWPP1EL59ZQNKMX0B" hidden="1">#REF!</definedName>
    <definedName name="BExVX3XMO34KV98MJ1DOM9RJ56OC" hidden="1">#REF!</definedName>
    <definedName name="BExVX3XN2DRJKL8EDBIG58RYQ36R" hidden="1">#REF!</definedName>
    <definedName name="BExVX66I09RLSL9QBNN2HHYVSO3M" hidden="1">#REF!</definedName>
    <definedName name="BExVX6BYAC8IROSKCT84LO9M54MJ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XM7TRI6VL9KY0M8KITZIFDKN" hidden="1">#REF!</definedName>
    <definedName name="BExVXP7PWRUPNIE2FX3HM3AND9GB" hidden="1">#REF!</definedName>
    <definedName name="BExVXQ432F09JV2V5NJZ5W29YULU" hidden="1">#REF!</definedName>
    <definedName name="BExVXRB9M7PL9BQWTJKDIPTK84EW" hidden="1">#REF!</definedName>
    <definedName name="BExVXYI6UQ3CU1O5O57IO32CJN9C" hidden="1">#REF!</definedName>
    <definedName name="BExVY0WJIQT3ZBKCWHRYBQQSLKRG" hidden="1">#REF!</definedName>
    <definedName name="BExVY11V7U1SAY4QKYE0PBSPD7LW" hidden="1">#REF!</definedName>
    <definedName name="BExVY1CMCWPQJYYGFJKQ0VEVGAK1" hidden="1">#REF!</definedName>
    <definedName name="BExVY1SV37DL5YU59HS4IG3VBCP4" hidden="1">#REF!</definedName>
    <definedName name="BExVY3QXFBH2L0AGW903E7YLTLS5" hidden="1">#REF!</definedName>
    <definedName name="BExVY3WFGJKSQA08UF9NCMST928Y" hidden="1">#REF!</definedName>
    <definedName name="BExVY4HZVPU5B73I5V98GWGRXE3R" hidden="1">#REF!</definedName>
    <definedName name="BExVY58VS34WJS86M3ZIBG06N57C" hidden="1">#REF!</definedName>
    <definedName name="BExVY7N7APOSX562C86T41J73BNN" hidden="1">#REF!</definedName>
    <definedName name="BExVY7XZS7ZEEEI66TWUYUKRGMHJ" hidden="1">#REF!</definedName>
    <definedName name="BExVY954UOEVQEIC5OFO4NEWVKAQ" hidden="1">#REF!</definedName>
    <definedName name="BExVY9QRKUOUCFYZXUEOX3VNCZAP" hidden="1">#REF!</definedName>
    <definedName name="BExVYG1BHJ464DU4S3SZTKP5FXJH" hidden="1">#REF!</definedName>
    <definedName name="BExVYHDYIV5397LC02V4FEP8VD6W" hidden="1">#REF!</definedName>
    <definedName name="BExVYNDKIJNB4CZZFC9I48UB3BN2" hidden="1">#REF!</definedName>
    <definedName name="BExVYOQ7QA38J7P2DK9TXIFXLFUT" hidden="1">#REF!</definedName>
    <definedName name="BExVYOVIZDA18YIQ0A30Q052PCAK" hidden="1">#REF!</definedName>
    <definedName name="BExVYQIXPEM6J4JVP78BRHIC05PV" hidden="1">#REF!</definedName>
    <definedName name="BExVYQTRCIREPJQZFDMPC8TWHZAX" hidden="1">#REF!</definedName>
    <definedName name="BExVYQZ7HOKK6NFLCPDEKIMPNYRC" hidden="1">#REF!</definedName>
    <definedName name="BExVYVBLAXF7KNV53LD5FWV9113C" hidden="1">#REF!</definedName>
    <definedName name="BExVYVGWN7SONLVDH9WJ2F1JS264" hidden="1">#REF!</definedName>
    <definedName name="BExVYWYUIPB02Y5GQL7EZVNJJ5D5" hidden="1">#REF!</definedName>
    <definedName name="BExVZ4B9N3QODQ55AVMSKQLM5QMD" hidden="1">#REF!</definedName>
    <definedName name="BExVZ9EO732IK6MNMG17Y1EFTJQC" hidden="1">#REF!</definedName>
    <definedName name="BExVZAR529AIGECX5VNAPNYOWX6S" hidden="1">#REF!</definedName>
    <definedName name="BExVZB1Y5J4UL2LKK0363EU7GIJ1" hidden="1">#REF!</definedName>
    <definedName name="BExVZB7GOGS7XFI2COG0M87HM8D5" hidden="1">Tech '[4]2'!$B$7:$F$10</definedName>
    <definedName name="BExVZDR2V20ZLOVPCFRZKQXV9GX4" hidden="1">#REF!</definedName>
    <definedName name="BExVZDR33SYS5FEJ15LDYUP592Z6" hidden="1">#REF!</definedName>
    <definedName name="BExVZESW4KWQ72XZ6AAT3JSAGMMO" hidden="1">#REF!</definedName>
    <definedName name="BExVZJQVO5LQ0BJH5JEN5NOBIAF6" hidden="1">#REF!</definedName>
    <definedName name="BExVZK1NPNSJZBAWMARKW0LIPLT4" hidden="1">Tech '[7]1'!$B$7:$L$240</definedName>
    <definedName name="BExVZN71YXE19LYS4N1Q21DZIEBW" hidden="1">#REF!</definedName>
    <definedName name="BExVZNN4ZHRN21FZCF66SWC3LO1Y" hidden="1">#REF!</definedName>
    <definedName name="BExVZNXWS91RD7NXV5NE2R3C8WW7" hidden="1">#REF!</definedName>
    <definedName name="BExVZOJIHQ4Q81AC2AWJLNJQCCII" hidden="1">#REF!</definedName>
    <definedName name="BExVZSAG2OYPJ9OP95QJDCGWJ54O" hidden="1">#REF!</definedName>
    <definedName name="BExVZZ15CUW1R9J79QC03EJXPWZ4" hidden="1">#REF!</definedName>
    <definedName name="BExW01FGP30BZ54ZWDNWVT0RZRHN" hidden="1">#REF!</definedName>
    <definedName name="BExW02HBPJUC0RH7C3WDU3OT3SJ8" hidden="1">#REF!</definedName>
    <definedName name="BExW032QYESHT0W46O19S4ZDA1OM" hidden="1">#REF!</definedName>
    <definedName name="BExW032WHYCVXYNXS3S8SJHH5XXG" hidden="1">#REF!</definedName>
    <definedName name="BExW0386REQRCQCVT9BCX80UPTRY" hidden="1">[2]Table!#REF!</definedName>
    <definedName name="BExW08X7MUCAUZUT84HH2K0HG8JM" hidden="1">#REF!</definedName>
    <definedName name="BExW0DPSY05QPDM3LQY0PGXIH9IK" hidden="1">#REF!</definedName>
    <definedName name="BExW0FYP4WXY71CYUG40SUBG9UWU" hidden="1">#REF!</definedName>
    <definedName name="BExW0HBAR94L0RTT4FLGEJ88FO94" hidden="1">#REF!</definedName>
    <definedName name="BExW0HBC1RMZ2GDGOGDTNAOOFO74" hidden="1">#REF!</definedName>
    <definedName name="BExW0JEU3GS8ZELAODPLK3M8YOFB" hidden="1">#REF!</definedName>
    <definedName name="BExW0KWSHQ8VBNLRUNWO8SKTFQCL" hidden="1">Tech '[7]1'!$B$7:$L$223</definedName>
    <definedName name="BExW0PJY0QT1YYHEOQPDHHNJJOC5" hidden="1">#REF!</definedName>
    <definedName name="BExW0RI61B4VV0ARXTFVBAWRA1C5" hidden="1">#REF!</definedName>
    <definedName name="BExW0ZFZK22WVH1ET2MVEUVKIIWF" hidden="1">#REF!</definedName>
    <definedName name="BExW17JAR89WFRZ0YS3GBZQ8ISEA" hidden="1">#REF!</definedName>
    <definedName name="BExW18L4UEV9ZAOPK3LRQZ8XG2D3" hidden="1">#REF!</definedName>
    <definedName name="BExW1BVUYQTKMOR56MW7RVRX4L1L" hidden="1">#REF!</definedName>
    <definedName name="BExW1C6H5ECQ03W6XEEIF2ZYIPP8" hidden="1">#REF!</definedName>
    <definedName name="BExW1F1220628FOMTW5UAATHRJHK" hidden="1">#REF!</definedName>
    <definedName name="BExW1FBV7MH9TMPHO3UF45UZVJLV" hidden="1">#REF!</definedName>
    <definedName name="BExW1FMMJIYJJH2401XQLP4T3CQ2" hidden="1">#REF!</definedName>
    <definedName name="BExW1HQ6G0BCB5D4ZY6HCDF9Z02F" hidden="1">#REF!</definedName>
    <definedName name="BExW1JZ19UEHB2PD8G3CVOHKH924" hidden="1">#REF!</definedName>
    <definedName name="BExW1P7XWYYUPQ6KEUEKB2PSHK5Z" hidden="1">#REF!</definedName>
    <definedName name="BExW1PO0ITBO8D56P5VR8YFKOUKD" hidden="1">#REF!</definedName>
    <definedName name="BExW1T45GXSLEGBXR2XTYT0C4EZQ" hidden="1">#REF!</definedName>
    <definedName name="BExW1T46JCGAGU4G70TNE7CB3GDS" hidden="1">#REF!</definedName>
    <definedName name="BExW1TKA0Z9OP2DTG50GZR5EG8C7" hidden="1">[2]Table!#REF!</definedName>
    <definedName name="BExW1U0JLKQ094DW5MMOI8UHO09V" hidden="1">#REF!</definedName>
    <definedName name="BExW1VNSO0KC90EUDB0WJ14V1L7V" hidden="1">#REF!</definedName>
    <definedName name="BExW22PGTQTO5C5TK1RQUWPR4X8X" hidden="1">#REF!</definedName>
    <definedName name="BExW25EJJSHDMCGJ5SRANC0UX78N" hidden="1">#REF!</definedName>
    <definedName name="BExW27CKTHXIQCUL3RSLAFEQV8VT" hidden="1">#REF!</definedName>
    <definedName name="BExW283NP9D366XFPXLGSCI5UB0L" hidden="1">#REF!</definedName>
    <definedName name="BExW28JR6960BCCXL7XIH3Z96AM5" hidden="1">#REF!</definedName>
    <definedName name="BExW29WF535OHEG91SW5OF7MQBU2" hidden="1">#REF!</definedName>
    <definedName name="BExW2EUCIZUOP5XKZGOYBWM336X7" hidden="1">#REF!</definedName>
    <definedName name="BExW2H3C8WJSBW5FGTFKVDVJC4CL" hidden="1">#REF!</definedName>
    <definedName name="BExW2IW4A2H65ZKVZL6P9MXBTXY4" hidden="1">#REF!</definedName>
    <definedName name="BExW2MSCKPGF5K3I7TL4KF5ISUOL" hidden="1">#REF!</definedName>
    <definedName name="BExW2SMO90FU9W8DVVES6Q4E6BZR" hidden="1">#REF!</definedName>
    <definedName name="BExW2SXFOJHCNTX30SAMKQ9K2UUC" hidden="1">#REF!</definedName>
    <definedName name="BExW2UFDOPYDHJ5TB0MMC4DI1JVM" hidden="1">#REF!</definedName>
    <definedName name="BExW2YH5LCBOI3P8A7WS8T83O4OF" hidden="1">#REF!</definedName>
    <definedName name="BExW2Z82KJLOSZKMLGEBS3BAZSH4" hidden="1">#REF!</definedName>
    <definedName name="BExW30PYUUJ4I5ZQ9V0ZQ4VMETQE" hidden="1">#REF!</definedName>
    <definedName name="BExW31BJBIJHTAETAFC7SWPUS9GA" hidden="1">#REF!</definedName>
    <definedName name="BExW34BH2THPVLEW4H0BLPRA529O" hidden="1">#REF!</definedName>
    <definedName name="BExW35YV9V70DFOPLUGI2W7IYOU2" hidden="1">#REF!</definedName>
    <definedName name="BExW36V9N91OHCUMGWJQL3I5P4JK" hidden="1">#REF!</definedName>
    <definedName name="BExW3AGKRK9UJL7DHN73BPEG0XC6" hidden="1">#REF!</definedName>
    <definedName name="BExW3EIBA1J9Q9NA9VCGZGRS8WV7" hidden="1">#REF!</definedName>
    <definedName name="BExW3FEO8FI8N6AGQKYEG4SQVJWB" hidden="1">[2]Table!#REF!</definedName>
    <definedName name="BExW3GB28STOMJUSZEIA7YKYNS4Y" hidden="1">#REF!</definedName>
    <definedName name="BExW3T1K638HT5E0Y8MMK108P5JT" hidden="1">#REF!</definedName>
    <definedName name="BExW3UE5ECFWHK58JQ60O2Y3ZET8" hidden="1">#REF!</definedName>
    <definedName name="BExW4217ZHL9VO39POSTJOD090WU" hidden="1">#REF!</definedName>
    <definedName name="BExW4332AS2X27JVHNMR20XKJD2I" hidden="1">#REF!</definedName>
    <definedName name="BExW44QCEK4OJ6L9RPX6CLGVI6FB" hidden="1">#REF!</definedName>
    <definedName name="BExW47VJ7D3R0HCKASAXCJBOAS4W" hidden="1">Tech '[7]1'!$B$7:$L$223</definedName>
    <definedName name="BExW4GPW71EBF8XPS2QGVQHBCDX3" hidden="1">#REF!</definedName>
    <definedName name="BExW4HBIFI3S5L2KEGBV9WF1G685" hidden="1">#REF!</definedName>
    <definedName name="BExW4IYWZZSFL4IZVISVXUZW0GQQ" hidden="1">#REF!</definedName>
    <definedName name="BExW4JKC5837JBPCOJV337ZVYYY3" hidden="1">#REF!</definedName>
    <definedName name="BExW4L7R1NVUKEQSVWZPXWCI6NVN" hidden="1">#REF!</definedName>
    <definedName name="BExW4M44LTEAEQUCYMEJL0X8X4GG" hidden="1">#REF!</definedName>
    <definedName name="BExW4MUZYK1BHWBYFAFIN4Q2QTA2" hidden="1">#REF!</definedName>
    <definedName name="BExW4NWV0IOQ8UOEWMXE6YQLZU6A" hidden="1">#REF!</definedName>
    <definedName name="BExW4QR9FV9MP5K610THBSM51RYO" hidden="1">#REF!</definedName>
    <definedName name="BExW4S980QVHHT7SZ0CMVH1Z25PN" hidden="1">#REF!</definedName>
    <definedName name="BExW4W5HHUEZ3O9DYN9KJZWC1FEL" hidden="1">#REF!</definedName>
    <definedName name="BExW4Z029R9E19ZENN3WEA3VDAD1" hidden="1">#REF!</definedName>
    <definedName name="BExW56CD5ZF5HD9XGDWSCK841K9V" hidden="1">Table '[4]2'!$B$5:$G$9</definedName>
    <definedName name="BExW57UAG4RQNTTE2CPNK9J9SY0P" hidden="1">Tech '[4]2'!$B$6:$S$142</definedName>
    <definedName name="BExW5AZNT6IAZGNF2C879ODHY1B8" hidden="1">#REF!</definedName>
    <definedName name="BExW5BFRGD2UWWVH7SPO136K7851" hidden="1">Tech '[4]2'!$B$7:$D$8</definedName>
    <definedName name="BExW5DDZNBULW61PICOKQI6Y1M9D" hidden="1">#REF!</definedName>
    <definedName name="BExW5EFO6R6U4UQLT4G2G4W9SX94" hidden="1">#REF!</definedName>
    <definedName name="BExW5Q9S68GA259GCZLQ9FU4Z89F" hidden="1">#REF!</definedName>
    <definedName name="BExW5SD9UHOFJNP750W9RF5Z5R8V" hidden="1">#REF!</definedName>
    <definedName name="BExW5TVEEWX7BT1LOPAB6O71FALO" hidden="1">#REF!</definedName>
    <definedName name="BExW5UMBYTB5JT3NSDQ00O2S9ACO" hidden="1">#REF!</definedName>
    <definedName name="BExW5WPU27WD4NWZOT0ZEJIDLX5J" hidden="1">#REF!</definedName>
    <definedName name="BExW5X64UZDAB8GEIIQBWQV66NV9" hidden="1">#REF!</definedName>
    <definedName name="BExW61CZRUMJ9QV53N566KC3DLBW" hidden="1">#REF!</definedName>
    <definedName name="BExW61NYOHBXEBCZ80ZJTB38E7BS" hidden="1">#REF!</definedName>
    <definedName name="BExW63M05NMBX83PVNKB40OBQA3L" hidden="1">#REF!</definedName>
    <definedName name="BExW64T5GUYKW4V1314DJGUR4ABG" hidden="1">#REF!</definedName>
    <definedName name="BExW660AV1TUV2XNUPD65RZR3QOO" hidden="1">#REF!</definedName>
    <definedName name="BExW66LVVZK656PQY1257QMHP2AY" hidden="1">#REF!</definedName>
    <definedName name="BExW66WNV59AFG0W5EBTJHHN8719" hidden="1">#REF!</definedName>
    <definedName name="BExW6BUNUQ0UAZM82MGKUP4DH52L" hidden="1">#REF!</definedName>
    <definedName name="BExW6DI0UO5B59XWQF247JDSCTJX" hidden="1">#REF!</definedName>
    <definedName name="BExW6EJPHAP1TWT380AZLXNHR22P" hidden="1">#REF!</definedName>
    <definedName name="BExW6G1PJ38H10DVLL8WPQ736OEB" hidden="1">#REF!</definedName>
    <definedName name="BExW6JHUGSD16PTZGRY0HIF2YRY9" hidden="1">#REF!</definedName>
    <definedName name="BExW6K3G9OC3KNJOUYTEMLO8HYBN" hidden="1">#REF!</definedName>
    <definedName name="BExW6K8QSIPNT3QVYL030PWPCXZE" hidden="1">#REF!</definedName>
    <definedName name="BExW6L53W8QX07VP2CDHNKTPDMMK" hidden="1">Tech '[7]1'!$B$7:$L$223</definedName>
    <definedName name="BExW6M6YH4VWU0K8ALP2NRX48AOM" hidden="1">#REF!</definedName>
    <definedName name="BExW6MC98Q5OYHFZK95S63DCPWH9" hidden="1">#REF!</definedName>
    <definedName name="BExW6O4Z35OB85OHCLPGYY88A57Q" hidden="1">Tech '[4]2'!$B$6</definedName>
    <definedName name="BExW6QE0VJ5RRAQZB4SWWF8JTHCL" hidden="1">#REF!</definedName>
    <definedName name="BExW6T33ZG4V0WTZI0J8CMJ1YVI6" hidden="1">#REF!</definedName>
    <definedName name="BExW6WJ2VW51JNF32JZF98WJDRR3" hidden="1">#REF!</definedName>
    <definedName name="BExW6XQ9TK5Z90GTIEKRTE9A9KXX" hidden="1">#REF!</definedName>
    <definedName name="BExW6YH67FB197MRDY0CA7ZMP0HJ" hidden="1">#REF!</definedName>
    <definedName name="BExW72IW9H3NMAKCJIRLDTEM77OP" hidden="1">#REF!</definedName>
    <definedName name="BExW72TNXR1Y90CA61UMD17JPN7E" hidden="1">#REF!</definedName>
    <definedName name="BExW74MG1WIOS7FRGX4CXWYNPZV1" hidden="1">#REF!</definedName>
    <definedName name="BExW782LBJUIVCV6ACRLJBIKVJFQ" hidden="1">#REF!</definedName>
    <definedName name="BExW794A74Z5F2K8LVQLD6VSKXUE" hidden="1">#REF!</definedName>
    <definedName name="BExW7A0NAV0AYY1OUMRGSGJML2A1" hidden="1">#REF!</definedName>
    <definedName name="BExW7BO2C7HU232VU3WL0D0338FY" hidden="1">#REF!</definedName>
    <definedName name="BExW7H24LOFWM0YLZ2A7J3DKJVX4" hidden="1">#REF!</definedName>
    <definedName name="BExW7J5NEOSC54B3BKU6ZCJ3KABD" hidden="1">#REF!</definedName>
    <definedName name="BExW7M5PJ2QKEO3CZTTRS2KLUP7P" hidden="1">#REF!</definedName>
    <definedName name="BExW7MGDEJF3WBGE6RTR892IRV6X" hidden="1">#REF!</definedName>
    <definedName name="BExW7NSY9CQA1O23DAZ9TYTC0PAO" hidden="1">#REF!</definedName>
    <definedName name="BExW7Q79RJWXCSWJIY4GLGGQXX5G" hidden="1">#REF!</definedName>
    <definedName name="BExW7Q7AXDGEK5YOIAITHD9XK95N" hidden="1">#REF!</definedName>
    <definedName name="BExW7W1M5OC4G9FIT5T4N5LWU05H" hidden="1">#REF!</definedName>
    <definedName name="BExW8151C26ZZJ011NNUYJ8EWUM7" hidden="1">#REF!</definedName>
    <definedName name="BExW81W3RTJJT08YVUPH7UNIPQHL" hidden="1">#REF!</definedName>
    <definedName name="BExW82MYPU5IQWYD3C6DGA04KVL3" hidden="1">#REF!</definedName>
    <definedName name="BExW851BT09BJ57X6921BT1EZ3Z1" hidden="1">Table '[4]2'!$B$6:$F$9</definedName>
    <definedName name="BExW898CYDR6I5U4EX88WCUHFXFN" hidden="1">#REF!</definedName>
    <definedName name="BExW89DT2OUQ24LOFUS7BMP44P4B" hidden="1">#REF!</definedName>
    <definedName name="BExW8CJ1T9LU6027HDCNVTQ2DDNO" hidden="1">#REF!</definedName>
    <definedName name="BExW8G4JP2QNER9E8WYJHJWC7R2W" hidden="1">#REF!</definedName>
    <definedName name="BExW8K0SSIPSKBVP06IJ71600HJZ" hidden="1">#REF!</definedName>
    <definedName name="BExW8N64D4P7PY1BX2RFUR7YJL7U" hidden="1">#REF!</definedName>
    <definedName name="BExW8SEX36EB7W3EKRLELKJZA9ZK" hidden="1">#REF!</definedName>
    <definedName name="BExW8T0GVY3ZYO4ACSBLHS8SH895" hidden="1">#REF!</definedName>
    <definedName name="BExW8UT76626H2TXXITXKX0RDZNX" hidden="1">#REF!</definedName>
    <definedName name="BExW8VESGX52FC04RJIDNZTBSW18" hidden="1">#REF!</definedName>
    <definedName name="BExW8YEP73JMMU9HZ08PM4WHJQZ4" hidden="1">#REF!</definedName>
    <definedName name="BExW8Z08G8KI6SIHIESAIQAOLLO2" hidden="1">#REF!</definedName>
    <definedName name="BExW90I7MGA7XTH1W6870ZJ5G5C6" hidden="1">#REF!</definedName>
    <definedName name="BExW90T0L8T0PW8QUALMJNMWDH9Z" hidden="1">[3]Table!#REF!</definedName>
    <definedName name="BExW92AXUR3IHEK29ZHB7K6FRPI2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9HV6W1IF9W3F6G3I15OZBE5" hidden="1">Tech '[4]2'!$B$6:$S$172</definedName>
    <definedName name="BExW9AP18C6M7BLPDRX4RGKQ9YHJ" hidden="1">#REF!</definedName>
    <definedName name="BExW9G39X58B5FGJEE8EY65TJ80A" hidden="1">#REF!</definedName>
    <definedName name="BExW9JZK2CSFMKED1TX7YD9FRDO3" hidden="1">#REF!</definedName>
    <definedName name="BExW9P2Z7O8S5J07BWIG7LNNNIHP" hidden="1">#REF!</definedName>
    <definedName name="BExW9POK1KIOI0ALS5MZIKTDIYMA" hidden="1">#REF!</definedName>
    <definedName name="BExW9S2TLS7NKP8J78CY1UR6CDAB" hidden="1">[3]Table!#REF!</definedName>
    <definedName name="BExXLA3I285X28D5GZ2784C6POUZ" hidden="1">#REF!</definedName>
    <definedName name="BExXLDE6PN4ESWT3LXJNQCY94NE4" hidden="1">#REF!</definedName>
    <definedName name="BExXLDOYNIS8GLKISUIBXIOW06CA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42GVJV5ZXBIU7LQI533ZNDO" hidden="1">#REF!</definedName>
    <definedName name="BExXM4YSA1DJTAKTI8ED5N0LMMKW" hidden="1">#REF!</definedName>
    <definedName name="BExXM5V63D6LRTDFZ4XD9ZRRK2DD" hidden="1">#REF!</definedName>
    <definedName name="BExXMA28M8SH7MKIGETSDA72WUIZ" hidden="1">#REF!</definedName>
    <definedName name="BExXMF5NXQZRX07PJG00SWC7RYWY" hidden="1">#REF!</definedName>
    <definedName name="BExXMGNN2OM5IQHCH23CCP4HWKIB" hidden="1">#REF!</definedName>
    <definedName name="BExXML5GW6KLX7B2UE9PWAK2WQIQ" hidden="1">#REF!</definedName>
    <definedName name="BExXMOANEBHVXRY4BLTBBITFS96I" hidden="1">#REF!</definedName>
    <definedName name="BExXMOLHIAHDLFSA31PUB36SC3I9" hidden="1">#REF!</definedName>
    <definedName name="BExXMQE7BNLPYWUEA5ZZ9NQBKPCG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18TA8UJBOISU79IZRC22AT" hidden="1">#REF!</definedName>
    <definedName name="BExXN6QAP8UJQVN4R4BQKPP4QK35" hidden="1">#REF!</definedName>
    <definedName name="BExXN7MO6MILSWQ6FGU4CF92NXN2" hidden="1">#REF!</definedName>
    <definedName name="BExXNARVTAUICDXAKEOW15YGOPV9" hidden="1">#REF!</definedName>
    <definedName name="BExXNBOA39T2X6Y5Y5GZ5DDNA1AX" hidden="1">#REF!</definedName>
    <definedName name="BExXND6872VJ3M2PGT056WQMWBHD" hidden="1">#REF!</definedName>
    <definedName name="BExXNGGXJGLTJ31QZ2T179MUAUTI" hidden="1">#REF!</definedName>
    <definedName name="BExXNPM24UN2PGVL9D1TUBFRIKR4" hidden="1">#REF!</definedName>
    <definedName name="BExXNRUWHTVKJZUNKVBFHLNVSDV2" hidden="1">#REF!</definedName>
    <definedName name="BExXNSLYWITH4246M4YVOUIV04ZJ" hidden="1">#REF!</definedName>
    <definedName name="BExXNUK0G9ABKSB493NZM8EDW3XE" hidden="1">#REF!</definedName>
    <definedName name="BExXNW1ZDQ2WBOA5DC2I4CFPQKU5" hidden="1">#REF!</definedName>
    <definedName name="BExXNWYB165VO9MHARCL5WLCHWS0" hidden="1">#REF!</definedName>
    <definedName name="BExXNY05QYYK45PT0V32XO1DRATM" hidden="1">#REF!</definedName>
    <definedName name="BExXO1G5TG80TSHNS86X0DXO6YHY" hidden="1">#REF!</definedName>
    <definedName name="BExXO278QHQN8JDK5425EJ615ECC" hidden="1">#REF!</definedName>
    <definedName name="BExXO573UUI6XPEOXPT0JP62G9X4" hidden="1">#REF!</definedName>
    <definedName name="BExXO6E9ABFOYA2LVN6RLW4BO9G6" hidden="1">#REF!</definedName>
    <definedName name="BExXO6ZP85325PSLSXWM38N73O6V" hidden="1">#REF!</definedName>
    <definedName name="BExXO7FZN8XYVYVJ79YFI98CWOI8" hidden="1">#REF!</definedName>
    <definedName name="BExXO98P48JGVOG3K96L8F1SP0UF" hidden="1">#REF!</definedName>
    <definedName name="BExXO9E1QEEIBCD4182TJK8W2GIF" hidden="1">#REF!</definedName>
    <definedName name="BExXO9U924MI25W7LIJ5FXJ1LM87" hidden="1">#REF!</definedName>
    <definedName name="BExXOBHOP0WGFHI2Y9AO4L440UVQ" hidden="1">#REF!</definedName>
    <definedName name="BExXOFJBOI78A8KA6NYKKP3E2ENX" hidden="1">#REF!</definedName>
    <definedName name="BExXOFOQSR4V1IMAPAT5CNJ0D71S" hidden="1">#REF!</definedName>
    <definedName name="BExXOHSAD2NSHOLLMZ2JWA4I3I1R" hidden="1">#REF!</definedName>
    <definedName name="BExXOJQBVBDGLVEYZAE7AL8F0VWX" hidden="1">#REF!</definedName>
    <definedName name="BExXOM4NPW2E8XTD75ZNSUJXA42C" hidden="1">#REF!</definedName>
    <definedName name="BExXOMQ9421Y32TZ81U6YGIP35QU" hidden="1">#REF!</definedName>
    <definedName name="BExXOS4F9BTI5CL43M8217TXXOQY" hidden="1">#REF!</definedName>
    <definedName name="BExXOVVF2QHIUD4JQRLYBS8UZU11" hidden="1">#REF!</definedName>
    <definedName name="BExXOYKCL6RT0OTT4DB71BIUGDX2" hidden="1">#REF!</definedName>
    <definedName name="BExXOZRJ1ZYD55S41AZ0OQEYZ5IB" hidden="1">#REF!</definedName>
    <definedName name="BExXP5GIDQQ621WJF8ELU2J73XR3" hidden="1">#REF!</definedName>
    <definedName name="BExXP6NNQNI08GP9HH3DZTNXFDSU" hidden="1">#REF!</definedName>
    <definedName name="BExXP80B5FGA00JCM7UXKPI3PB7Y" hidden="1">#REF!</definedName>
    <definedName name="BExXP85M4WXYVN1UVHUTOEKEG5XS" hidden="1">#REF!</definedName>
    <definedName name="BExXP97GBXSXZ4NXAXXGP39YBTMB" hidden="1">#REF!</definedName>
    <definedName name="BExXP9YCEPJRRSEM39GVJ14EP15F" hidden="1">#REF!</definedName>
    <definedName name="BExXPC76Z5MCI2QPIHJ3LQ2B6X9K" hidden="1">#REF!</definedName>
    <definedName name="BExXPDUMN4B85QFXGPSJPII52QR3" hidden="1">#REF!</definedName>
    <definedName name="BExXPELOTHOAG0OWILLAH94OZV5J" hidden="1">#REF!</definedName>
    <definedName name="BExXPG3MJUTA1J7UW6DLZ7K98WPH" hidden="1">#REF!</definedName>
    <definedName name="BExXPIY1MOE0A0V0IQ7XO9MI722G" hidden="1">#REF!</definedName>
    <definedName name="BExXPO1GIE7759RFLSMQOO6T1ZRS" hidden="1">#REF!</definedName>
    <definedName name="BExXPQVVSW9CJHWV3AGT4ARBTQ4Y" hidden="1">#REF!</definedName>
    <definedName name="BExXPS31ITM7EIVD5UMDH0GV5MLG" hidden="1">#REF!</definedName>
    <definedName name="BExXPS31W1VD2NMIE4E37LHVDF0L" hidden="1">#REF!</definedName>
    <definedName name="BExXPUC2G9AYER2I4CVSDX7QCFNA" hidden="1">Tech '[7]1'!$B$7:$L$327</definedName>
    <definedName name="BExXPUMU4BLFWI2L0MHMM5F3OUPL" hidden="1">#REF!</definedName>
    <definedName name="BExXPZKYEMVF5JOC14HYOOYQK6JK" hidden="1">#REF!</definedName>
    <definedName name="BExXQ06J7OF0O2FO4WR0QK93RJ17" hidden="1">#REF!</definedName>
    <definedName name="BExXQ12QN5VI6DRGUIGLNHOC5ZW6" hidden="1">#REF!</definedName>
    <definedName name="BExXQ1TRTORU0Q0MSEIHDVCSDD8I" hidden="1">#REF!</definedName>
    <definedName name="BExXQ30YHR538A9GT0RVJBHAZNKD" hidden="1">#REF!</definedName>
    <definedName name="BExXQ4TOS6R4PAC83IAG8U0194KV" hidden="1">#REF!</definedName>
    <definedName name="BExXQ7O4U7RH7FSROLNQBVRXK1B2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FM493GA5LLVIXOTLWEJ6SIF" hidden="1">#REF!</definedName>
    <definedName name="BExXQGYK2I3OPCD3BA4VLG967BKS" hidden="1">#REF!</definedName>
    <definedName name="BExXQH41O5HZAH8BO6HCFY8YC3TU" hidden="1">#REF!</definedName>
    <definedName name="BExXQHPNAFE4M6C2HYRCQNIU9D31" hidden="1">#REF!</definedName>
    <definedName name="BExXQIRBLQSLAJTFL7224FCFUTKH" hidden="1">#REF!</definedName>
    <definedName name="BExXQJIEF5R3QQ6D8HO3NGPU0IQC" hidden="1">#REF!</definedName>
    <definedName name="BExXQMYEOGRO69K9BLZF14USRMVP" hidden="1">#REF!</definedName>
    <definedName name="BExXQS1SGPIQX0ESRMCECOYMUQQJ" hidden="1">#REF!</definedName>
    <definedName name="BExXQU00K9ER4I1WM7T9J0W1E7ZC" hidden="1">#REF!</definedName>
    <definedName name="BExXQU00KOR7XLM8B13DGJ1MIQDY" hidden="1">#REF!</definedName>
    <definedName name="BExXQV1PC7ZT056NWFL4FQ7Y5A56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4S9HCPQ2Q5V5WAHEV28MTW9" hidden="1">#REF!</definedName>
    <definedName name="BExXR5DUYI7MB0BVS5U56BLPORYS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E88KDCEXLMUQ3RN2LT2BQEI" hidden="1">#REF!</definedName>
    <definedName name="BExXREJ0D4MK5KSEMPZC70RWW2HV" hidden="1">#REF!</definedName>
    <definedName name="BExXRH85G3GPSXKNGB67OPZCWYUZ" hidden="1">#REF!</definedName>
    <definedName name="BExXRHIY77F53DUYX7CMZPXGRDAG" hidden="1">#REF!</definedName>
    <definedName name="BExXRIFB4QQ87QIGA9AG0NXP577K" hidden="1">#REF!</definedName>
    <definedName name="BExXRIQ2JF2CVTRDQX2D9SPH7FTN" hidden="1">#REF!</definedName>
    <definedName name="BExXRJRR8LRRK3C2N10YYTW3OB0J" hidden="1">#REF!</definedName>
    <definedName name="BExXRMMBI610UAJEIA09IDB7R0WX" hidden="1">#REF!</definedName>
    <definedName name="BExXRO4A6VUH1F4XV8N1BRJ4896W" hidden="1">#REF!</definedName>
    <definedName name="BExXRO9N1SNJZGKD90P4K7FU1J0P" hidden="1">#REF!</definedName>
    <definedName name="BExXRP0NGSN9ZGV1OCUGH8XGE41X" hidden="1">#REF!</definedName>
    <definedName name="BExXRQ2CCT6MAY82X471UT07PONN" hidden="1">#REF!</definedName>
    <definedName name="BExXRS5VCNBTUWP35NP15Q7IY5VR" hidden="1">#REF!</definedName>
    <definedName name="BExXRV5QP3Z0KAQ1EQT9JYT2FV0L" hidden="1">#REF!</definedName>
    <definedName name="BExXRWT7JYLGMWUNYH9BDLUY5E1G" hidden="1">#REF!</definedName>
    <definedName name="BExXRZ20LZZCW8LVGDK0XETOTSAI" hidden="1">#REF!</definedName>
    <definedName name="BExXRZNM651EJ5HJPGKGTVYLAZQ1" hidden="1">#REF!</definedName>
    <definedName name="BExXS3EK8TELE85LTIGJ5XQD88AH" hidden="1">#REF!</definedName>
    <definedName name="BExXS63O4OMWMNXXAODZQFSDG33N" hidden="1">#REF!</definedName>
    <definedName name="BExXSAWAUEWUFFFJJF6HAEGOR30M" hidden="1">#REF!</definedName>
    <definedName name="BExXSBSP1TOY051HSPEPM0AEIO2M" hidden="1">#REF!</definedName>
    <definedName name="BExXSBY0S70HRJ1R0POASBK3RJTG" hidden="1">#REF!</definedName>
    <definedName name="BExXSC8RFK5D68FJD2HI4K66SA6I" hidden="1">#REF!</definedName>
    <definedName name="BExXSDALRX08Q9VEDWDDD5B9XC0F" hidden="1">#REF!</definedName>
    <definedName name="BExXSIJCMJEFS4U80Y3MFHMQJB2G" hidden="1">#REF!</definedName>
    <definedName name="BExXSL364OLNMDZRT1MLOQV3ND18" hidden="1">#REF!</definedName>
    <definedName name="BExXSNHC88W4UMXEOIOOATJAIKZO" hidden="1">#REF!</definedName>
    <definedName name="BExXSRJ1N1ESP3C79BICGQZEJVJQ" hidden="1">#REF!</definedName>
    <definedName name="BExXSTBS08WIA9TLALV3UQ2Z3MRG" hidden="1">#REF!</definedName>
    <definedName name="BExXSVQ2WOJJ73YEO8Q2FK60V4G8" hidden="1">#REF!</definedName>
    <definedName name="BExXSVVF6GX7PW9KP8C33SN2LS8O" hidden="1">#REF!</definedName>
    <definedName name="BExXT50L00ZU61SWMFTFV3TYL7RX" hidden="1">#REF!</definedName>
    <definedName name="BExXT5RI6WTNWQFBF2K9MTFQF2FW" hidden="1">#REF!</definedName>
    <definedName name="BExXTBR9SWR6ZM9A1NPXMDCSY9KB" hidden="1">#REF!</definedName>
    <definedName name="BExXTD97QBD4NS7RN7A4I0CW9E6C" hidden="1">#REF!</definedName>
    <definedName name="BExXTG93CLDLPHOFPJP7P3YVH9BG" hidden="1">#REF!</definedName>
    <definedName name="BExXTHLRNL82GN7KZY3TOLO508N7" hidden="1">#REF!</definedName>
    <definedName name="BExXTINEGPKZ75DCUCEF3QOV6OES" hidden="1">#REF!</definedName>
    <definedName name="BExXTKAV4Y4JQ7D62LKGD89F9WMF" hidden="1">#REF!</definedName>
    <definedName name="BExXTL72MKEQSQH9L2OTFLU8DM2B" hidden="1">#REF!</definedName>
    <definedName name="BExXTM3M4RTCRSX7VGAXGQNPP668" hidden="1">#REF!</definedName>
    <definedName name="BExXTNG24SKYK6P4306KZ3XFG510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TZVWN1QYN7WKYOYDIXL9K4GI" hidden="1">#REF!</definedName>
    <definedName name="BExXU3HE74FBPFCTMFSVIC94RCKK" hidden="1">#REF!</definedName>
    <definedName name="BExXU4J2BM2964GD5UZHM752Q4NS" hidden="1">#REF!</definedName>
    <definedName name="BExXU6ML8GNG0YZJ3OJ0D5Y09CNB" hidden="1">#REF!</definedName>
    <definedName name="BExXU6XDTT7RM93KILIDEYPA9XKF" hidden="1">#REF!</definedName>
    <definedName name="BExXU8FBQKTA0YEMEDMDPFFKVS7O" hidden="1">#REF!</definedName>
    <definedName name="BExXU8VLZA7WLPZ3RAQZGNERUD26" hidden="1">#REF!</definedName>
    <definedName name="BExXU90X1R962SROJUFG7RLOUXGZ" hidden="1">#REF!</definedName>
    <definedName name="BExXUA83JUI9SHYY53HP7UW0I33J" hidden="1">#REF!</definedName>
    <definedName name="BExXUB9RSLSCNN5ETLXY72DAPZZM" hidden="1">#REF!</definedName>
    <definedName name="BExXUCBL1PAPMRFASIO7Z5FX3MC7" hidden="1">#REF!</definedName>
    <definedName name="BExXUE9OSLJ2NDYHBGL0X07RVAYX" hidden="1">#REF!</definedName>
    <definedName name="BExXUFRM82XQIN2T8KGLDQL1IBQW" hidden="1">#REF!</definedName>
    <definedName name="BExXUHKBQKBH4XNZJV8H3MGD0MQX" hidden="1">#REF!</definedName>
    <definedName name="BExXUJTC62RI33SCXORXY9XXGX47" hidden="1">#REF!</definedName>
    <definedName name="BExXUKEX9KOH7E3G6OB5N81I3X6W" hidden="1">#REF!</definedName>
    <definedName name="BExXUPCUSE073IDAP8JZTDOF2ZS2" hidden="1">#REF!</definedName>
    <definedName name="BExXUQEQBF6FI240ZGIF9YXZSRAU" hidden="1">#REF!</definedName>
    <definedName name="BExXUSI39KTQXS9CABKXXZZUTVT7" hidden="1">[2]Table!#REF!</definedName>
    <definedName name="BExXUYND6EJO7CJ5KRICV4O1JNWK" hidden="1">#REF!</definedName>
    <definedName name="BExXV1HWKTB46UXT08JLMPP8P4SP" hidden="1">#REF!</definedName>
    <definedName name="BExXV6FWG4H3S2QEUJZYIXILNGJ7" hidden="1">#REF!</definedName>
    <definedName name="BExXVJHB4L9YK0EX3OOKA7LOQ0BM" hidden="1">#REF!</definedName>
    <definedName name="BExXVK87BMMO6LHKV0CFDNIQVIBS" hidden="1">#REF!</definedName>
    <definedName name="BExXVKZ9WXPGL6IVY6T61IDD771I" hidden="1">#REF!</definedName>
    <definedName name="BExXVL4LBZX8F2I7DCW7FCBAEA1X" hidden="1">#REF!</definedName>
    <definedName name="BExXVR4ELIYK7CMXWKCJNAGUKDPA" hidden="1">#REF!</definedName>
    <definedName name="BExXVSMBOMTHXXQ81B93KK1WTH9H" hidden="1">#REF!</definedName>
    <definedName name="BExXVUKDYM3K4MBD90JDHH60DTW1" hidden="1">Tech '[4]2'!$B$7:$F$10</definedName>
    <definedName name="BExXVWO15K60D29RPNCE1QWG0SMV" hidden="1">#REF!</definedName>
    <definedName name="BExXVWYV2PB5SJLI7N0XNIFYE8E8" hidden="1">#REF!</definedName>
    <definedName name="BExXVYGO8IMMTAGO3V7YD37OJN9G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3EQU8F2WP8EJFN34PMCDRF3" hidden="1">#REF!</definedName>
    <definedName name="BExXWBNE4KTFSXKVSRF6WX039WPB" hidden="1">#REF!</definedName>
    <definedName name="BExXWBY6M34YP9068SXVHMCNH696" hidden="1">#REF!</definedName>
    <definedName name="BExXWCEFPM2UFC3LC37H8GSMA5GA" hidden="1">#REF!</definedName>
    <definedName name="BExXWFP5AYE7EHYTJWBZSQ8PQ0YX" hidden="1">#REF!</definedName>
    <definedName name="BExXWGAOZVU0EXAKP77WBGCOLQD0" hidden="1">#REF!</definedName>
    <definedName name="BExXWGG084A2YEDBKRFCF5J23IX4" hidden="1">[2]Program!#REF!</definedName>
    <definedName name="BExXWH72GEROAORU5Q1GUGFW2HGV" hidden="1">#REF!</definedName>
    <definedName name="BExXWIUCR0MX0AFVE3GC5SCYGRBZ" hidden="1">#REF!</definedName>
    <definedName name="BExXWMQKKDFUWCYOO4CPES0UJI19" hidden="1">#REF!</definedName>
    <definedName name="BExXWMVXHUDUSNFXVGL4E497IDLB" hidden="1">#REF!</definedName>
    <definedName name="BExXWNXS5AP2TDMCDYYYSZ19ZU7D" hidden="1">#REF!</definedName>
    <definedName name="BExXWQMTZZ8F4BHBJNL2SAQ6GS4X" hidden="1">#REF!</definedName>
    <definedName name="BExXWQMW506PKVG2YVVABMD8HKXL" hidden="1">#REF!</definedName>
    <definedName name="BExXWR2ZL59UVM36ANXKMP0NHIUM" hidden="1">#REF!</definedName>
    <definedName name="BExXWSVU4E980EJ40TI9KPX413O7" hidden="1">#REF!</definedName>
    <definedName name="BExXWVFIBQT8OY1O41FRFPFGXQHK" hidden="1">[2]Table!#REF!</definedName>
    <definedName name="BExXWWXHBZHA9J3N8K47F84X0M0L" hidden="1">#REF!</definedName>
    <definedName name="BExXX32QMU04R63EBU6ZUS6BP9RM" hidden="1">#REF!</definedName>
    <definedName name="BExXX6D8AN6UJB9VR2V0IQXX2S5Z" hidden="1">#REF!</definedName>
    <definedName name="BExXX8BH6SC8K1MJF11VPSS1ENN1" hidden="1">#REF!</definedName>
    <definedName name="BExXX97T547U9Q7UP078KPX6KEGR" hidden="1">#REF!</definedName>
    <definedName name="BExXXBM521DL8R4ZX7NZ3DBCUOR5" hidden="1">#REF!</definedName>
    <definedName name="BExXXC7OZI33XZ03NRMEP7VRLQK4" hidden="1">#REF!</definedName>
    <definedName name="BExXXH0C9PSRHI6EF2AY1E2LISXZ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8S5OXCPRWJ7BEG18EZ4LEK" hidden="1">#REF!</definedName>
    <definedName name="BExXXVUDA98IZTQ6MANKU4MTTDVR" hidden="1">#REF!</definedName>
    <definedName name="BExXXXHRGNWU0WQ5LF66JCCZP09H" hidden="1">#REF!</definedName>
    <definedName name="BExXXY3D77FDV52X1KSK8Z6HLGNS" hidden="1">[3]Table!#REF!</definedName>
    <definedName name="BExXXZQNZY6IZI45DJXJK0MQZWA7" hidden="1">#REF!</definedName>
    <definedName name="BExXY0SAZOPJMDG9GOR625UDCCS8" hidden="1">#REF!</definedName>
    <definedName name="BExXY1U5C1LKY8D6KWELCELDN670" hidden="1">Table '[4]2'!$B$6:$F$9</definedName>
    <definedName name="BExXY1U5FGH8OMJQOKEWWDUD8526" hidden="1">#REF!</definedName>
    <definedName name="BExXY2FR7PFLXNGA6J0Z6IQF8TYJ" hidden="1">#REF!</definedName>
    <definedName name="BExXY5FMTK2NJGK6JT0KTX5ITQCI" hidden="1">#REF!</definedName>
    <definedName name="BExXY5QFG6QP94SFT3935OBM8Y4K" hidden="1">#REF!</definedName>
    <definedName name="BExXY7TYEBFXRYUYIFHTN65RJ8EW" hidden="1">#REF!</definedName>
    <definedName name="BExXYAZ5VG29QCHKTNPYAI29G2AR" hidden="1">#REF!</definedName>
    <definedName name="BExXYCBSGCN77IEU3JI4IKEHDH4C" hidden="1">#REF!</definedName>
    <definedName name="BExXYD872P3MMH1HLWQLR5Q6U7N1" hidden="1">#REF!</definedName>
    <definedName name="BExXYEQ50J3MO9L8TC4GGLX9XJWP" hidden="1">#REF!</definedName>
    <definedName name="BExXYEVLHN0ZHSYPOYNUWN99IGCF" hidden="1">#REF!</definedName>
    <definedName name="BExXYFGZMT7S2DWOK82TKJPMI7GM" hidden="1">#REF!</definedName>
    <definedName name="BExXYKV8NZT1Z8FMM3PD3YVYB2OG" hidden="1">#REF!</definedName>
    <definedName name="BExXYLBHANUXC5FCTDDTGOVD3GQS" hidden="1">#REF!</definedName>
    <definedName name="BExXYMNYAYH3WA2ZCFAYKZID9ZCI" hidden="1">#REF!</definedName>
    <definedName name="BExXYMO4DA03VUVP4OBY6FWZMJSM" hidden="1">#REF!</definedName>
    <definedName name="BExXYULY0AL1HLTTP1UBYKEL2WYP" hidden="1">#REF!</definedName>
    <definedName name="BExXYVYEYVPLGZHSWT3BQZRKHH0I" hidden="1">#REF!</definedName>
    <definedName name="BExXYYT12SVN2VDMLVNV4P3ISD8T" hidden="1">#REF!</definedName>
    <definedName name="BExXZ3029O6925FFW016L29DASOG" hidden="1">#REF!</definedName>
    <definedName name="BExXZ3WEYVVV9XKKD5E86QEX5U57" hidden="1">#REF!</definedName>
    <definedName name="BExXZ4CKWN3R9HA311KINBA3R2K4" hidden="1">#REF!</definedName>
    <definedName name="BExXZ6QU5C0UMWY7U4BHVZNIPANK" hidden="1">#REF!</definedName>
    <definedName name="BExXZ9G04Y49YEZGBLAPU936SFSU" hidden="1">#REF!</definedName>
    <definedName name="BExXZEDWUYH25UZMW2QU2RXFILJE" hidden="1">#REF!</definedName>
    <definedName name="BExXZFVV4YB42AZ3H1I40YG3JAPU" hidden="1">#REF!</definedName>
    <definedName name="BExXZGSDP8DEP95FLR1HILAIPXPB" hidden="1">#REF!</definedName>
    <definedName name="BExXZH8HTP50X1VY5MU2FEPRD6CD" hidden="1">#REF!</definedName>
    <definedName name="BExXZHJ9T2JELF12CHHGD54J1B0C" hidden="1">#REF!</definedName>
    <definedName name="BExXZLFJ2HL3Z9LTKNV78QGFVVGS" hidden="1">#REF!</definedName>
    <definedName name="BExXZM14XID3OAA88OURJ7QSZW1E" hidden="1">#REF!</definedName>
    <definedName name="BExXZNJ2X1TK2LRK5ZY3MX49H5T7" hidden="1">#REF!</definedName>
    <definedName name="BExXZOVPCEP495TQSON6PSRQ8XCY" hidden="1">#REF!</definedName>
    <definedName name="BExXZSH60OTMFC5V3TUHK3DALCHK" hidden="1">#REF!</definedName>
    <definedName name="BExXZXKH7NBARQQAZM69Z57IH1MM" hidden="1">#REF!</definedName>
    <definedName name="BExY05T95YHBLI9ZYWFFT2O2B871" hidden="1">#REF!</definedName>
    <definedName name="BExY07WSDH5QEVM7BJXJK2ZRAI1O" hidden="1">#REF!</definedName>
    <definedName name="BExY0BCS2XTH2NVUIAPBWW6SZVZ8" hidden="1">#REF!</definedName>
    <definedName name="BExY0C3UBVC4M59JIRXVQ8OWAJC1" hidden="1">#REF!</definedName>
    <definedName name="BExY0KSPP1IBCPGVVD3JAQQLUX8A" hidden="1">#REF!</definedName>
    <definedName name="BExY0OE8GFHMLLTEAFIOQTOPEVPB" hidden="1">#REF!</definedName>
    <definedName name="BExY0OJHW85S0VKBA8T4HTYPYBOS" hidden="1">#REF!</definedName>
    <definedName name="BExY0PLDN5ILHHWEX5QQYG8TL9I0" hidden="1">#REF!</definedName>
    <definedName name="BExY0Q1G5KXYK703XD6RRR6DC040" hidden="1">#REF!</definedName>
    <definedName name="BExY0ROPTKL06427AZDJ7DXYRZ3Q" hidden="1">#REF!</definedName>
    <definedName name="BExY0T1E034D7XAXNC6F7540LLIE" hidden="1">#REF!</definedName>
    <definedName name="BExY0XTZLHN49J2JH94BYTKBJLT3" hidden="1">#REF!</definedName>
    <definedName name="BExY10TX78VCEFEA3YZMW4MTLNR1" hidden="1">#REF!</definedName>
    <definedName name="BExY11FH9TXHERUYGG8FE50U7H7J" hidden="1">#REF!</definedName>
    <definedName name="BExY11Q9W8WQQSWZH7E40DJYC4Q7" hidden="1">#REF!</definedName>
    <definedName name="BExY180UKNW5NIAWD6ZUYTFEH8QS" hidden="1">#REF!</definedName>
    <definedName name="BExY1DPTV4LSY9MEOUGXF8X052NA" hidden="1">#REF!</definedName>
    <definedName name="BExY1FIMLW9L499KIE7ZJ706UYLM" hidden="1">#REF!</definedName>
    <definedName name="BExY1GK9ELBEKDD7O6HR6DUO8YGO" hidden="1">#REF!</definedName>
    <definedName name="BExY1J9E5TNXCJSPZ70SI01UQOJ6" hidden="1">#REF!</definedName>
    <definedName name="BExY1MUUWGC13UJII0E6UFAOCQFT" hidden="1">#REF!</definedName>
    <definedName name="BExY1NWOXXFV9GGZ3PX444LZ8TVX" hidden="1">#REF!</definedName>
    <definedName name="BExY1ONMI973LYH6W67SZIDXWDA0" hidden="1">#REF!</definedName>
    <definedName name="BExY1QB0MQQG398P5RFXLFS3JNFH" hidden="1">#REF!</definedName>
    <definedName name="BExY1TG8QHM8VB54GLHX0TGV91SF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1YECCH8D2R2EV5QBYU25BIN3" hidden="1">#REF!</definedName>
    <definedName name="BExY20HVFXXE3Y9N7CK59ATMF1P3" hidden="1">#REF!</definedName>
    <definedName name="BExY22FX0J547TBVKUI2Q7ZI62LS" hidden="1">#REF!</definedName>
    <definedName name="BExY27OS1U41GWY942X03HZVEFHD" hidden="1">#REF!</definedName>
    <definedName name="BExY28L704OQT9QM01TDLIUUZVIV" hidden="1">#REF!</definedName>
    <definedName name="BExY2A34DOYOMYSEHZOY08KSTLVY" hidden="1">#REF!</definedName>
    <definedName name="BExY2BFLFWOEEK1P9MYQUVRWZBE8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H9WWJ5AVD6X0LXNAR1DZ471" hidden="1">#REF!</definedName>
    <definedName name="BExY2IXBR1SGYZH08T7QHKEFS8HA" hidden="1">#REF!</definedName>
    <definedName name="BExY2OMCMHEG9YPIUB2ZEUZ2I6SX" hidden="1">#REF!</definedName>
    <definedName name="BExY2OMCQR1RR5JYB3FV182ESBS9" hidden="1">#REF!</definedName>
    <definedName name="BExY2Q4B5FUDA5VU4VRUHX327QN0" hidden="1">#REF!</definedName>
    <definedName name="BExY2RRORSHVXNWECUR6JWLVPPLA" hidden="1">#REF!</definedName>
    <definedName name="BExY2TKADEN1OJWPM6275V7BBTAF" hidden="1">#REF!</definedName>
    <definedName name="BExY32ENY7CP9X1KNWUWM2P4TA3E" hidden="1">#REF!</definedName>
    <definedName name="BExY371TW5MXFNG761C79A9XJ40G" hidden="1">#REF!</definedName>
    <definedName name="BExY3A1QY2IY4NTAGBMA411E7PUI" hidden="1">#REF!</definedName>
    <definedName name="BExY3BUHF49HBMC20Z30YPLFCPS7" hidden="1">#REF!</definedName>
    <definedName name="BExY3C59PDF2BON135CH8LLYNO9W" hidden="1">#REF!</definedName>
    <definedName name="BExY3EUE18QFP5YY3T0QU8WA1PA6" hidden="1">#REF!</definedName>
    <definedName name="BExY3FAME3HIN2RXBJJ7BFZOQELW" hidden="1">#REF!</definedName>
    <definedName name="BExY3GN4HFRX6AF2MLW9G39C4X4A" hidden="1">#REF!</definedName>
    <definedName name="BExY3HOSK7YI364K15OX70AVR6F1" hidden="1">#REF!</definedName>
    <definedName name="BExY3JXT10HDV8IRQXYNHEEU49VD" hidden="1">#REF!</definedName>
    <definedName name="BExY3P18HN210BK0ARI764Z3B5R3" hidden="1">#REF!</definedName>
    <definedName name="BExY3PS9FF16S8QWSYU89GM4E8VB" hidden="1">#REF!</definedName>
    <definedName name="BExY3T89AUR83SOAZZ3OMDEJDQ39" hidden="1">#REF!</definedName>
    <definedName name="BExY3YMHKXSM8ZA6J2QVK2F5QV01" hidden="1">#REF!</definedName>
    <definedName name="BExY43V7LWHXZYMC95O9E68Z9TIZ" hidden="1">#REF!</definedName>
    <definedName name="BExY452E5HJ8IMHU1X11N6DL0H77" hidden="1">#REF!</definedName>
    <definedName name="BExY47GTVNCK1PMWT7UJBWEQ1B4B" hidden="1">#REF!</definedName>
    <definedName name="BExY49K9H6JPKHNVT3CXAF2P2709" hidden="1">#REF!</definedName>
    <definedName name="BExY4B266MUBRL7UO3LZXA46GK7I" hidden="1">#REF!</definedName>
    <definedName name="BExY4DRA1NB56I6KHB22C0U0NKPH" hidden="1">#REF!</definedName>
    <definedName name="BExY4MG771JQ84EMIVB6HQGGHZY7" hidden="1">#REF!</definedName>
    <definedName name="BExY4PQUTBYZGBCOH80JJH5VLRD6" hidden="1">#REF!</definedName>
    <definedName name="BExY4PWCSFB8P3J3TBQB2MD67263" hidden="1">#REF!</definedName>
    <definedName name="BExY4RZW3KK11JLYBA4DWZ92M6LQ" hidden="1">#REF!</definedName>
    <definedName name="BExY4S56GV7T3H56VCYQNGY49RNX" hidden="1">#REF!</definedName>
    <definedName name="BExY4SW8AV0ZS8G2TZLIRJTOBSGD" hidden="1">#REF!</definedName>
    <definedName name="BExY4U3EHUVKNLNMONDOEGTS8V88" hidden="1">#REF!</definedName>
    <definedName name="BExY4UE5N570725YR5SWQVEPB24P" hidden="1">#REF!</definedName>
    <definedName name="BExY4V53422Q4K0XLAMWB6TOA4AT" hidden="1">#REF!</definedName>
    <definedName name="BExY4XOVTTNVZ577RLIEC7NZQFIX" hidden="1">#REF!</definedName>
    <definedName name="BExY50JAF5CG01GTHAUS7I4ZLUDC" hidden="1">#REF!</definedName>
    <definedName name="BExY53DV8JZYJS8UVCZIR2OYEKAD" hidden="1">#REF!</definedName>
    <definedName name="BExY53J7EXFEOFTRNAHLK7IH3ACB" hidden="1">#REF!</definedName>
    <definedName name="BExY53ONBRMYUDZ07COXD9VCXEL0" hidden="1">#REF!</definedName>
    <definedName name="BExY54QDKFI4QUF6SNC6JQLS0SJP" hidden="1">#REF!</definedName>
    <definedName name="BExY5515SJTJS3VM80M3YYR0WF37" hidden="1">#REF!</definedName>
    <definedName name="BExY5515WE39FQ3EG5QHG67V9C0O" hidden="1">#REF!</definedName>
    <definedName name="BExY5986WNAD8NFCPXC9TVLBU4FG" hidden="1">[2]Table!#REF!</definedName>
    <definedName name="BExY5BXBLQUW4SOF44M3WMGHRNE2" hidden="1">#REF!</definedName>
    <definedName name="BExY5DF9MS25IFNWGJ1YAS5MDN8R" hidden="1">[2]Table!#REF!</definedName>
    <definedName name="BExY5ERVGL3UM2MGT8LJ0XPKTZEK" hidden="1">#REF!</definedName>
    <definedName name="BExY5EX6NJFK8W754ZVZDN5DS04K" hidden="1">#REF!</definedName>
    <definedName name="BExY5ITHBBAW650OGENZ0RIJJFKX" hidden="1">[2]Program!#REF!</definedName>
    <definedName name="BExY5JVA34M9QT6SEGQB09ZIF0UR" hidden="1">#REF!</definedName>
    <definedName name="BExY5LIKLMPD8H0X7P12U8MXE9FQ" hidden="1">#REF!</definedName>
    <definedName name="BExY5S3XD1NJT109CV54IFOHVLQ6" hidden="1">#REF!</definedName>
    <definedName name="BExY66SNHXVVDTZ3XR59MQ4FDVK5" hidden="1">#REF!</definedName>
    <definedName name="BExY6KVS1MMZ2R34PGEFR2BMTU9W" hidden="1">#REF!</definedName>
    <definedName name="BExY6Q9YY7LW745GP7CYOGGSPHGE" hidden="1">#REF!</definedName>
    <definedName name="BExY6QKQ0XRMONY5MX4U9WIVOWCG" hidden="1">#REF!</definedName>
    <definedName name="BExY71NYQ0XX4U95K9YHMA1ZA58X" hidden="1">#REF!</definedName>
    <definedName name="BExZI3HZF9FQ35WNOX7KMJ2ZGVXW" hidden="1">#REF!</definedName>
    <definedName name="BExZIA3C8LKJTEH3MKQ57KJH5TA2" hidden="1">#REF!</definedName>
    <definedName name="BExZIIHH3QNQE3GFMHEE4UMHY6WQ" hidden="1">#REF!</definedName>
    <definedName name="BExZIXGXDV10TB6MNQQODVU57NLG" hidden="1">#REF!</definedName>
    <definedName name="BExZIXRPGNCLD3XL4451VK2VMSHV" hidden="1">#REF!</definedName>
    <definedName name="BExZIXRPNWIBNXSPFKGZP90KHPQC" hidden="1">#REF!</definedName>
    <definedName name="BExZIYO22G5UXOB42GDLYGVRJ6U7" hidden="1">#REF!</definedName>
    <definedName name="BExZJ35XGX1KWVRW6BOPMB4L1GUF" hidden="1">#REF!</definedName>
    <definedName name="BExZJ7I9T8XU4MZRKJ1VVU76V2LZ" hidden="1">#REF!</definedName>
    <definedName name="BExZJ7YJ7VA5YMIFOBOT4ROJTHCM" hidden="1">#REF!</definedName>
    <definedName name="BExZJ9GINONJG3JDMNR33QN4VFM7" hidden="1">#REF!</definedName>
    <definedName name="BExZJA22HQFUO0AXG89KJGS2WE03" hidden="1">#REF!</definedName>
    <definedName name="BExZJDNKV94MNGDDOLE7STZ40COK" hidden="1">#REF!</definedName>
    <definedName name="BExZJGCN06CO4P1C8WJRUJ6PNITW" hidden="1">#REF!</definedName>
    <definedName name="BExZJI5F5TLNLEUTRVVNFB9AREN6" hidden="1">#REF!</definedName>
    <definedName name="BExZJIG7I7JQ9BDR12SVS02D96YD" hidden="1">#REF!</definedName>
    <definedName name="BExZJKZT739D9MWL7UDFRHDSMTR4" hidden="1">#REF!</definedName>
    <definedName name="BExZJMY10TRWR523S463CSBTUUWU" hidden="1">#REF!</definedName>
    <definedName name="BExZJMY170JCUU1RWASNZ1HJPRTA" hidden="1">#REF!</definedName>
    <definedName name="BExZJOFZQTPC1AHPTNMJH7KMJ74X" hidden="1">#REF!</definedName>
    <definedName name="BExZJOQR77H0P4SUKVYACDCFBBXO" hidden="1">#REF!</definedName>
    <definedName name="BExZJPXXLVTRX2XR8BV2CYQWWFTW" hidden="1">#REF!</definedName>
    <definedName name="BExZJQJIU2QTNHZUMO6TXYCIOR1E" hidden="1">#REF!</definedName>
    <definedName name="BExZJS6RG34ODDY9HMZ0O34MEMSB" hidden="1">#REF!</definedName>
    <definedName name="BExZJU4ZJUO53Z0ZDKXRX3KI682X" hidden="1">#REF!</definedName>
    <definedName name="BExZJW32T1CKR4RQBNQYW6VXUX9J" hidden="1">#REF!</definedName>
    <definedName name="BExZJWZEAAQ3E6UET31GC9ZCDAX4" hidden="1">#REF!</definedName>
    <definedName name="BExZJX4W5C2PFRS0TPMLKAIZ9LJX" hidden="1">#REF!</definedName>
    <definedName name="BExZK34NR4BAD7HJAP7SQ926UQP3" hidden="1">#REF!</definedName>
    <definedName name="BExZK3FGPHH5H771U7D5XY7XBS6E" hidden="1">#REF!</definedName>
    <definedName name="BExZK5Z3ASQ8K97926W9M22KAK7B" hidden="1">[2]Program!#REF!</definedName>
    <definedName name="BExZKCV8OUD6TL13JVFJ9HV36XZJ" hidden="1">#REF!</definedName>
    <definedName name="BExZKGRIH1C8XY2R7Z1LHBXCBRJC" hidden="1">#REF!</definedName>
    <definedName name="BExZKH2BRKBJVO6WW9M7XQRKCZSY" hidden="1">#REF!</definedName>
    <definedName name="BExZKHYORG3O8C772XPFHM1N8T80" hidden="1">#REF!</definedName>
    <definedName name="BExZKJRF2IRR57DG9CLC7MSHWNNN" hidden="1">#REF!</definedName>
    <definedName name="BExZKMLZGS0ZJRM7IPIGVHIRJ7LT" hidden="1">#REF!</definedName>
    <definedName name="BExZKN7LAB26VCAM091CM0Z1KAR1" hidden="1">#REF!</definedName>
    <definedName name="BExZKV5GYXO0X760SBD9TWTIQHGI" hidden="1">#REF!</definedName>
    <definedName name="BExZL68N54MC6IU0076W6HY8UDKJ" hidden="1">#REF!</definedName>
    <definedName name="BExZL6E4YVXRUN7ZGF2BIGIXFR8K" hidden="1">#REF!</definedName>
    <definedName name="BExZLCDWOXSAL3E45Y87GOH1NUUX" hidden="1">#REF!</definedName>
    <definedName name="BExZLDKX7HDI83LN84H4GC6Q9WXJ" hidden="1">#REF!</definedName>
    <definedName name="BExZLFDTOAH3UHTG6TVVU5P0FP23" hidden="1">Table '[4]2'!$B$5:$G$8</definedName>
    <definedName name="BExZLGVLMKTPFXG42QYT0PO81G7F" hidden="1">#REF!</definedName>
    <definedName name="BExZLHRZMB1LAT56CZDZRRPS2Q5E" hidden="1">#REF!</definedName>
    <definedName name="BExZLIOBG5M1SGG7YXAZ742YFX9A" hidden="1">#REF!</definedName>
    <definedName name="BExZLKMK7LRK14S09WLMH7MXSQXM" hidden="1">#REF!</definedName>
    <definedName name="BExZLMKLM07WGSOG6B1IX0EZ2HNQ" hidden="1">#REF!</definedName>
    <definedName name="BExZLOYWPP1XUV6VYYXG90YVU5UZ" hidden="1">#REF!</definedName>
    <definedName name="BExZLT5ZPFGYISDYWOPOK90JLRBR" hidden="1">#REF!</definedName>
    <definedName name="BExZLVPRT7WDLGVCDQKHFNECVBOK" hidden="1">#REF!</definedName>
    <definedName name="BExZLX7Q2D0S7K9EU38FNUSROIWH" hidden="1">#REF!</definedName>
    <definedName name="BExZM20C76IKD9UBP8F4HAI8DFKL" hidden="1">#REF!</definedName>
    <definedName name="BExZM2R8NLV7MP8LZZW8KFMJ9V0O" hidden="1">#REF!</definedName>
    <definedName name="BExZM5B0LMWEG60X0UHH8PTVPSRX" hidden="1">#REF!</definedName>
    <definedName name="BExZM6NIM7B6OTISB9HSFEPPYLY3" hidden="1">#REF!</definedName>
    <definedName name="BExZM7JVLG0W8EG5RBU915U3SKBY" hidden="1">#REF!</definedName>
    <definedName name="BExZM85FOVUFF110XMQ9O2ODSJUK" hidden="1">#REF!</definedName>
    <definedName name="BExZM8G94J4J1IQAYO7DSS8AJFPA" hidden="1">#REF!</definedName>
    <definedName name="BExZMAPA318HIGZ5RF4PDVCUH7WT" hidden="1">#REF!</definedName>
    <definedName name="BExZMCI0M7SMMEL129RQG77UMRRX" hidden="1">#REF!</definedName>
    <definedName name="BExZMDP5BNMB64F60QXP5KJHUE6U" hidden="1">#REF!</definedName>
    <definedName name="BExZMDZXIA70PU3ZU3UQWKNSN1P5" hidden="1">#REF!</definedName>
    <definedName name="BExZMELJCG9VCPW8HX6MPCL7MOIM" hidden="1">#REF!</definedName>
    <definedName name="BExZMF1MMTZ1TA14PZ8ASSU2CBSP" hidden="1">#REF!</definedName>
    <definedName name="BExZMHW1OSSJSR8YMI0XWTW8T0LO" hidden="1">#REF!</definedName>
    <definedName name="BExZMKL5YQZD7F0FUCSVFGLPFK52" hidden="1">#REF!</definedName>
    <definedName name="BExZMMOTLP5EPXI4M9CHNWE5PH6Y" hidden="1">#REF!</definedName>
    <definedName name="BExZMOC3VNZALJM71X2T6FV91GTB" hidden="1">#REF!</definedName>
    <definedName name="BExZMSOGKL1RJBH3NF8IOMKS8PVB" hidden="1">#REF!</definedName>
    <definedName name="BExZMVJ0DAHAXPF9H9EZH4O0V2XB" hidden="1">#REF!</definedName>
    <definedName name="BExZMXH39OB0I43XEL3K11U3G9PM" hidden="1">#REF!</definedName>
    <definedName name="BExZMZQ3RBKDHT5GLFNLS52OSJA0" hidden="1">#REF!</definedName>
    <definedName name="BExZN0MHEVYZARAN3B7SUGINLS4H" hidden="1">#REF!</definedName>
    <definedName name="BExZN0RT5WCS8WMVUIBB5SJUFEF6" hidden="1">#REF!</definedName>
    <definedName name="BExZN2F7Y2J2L2LN5WZRG949MS4A" hidden="1">#REF!</definedName>
    <definedName name="BExZN6MAOEZ50ACTF2TF6YH5SKL4" hidden="1">#REF!</definedName>
    <definedName name="BExZN847WUWKRYTZWG9TCQZJS3OL" hidden="1">#REF!</definedName>
    <definedName name="BExZNAD12QHXKRWN9C3UGH8XE4NQ" hidden="1">#REF!</definedName>
    <definedName name="BExZNDCY3KZ9N54SK4PKCZ9LB0JC" hidden="1">#REF!</definedName>
    <definedName name="BExZNDYIX9L1B1R47EFTK5EQ1X93" hidden="1">#REF!</definedName>
    <definedName name="BExZNGYFTF1K6B60UFUKN5KZMMZQ" hidden="1">#REF!</definedName>
    <definedName name="BExZNH3VISFF4NQI11BZDP5IQ7VG" hidden="1">#REF!</definedName>
    <definedName name="BExZNIB1N0EHT41GWF0CNMKFRKPE" hidden="1">#REF!</definedName>
    <definedName name="BExZNIB2Z0PW4MJVTRVEDQX8NTGC" hidden="1">#REF!</definedName>
    <definedName name="BExZNIGDZCXYF6BDUZ94RPJMUGEW" hidden="1">#REF!</definedName>
    <definedName name="BExZNJ1Y8RSOGU7HCLNI4JJ9WA8U" hidden="1">#REF!</definedName>
    <definedName name="BExZNJYCFYVMAOI62GB2BABK1ELE" hidden="1">#REF!</definedName>
    <definedName name="BExZNK3MJNUJ66UAAUQ7ROYUCSAY" hidden="1">#REF!</definedName>
    <definedName name="BExZNLGA4MKMPLKYNU8PWCQLVG4D" hidden="1">#REF!</definedName>
    <definedName name="BExZNMCO0AUZXCUFODU682Z15DFN" hidden="1">#REF!</definedName>
    <definedName name="BExZNO5ENYQQTDR15YNQ7Y2OVYJZ" hidden="1">#REF!</definedName>
    <definedName name="BExZNP1RCYRU2K18CYP7XPLBAZD8" hidden="1">#REF!</definedName>
    <definedName name="BExZNP1RJD7IYGX4TMDJOHGVSD7V" hidden="1">#REF!</definedName>
    <definedName name="BExZNQJPPY4SEZCCRVNAHC9MD7A9" hidden="1">#REF!</definedName>
    <definedName name="BExZNT3IENBP4PJ3O1VRGS96XB1T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8KZHP6L2VG15TUIURJK761" hidden="1">#REF!</definedName>
    <definedName name="BExZNZDWRS6Q40L8OCWFEIVI0A1O" hidden="1">#REF!</definedName>
    <definedName name="BExZOA11JVFQC9JL1M3HYYE28MYY" hidden="1">#REF!</definedName>
    <definedName name="BExZOBO9NYLGVJQ31LVQ9XS2ZT4N" hidden="1">#REF!</definedName>
    <definedName name="BExZOEIVPQXLMQIOFZKVB6QU4PL2" hidden="1">#REF!</definedName>
    <definedName name="BExZOETNB1CJ3Y2RKLI1ZK0S8Z6H" hidden="1">#REF!</definedName>
    <definedName name="BExZOFQ0900FCC5J1DZ00YHBCQKH" hidden="1">#REF!</definedName>
    <definedName name="BExZOGBLV9VKIJSZA9FTH6F6I902" hidden="1">#REF!</definedName>
    <definedName name="BExZOGMEFZESDYE7HMZOE08HF0C2" hidden="1">Table '[4]2'!$B$6:$F$9</definedName>
    <definedName name="BExZOL9K1RUXBTLZ6FJ65BIE9G5R" hidden="1">#REF!</definedName>
    <definedName name="BExZOLF22CY6OXXVCFT5MPM20TMR" hidden="1">#REF!</definedName>
    <definedName name="BExZOLKD3JV9C443RC6R4LJ8WZLN" hidden="1">#REF!</definedName>
    <definedName name="BExZOREMVSK4E5VSWM838KHUB8AI" hidden="1">#REF!</definedName>
    <definedName name="BExZOTNOEKCCU28KCHZ037PD7WBI" hidden="1">#REF!</definedName>
    <definedName name="BExZOVR745T5P1KS9NV2PXZPZVRG" hidden="1">#REF!</definedName>
    <definedName name="BExZOXPF7XCDGZJHB8QCPELM3MVW" hidden="1">[6]Program!#REF!</definedName>
    <definedName name="BExZOZCPA7MIY6BDBXUMJS5AL31X" hidden="1">#REF!</definedName>
    <definedName name="BExZOZSWGLSY2XYVRIS6VSNJDSGD" hidden="1">#REF!</definedName>
    <definedName name="BExZP0UMJ2XOHLMV90CUCEQCMD4W" hidden="1">#REF!</definedName>
    <definedName name="BExZP1AUQLMT5B9EDAGD4U0O9VKB" hidden="1">#REF!</definedName>
    <definedName name="BExZP7AIJKLM6C6CSUIIFAHFBNX2" hidden="1">#REF!</definedName>
    <definedName name="BExZPFU3AP7RASS5X21Q6MTP5DI1" hidden="1">#REF!</definedName>
    <definedName name="BExZPHMU4RIK502RAAQH47U4JFAW" hidden="1">#REF!</definedName>
    <definedName name="BExZPLZ73XA79JJWLPH6UJ3JPWOV" hidden="1">#REF!</definedName>
    <definedName name="BExZPQ0XY507N8FJMVPKCTK8HC9H" hidden="1">[2]Table!#REF!</definedName>
    <definedName name="BExZPRZ01I4HH5BV6JYDZ13OPIXS" hidden="1">#REF!</definedName>
    <definedName name="BExZPUO3WXZZLJS5CMNV98Z7IUYV" hidden="1">#REF!</definedName>
    <definedName name="BExZPWBJ4H8RND8XVKNCJ474L2J6" hidden="1">#REF!</definedName>
    <definedName name="BExZPXYS0Y03M9GUEF3W61VEQDCV" hidden="1">Tech '[4]2'!$B$7:$G$10</definedName>
    <definedName name="BExZPYPUAQ9ACGU2P4S2SKJ1W8LK" hidden="1">#REF!</definedName>
    <definedName name="BExZPZM8AGHEV1N9WP4B6LHNT9G8" hidden="1">#REF!</definedName>
    <definedName name="BExZQ19I7ERBKQLFVNOFQXAWYZGW" hidden="1">#REF!</definedName>
    <definedName name="BExZQ1KA82851MNKP86CQOTEKJ9Z" hidden="1">#REF!</definedName>
    <definedName name="BExZQ37OVBR25U32CO2YYVPZOMR5" hidden="1">[2]Table!#REF!</definedName>
    <definedName name="BExZQ3NT7H06VO0AR48WHZULZB93" hidden="1">#REF!</definedName>
    <definedName name="BExZQ5WSDR1IOST5QNQ1YT7S51SS" hidden="1">Tech '[4]2'!$B$6:$S$185</definedName>
    <definedName name="BExZQ7PJU07SEJMDX18U9YVDC2GU" hidden="1">#REF!</definedName>
    <definedName name="BExZQ80BR13LK36I986CULUIQ75I" hidden="1">#REF!</definedName>
    <definedName name="BExZQ97GRS1JT451BUNZG7OVGF7Q" hidden="1">#REF!</definedName>
    <definedName name="BExZQBGC21KNJWAH9LECF9RTMOV5" hidden="1">#REF!</definedName>
    <definedName name="BExZQCI6PA7CWYLIQ5B0EHNKCTHZ" hidden="1">#REF!</definedName>
    <definedName name="BExZQGJS2Q6N9UV1R906P1K5JAD2" hidden="1">#REF!</definedName>
    <definedName name="BExZQHG3WD2NZQO02U91B8YU7665" hidden="1">#REF!</definedName>
    <definedName name="BExZQIHTGHK7OOI2Y2PN3JYBY82I" hidden="1">#REF!</definedName>
    <definedName name="BExZQJJMGU5MHQOILGXGJPAQI5XI" hidden="1">#REF!</definedName>
    <definedName name="BExZQM8R5XQJYUOMXFGDDNBVHXWO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4O8LL0ETNQMJXGWRRWQQAAQ" hidden="1">#REF!</definedName>
    <definedName name="BExZR7TL98P2PPUVGIZYR5873DWW" hidden="1">#REF!</definedName>
    <definedName name="BExZRAO0PXJJT29D4N11UE9SA6Q7" hidden="1">#REF!</definedName>
    <definedName name="BExZRAYU55IA490ONBTM2ZJC28MJ" hidden="1">#REF!</definedName>
    <definedName name="BExZRB4B9IPE0GOGANFIYI2IJCM4" hidden="1">#REF!</definedName>
    <definedName name="BExZRGD1603X5ACFALUUDKCD7X48" hidden="1">#REF!</definedName>
    <definedName name="BExZRGNSUPG6TBX2L292MP1PLVMU" hidden="1">#REF!</definedName>
    <definedName name="BExZRM7DFUWESHA5C47IN0K0D992" hidden="1">#REF!</definedName>
    <definedName name="BExZRNEIL34KE2ZQ3FIKRFJV0WNS" hidden="1">#REF!</definedName>
    <definedName name="BExZROLT7Q6DCPAO1RMU9NQ5AJVA" hidden="1">#REF!</definedName>
    <definedName name="BExZRP1X6UVLN1UOLHH5VF4STP1O" hidden="1">#REF!</definedName>
    <definedName name="BExZRQ930U6OCYNV00CH5I0Q4LPE" hidden="1">#REF!</definedName>
    <definedName name="BExZRUG5K54NJKXCE852RMQW8K9Q" hidden="1">#REF!</definedName>
    <definedName name="BExZRW8W514W8OZ72YBONYJ64GXF" hidden="1">#REF!</definedName>
    <definedName name="BExZRWJP2BUVFJPO8U8ATQEP0LZU" hidden="1">#REF!</definedName>
    <definedName name="BExZRYN6SI8MPILTZ5QHDWZ0HBIJ" hidden="1">#REF!</definedName>
    <definedName name="BExZRYN6TKLS1N70DLRI2IKWN37Q" hidden="1">#REF!</definedName>
    <definedName name="BExZS1CBTC8QC8S2HIB93A2TPFQA" hidden="1">#REF!</definedName>
    <definedName name="BExZS2OY9JTSSP01ZQ6V2T2LO5R9" hidden="1">#REF!</definedName>
    <definedName name="BExZS3QMQMNTFDGMI16A1CNUSNIV" hidden="1">#REF!</definedName>
    <definedName name="BExZS3W44LIM4BAD179YPU2MM4ZB" hidden="1">#REF!</definedName>
    <definedName name="BExZSFFFFYDF8YWB98HORGE6VMD6" hidden="1">TEST-[5]LISTA!$B$7:$F$1857</definedName>
    <definedName name="BExZSFKVLJIWZ4B7ME3F0V0YM115" hidden="1">#REF!</definedName>
    <definedName name="BExZSFQ6L10WXXPSDZG2V9J6T51Q" hidden="1">Table '[4]2'!$B$6:$F$9</definedName>
    <definedName name="BExZSHIYGFLJU845M1XBEXWPV7DV" hidden="1">#REF!</definedName>
    <definedName name="BExZSI9USDLZAN8LI8M4YYQL24GZ" hidden="1">#REF!</definedName>
    <definedName name="BExZSS0LA2JY4ZLJ1Z5YCMLJJZCH" hidden="1">#REF!</definedName>
    <definedName name="BExZSSWYFPQRRC6ER97H72JBUYAD" hidden="1">#REF!</definedName>
    <definedName name="BExZSYRAL38T8SFTHLEC94VZAPTB" hidden="1">#REF!</definedName>
    <definedName name="BExZSZ21VX9ESDG8PFXHDLT82KLO" hidden="1">#REF!</definedName>
    <definedName name="BExZT15LSU0U4YZ9QIWQJF99FAKU" hidden="1">#REF!</definedName>
    <definedName name="BExZT9EDMVKQ66EJH29TPJ18I3YS" hidden="1">#REF!</definedName>
    <definedName name="BExZT9UHHYC6ED3NRP7FXU0W6O8M" hidden="1">#REF!</definedName>
    <definedName name="BExZTAQV2QVSZY5Y3VCCWUBSBW9P" hidden="1">#REF!</definedName>
    <definedName name="BExZTC8S1L60TW34BLBQLDKD9RH4" hidden="1">#REF!</definedName>
    <definedName name="BExZTC8SX5YG3KJTCFBBTLG032OB" hidden="1">#REF!</definedName>
    <definedName name="BExZTCP3AS1RQUH3NNZGOJY7ORHW" hidden="1">#REF!</definedName>
    <definedName name="BExZTHSI2FX56PWRSNX9H5EWTZFO" hidden="1">#REF!</definedName>
    <definedName name="BExZTIJD2LC2723E21H1UMCWA9SO" hidden="1">#REF!</definedName>
    <definedName name="BExZTJL3HVBFY139H6CJHEQCT1EL" hidden="1">#REF!</definedName>
    <definedName name="BExZTKMXI2CR4ADST5XWD64NEJAW" hidden="1">#REF!</definedName>
    <definedName name="BExZTL30QQM0OABE6WBAUVKM43HO" hidden="1">#REF!</definedName>
    <definedName name="BExZTLOL8OPABZI453E0KVNA1GJS" hidden="1">#REF!</definedName>
    <definedName name="BExZTRDS2LJXY05QQHVZAQ6JGZ55" hidden="1">#REF!</definedName>
    <definedName name="BExZTS4ONPVTAEWL0Z3KY2QVWMFV" hidden="1">#REF!</definedName>
    <definedName name="BExZTT6J3X0TOX0ZY6YPLUVMCW9X" hidden="1">#REF!</definedName>
    <definedName name="BExZTTS30J169PLUPL67BCKSE5R0" hidden="1">#REF!</definedName>
    <definedName name="BExZTW6ECBRA0BBITWBQ8R93RMCL" hidden="1">#REF!</definedName>
    <definedName name="BExZTWBPD3CYQAXZ3GGQ0K16EIOF" hidden="1">#REF!</definedName>
    <definedName name="BExZTWMHY89BPR0OU093O6OZWN8D" hidden="1">#REF!</definedName>
    <definedName name="BExZTXZ4GCYMFY8ESC2SBAYI7RGY" hidden="1">#REF!</definedName>
    <definedName name="BExZTY4FTI1T3A0EOEO8N3H58GX0" hidden="1">#REF!</definedName>
    <definedName name="BExZTYQ1JEJ7OY2XU5OVPIV2ST7B" hidden="1">#REF!</definedName>
    <definedName name="BExZTZGXN0ZZ9A5HLDA3T1FVEV9B" hidden="1">#REF!</definedName>
    <definedName name="BExZTZME3A73OCOD598I56ICA913" hidden="1">#REF!</definedName>
    <definedName name="BExZU2BHYAOKSCBM3C5014ZF6IXS" hidden="1">#REF!</definedName>
    <definedName name="BExZU2RMJTXOCS0ROPMYPE6WTD87" hidden="1">#REF!</definedName>
    <definedName name="BExZU97N4NTPLWNSUT65BRZS7RQ7" hidden="1">#REF!</definedName>
    <definedName name="BExZUEWN3G6PVJ1EQ7PA84JM82K5" hidden="1">[3]Table!#REF!</definedName>
    <definedName name="BExZUF7G8FENTJKH9R1XUWXM6CWD" hidden="1">#REF!</definedName>
    <definedName name="BExZUGJXHWAQTOUH608FTVO4P6DZ" hidden="1">#REF!</definedName>
    <definedName name="BExZUHB024YKF97AD5JHSQ0DTS45" hidden="1">#REF!</definedName>
    <definedName name="BExZUL1SBVRUJWVJ61TGVLK81JFN" hidden="1">#REF!</definedName>
    <definedName name="BExZULNEABH71N32TH1HGXTQL32B" hidden="1">#REF!</definedName>
    <definedName name="BExZUNARUJBIZ08VCAV3GEVBIR3D" hidden="1">#REF!</definedName>
    <definedName name="BExZUON9XG6JA1EANQTNFOLOV6T5" hidden="1">#REF!</definedName>
    <definedName name="BExZUSP13M2IHYN709SP60CW9ECH" hidden="1">#REF!</definedName>
    <definedName name="BExZUSZMFBS3YSD6PBUTC2A7JRFD" hidden="1">#REF!</definedName>
    <definedName name="BExZUSZSJZU49WES7TCI0N0HW4M5" hidden="1">#REF!</definedName>
    <definedName name="BExZUSZT5496UMBP4LFSLTR1GVEW" hidden="1">#REF!</definedName>
    <definedName name="BExZUT54340I38GVCV79EL116WR0" hidden="1">#REF!</definedName>
    <definedName name="BExZUUHQD4TPK319XCT74LV9FOVL" hidden="1">#REF!</definedName>
    <definedName name="BExZUYDULCX65H9OZ9JHPBNKF3MI" hidden="1">#REF!</definedName>
    <definedName name="BExZV2FKXFOJDXI0B9P2TV8HMH29" hidden="1">#REF!</definedName>
    <definedName name="BExZV2QD5ZDK3AGDRULLA7JB46C3" hidden="1">#REF!</definedName>
    <definedName name="BExZV4OFC4E044NV2AK8G2UA1XAF" hidden="1">#REF!</definedName>
    <definedName name="BExZV8Q58735QOPMEXLAQJPNI118" hidden="1">#REF!</definedName>
    <definedName name="BExZV8VI6B3XTAEPSVHB0EB7X9F2" hidden="1">#REF!</definedName>
    <definedName name="BExZV9H8T4XC09X4JZW7HCGSJV7U" hidden="1">#REF!</definedName>
    <definedName name="BExZV9XA5BFXAP4WVY0NHCMYQ0Q4" hidden="1">#REF!</definedName>
    <definedName name="BExZVBQ29OM0V8XAL3HL0JIM0MMU" hidden="1">#REF!</definedName>
    <definedName name="BExZVCRRWDAEMKOMWLKW8Y589BTB" hidden="1">#REF!</definedName>
    <definedName name="BExZVE4EEACCXBP48IQOAQZ2H4T6" hidden="1">Tech '[4]2'!$B$7:$D$8</definedName>
    <definedName name="BExZVGYRFX7LUMTZC3PXCNFW1612" hidden="1">#REF!</definedName>
    <definedName name="BExZVKEY7Z7TBJTRYL9JQ3UTP320" hidden="1">#REF!</definedName>
    <definedName name="BExZVLM4T9ORS4ZWHME46U4Q103C" hidden="1">#REF!</definedName>
    <definedName name="BExZVLRESP1X8BB4AM7IY6DAYFDD" hidden="1">#REF!</definedName>
    <definedName name="BExZVM7OZWPPRH5YQW50EYMMIW1A" hidden="1">#REF!</definedName>
    <definedName name="BExZVMNS1430DV0EZ7T4R7FR5XJL" hidden="1">#REF!</definedName>
    <definedName name="BExZVPYGX2C5OSHMZ6F0KBKZ6B1S" hidden="1">#REF!</definedName>
    <definedName name="BExZVVNHCX74GZAFOJ2Z3K4OSKVD" hidden="1">#REF!</definedName>
    <definedName name="BExZVW92BIGOE7S7BGNAK369OBAA" hidden="1">#REF!</definedName>
    <definedName name="BExZVWEKW5K6ZWJA6M77PAI8AMJR" hidden="1">#REF!</definedName>
    <definedName name="BExZVZEF7A0PVGPIAIOIIXS987GQ" hidden="1">[2]Program!#REF!</definedName>
    <definedName name="BExZW05AX16NUHNSMMG8DYD7W5WZ" hidden="1">#REF!</definedName>
    <definedName name="BExZW0WD6E45V9A4ZY7F8Z917M2M" hidden="1">#REF!</definedName>
    <definedName name="BExZW5UARC8W9AQNLJX2I5WQWS5F" hidden="1">#REF!</definedName>
    <definedName name="BExZW7HRGN6A9YS41KI2B2UUMJ7X" hidden="1">#REF!</definedName>
    <definedName name="BExZW7SD85BMINXAQKVPLQMBWGWI" hidden="1">#REF!</definedName>
    <definedName name="BExZW8E3RZM8O961525D1KYOC4A2" hidden="1">#REF!</definedName>
    <definedName name="BExZW8ZPNV43UXGOT98FDNIBQHZY" hidden="1">#REF!</definedName>
    <definedName name="BExZWKZ5N3RDXU8MZ8HQVYYD8O0F" hidden="1">#REF!</definedName>
    <definedName name="BExZWLQ5ZRANO64MUKKQE9JVFTYH" hidden="1">#REF!</definedName>
    <definedName name="BExZWO4ITR24TI60TY7ZB4VTJJ3K" hidden="1">#REF!</definedName>
    <definedName name="BExZWRVATGVENQKQX8UKY26OAG6H" hidden="1">#REF!</definedName>
    <definedName name="BExZWSMC9T48W74GFGQCIUJ8ZPP3" hidden="1">#REF!</definedName>
    <definedName name="BExZWTO13WI5HYOD923V9HWRJYKJ" hidden="1">#REF!</definedName>
    <definedName name="BExZWUF2V4HY3HI8JN9ZVPRWK1H3" hidden="1">#REF!</definedName>
    <definedName name="BExZWV5ZWGLUSO1D7Z11ZY1VB7Z4" hidden="1">#REF!</definedName>
    <definedName name="BExZWX45URTK9KYDJHEXL1OTZ833" hidden="1">#REF!</definedName>
    <definedName name="BExZWZD1O0ZGIO2ET8NIXSK8FO83" hidden="1">#REF!</definedName>
    <definedName name="BExZX0EWQEZO86WDAD9A4EAEZ012" hidden="1">#REF!</definedName>
    <definedName name="BExZX1WSR48BBWSFW7QP7EUMPQM7" hidden="1">#REF!</definedName>
    <definedName name="BExZX2T6ZT2DZLYSDJJBPVIT5OK2" hidden="1">#REF!</definedName>
    <definedName name="BExZX8CQ8B7GDSFXUTW4RXNJX0L8" hidden="1">#REF!</definedName>
    <definedName name="BExZX8I6XYE9MJFC5JUG3ZJE9YCS" hidden="1">#REF!</definedName>
    <definedName name="BExZXIZU4E9Q037V7OW1DJIACA92" hidden="1">#REF!</definedName>
    <definedName name="BExZXKXWQJDY52JWENBPYNQ1VZY5" hidden="1">#REF!</definedName>
    <definedName name="BExZXMFUEK0FY6ZU41PZS4UX845Y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VQAS8LLVB28W7JSW3PLC2H1" hidden="1">#REF!</definedName>
    <definedName name="BExZXXODNCAOYK0APJNW1H9TASOE" hidden="1">#REF!</definedName>
    <definedName name="BExZXY4NKQL9QD76YMQJ15U1C2G8" hidden="1">#REF!</definedName>
    <definedName name="BExZXYA4YA3LROELPDUCJ8SP9YM0" hidden="1">#REF!</definedName>
    <definedName name="BExZXYQ7U5G08FQGUIGYT14QCBOF" hidden="1">#REF!</definedName>
    <definedName name="BExZXZ6GLXW0W1Y4WDWO5KJRPRY3" hidden="1">#REF!</definedName>
    <definedName name="BExZY02V77YJBMODJSWZOYCMPS5X" hidden="1">#REF!</definedName>
    <definedName name="BExZY0Z30KQBQNKLRAJ8HBL7TSJT" hidden="1">#REF!</definedName>
    <definedName name="BExZY3YXVR6RJTXRBK1QST9NDZOT" hidden="1">#REF!</definedName>
    <definedName name="BExZY49QRZIR6CA41LFA9LM6EULU" hidden="1">#REF!</definedName>
    <definedName name="BExZY5X5IG94LXW1YHOY51RKDS9I" hidden="1">#REF!</definedName>
    <definedName name="BExZY79N7PI9S1LVF6OA8N1Z2OPU" hidden="1">#REF!</definedName>
    <definedName name="BExZY8BGAEMMMM9MR058AFGNXI0X" hidden="1">#REF!</definedName>
    <definedName name="BExZY9TFGMBXSO4PI5OPKYJ1XTI3" hidden="1">#REF!</definedName>
    <definedName name="BExZYBGPWZL7BJ75H41P665GW3YQ" hidden="1">#REF!</definedName>
    <definedName name="BExZYEWV309YNTCS1NLH4IU3GJA3" hidden="1">#REF!</definedName>
    <definedName name="BExZYJ9736C1MC54FIK19K4U74ER" hidden="1">#REF!</definedName>
    <definedName name="BExZYJEPIHF8KMTF9OTHSCFCL7FG" hidden="1">#REF!</definedName>
    <definedName name="BExZYK09OHDQJ4WPU7127LUEJJSU" hidden="1">#REF!</definedName>
    <definedName name="BExZYONG4S8OJJWB1MVOSGUMW8D6" hidden="1">#REF!</definedName>
    <definedName name="BExZZ24YQOBUJTDPVU4JE2DI81OU" hidden="1">#REF!</definedName>
    <definedName name="BExZZ2FQA9A8C7CJKMEFQ9VPSLCE" hidden="1">#REF!</definedName>
    <definedName name="BExZZ2L8RP71IER6KYQT8OWIJ7R6" hidden="1">#REF!</definedName>
    <definedName name="BExZZ6XMNI8RH1BBOOQDKTXYUFJM" hidden="1">#REF!</definedName>
    <definedName name="BExZZ7DQBYWD2GGVF0YITK4N4VOR" hidden="1">#REF!</definedName>
    <definedName name="BExZZ8QBIIO5S0XRUDG9K2DN04BU" hidden="1">#REF!</definedName>
    <definedName name="BExZZ8QCN24IFIKPVRF6YD2I75CZ" hidden="1">#REF!</definedName>
    <definedName name="BExZZC6HAIITD2LG9VYL7VF2213L" hidden="1">#REF!</definedName>
    <definedName name="BExZZCHAVHW8C2H649KRGVQ0WVRT" hidden="1">#REF!</definedName>
    <definedName name="BExZZIBM7FC0YZG923M361Z541A8" hidden="1">#REF!</definedName>
    <definedName name="BExZZIGXOEQOGSHYC5359Y89CF6N" hidden="1">#REF!</definedName>
    <definedName name="BExZZJO3EJRH0UHHETZZKVYOQYBE" hidden="1">#REF!</definedName>
    <definedName name="BExZZLMAWJSK6BFV64TYRFJ9LQWT" hidden="1">#REF!</definedName>
    <definedName name="BExZZPO0MV3RKKPSJJL9N604MZAO" hidden="1">#REF!</definedName>
    <definedName name="BExZZQ9GYK0NL1TKGWAZN8CMH6G6" hidden="1">#REF!</definedName>
    <definedName name="BExZZRGMDLMCY09ATTAPZTITRMNW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DY">#REF!</definedName>
    <definedName name="Body1">#REF!</definedName>
    <definedName name="BOODY">#REF!</definedName>
    <definedName name="Database">#REF!</definedName>
    <definedName name="DF_GRID_1">#REF!</definedName>
    <definedName name="DF_NAVPANEL_13">#REF!</definedName>
    <definedName name="DF_NAVPANEL_18">#REF!</definedName>
    <definedName name="errrrrrrrrryhjjjjjjjjjjjjjjjjjj" hidden="1">Tech '[4]2'!$B$6:$S$172</definedName>
    <definedName name="Excel_BuiltIn_Print_Area_2_1">#REF!</definedName>
    <definedName name="howToChange">#REF!</definedName>
    <definedName name="howToCheck">#REF!</definedName>
    <definedName name="InfoPane">#REF!</definedName>
    <definedName name="InformationPane">#REF!</definedName>
    <definedName name="InfpPane">#REF!</definedName>
    <definedName name="LOLD">1</definedName>
    <definedName name="LOLD_ListaDział">4</definedName>
    <definedName name="LOLD_ListaOF">8</definedName>
    <definedName name="LOLD_ListaParagraf">8</definedName>
    <definedName name="LOLD_ListaPB">5</definedName>
    <definedName name="LOLD_ListaPB2">5</definedName>
    <definedName name="LOLD_ListaRozdział">5</definedName>
    <definedName name="LOLD_ListaSF">5</definedName>
    <definedName name="LOLD_Table">8</definedName>
    <definedName name="LOLD_Table1">8</definedName>
    <definedName name="LOLD_Tech">14</definedName>
    <definedName name="LOLD_Tech1">7</definedName>
    <definedName name="NavPane">#REF!</definedName>
    <definedName name="_xlnm.Print_Area" localSheetId="1">'INWESTYCJE PM'!$A$1:$R$890</definedName>
    <definedName name="_xlnm.Print_Area" localSheetId="3">Prognoza!$A$1:$L$22</definedName>
    <definedName name="_xlnm.Print_Area" localSheetId="6">'Spr. z raportem D12-WPF'!$A$1:$T$179</definedName>
    <definedName name="_xlnm.Print_Area" localSheetId="4">'tp inwestycje (dokładnie)'!$A$1:$U$233</definedName>
    <definedName name="_xlnm.Print_Area" localSheetId="2">'tp inwestycje (zmiany)'!$A$1:$M$240</definedName>
    <definedName name="_xlnm.Print_Area" localSheetId="5">'tp inwestycje do spr.'!$A$1:$L$203</definedName>
    <definedName name="Paragraf_1">#REF!</definedName>
    <definedName name="Przydzielona_kwota_1">#REF!</definedName>
    <definedName name="qqqqqqqqqqq">#REF!</definedName>
    <definedName name="REALIZACJA_2007">OFFSET('[9]dane 1'!$G$5,0,0,COUNT('[9]dane 1'!$G$5:$G$16))</definedName>
    <definedName name="REPORTHEADER">#REF!</definedName>
    <definedName name="rrtrterterter" hidden="1">[1]Program!#REF!</definedName>
    <definedName name="SAPBEXhrIndnt" hidden="1">"Wide"</definedName>
    <definedName name="SAPsysID" hidden="1">"708C5W7SBKP804JT78WJ0JNKI"</definedName>
    <definedName name="SAPwbID" hidden="1">"ARS"</definedName>
    <definedName name="_xlnm.Print_Titles" localSheetId="1">'INWESTYCJE PM'!$8:$9</definedName>
    <definedName name="_xlnm.Print_Titles" localSheetId="6">'Spr. z raportem D12-WPF'!$A:$D,'Spr. z raportem D12-WPF'!$5:$5</definedName>
    <definedName name="_xlnm.Print_Titles" localSheetId="4">'tp inwestycje (dokładnie)'!$A:$F,'tp inwestycje (dokładnie)'!$6:$8</definedName>
    <definedName name="_xlnm.Print_Titles" localSheetId="2">'tp inwestycje (zmiany)'!$6:$6</definedName>
    <definedName name="_xlnm.Print_Titles" localSheetId="5">'tp inwestycje do spr.'!$7:$7</definedName>
    <definedName name="_xlnm.Print_Titles" localSheetId="0">'zał. 1 dochody'!$14:$18</definedName>
    <definedName name="ursynow_s">#REF!</definedName>
    <definedName name="WYN_Kwerenda">#REF!</definedName>
    <definedName name="zadania1">#REF!</definedName>
    <definedName name="zaja">[10]Dane!#REF!</definedName>
  </definedNames>
  <calcPr calcId="191029"/>
  <pivotCaches>
    <pivotCache cacheId="13" r:id="rId1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3" i="2" l="1"/>
  <c r="Q20" i="8" l="1"/>
  <c r="K20" i="8"/>
  <c r="J20" i="8"/>
  <c r="I20" i="8"/>
  <c r="Q19" i="8"/>
  <c r="L19" i="8"/>
  <c r="L20" i="8" s="1"/>
  <c r="Q728" i="3" l="1"/>
  <c r="Q716" i="3"/>
  <c r="Q712" i="3" s="1"/>
  <c r="O729" i="3"/>
  <c r="N729" i="3"/>
  <c r="O728" i="3"/>
  <c r="N728" i="3"/>
  <c r="K728" i="3" s="1"/>
  <c r="Y727" i="3"/>
  <c r="X727" i="3"/>
  <c r="W727" i="3"/>
  <c r="V727" i="3"/>
  <c r="U727" i="3"/>
  <c r="T727" i="3"/>
  <c r="S727" i="3"/>
  <c r="R727" i="3"/>
  <c r="Q727" i="3"/>
  <c r="P727" i="3"/>
  <c r="M727" i="3"/>
  <c r="L727" i="3"/>
  <c r="AI726" i="3"/>
  <c r="AI727" i="3" s="1"/>
  <c r="AI728" i="3" s="1"/>
  <c r="AI729" i="3" s="1"/>
  <c r="AH726" i="3"/>
  <c r="AH727" i="3" s="1"/>
  <c r="AG726" i="3"/>
  <c r="AG727" i="3" s="1"/>
  <c r="AG728" i="3" s="1"/>
  <c r="AG729" i="3" s="1"/>
  <c r="AF726" i="3"/>
  <c r="AF727" i="3" s="1"/>
  <c r="AF728" i="3" s="1"/>
  <c r="AF729" i="3" s="1"/>
  <c r="AE726" i="3"/>
  <c r="AD726" i="3" s="1"/>
  <c r="AC726" i="3"/>
  <c r="AC727" i="3" s="1"/>
  <c r="AC728" i="3" s="1"/>
  <c r="AC729" i="3" s="1"/>
  <c r="Y725" i="3"/>
  <c r="X725" i="3"/>
  <c r="W725" i="3"/>
  <c r="V725" i="3"/>
  <c r="U725" i="3"/>
  <c r="T725" i="3"/>
  <c r="S725" i="3"/>
  <c r="R725" i="3"/>
  <c r="Q725" i="3"/>
  <c r="P725" i="3"/>
  <c r="M725" i="3"/>
  <c r="L725" i="3"/>
  <c r="Y724" i="3"/>
  <c r="X724" i="3"/>
  <c r="W724" i="3"/>
  <c r="W723" i="3" s="1"/>
  <c r="V724" i="3"/>
  <c r="U724" i="3"/>
  <c r="U723" i="3" s="1"/>
  <c r="T724" i="3"/>
  <c r="S724" i="3"/>
  <c r="R724" i="3"/>
  <c r="R723" i="3" s="1"/>
  <c r="Q724" i="3"/>
  <c r="P724" i="3"/>
  <c r="M724" i="3"/>
  <c r="M723" i="3" s="1"/>
  <c r="L724" i="3"/>
  <c r="L723" i="3" s="1"/>
  <c r="X723" i="3"/>
  <c r="AI722" i="3"/>
  <c r="AH722" i="3"/>
  <c r="AM722" i="3" s="1"/>
  <c r="AG722" i="3"/>
  <c r="AG723" i="3" s="1"/>
  <c r="AF722" i="3"/>
  <c r="AF723" i="3" s="1"/>
  <c r="AF724" i="3" s="1"/>
  <c r="AF725" i="3" s="1"/>
  <c r="AE722" i="3"/>
  <c r="AC722" i="3"/>
  <c r="AC723" i="3" s="1"/>
  <c r="AC724" i="3" s="1"/>
  <c r="AC725" i="3" s="1"/>
  <c r="O721" i="3"/>
  <c r="N721" i="3"/>
  <c r="O720" i="3"/>
  <c r="N720" i="3"/>
  <c r="K720" i="3" s="1"/>
  <c r="Y719" i="3"/>
  <c r="X719" i="3"/>
  <c r="W719" i="3"/>
  <c r="V719" i="3"/>
  <c r="U719" i="3"/>
  <c r="T719" i="3"/>
  <c r="S719" i="3"/>
  <c r="R719" i="3"/>
  <c r="Q719" i="3"/>
  <c r="P719" i="3"/>
  <c r="M719" i="3"/>
  <c r="L719" i="3"/>
  <c r="N719" i="3" s="1"/>
  <c r="AI718" i="3"/>
  <c r="AH718" i="3"/>
  <c r="AK718" i="3" s="1"/>
  <c r="AG718" i="3"/>
  <c r="AF718" i="3"/>
  <c r="AE718" i="3"/>
  <c r="AC718" i="3"/>
  <c r="AC719" i="3" s="1"/>
  <c r="AC720" i="3" s="1"/>
  <c r="AC721" i="3" s="1"/>
  <c r="O717" i="3"/>
  <c r="N717" i="3"/>
  <c r="O716" i="3"/>
  <c r="N716" i="3"/>
  <c r="K716" i="3"/>
  <c r="AG715" i="3"/>
  <c r="AG716" i="3" s="1"/>
  <c r="AG717" i="3" s="1"/>
  <c r="Y715" i="3"/>
  <c r="X715" i="3"/>
  <c r="W715" i="3"/>
  <c r="V715" i="3"/>
  <c r="U715" i="3"/>
  <c r="T715" i="3"/>
  <c r="S715" i="3"/>
  <c r="R715" i="3"/>
  <c r="Q715" i="3"/>
  <c r="P715" i="3"/>
  <c r="M715" i="3"/>
  <c r="L715" i="3"/>
  <c r="N715" i="3" s="1"/>
  <c r="AI714" i="3"/>
  <c r="AH714" i="3"/>
  <c r="AL714" i="3" s="1"/>
  <c r="AG714" i="3"/>
  <c r="AF714" i="3"/>
  <c r="AF715" i="3" s="1"/>
  <c r="AF716" i="3" s="1"/>
  <c r="AF717" i="3" s="1"/>
  <c r="AE714" i="3"/>
  <c r="AC714" i="3"/>
  <c r="AC715" i="3" s="1"/>
  <c r="AC716" i="3" s="1"/>
  <c r="AC717" i="3" s="1"/>
  <c r="Y713" i="3"/>
  <c r="X713" i="3"/>
  <c r="W713" i="3"/>
  <c r="V713" i="3"/>
  <c r="U713" i="3"/>
  <c r="T713" i="3"/>
  <c r="S713" i="3"/>
  <c r="R713" i="3"/>
  <c r="Q713" i="3"/>
  <c r="P713" i="3"/>
  <c r="M713" i="3"/>
  <c r="L713" i="3"/>
  <c r="Y712" i="3"/>
  <c r="X712" i="3"/>
  <c r="W712" i="3"/>
  <c r="V712" i="3"/>
  <c r="V711" i="3" s="1"/>
  <c r="U712" i="3"/>
  <c r="U711" i="3" s="1"/>
  <c r="T712" i="3"/>
  <c r="T711" i="3" s="1"/>
  <c r="S712" i="3"/>
  <c r="S711" i="3" s="1"/>
  <c r="R712" i="3"/>
  <c r="R711" i="3" s="1"/>
  <c r="P712" i="3"/>
  <c r="M712" i="3"/>
  <c r="L712" i="3"/>
  <c r="W711" i="3"/>
  <c r="AI710" i="3"/>
  <c r="AI711" i="3" s="1"/>
  <c r="AI712" i="3" s="1"/>
  <c r="AI713" i="3" s="1"/>
  <c r="AH710" i="3"/>
  <c r="AH711" i="3" s="1"/>
  <c r="AJ711" i="3" s="1"/>
  <c r="AG710" i="3"/>
  <c r="AG711" i="3" s="1"/>
  <c r="AG712" i="3" s="1"/>
  <c r="AG713" i="3" s="1"/>
  <c r="AF710" i="3"/>
  <c r="AF711" i="3" s="1"/>
  <c r="AF712" i="3" s="1"/>
  <c r="AF713" i="3" s="1"/>
  <c r="AE710" i="3"/>
  <c r="AD710" i="3" s="1"/>
  <c r="AB710" i="3" s="1"/>
  <c r="AC710" i="3"/>
  <c r="AC711" i="3" s="1"/>
  <c r="AC712" i="3" s="1"/>
  <c r="AC713" i="3" s="1"/>
  <c r="O709" i="3"/>
  <c r="N709" i="3"/>
  <c r="O708" i="3"/>
  <c r="N708" i="3"/>
  <c r="Y707" i="3"/>
  <c r="X707" i="3"/>
  <c r="W707" i="3"/>
  <c r="V707" i="3"/>
  <c r="U707" i="3"/>
  <c r="T707" i="3"/>
  <c r="S707" i="3"/>
  <c r="R707" i="3"/>
  <c r="Q707" i="3"/>
  <c r="P707" i="3"/>
  <c r="M707" i="3"/>
  <c r="L707" i="3"/>
  <c r="AI706" i="3"/>
  <c r="AH706" i="3"/>
  <c r="AL706" i="3" s="1"/>
  <c r="AG706" i="3"/>
  <c r="AF706" i="3"/>
  <c r="AE706" i="3"/>
  <c r="AC706" i="3"/>
  <c r="AC707" i="3" s="1"/>
  <c r="AC708" i="3" s="1"/>
  <c r="AC709" i="3" s="1"/>
  <c r="K709" i="3" l="1"/>
  <c r="O725" i="3"/>
  <c r="K721" i="3"/>
  <c r="Y723" i="3"/>
  <c r="N727" i="3"/>
  <c r="N707" i="3"/>
  <c r="M711" i="3"/>
  <c r="O715" i="3"/>
  <c r="K717" i="3"/>
  <c r="N723" i="3"/>
  <c r="S723" i="3"/>
  <c r="N724" i="3"/>
  <c r="T723" i="3"/>
  <c r="N725" i="3"/>
  <c r="K725" i="3" s="1"/>
  <c r="X711" i="3"/>
  <c r="Y711" i="3"/>
  <c r="O719" i="3"/>
  <c r="K719" i="3" s="1"/>
  <c r="V723" i="3"/>
  <c r="K708" i="3"/>
  <c r="K729" i="3"/>
  <c r="O707" i="3"/>
  <c r="I715" i="3"/>
  <c r="I711" i="3" s="1"/>
  <c r="O727" i="3"/>
  <c r="K727" i="3" s="1"/>
  <c r="P711" i="3"/>
  <c r="AQ714" i="3"/>
  <c r="AI707" i="3"/>
  <c r="AI708" i="3" s="1"/>
  <c r="AI709" i="3" s="1"/>
  <c r="AR710" i="3"/>
  <c r="BB726" i="3"/>
  <c r="AB726" i="3"/>
  <c r="AY718" i="3"/>
  <c r="AM726" i="3"/>
  <c r="AN718" i="3"/>
  <c r="AZ718" i="3"/>
  <c r="AZ706" i="3"/>
  <c r="AK714" i="3"/>
  <c r="AM718" i="3"/>
  <c r="AM714" i="3"/>
  <c r="AL726" i="3"/>
  <c r="AF719" i="3"/>
  <c r="AF720" i="3" s="1"/>
  <c r="AF721" i="3" s="1"/>
  <c r="AV714" i="3"/>
  <c r="AR718" i="3"/>
  <c r="AH728" i="3"/>
  <c r="AH729" i="3" s="1"/>
  <c r="AW714" i="3"/>
  <c r="AM706" i="3"/>
  <c r="AT726" i="3"/>
  <c r="AH723" i="3"/>
  <c r="AH719" i="3" s="1"/>
  <c r="AN726" i="3"/>
  <c r="AN706" i="3"/>
  <c r="AZ726" i="3"/>
  <c r="AF707" i="3"/>
  <c r="AF708" i="3" s="1"/>
  <c r="AF709" i="3" s="1"/>
  <c r="AH715" i="3"/>
  <c r="AH716" i="3" s="1"/>
  <c r="AJ722" i="3"/>
  <c r="AS726" i="3"/>
  <c r="AR726" i="3"/>
  <c r="AO706" i="3"/>
  <c r="AO710" i="3"/>
  <c r="AX706" i="3"/>
  <c r="AP710" i="3"/>
  <c r="AL718" i="3"/>
  <c r="AJ727" i="3"/>
  <c r="BB710" i="3"/>
  <c r="AJ714" i="3"/>
  <c r="AP722" i="3"/>
  <c r="AT722" i="3"/>
  <c r="AQ722" i="3"/>
  <c r="AO722" i="3"/>
  <c r="AN722" i="3"/>
  <c r="AI723" i="3"/>
  <c r="O713" i="3"/>
  <c r="K715" i="3"/>
  <c r="AY722" i="3"/>
  <c r="I707" i="3"/>
  <c r="AZ722" i="3"/>
  <c r="O712" i="3"/>
  <c r="Q711" i="3"/>
  <c r="N713" i="3"/>
  <c r="L711" i="3"/>
  <c r="AG707" i="3"/>
  <c r="AG708" i="3" s="1"/>
  <c r="AG709" i="3" s="1"/>
  <c r="AR722" i="3"/>
  <c r="AH707" i="3"/>
  <c r="AH712" i="3"/>
  <c r="AS714" i="3"/>
  <c r="AP714" i="3"/>
  <c r="AO714" i="3"/>
  <c r="AI715" i="3"/>
  <c r="AI716" i="3" s="1"/>
  <c r="AI717" i="3" s="1"/>
  <c r="AY714" i="3"/>
  <c r="AN714" i="3"/>
  <c r="AZ714" i="3"/>
  <c r="O724" i="3"/>
  <c r="Q723" i="3"/>
  <c r="AG724" i="3"/>
  <c r="AG725" i="3" s="1"/>
  <c r="AG719" i="3"/>
  <c r="AG720" i="3" s="1"/>
  <c r="AG721" i="3" s="1"/>
  <c r="AS710" i="3"/>
  <c r="AO718" i="3"/>
  <c r="AO726" i="3"/>
  <c r="AQ710" i="3"/>
  <c r="AP706" i="3"/>
  <c r="AD706" i="3"/>
  <c r="AQ706" i="3"/>
  <c r="AT710" i="3"/>
  <c r="AD718" i="3"/>
  <c r="AP718" i="3"/>
  <c r="AP726" i="3"/>
  <c r="AS706" i="3"/>
  <c r="AV710" i="3"/>
  <c r="AS718" i="3"/>
  <c r="AT706" i="3"/>
  <c r="AJ710" i="3"/>
  <c r="AW710" i="3"/>
  <c r="AD714" i="3"/>
  <c r="AT718" i="3"/>
  <c r="I719" i="3"/>
  <c r="AD722" i="3"/>
  <c r="AU726" i="3"/>
  <c r="AU710" i="3"/>
  <c r="AQ718" i="3"/>
  <c r="I727" i="3"/>
  <c r="I723" i="3" s="1"/>
  <c r="AU706" i="3"/>
  <c r="AK710" i="3"/>
  <c r="AX710" i="3"/>
  <c r="N712" i="3"/>
  <c r="AX714" i="3"/>
  <c r="AR714" i="3"/>
  <c r="AU718" i="3"/>
  <c r="AX722" i="3"/>
  <c r="AW722" i="3"/>
  <c r="AS722" i="3"/>
  <c r="AV726" i="3"/>
  <c r="AR706" i="3"/>
  <c r="AW726" i="3"/>
  <c r="AL710" i="3"/>
  <c r="AW706" i="3"/>
  <c r="AM710" i="3"/>
  <c r="AZ710" i="3"/>
  <c r="AT714" i="3"/>
  <c r="AJ718" i="3"/>
  <c r="AW718" i="3"/>
  <c r="AU722" i="3"/>
  <c r="AJ726" i="3"/>
  <c r="AX726" i="3"/>
  <c r="AV706" i="3"/>
  <c r="AY710" i="3"/>
  <c r="AV718" i="3"/>
  <c r="AJ706" i="3"/>
  <c r="AK706" i="3"/>
  <c r="AY706" i="3"/>
  <c r="AN710" i="3"/>
  <c r="AU714" i="3"/>
  <c r="AX718" i="3"/>
  <c r="AL722" i="3"/>
  <c r="AK722" i="3"/>
  <c r="AV722" i="3"/>
  <c r="P723" i="3"/>
  <c r="AK726" i="3"/>
  <c r="AY726" i="3"/>
  <c r="AQ726" i="3"/>
  <c r="P16" i="7"/>
  <c r="P17" i="7"/>
  <c r="P18" i="7"/>
  <c r="K724" i="3" l="1"/>
  <c r="N711" i="3"/>
  <c r="K707" i="3"/>
  <c r="O711" i="3"/>
  <c r="K712" i="3"/>
  <c r="AJ728" i="3"/>
  <c r="AJ729" i="3"/>
  <c r="AH724" i="3"/>
  <c r="AJ723" i="3"/>
  <c r="AJ715" i="3"/>
  <c r="AJ716" i="3"/>
  <c r="AH717" i="3"/>
  <c r="AB722" i="3"/>
  <c r="BB722" i="3"/>
  <c r="O723" i="3"/>
  <c r="K723" i="3" s="1"/>
  <c r="AB718" i="3"/>
  <c r="BB718" i="3"/>
  <c r="AH708" i="3"/>
  <c r="AJ707" i="3"/>
  <c r="AI719" i="3"/>
  <c r="AI720" i="3" s="1"/>
  <c r="AI721" i="3" s="1"/>
  <c r="AI724" i="3"/>
  <c r="AI725" i="3" s="1"/>
  <c r="K711" i="3"/>
  <c r="AB714" i="3"/>
  <c r="BB714" i="3"/>
  <c r="K713" i="3"/>
  <c r="AJ712" i="3"/>
  <c r="AH713" i="3"/>
  <c r="AH720" i="3"/>
  <c r="AJ719" i="3"/>
  <c r="BB706" i="3"/>
  <c r="AB706" i="3"/>
  <c r="M813" i="3"/>
  <c r="O573" i="3"/>
  <c r="M573" i="3"/>
  <c r="M569" i="3" s="1"/>
  <c r="O572" i="3"/>
  <c r="N572" i="3"/>
  <c r="K572" i="3" s="1"/>
  <c r="AI571" i="3"/>
  <c r="AI572" i="3" s="1"/>
  <c r="AI573" i="3" s="1"/>
  <c r="AH571" i="3"/>
  <c r="AJ571" i="3" s="1"/>
  <c r="AG571" i="3"/>
  <c r="AG572" i="3" s="1"/>
  <c r="AG573" i="3" s="1"/>
  <c r="AF571" i="3"/>
  <c r="AF572" i="3" s="1"/>
  <c r="AF573" i="3" s="1"/>
  <c r="AE571" i="3"/>
  <c r="Y571" i="3"/>
  <c r="X571" i="3"/>
  <c r="W571" i="3"/>
  <c r="V571" i="3"/>
  <c r="U571" i="3"/>
  <c r="T571" i="3"/>
  <c r="S571" i="3"/>
  <c r="R571" i="3"/>
  <c r="Q571" i="3"/>
  <c r="P571" i="3"/>
  <c r="L571" i="3"/>
  <c r="AI570" i="3"/>
  <c r="AH570" i="3"/>
  <c r="AL570" i="3" s="1"/>
  <c r="AG570" i="3"/>
  <c r="AF570" i="3"/>
  <c r="AE570" i="3"/>
  <c r="AD570" i="3" s="1"/>
  <c r="BB570" i="3" s="1"/>
  <c r="AC570" i="3"/>
  <c r="AC571" i="3" s="1"/>
  <c r="Y569" i="3"/>
  <c r="X569" i="3"/>
  <c r="W569" i="3"/>
  <c r="V569" i="3"/>
  <c r="U569" i="3"/>
  <c r="T569" i="3"/>
  <c r="S569" i="3"/>
  <c r="R569" i="3"/>
  <c r="Q569" i="3"/>
  <c r="P569" i="3"/>
  <c r="L569" i="3"/>
  <c r="Y568" i="3"/>
  <c r="X568" i="3"/>
  <c r="W568" i="3"/>
  <c r="V568" i="3"/>
  <c r="U568" i="3"/>
  <c r="T568" i="3"/>
  <c r="S568" i="3"/>
  <c r="R568" i="3"/>
  <c r="Q568" i="3"/>
  <c r="P568" i="3"/>
  <c r="M568" i="3"/>
  <c r="L568" i="3"/>
  <c r="AI567" i="3"/>
  <c r="AI568" i="3" s="1"/>
  <c r="AI569" i="3" s="1"/>
  <c r="AH567" i="3"/>
  <c r="AG567" i="3"/>
  <c r="AG568" i="3" s="1"/>
  <c r="AG569" i="3" s="1"/>
  <c r="AF567" i="3"/>
  <c r="AF568" i="3" s="1"/>
  <c r="AF569" i="3" s="1"/>
  <c r="AE567" i="3"/>
  <c r="AI566" i="3"/>
  <c r="AH566" i="3"/>
  <c r="AG566" i="3"/>
  <c r="AF566" i="3"/>
  <c r="AE566" i="3"/>
  <c r="AC566" i="3"/>
  <c r="AC567" i="3" s="1"/>
  <c r="AC568" i="3" s="1"/>
  <c r="AC569" i="3" s="1"/>
  <c r="O565" i="3"/>
  <c r="N565" i="3"/>
  <c r="K565" i="3" s="1"/>
  <c r="O564" i="3"/>
  <c r="N564" i="3"/>
  <c r="AI563" i="3"/>
  <c r="AI564" i="3" s="1"/>
  <c r="AI565" i="3" s="1"/>
  <c r="AH563" i="3"/>
  <c r="AJ563" i="3" s="1"/>
  <c r="AG563" i="3"/>
  <c r="AG564" i="3" s="1"/>
  <c r="AG565" i="3" s="1"/>
  <c r="AF563" i="3"/>
  <c r="AF564" i="3" s="1"/>
  <c r="AF565" i="3" s="1"/>
  <c r="AE563" i="3"/>
  <c r="Y563" i="3"/>
  <c r="X563" i="3"/>
  <c r="W563" i="3"/>
  <c r="V563" i="3"/>
  <c r="U563" i="3"/>
  <c r="T563" i="3"/>
  <c r="S563" i="3"/>
  <c r="R563" i="3"/>
  <c r="Q563" i="3"/>
  <c r="P563" i="3"/>
  <c r="M563" i="3"/>
  <c r="L563" i="3"/>
  <c r="AI562" i="3"/>
  <c r="AH562" i="3"/>
  <c r="AK562" i="3" s="1"/>
  <c r="AG562" i="3"/>
  <c r="AF562" i="3"/>
  <c r="AE562" i="3"/>
  <c r="AD562" i="3" s="1"/>
  <c r="BB562" i="3" s="1"/>
  <c r="AC562" i="3"/>
  <c r="AC563" i="3" s="1"/>
  <c r="N569" i="3" l="1"/>
  <c r="K564" i="3"/>
  <c r="R567" i="3"/>
  <c r="N568" i="3"/>
  <c r="AH725" i="3"/>
  <c r="AJ725" i="3" s="1"/>
  <c r="AJ724" i="3"/>
  <c r="AJ717" i="3"/>
  <c r="N563" i="3"/>
  <c r="AJ708" i="3"/>
  <c r="AH709" i="3"/>
  <c r="AJ713" i="3"/>
  <c r="AH721" i="3"/>
  <c r="AJ720" i="3"/>
  <c r="S567" i="3"/>
  <c r="AT567" i="3" s="1"/>
  <c r="P567" i="3"/>
  <c r="AQ567" i="3" s="1"/>
  <c r="Q567" i="3"/>
  <c r="AR567" i="3" s="1"/>
  <c r="O571" i="3"/>
  <c r="T567" i="3"/>
  <c r="AU567" i="3" s="1"/>
  <c r="W567" i="3"/>
  <c r="AX567" i="3" s="1"/>
  <c r="X567" i="3"/>
  <c r="AY567" i="3" s="1"/>
  <c r="O563" i="3"/>
  <c r="U567" i="3"/>
  <c r="AV567" i="3" s="1"/>
  <c r="V567" i="3"/>
  <c r="AW567" i="3" s="1"/>
  <c r="Y567" i="3"/>
  <c r="AZ567" i="3" s="1"/>
  <c r="O568" i="3"/>
  <c r="O569" i="3"/>
  <c r="K569" i="3" s="1"/>
  <c r="L567" i="3"/>
  <c r="AO567" i="3" s="1"/>
  <c r="AZ563" i="3"/>
  <c r="AT566" i="3"/>
  <c r="AD571" i="3"/>
  <c r="AB571" i="3" s="1"/>
  <c r="AQ571" i="3"/>
  <c r="AT570" i="3"/>
  <c r="AH564" i="3"/>
  <c r="AH565" i="3" s="1"/>
  <c r="AL562" i="3"/>
  <c r="AM562" i="3"/>
  <c r="AX570" i="3"/>
  <c r="AY570" i="3"/>
  <c r="AZ571" i="3"/>
  <c r="AV570" i="3"/>
  <c r="AP562" i="3"/>
  <c r="AJ562" i="3"/>
  <c r="AY571" i="3"/>
  <c r="AW570" i="3"/>
  <c r="AK563" i="3"/>
  <c r="AH572" i="3"/>
  <c r="AH573" i="3" s="1"/>
  <c r="AJ573" i="3" s="1"/>
  <c r="AB570" i="3"/>
  <c r="AZ562" i="3"/>
  <c r="AT562" i="3"/>
  <c r="AS562" i="3"/>
  <c r="AU562" i="3"/>
  <c r="AL563" i="3"/>
  <c r="AV562" i="3"/>
  <c r="AO563" i="3"/>
  <c r="AW562" i="3"/>
  <c r="AP563" i="3"/>
  <c r="AX562" i="3"/>
  <c r="AD566" i="3"/>
  <c r="AB566" i="3" s="1"/>
  <c r="AQ563" i="3"/>
  <c r="AS566" i="3"/>
  <c r="AN570" i="3"/>
  <c r="AO571" i="3"/>
  <c r="AM570" i="3"/>
  <c r="AK571" i="3"/>
  <c r="AB562" i="3"/>
  <c r="AN562" i="3"/>
  <c r="AO562" i="3"/>
  <c r="AD563" i="3"/>
  <c r="AC564" i="3"/>
  <c r="AC565" i="3" s="1"/>
  <c r="AC572" i="3"/>
  <c r="AC573" i="3" s="1"/>
  <c r="AY566" i="3"/>
  <c r="AW566" i="3"/>
  <c r="AX566" i="3"/>
  <c r="AV566" i="3"/>
  <c r="AU566" i="3"/>
  <c r="AS567" i="3"/>
  <c r="I563" i="3"/>
  <c r="AM563" i="3"/>
  <c r="AZ566" i="3"/>
  <c r="AU570" i="3"/>
  <c r="AV571" i="3"/>
  <c r="AT571" i="3"/>
  <c r="AS571" i="3"/>
  <c r="AU571" i="3"/>
  <c r="AR571" i="3"/>
  <c r="AW571" i="3"/>
  <c r="AS570" i="3"/>
  <c r="AX571" i="3"/>
  <c r="AM566" i="3"/>
  <c r="AK566" i="3"/>
  <c r="AJ566" i="3"/>
  <c r="AL566" i="3"/>
  <c r="AN566" i="3"/>
  <c r="AV563" i="3"/>
  <c r="AU563" i="3"/>
  <c r="AT563" i="3"/>
  <c r="AS563" i="3"/>
  <c r="AH568" i="3"/>
  <c r="AP570" i="3"/>
  <c r="AO570" i="3"/>
  <c r="AZ570" i="3"/>
  <c r="N573" i="3"/>
  <c r="K573" i="3" s="1"/>
  <c r="AL571" i="3"/>
  <c r="AQ566" i="3"/>
  <c r="M567" i="3"/>
  <c r="AP567" i="3" s="1"/>
  <c r="AK570" i="3"/>
  <c r="M571" i="3"/>
  <c r="AP571" i="3" s="1"/>
  <c r="AM571" i="3"/>
  <c r="AD567" i="3"/>
  <c r="AR563" i="3"/>
  <c r="AO566" i="3"/>
  <c r="AW563" i="3"/>
  <c r="AP566" i="3"/>
  <c r="AJ570" i="3"/>
  <c r="AX563" i="3"/>
  <c r="AJ567" i="3"/>
  <c r="AL567" i="3" s="1"/>
  <c r="AY562" i="3"/>
  <c r="AY563" i="3"/>
  <c r="AR566" i="3"/>
  <c r="AK567" i="3"/>
  <c r="AQ562" i="3"/>
  <c r="AR570" i="3"/>
  <c r="AQ570" i="3"/>
  <c r="AR562" i="3"/>
  <c r="K568" i="3" l="1"/>
  <c r="AJ721" i="3"/>
  <c r="K563" i="3"/>
  <c r="AN563" i="3" s="1"/>
  <c r="AJ709" i="3"/>
  <c r="BB571" i="3"/>
  <c r="O567" i="3"/>
  <c r="N567" i="3"/>
  <c r="AJ564" i="3"/>
  <c r="AJ572" i="3"/>
  <c r="AM567" i="3"/>
  <c r="BB566" i="3"/>
  <c r="BB567" i="3"/>
  <c r="AB567" i="3"/>
  <c r="I571" i="3"/>
  <c r="I567" i="3" s="1"/>
  <c r="AH569" i="3"/>
  <c r="AJ568" i="3"/>
  <c r="AJ565" i="3"/>
  <c r="N571" i="3"/>
  <c r="K571" i="3" s="1"/>
  <c r="AN571" i="3" s="1"/>
  <c r="AB563" i="3"/>
  <c r="BB563" i="3"/>
  <c r="K567" i="3" l="1"/>
  <c r="AN567" i="3" s="1"/>
  <c r="AJ569" i="3"/>
  <c r="M261" i="3" l="1"/>
  <c r="M369" i="3"/>
  <c r="M129" i="3"/>
  <c r="P297" i="3"/>
  <c r="L113" i="7" l="1"/>
  <c r="K113" i="7"/>
  <c r="J113" i="7"/>
  <c r="I113" i="7"/>
  <c r="H113" i="7"/>
  <c r="P113" i="7" s="1"/>
  <c r="G113" i="7"/>
  <c r="T113" i="7" s="1"/>
  <c r="F113" i="7"/>
  <c r="N113" i="7" s="1"/>
  <c r="G111" i="7"/>
  <c r="H111" i="7"/>
  <c r="I111" i="7"/>
  <c r="Q111" i="7" s="1"/>
  <c r="J111" i="7"/>
  <c r="R111" i="7" s="1"/>
  <c r="K111" i="7"/>
  <c r="L111" i="7"/>
  <c r="F111" i="7"/>
  <c r="R113" i="7"/>
  <c r="Q113" i="7"/>
  <c r="P111" i="7"/>
  <c r="N111" i="7"/>
  <c r="L108" i="7"/>
  <c r="K108" i="7"/>
  <c r="J108" i="7"/>
  <c r="I108" i="7"/>
  <c r="H108" i="7"/>
  <c r="G108" i="7"/>
  <c r="F108" i="7"/>
  <c r="O113" i="7" l="1"/>
  <c r="S113" i="7"/>
  <c r="S111" i="7"/>
  <c r="T111" i="7"/>
  <c r="O111" i="7"/>
  <c r="U113" i="7" l="1"/>
  <c r="U111" i="7"/>
  <c r="P812" i="3" l="1"/>
  <c r="O813" i="3"/>
  <c r="M809" i="3"/>
  <c r="P808" i="3"/>
  <c r="O812" i="3"/>
  <c r="N812" i="3"/>
  <c r="AI811" i="3"/>
  <c r="AI812" i="3" s="1"/>
  <c r="AI813" i="3" s="1"/>
  <c r="AH811" i="3"/>
  <c r="AG811" i="3"/>
  <c r="AG812" i="3" s="1"/>
  <c r="AG813" i="3" s="1"/>
  <c r="AF811" i="3"/>
  <c r="AF812" i="3" s="1"/>
  <c r="AF813" i="3" s="1"/>
  <c r="AE811" i="3"/>
  <c r="Y811" i="3"/>
  <c r="X811" i="3"/>
  <c r="W811" i="3"/>
  <c r="V811" i="3"/>
  <c r="U811" i="3"/>
  <c r="T811" i="3"/>
  <c r="S811" i="3"/>
  <c r="R811" i="3"/>
  <c r="Q811" i="3"/>
  <c r="P811" i="3"/>
  <c r="M811" i="3"/>
  <c r="L811" i="3"/>
  <c r="AI810" i="3"/>
  <c r="AH810" i="3"/>
  <c r="AL810" i="3" s="1"/>
  <c r="AG810" i="3"/>
  <c r="AF810" i="3"/>
  <c r="AE810" i="3"/>
  <c r="AC810" i="3"/>
  <c r="AC811" i="3" s="1"/>
  <c r="Y809" i="3"/>
  <c r="X809" i="3"/>
  <c r="W809" i="3"/>
  <c r="V809" i="3"/>
  <c r="U809" i="3"/>
  <c r="T809" i="3"/>
  <c r="S809" i="3"/>
  <c r="R809" i="3"/>
  <c r="Q809" i="3"/>
  <c r="P809" i="3"/>
  <c r="L809" i="3"/>
  <c r="Y808" i="3"/>
  <c r="X808" i="3"/>
  <c r="W808" i="3"/>
  <c r="V808" i="3"/>
  <c r="U808" i="3"/>
  <c r="T808" i="3"/>
  <c r="S808" i="3"/>
  <c r="R808" i="3"/>
  <c r="Q808" i="3"/>
  <c r="M808" i="3"/>
  <c r="L808" i="3"/>
  <c r="N808" i="3" s="1"/>
  <c r="AI807" i="3"/>
  <c r="AI808" i="3" s="1"/>
  <c r="AI809" i="3" s="1"/>
  <c r="AH807" i="3"/>
  <c r="AH808" i="3" s="1"/>
  <c r="AG807" i="3"/>
  <c r="AG808" i="3" s="1"/>
  <c r="AG809" i="3" s="1"/>
  <c r="AF807" i="3"/>
  <c r="AF808" i="3" s="1"/>
  <c r="AF809" i="3" s="1"/>
  <c r="AE807" i="3"/>
  <c r="AI806" i="3"/>
  <c r="AH806" i="3"/>
  <c r="AM806" i="3" s="1"/>
  <c r="AG806" i="3"/>
  <c r="AF806" i="3"/>
  <c r="AE806" i="3"/>
  <c r="AD806" i="3" s="1"/>
  <c r="AB806" i="3" s="1"/>
  <c r="AC806" i="3"/>
  <c r="AC807" i="3" s="1"/>
  <c r="AC808" i="3" s="1"/>
  <c r="AC809" i="3" s="1"/>
  <c r="O805" i="3"/>
  <c r="N805" i="3"/>
  <c r="O804" i="3"/>
  <c r="N804" i="3"/>
  <c r="K804" i="3" s="1"/>
  <c r="AI803" i="3"/>
  <c r="AI804" i="3" s="1"/>
  <c r="AI805" i="3" s="1"/>
  <c r="AH803" i="3"/>
  <c r="AH804" i="3" s="1"/>
  <c r="AH805" i="3" s="1"/>
  <c r="AG803" i="3"/>
  <c r="AG804" i="3" s="1"/>
  <c r="AG805" i="3" s="1"/>
  <c r="AF803" i="3"/>
  <c r="AF804" i="3" s="1"/>
  <c r="AF805" i="3" s="1"/>
  <c r="AE803" i="3"/>
  <c r="Y803" i="3"/>
  <c r="X803" i="3"/>
  <c r="W803" i="3"/>
  <c r="V803" i="3"/>
  <c r="U803" i="3"/>
  <c r="T803" i="3"/>
  <c r="S803" i="3"/>
  <c r="R803" i="3"/>
  <c r="Q803" i="3"/>
  <c r="P803" i="3"/>
  <c r="M803" i="3"/>
  <c r="L803" i="3"/>
  <c r="AI802" i="3"/>
  <c r="AH802" i="3"/>
  <c r="AK802" i="3" s="1"/>
  <c r="AG802" i="3"/>
  <c r="AF802" i="3"/>
  <c r="AE802" i="3"/>
  <c r="AD802" i="3" s="1"/>
  <c r="AC802" i="3"/>
  <c r="AC803" i="3" s="1"/>
  <c r="AC804" i="3" s="1"/>
  <c r="AC805" i="3" s="1"/>
  <c r="T807" i="3" l="1"/>
  <c r="N811" i="3"/>
  <c r="O809" i="3"/>
  <c r="V807" i="3"/>
  <c r="AW807" i="3" s="1"/>
  <c r="K805" i="3"/>
  <c r="S807" i="3"/>
  <c r="AT807" i="3" s="1"/>
  <c r="I803" i="3"/>
  <c r="W807" i="3"/>
  <c r="AX807" i="3" s="1"/>
  <c r="X807" i="3"/>
  <c r="AY807" i="3" s="1"/>
  <c r="M807" i="3"/>
  <c r="AP807" i="3" s="1"/>
  <c r="Q807" i="3"/>
  <c r="AR807" i="3" s="1"/>
  <c r="R807" i="3"/>
  <c r="AS807" i="3" s="1"/>
  <c r="U807" i="3"/>
  <c r="AV807" i="3" s="1"/>
  <c r="Y807" i="3"/>
  <c r="AZ807" i="3" s="1"/>
  <c r="N803" i="3"/>
  <c r="N809" i="3"/>
  <c r="K812" i="3"/>
  <c r="O803" i="3"/>
  <c r="I811" i="3"/>
  <c r="I807" i="3" s="1"/>
  <c r="AV802" i="3"/>
  <c r="BB802" i="3"/>
  <c r="AB802" i="3"/>
  <c r="AT810" i="3"/>
  <c r="AD811" i="3"/>
  <c r="AB811" i="3" s="1"/>
  <c r="AL802" i="3"/>
  <c r="AM802" i="3"/>
  <c r="AP806" i="3"/>
  <c r="AN802" i="3"/>
  <c r="AY811" i="3"/>
  <c r="AU802" i="3"/>
  <c r="AX803" i="3"/>
  <c r="AU810" i="3"/>
  <c r="AP802" i="3"/>
  <c r="BB806" i="3"/>
  <c r="AM810" i="3"/>
  <c r="AW811" i="3"/>
  <c r="AJ806" i="3"/>
  <c r="AW802" i="3"/>
  <c r="AO803" i="3"/>
  <c r="AC812" i="3"/>
  <c r="AC813" i="3" s="1"/>
  <c r="AX802" i="3"/>
  <c r="AK811" i="3"/>
  <c r="AZ802" i="3"/>
  <c r="AY803" i="3"/>
  <c r="AU811" i="3"/>
  <c r="AJ810" i="3"/>
  <c r="AR811" i="3"/>
  <c r="AJ802" i="3"/>
  <c r="AO806" i="3"/>
  <c r="AK810" i="3"/>
  <c r="AS811" i="3"/>
  <c r="AK806" i="3"/>
  <c r="AP803" i="3"/>
  <c r="AY802" i="3"/>
  <c r="AS803" i="3"/>
  <c r="AT811" i="3"/>
  <c r="AX810" i="3"/>
  <c r="AO811" i="3"/>
  <c r="AZ803" i="3"/>
  <c r="AX811" i="3"/>
  <c r="AJ805" i="3"/>
  <c r="P807" i="3"/>
  <c r="O808" i="3"/>
  <c r="K808" i="3" s="1"/>
  <c r="AJ808" i="3"/>
  <c r="AH809" i="3"/>
  <c r="AR806" i="3"/>
  <c r="AS806" i="3"/>
  <c r="AQ803" i="3"/>
  <c r="AT806" i="3"/>
  <c r="L807" i="3"/>
  <c r="AJ807" i="3"/>
  <c r="AM807" i="3" s="1"/>
  <c r="AY810" i="3"/>
  <c r="AP811" i="3"/>
  <c r="AO802" i="3"/>
  <c r="AR803" i="3"/>
  <c r="AJ804" i="3"/>
  <c r="AU806" i="3"/>
  <c r="AK807" i="3"/>
  <c r="AN810" i="3"/>
  <c r="AZ810" i="3"/>
  <c r="AQ811" i="3"/>
  <c r="AH812" i="3"/>
  <c r="N813" i="3"/>
  <c r="K813" i="3" s="1"/>
  <c r="AQ806" i="3"/>
  <c r="AU807" i="3"/>
  <c r="AD810" i="3"/>
  <c r="AP810" i="3"/>
  <c r="AV810" i="3"/>
  <c r="AW810" i="3"/>
  <c r="O811" i="3"/>
  <c r="K811" i="3" s="1"/>
  <c r="AN811" i="3" s="1"/>
  <c r="AD803" i="3"/>
  <c r="AO810" i="3"/>
  <c r="AQ802" i="3"/>
  <c r="AT803" i="3"/>
  <c r="AR802" i="3"/>
  <c r="AU803" i="3"/>
  <c r="AL806" i="3"/>
  <c r="AV803" i="3"/>
  <c r="AV806" i="3"/>
  <c r="AW806" i="3"/>
  <c r="AQ810" i="3"/>
  <c r="AS802" i="3"/>
  <c r="AJ803" i="3"/>
  <c r="AM803" i="3" s="1"/>
  <c r="AT802" i="3"/>
  <c r="AK803" i="3"/>
  <c r="AW803" i="3"/>
  <c r="AN806" i="3"/>
  <c r="AZ806" i="3"/>
  <c r="AD807" i="3"/>
  <c r="AS810" i="3"/>
  <c r="AJ811" i="3"/>
  <c r="AV811" i="3"/>
  <c r="AZ811" i="3"/>
  <c r="AX806" i="3"/>
  <c r="AY806" i="3"/>
  <c r="AR810" i="3"/>
  <c r="N807" i="3" l="1"/>
  <c r="K809" i="3"/>
  <c r="AO807" i="3"/>
  <c r="O807" i="3"/>
  <c r="K807" i="3" s="1"/>
  <c r="AN807" i="3" s="1"/>
  <c r="K803" i="3"/>
  <c r="AN803" i="3" s="1"/>
  <c r="AQ807" i="3"/>
  <c r="BB811" i="3"/>
  <c r="AL807" i="3"/>
  <c r="AJ809" i="3"/>
  <c r="AL803" i="3"/>
  <c r="AH813" i="3"/>
  <c r="AJ812" i="3"/>
  <c r="BB810" i="3"/>
  <c r="AB810" i="3"/>
  <c r="AB803" i="3"/>
  <c r="BB803" i="3"/>
  <c r="AM811" i="3"/>
  <c r="AL811" i="3"/>
  <c r="AB807" i="3" l="1"/>
  <c r="BB807" i="3"/>
  <c r="AJ813" i="3"/>
  <c r="P548" i="3" l="1"/>
  <c r="O549" i="3"/>
  <c r="N549" i="3"/>
  <c r="O548" i="3"/>
  <c r="N548" i="3"/>
  <c r="AI547" i="3"/>
  <c r="AI548" i="3" s="1"/>
  <c r="AI549" i="3" s="1"/>
  <c r="AH547" i="3"/>
  <c r="AG547" i="3"/>
  <c r="AG548" i="3" s="1"/>
  <c r="AG549" i="3" s="1"/>
  <c r="AF547" i="3"/>
  <c r="AF548" i="3" s="1"/>
  <c r="AF549" i="3" s="1"/>
  <c r="AE547" i="3"/>
  <c r="Y547" i="3"/>
  <c r="X547" i="3"/>
  <c r="W547" i="3"/>
  <c r="V547" i="3"/>
  <c r="U547" i="3"/>
  <c r="T547" i="3"/>
  <c r="S547" i="3"/>
  <c r="R547" i="3"/>
  <c r="Q547" i="3"/>
  <c r="P547" i="3"/>
  <c r="M547" i="3"/>
  <c r="L547" i="3"/>
  <c r="AI546" i="3"/>
  <c r="AH546" i="3"/>
  <c r="AL546" i="3" s="1"/>
  <c r="AG546" i="3"/>
  <c r="AF546" i="3"/>
  <c r="AE546" i="3"/>
  <c r="AC546" i="3"/>
  <c r="AC547" i="3" s="1"/>
  <c r="Y545" i="3"/>
  <c r="X545" i="3"/>
  <c r="W545" i="3"/>
  <c r="V545" i="3"/>
  <c r="U545" i="3"/>
  <c r="T545" i="3"/>
  <c r="S545" i="3"/>
  <c r="R545" i="3"/>
  <c r="Q545" i="3"/>
  <c r="P545" i="3"/>
  <c r="M545" i="3"/>
  <c r="L545" i="3"/>
  <c r="Y544" i="3"/>
  <c r="X544" i="3"/>
  <c r="W544" i="3"/>
  <c r="V544" i="3"/>
  <c r="U544" i="3"/>
  <c r="T544" i="3"/>
  <c r="S544" i="3"/>
  <c r="R544" i="3"/>
  <c r="R543" i="3" s="1"/>
  <c r="Q544" i="3"/>
  <c r="P544" i="3"/>
  <c r="P543" i="3" s="1"/>
  <c r="M544" i="3"/>
  <c r="L544" i="3"/>
  <c r="AI543" i="3"/>
  <c r="AI544" i="3" s="1"/>
  <c r="AI545" i="3" s="1"/>
  <c r="AH543" i="3"/>
  <c r="AJ543" i="3" s="1"/>
  <c r="AG543" i="3"/>
  <c r="AG544" i="3" s="1"/>
  <c r="AG545" i="3" s="1"/>
  <c r="AF543" i="3"/>
  <c r="AF544" i="3" s="1"/>
  <c r="AF545" i="3" s="1"/>
  <c r="AE543" i="3"/>
  <c r="AI542" i="3"/>
  <c r="AH542" i="3"/>
  <c r="AM542" i="3" s="1"/>
  <c r="AG542" i="3"/>
  <c r="AF542" i="3"/>
  <c r="AE542" i="3"/>
  <c r="AC542" i="3"/>
  <c r="AC543" i="3" s="1"/>
  <c r="O541" i="3"/>
  <c r="N541" i="3"/>
  <c r="O540" i="3"/>
  <c r="N540" i="3"/>
  <c r="AI539" i="3"/>
  <c r="AI540" i="3" s="1"/>
  <c r="AI541" i="3" s="1"/>
  <c r="AH539" i="3"/>
  <c r="AJ539" i="3" s="1"/>
  <c r="AG539" i="3"/>
  <c r="AG540" i="3" s="1"/>
  <c r="AG541" i="3" s="1"/>
  <c r="AF539" i="3"/>
  <c r="AF540" i="3" s="1"/>
  <c r="AF541" i="3" s="1"/>
  <c r="AE539" i="3"/>
  <c r="Y539" i="3"/>
  <c r="X539" i="3"/>
  <c r="W539" i="3"/>
  <c r="V539" i="3"/>
  <c r="U539" i="3"/>
  <c r="T539" i="3"/>
  <c r="S539" i="3"/>
  <c r="R539" i="3"/>
  <c r="Q539" i="3"/>
  <c r="P539" i="3"/>
  <c r="M539" i="3"/>
  <c r="L539" i="3"/>
  <c r="AI538" i="3"/>
  <c r="AH538" i="3"/>
  <c r="AL538" i="3" s="1"/>
  <c r="AG538" i="3"/>
  <c r="AF538" i="3"/>
  <c r="AE538" i="3"/>
  <c r="AC538" i="3"/>
  <c r="AC539" i="3" s="1"/>
  <c r="P524" i="3"/>
  <c r="P523" i="3" s="1"/>
  <c r="O525" i="3"/>
  <c r="N525" i="3"/>
  <c r="O524" i="3"/>
  <c r="N524" i="3"/>
  <c r="AI523" i="3"/>
  <c r="AI524" i="3" s="1"/>
  <c r="AI525" i="3" s="1"/>
  <c r="AH523" i="3"/>
  <c r="AJ523" i="3" s="1"/>
  <c r="AG523" i="3"/>
  <c r="AG524" i="3" s="1"/>
  <c r="AG525" i="3" s="1"/>
  <c r="AF523" i="3"/>
  <c r="AF524" i="3" s="1"/>
  <c r="AF525" i="3" s="1"/>
  <c r="AE523" i="3"/>
  <c r="Y523" i="3"/>
  <c r="X523" i="3"/>
  <c r="W523" i="3"/>
  <c r="V523" i="3"/>
  <c r="U523" i="3"/>
  <c r="T523" i="3"/>
  <c r="S523" i="3"/>
  <c r="R523" i="3"/>
  <c r="Q523" i="3"/>
  <c r="M523" i="3"/>
  <c r="L523" i="3"/>
  <c r="AI522" i="3"/>
  <c r="AH522" i="3"/>
  <c r="AK522" i="3" s="1"/>
  <c r="AG522" i="3"/>
  <c r="AF522" i="3"/>
  <c r="AE522" i="3"/>
  <c r="AC522" i="3"/>
  <c r="AC523" i="3" s="1"/>
  <c r="Y521" i="3"/>
  <c r="X521" i="3"/>
  <c r="W521" i="3"/>
  <c r="V521" i="3"/>
  <c r="U521" i="3"/>
  <c r="T521" i="3"/>
  <c r="S521" i="3"/>
  <c r="R521" i="3"/>
  <c r="Q521" i="3"/>
  <c r="P521" i="3"/>
  <c r="M521" i="3"/>
  <c r="L521" i="3"/>
  <c r="Y520" i="3"/>
  <c r="X520" i="3"/>
  <c r="W520" i="3"/>
  <c r="V520" i="3"/>
  <c r="V519" i="3" s="1"/>
  <c r="U520" i="3"/>
  <c r="T520" i="3"/>
  <c r="S520" i="3"/>
  <c r="R520" i="3"/>
  <c r="Q520" i="3"/>
  <c r="M520" i="3"/>
  <c r="L520" i="3"/>
  <c r="AI519" i="3"/>
  <c r="AI520" i="3" s="1"/>
  <c r="AI521" i="3" s="1"/>
  <c r="AH519" i="3"/>
  <c r="AH520" i="3" s="1"/>
  <c r="AG519" i="3"/>
  <c r="AG520" i="3" s="1"/>
  <c r="AG521" i="3" s="1"/>
  <c r="AF519" i="3"/>
  <c r="AF520" i="3" s="1"/>
  <c r="AF521" i="3" s="1"/>
  <c r="AE519" i="3"/>
  <c r="AI518" i="3"/>
  <c r="AH518" i="3"/>
  <c r="AM518" i="3" s="1"/>
  <c r="AG518" i="3"/>
  <c r="AF518" i="3"/>
  <c r="AE518" i="3"/>
  <c r="AC518" i="3"/>
  <c r="AC519" i="3" s="1"/>
  <c r="O517" i="3"/>
  <c r="N517" i="3"/>
  <c r="O516" i="3"/>
  <c r="N516" i="3"/>
  <c r="AI515" i="3"/>
  <c r="AI516" i="3" s="1"/>
  <c r="AI517" i="3" s="1"/>
  <c r="AH515" i="3"/>
  <c r="AG515" i="3"/>
  <c r="AG516" i="3" s="1"/>
  <c r="AG517" i="3" s="1"/>
  <c r="AF515" i="3"/>
  <c r="AF516" i="3" s="1"/>
  <c r="AF517" i="3" s="1"/>
  <c r="AE515" i="3"/>
  <c r="Y515" i="3"/>
  <c r="X515" i="3"/>
  <c r="W515" i="3"/>
  <c r="V515" i="3"/>
  <c r="U515" i="3"/>
  <c r="T515" i="3"/>
  <c r="S515" i="3"/>
  <c r="R515" i="3"/>
  <c r="Q515" i="3"/>
  <c r="P515" i="3"/>
  <c r="M515" i="3"/>
  <c r="L515" i="3"/>
  <c r="AI514" i="3"/>
  <c r="AH514" i="3"/>
  <c r="AL514" i="3" s="1"/>
  <c r="AG514" i="3"/>
  <c r="AF514" i="3"/>
  <c r="AE514" i="3"/>
  <c r="AC514" i="3"/>
  <c r="AC515" i="3" s="1"/>
  <c r="P500" i="3"/>
  <c r="P496" i="3" s="1"/>
  <c r="O501" i="3"/>
  <c r="N501" i="3"/>
  <c r="N500" i="3"/>
  <c r="AI499" i="3"/>
  <c r="AI500" i="3" s="1"/>
  <c r="AI501" i="3" s="1"/>
  <c r="AH499" i="3"/>
  <c r="AH500" i="3" s="1"/>
  <c r="AG499" i="3"/>
  <c r="AG500" i="3" s="1"/>
  <c r="AG501" i="3" s="1"/>
  <c r="AF499" i="3"/>
  <c r="AF500" i="3" s="1"/>
  <c r="AF501" i="3" s="1"/>
  <c r="AE499" i="3"/>
  <c r="Y499" i="3"/>
  <c r="X499" i="3"/>
  <c r="W499" i="3"/>
  <c r="V499" i="3"/>
  <c r="U499" i="3"/>
  <c r="T499" i="3"/>
  <c r="S499" i="3"/>
  <c r="R499" i="3"/>
  <c r="Q499" i="3"/>
  <c r="M499" i="3"/>
  <c r="L499" i="3"/>
  <c r="AI498" i="3"/>
  <c r="AH498" i="3"/>
  <c r="AM498" i="3" s="1"/>
  <c r="AG498" i="3"/>
  <c r="AF498" i="3"/>
  <c r="AE498" i="3"/>
  <c r="AD498" i="3" s="1"/>
  <c r="AC498" i="3"/>
  <c r="AC499" i="3" s="1"/>
  <c r="AC500" i="3" s="1"/>
  <c r="AC501" i="3" s="1"/>
  <c r="Y497" i="3"/>
  <c r="X497" i="3"/>
  <c r="W497" i="3"/>
  <c r="V497" i="3"/>
  <c r="U497" i="3"/>
  <c r="T497" i="3"/>
  <c r="S497" i="3"/>
  <c r="R497" i="3"/>
  <c r="Q497" i="3"/>
  <c r="P497" i="3"/>
  <c r="M497" i="3"/>
  <c r="L497" i="3"/>
  <c r="Y496" i="3"/>
  <c r="X496" i="3"/>
  <c r="W496" i="3"/>
  <c r="V496" i="3"/>
  <c r="U496" i="3"/>
  <c r="T496" i="3"/>
  <c r="S496" i="3"/>
  <c r="R496" i="3"/>
  <c r="R495" i="3" s="1"/>
  <c r="Q496" i="3"/>
  <c r="M496" i="3"/>
  <c r="L496" i="3"/>
  <c r="AI495" i="3"/>
  <c r="AI496" i="3" s="1"/>
  <c r="AI497" i="3" s="1"/>
  <c r="AH495" i="3"/>
  <c r="AH496" i="3" s="1"/>
  <c r="AJ496" i="3" s="1"/>
  <c r="AG495" i="3"/>
  <c r="AG496" i="3" s="1"/>
  <c r="AG497" i="3" s="1"/>
  <c r="AF495" i="3"/>
  <c r="AF496" i="3" s="1"/>
  <c r="AF497" i="3" s="1"/>
  <c r="AE495" i="3"/>
  <c r="AI494" i="3"/>
  <c r="AH494" i="3"/>
  <c r="AG494" i="3"/>
  <c r="AF494" i="3"/>
  <c r="AE494" i="3"/>
  <c r="AD494" i="3" s="1"/>
  <c r="AC494" i="3"/>
  <c r="AC495" i="3" s="1"/>
  <c r="AC496" i="3" s="1"/>
  <c r="AC497" i="3" s="1"/>
  <c r="O493" i="3"/>
  <c r="N493" i="3"/>
  <c r="O492" i="3"/>
  <c r="N492" i="3"/>
  <c r="AI491" i="3"/>
  <c r="AH491" i="3"/>
  <c r="AJ491" i="3" s="1"/>
  <c r="AG491" i="3"/>
  <c r="AG492" i="3" s="1"/>
  <c r="AG493" i="3" s="1"/>
  <c r="AF491" i="3"/>
  <c r="AF492" i="3" s="1"/>
  <c r="AF493" i="3" s="1"/>
  <c r="AE491" i="3"/>
  <c r="Y491" i="3"/>
  <c r="X491" i="3"/>
  <c r="W491" i="3"/>
  <c r="V491" i="3"/>
  <c r="U491" i="3"/>
  <c r="T491" i="3"/>
  <c r="S491" i="3"/>
  <c r="R491" i="3"/>
  <c r="Q491" i="3"/>
  <c r="P491" i="3"/>
  <c r="M491" i="3"/>
  <c r="L491" i="3"/>
  <c r="AI490" i="3"/>
  <c r="AH490" i="3"/>
  <c r="AG490" i="3"/>
  <c r="AF490" i="3"/>
  <c r="AE490" i="3"/>
  <c r="AD490" i="3" s="1"/>
  <c r="BB490" i="3" s="1"/>
  <c r="AC490" i="3"/>
  <c r="AC491" i="3" s="1"/>
  <c r="AC492" i="3" s="1"/>
  <c r="AC493" i="3" s="1"/>
  <c r="P476" i="3"/>
  <c r="O476" i="3" s="1"/>
  <c r="O477" i="3"/>
  <c r="N477" i="3"/>
  <c r="N476" i="3"/>
  <c r="AI475" i="3"/>
  <c r="AI476" i="3" s="1"/>
  <c r="AI477" i="3" s="1"/>
  <c r="AH475" i="3"/>
  <c r="AG475" i="3"/>
  <c r="AG476" i="3" s="1"/>
  <c r="AG477" i="3" s="1"/>
  <c r="AF475" i="3"/>
  <c r="AF476" i="3" s="1"/>
  <c r="AF477" i="3" s="1"/>
  <c r="AE475" i="3"/>
  <c r="Y475" i="3"/>
  <c r="X475" i="3"/>
  <c r="W475" i="3"/>
  <c r="V475" i="3"/>
  <c r="U475" i="3"/>
  <c r="T475" i="3"/>
  <c r="S475" i="3"/>
  <c r="R475" i="3"/>
  <c r="Q475" i="3"/>
  <c r="M475" i="3"/>
  <c r="L475" i="3"/>
  <c r="AI474" i="3"/>
  <c r="AH474" i="3"/>
  <c r="AJ474" i="3" s="1"/>
  <c r="AG474" i="3"/>
  <c r="AF474" i="3"/>
  <c r="AE474" i="3"/>
  <c r="AC474" i="3"/>
  <c r="AC475" i="3" s="1"/>
  <c r="Y473" i="3"/>
  <c r="X473" i="3"/>
  <c r="W473" i="3"/>
  <c r="V473" i="3"/>
  <c r="U473" i="3"/>
  <c r="T473" i="3"/>
  <c r="S473" i="3"/>
  <c r="R473" i="3"/>
  <c r="Q473" i="3"/>
  <c r="P473" i="3"/>
  <c r="M473" i="3"/>
  <c r="L473" i="3"/>
  <c r="Y472" i="3"/>
  <c r="X472" i="3"/>
  <c r="W472" i="3"/>
  <c r="V472" i="3"/>
  <c r="U472" i="3"/>
  <c r="T472" i="3"/>
  <c r="S472" i="3"/>
  <c r="R472" i="3"/>
  <c r="Q472" i="3"/>
  <c r="M472" i="3"/>
  <c r="L472" i="3"/>
  <c r="AI471" i="3"/>
  <c r="AI472" i="3" s="1"/>
  <c r="AI473" i="3" s="1"/>
  <c r="AH471" i="3"/>
  <c r="AH472" i="3" s="1"/>
  <c r="AG471" i="3"/>
  <c r="AG472" i="3" s="1"/>
  <c r="AG473" i="3" s="1"/>
  <c r="AF471" i="3"/>
  <c r="AF472" i="3" s="1"/>
  <c r="AF473" i="3" s="1"/>
  <c r="AE471" i="3"/>
  <c r="AI470" i="3"/>
  <c r="AH470" i="3"/>
  <c r="AM470" i="3" s="1"/>
  <c r="AG470" i="3"/>
  <c r="AF470" i="3"/>
  <c r="AE470" i="3"/>
  <c r="AC470" i="3"/>
  <c r="AC471" i="3" s="1"/>
  <c r="O469" i="3"/>
  <c r="N469" i="3"/>
  <c r="O468" i="3"/>
  <c r="N468" i="3"/>
  <c r="AI467" i="3"/>
  <c r="AI468" i="3" s="1"/>
  <c r="AI469" i="3" s="1"/>
  <c r="AH467" i="3"/>
  <c r="AH468" i="3" s="1"/>
  <c r="AJ468" i="3" s="1"/>
  <c r="AG467" i="3"/>
  <c r="AG468" i="3" s="1"/>
  <c r="AG469" i="3" s="1"/>
  <c r="AF467" i="3"/>
  <c r="AF468" i="3" s="1"/>
  <c r="AF469" i="3" s="1"/>
  <c r="AE467" i="3"/>
  <c r="Y467" i="3"/>
  <c r="X467" i="3"/>
  <c r="W467" i="3"/>
  <c r="V467" i="3"/>
  <c r="U467" i="3"/>
  <c r="T467" i="3"/>
  <c r="S467" i="3"/>
  <c r="R467" i="3"/>
  <c r="Q467" i="3"/>
  <c r="P467" i="3"/>
  <c r="M467" i="3"/>
  <c r="L467" i="3"/>
  <c r="AI466" i="3"/>
  <c r="AH466" i="3"/>
  <c r="AK466" i="3" s="1"/>
  <c r="AG466" i="3"/>
  <c r="AF466" i="3"/>
  <c r="AE466" i="3"/>
  <c r="AC466" i="3"/>
  <c r="AC467" i="3" s="1"/>
  <c r="AC468" i="3" s="1"/>
  <c r="AC469" i="3" s="1"/>
  <c r="X519" i="3" l="1"/>
  <c r="AY519" i="3" s="1"/>
  <c r="W471" i="3"/>
  <c r="P499" i="3"/>
  <c r="I499" i="3" s="1"/>
  <c r="I495" i="3" s="1"/>
  <c r="O500" i="3"/>
  <c r="K500" i="3" s="1"/>
  <c r="P472" i="3"/>
  <c r="P471" i="3" s="1"/>
  <c r="AQ471" i="3" s="1"/>
  <c r="W543" i="3"/>
  <c r="AX543" i="3" s="1"/>
  <c r="U495" i="3"/>
  <c r="X471" i="3"/>
  <c r="AY471" i="3" s="1"/>
  <c r="T495" i="3"/>
  <c r="AU495" i="3" s="1"/>
  <c r="L471" i="3"/>
  <c r="X495" i="3"/>
  <c r="AY495" i="3" s="1"/>
  <c r="Y471" i="3"/>
  <c r="AZ471" i="3" s="1"/>
  <c r="L519" i="3"/>
  <c r="AO519" i="3" s="1"/>
  <c r="K549" i="3"/>
  <c r="M519" i="3"/>
  <c r="S543" i="3"/>
  <c r="AT543" i="3" s="1"/>
  <c r="P520" i="3"/>
  <c r="O520" i="3" s="1"/>
  <c r="U471" i="3"/>
  <c r="AV471" i="3" s="1"/>
  <c r="K493" i="3"/>
  <c r="P475" i="3"/>
  <c r="I475" i="3" s="1"/>
  <c r="I471" i="3" s="1"/>
  <c r="V495" i="3"/>
  <c r="AW495" i="3" s="1"/>
  <c r="V471" i="3"/>
  <c r="AW471" i="3" s="1"/>
  <c r="Y543" i="3"/>
  <c r="AZ543" i="3" s="1"/>
  <c r="S471" i="3"/>
  <c r="AT471" i="3" s="1"/>
  <c r="AY542" i="3"/>
  <c r="K541" i="3"/>
  <c r="K469" i="3"/>
  <c r="Y495" i="3"/>
  <c r="AZ495" i="3" s="1"/>
  <c r="T519" i="3"/>
  <c r="AU519" i="3" s="1"/>
  <c r="W495" i="3"/>
  <c r="AX495" i="3" s="1"/>
  <c r="K517" i="3"/>
  <c r="R519" i="3"/>
  <c r="AS519" i="3" s="1"/>
  <c r="X543" i="3"/>
  <c r="AY543" i="3" s="1"/>
  <c r="T471" i="3"/>
  <c r="AU471" i="3" s="1"/>
  <c r="T543" i="3"/>
  <c r="AU543" i="3" s="1"/>
  <c r="K492" i="3"/>
  <c r="K525" i="3"/>
  <c r="P495" i="3"/>
  <c r="AQ495" i="3" s="1"/>
  <c r="Q495" i="3"/>
  <c r="AR495" i="3" s="1"/>
  <c r="K468" i="3"/>
  <c r="S495" i="3"/>
  <c r="AU547" i="3"/>
  <c r="N467" i="3"/>
  <c r="Y519" i="3"/>
  <c r="AZ519" i="3" s="1"/>
  <c r="R471" i="3"/>
  <c r="AS471" i="3" s="1"/>
  <c r="S519" i="3"/>
  <c r="AT519" i="3" s="1"/>
  <c r="K540" i="3"/>
  <c r="K524" i="3"/>
  <c r="AV539" i="3"/>
  <c r="I467" i="3"/>
  <c r="K476" i="3"/>
  <c r="N491" i="3"/>
  <c r="N496" i="3"/>
  <c r="Q519" i="3"/>
  <c r="AR519" i="3" s="1"/>
  <c r="L543" i="3"/>
  <c r="AO543" i="3" s="1"/>
  <c r="I491" i="3"/>
  <c r="K477" i="3"/>
  <c r="O473" i="3"/>
  <c r="O544" i="3"/>
  <c r="M471" i="3"/>
  <c r="I515" i="3"/>
  <c r="O539" i="3"/>
  <c r="O515" i="3"/>
  <c r="N544" i="3"/>
  <c r="N545" i="3"/>
  <c r="N475" i="3"/>
  <c r="O545" i="3"/>
  <c r="O521" i="3"/>
  <c r="V543" i="3"/>
  <c r="AW543" i="3" s="1"/>
  <c r="Q471" i="3"/>
  <c r="AR471" i="3" s="1"/>
  <c r="L495" i="3"/>
  <c r="AO495" i="3" s="1"/>
  <c r="M495" i="3"/>
  <c r="O497" i="3"/>
  <c r="W519" i="3"/>
  <c r="AX519" i="3" s="1"/>
  <c r="N473" i="3"/>
  <c r="I539" i="3"/>
  <c r="N521" i="3"/>
  <c r="O467" i="3"/>
  <c r="O491" i="3"/>
  <c r="N499" i="3"/>
  <c r="K548" i="3"/>
  <c r="I547" i="3"/>
  <c r="I543" i="3" s="1"/>
  <c r="AQ538" i="3"/>
  <c r="O547" i="3"/>
  <c r="AR546" i="3"/>
  <c r="AK547" i="3"/>
  <c r="Q543" i="3"/>
  <c r="AR543" i="3" s="1"/>
  <c r="AD539" i="3"/>
  <c r="AB539" i="3" s="1"/>
  <c r="AC540" i="3"/>
  <c r="AC541" i="3" s="1"/>
  <c r="AD547" i="3"/>
  <c r="AB547" i="3" s="1"/>
  <c r="AC548" i="3"/>
  <c r="AC549" i="3" s="1"/>
  <c r="AP539" i="3"/>
  <c r="AH540" i="3"/>
  <c r="AH541" i="3" s="1"/>
  <c r="AJ541" i="3" s="1"/>
  <c r="AK539" i="3"/>
  <c r="AL539" i="3"/>
  <c r="AV546" i="3"/>
  <c r="AP547" i="3"/>
  <c r="AM539" i="3"/>
  <c r="AT538" i="3"/>
  <c r="AW539" i="3"/>
  <c r="AZ542" i="3"/>
  <c r="AH544" i="3"/>
  <c r="AH545" i="3" s="1"/>
  <c r="AX546" i="3"/>
  <c r="AY547" i="3"/>
  <c r="AW547" i="3"/>
  <c r="AH548" i="3"/>
  <c r="AJ548" i="3" s="1"/>
  <c r="AS546" i="3"/>
  <c r="AJ547" i="3"/>
  <c r="AM547" i="3" s="1"/>
  <c r="AT546" i="3"/>
  <c r="AS542" i="3"/>
  <c r="AW546" i="3"/>
  <c r="AV547" i="3"/>
  <c r="AU538" i="3"/>
  <c r="AX539" i="3"/>
  <c r="AY546" i="3"/>
  <c r="AZ547" i="3"/>
  <c r="AZ546" i="3"/>
  <c r="AN542" i="3"/>
  <c r="AO542" i="3"/>
  <c r="AR542" i="3"/>
  <c r="AS538" i="3"/>
  <c r="AO539" i="3"/>
  <c r="AO547" i="3"/>
  <c r="AC544" i="3"/>
  <c r="AC545" i="3" s="1"/>
  <c r="AD543" i="3"/>
  <c r="AJ538" i="3"/>
  <c r="AV538" i="3"/>
  <c r="N539" i="3"/>
  <c r="AY539" i="3"/>
  <c r="AD542" i="3"/>
  <c r="AP542" i="3"/>
  <c r="AU546" i="3"/>
  <c r="AX547" i="3"/>
  <c r="AK538" i="3"/>
  <c r="AW538" i="3"/>
  <c r="AZ539" i="3"/>
  <c r="AQ542" i="3"/>
  <c r="U543" i="3"/>
  <c r="AV543" i="3" s="1"/>
  <c r="AS543" i="3"/>
  <c r="AJ546" i="3"/>
  <c r="N547" i="3"/>
  <c r="AM538" i="3"/>
  <c r="AT542" i="3"/>
  <c r="AO538" i="3"/>
  <c r="AR539" i="3"/>
  <c r="AU542" i="3"/>
  <c r="M543" i="3"/>
  <c r="AP543" i="3" s="1"/>
  <c r="AK543" i="3"/>
  <c r="AN546" i="3"/>
  <c r="AQ547" i="3"/>
  <c r="AY538" i="3"/>
  <c r="AM546" i="3"/>
  <c r="AD538" i="3"/>
  <c r="AP538" i="3"/>
  <c r="AS539" i="3"/>
  <c r="AJ542" i="3"/>
  <c r="AV542" i="3"/>
  <c r="AL543" i="3"/>
  <c r="AO546" i="3"/>
  <c r="AR547" i="3"/>
  <c r="AX538" i="3"/>
  <c r="AT539" i="3"/>
  <c r="AK542" i="3"/>
  <c r="AW542" i="3"/>
  <c r="AM543" i="3"/>
  <c r="AD546" i="3"/>
  <c r="AP546" i="3"/>
  <c r="AS547" i="3"/>
  <c r="AQ543" i="3"/>
  <c r="AK546" i="3"/>
  <c r="AN538" i="3"/>
  <c r="AQ539" i="3"/>
  <c r="AR538" i="3"/>
  <c r="AU539" i="3"/>
  <c r="AL542" i="3"/>
  <c r="AX542" i="3"/>
  <c r="AQ546" i="3"/>
  <c r="AT547" i="3"/>
  <c r="AZ538" i="3"/>
  <c r="I523" i="3"/>
  <c r="I519" i="3" s="1"/>
  <c r="AS518" i="3"/>
  <c r="AU522" i="3"/>
  <c r="O523" i="3"/>
  <c r="K516" i="3"/>
  <c r="AY515" i="3"/>
  <c r="AS514" i="3"/>
  <c r="AD515" i="3"/>
  <c r="BB515" i="3" s="1"/>
  <c r="AD518" i="3"/>
  <c r="BB518" i="3" s="1"/>
  <c r="AW515" i="3"/>
  <c r="AZ518" i="3"/>
  <c r="AD523" i="3"/>
  <c r="AB523" i="3" s="1"/>
  <c r="AO518" i="3"/>
  <c r="AL523" i="3"/>
  <c r="AO515" i="3"/>
  <c r="AP518" i="3"/>
  <c r="AV515" i="3"/>
  <c r="AR518" i="3"/>
  <c r="AR522" i="3"/>
  <c r="AN518" i="3"/>
  <c r="AK515" i="3"/>
  <c r="AY518" i="3"/>
  <c r="AH524" i="3"/>
  <c r="AH525" i="3" s="1"/>
  <c r="AJ525" i="3" s="1"/>
  <c r="AX515" i="3"/>
  <c r="AO523" i="3"/>
  <c r="AP523" i="3"/>
  <c r="AU523" i="3"/>
  <c r="AC524" i="3"/>
  <c r="AC525" i="3" s="1"/>
  <c r="AR523" i="3"/>
  <c r="AK523" i="3"/>
  <c r="AW499" i="3"/>
  <c r="AH516" i="3"/>
  <c r="AH517" i="3" s="1"/>
  <c r="AJ517" i="3" s="1"/>
  <c r="AX522" i="3"/>
  <c r="AV523" i="3"/>
  <c r="AC516" i="3"/>
  <c r="AC517" i="3" s="1"/>
  <c r="AQ514" i="3"/>
  <c r="AJ515" i="3"/>
  <c r="AS522" i="3"/>
  <c r="AW523" i="3"/>
  <c r="AT514" i="3"/>
  <c r="AP515" i="3"/>
  <c r="AT522" i="3"/>
  <c r="AY523" i="3"/>
  <c r="AD519" i="3"/>
  <c r="AC520" i="3"/>
  <c r="AC521" i="3" s="1"/>
  <c r="AJ514" i="3"/>
  <c r="AV514" i="3"/>
  <c r="N515" i="3"/>
  <c r="AK514" i="3"/>
  <c r="AW514" i="3"/>
  <c r="AZ515" i="3"/>
  <c r="AQ518" i="3"/>
  <c r="U519" i="3"/>
  <c r="AV519" i="3" s="1"/>
  <c r="AJ522" i="3"/>
  <c r="AV522" i="3"/>
  <c r="N523" i="3"/>
  <c r="AM523" i="3"/>
  <c r="AJ520" i="3"/>
  <c r="AX523" i="3"/>
  <c r="AM514" i="3"/>
  <c r="N520" i="3"/>
  <c r="AL522" i="3"/>
  <c r="AT518" i="3"/>
  <c r="AJ519" i="3"/>
  <c r="AM519" i="3" s="1"/>
  <c r="AM522" i="3"/>
  <c r="AY522" i="3"/>
  <c r="AN514" i="3"/>
  <c r="AO514" i="3"/>
  <c r="AR515" i="3"/>
  <c r="AU518" i="3"/>
  <c r="AK519" i="3"/>
  <c r="AW519" i="3"/>
  <c r="AN522" i="3"/>
  <c r="AZ522" i="3"/>
  <c r="AQ523" i="3"/>
  <c r="AW522" i="3"/>
  <c r="AY514" i="3"/>
  <c r="AD514" i="3"/>
  <c r="AP514" i="3"/>
  <c r="AS515" i="3"/>
  <c r="AJ518" i="3"/>
  <c r="AV518" i="3"/>
  <c r="AH521" i="3"/>
  <c r="AO522" i="3"/>
  <c r="AU514" i="3"/>
  <c r="AX514" i="3"/>
  <c r="AT515" i="3"/>
  <c r="AK518" i="3"/>
  <c r="AW518" i="3"/>
  <c r="AD522" i="3"/>
  <c r="AP522" i="3"/>
  <c r="AS523" i="3"/>
  <c r="AQ515" i="3"/>
  <c r="AR514" i="3"/>
  <c r="AU515" i="3"/>
  <c r="AL518" i="3"/>
  <c r="AX518" i="3"/>
  <c r="AQ522" i="3"/>
  <c r="AT523" i="3"/>
  <c r="AZ523" i="3"/>
  <c r="AZ514" i="3"/>
  <c r="O499" i="3"/>
  <c r="AP494" i="3"/>
  <c r="N497" i="3"/>
  <c r="AW491" i="3"/>
  <c r="K501" i="3"/>
  <c r="AP499" i="3"/>
  <c r="AV499" i="3"/>
  <c r="AO471" i="3"/>
  <c r="AS490" i="3"/>
  <c r="AX499" i="3"/>
  <c r="AU499" i="3"/>
  <c r="AX491" i="3"/>
  <c r="AK499" i="3"/>
  <c r="BB494" i="3"/>
  <c r="AB494" i="3"/>
  <c r="BB498" i="3"/>
  <c r="AB498" i="3"/>
  <c r="AV495" i="3"/>
  <c r="AY498" i="3"/>
  <c r="AQ491" i="3"/>
  <c r="AZ490" i="3"/>
  <c r="AI492" i="3"/>
  <c r="AI493" i="3" s="1"/>
  <c r="AL491" i="3"/>
  <c r="AR491" i="3"/>
  <c r="AW490" i="3"/>
  <c r="AD499" i="3"/>
  <c r="AB499" i="3" s="1"/>
  <c r="AJ499" i="3"/>
  <c r="AL499" i="3" s="1"/>
  <c r="AJ495" i="3"/>
  <c r="AM495" i="3" s="1"/>
  <c r="AK491" i="3"/>
  <c r="AM491" i="3"/>
  <c r="AP490" i="3"/>
  <c r="AV490" i="3"/>
  <c r="AB490" i="3"/>
  <c r="AN494" i="3"/>
  <c r="AM490" i="3"/>
  <c r="AL490" i="3"/>
  <c r="AT494" i="3"/>
  <c r="AD495" i="3"/>
  <c r="AS498" i="3"/>
  <c r="AS495" i="3"/>
  <c r="AT498" i="3"/>
  <c r="AL498" i="3"/>
  <c r="AK498" i="3"/>
  <c r="AJ498" i="3"/>
  <c r="AJ490" i="3"/>
  <c r="AZ494" i="3"/>
  <c r="AV491" i="3"/>
  <c r="AT491" i="3"/>
  <c r="AU491" i="3"/>
  <c r="AS491" i="3"/>
  <c r="AP491" i="3"/>
  <c r="AD491" i="3"/>
  <c r="AO491" i="3"/>
  <c r="AZ491" i="3"/>
  <c r="AY491" i="3"/>
  <c r="AY494" i="3"/>
  <c r="AO498" i="3"/>
  <c r="AP498" i="3"/>
  <c r="AZ498" i="3"/>
  <c r="AN498" i="3"/>
  <c r="AW498" i="3"/>
  <c r="AV498" i="3"/>
  <c r="AU494" i="3"/>
  <c r="O496" i="3"/>
  <c r="AH497" i="3"/>
  <c r="AR498" i="3"/>
  <c r="AO494" i="3"/>
  <c r="AJ500" i="3"/>
  <c r="AU498" i="3"/>
  <c r="AH501" i="3"/>
  <c r="AK490" i="3"/>
  <c r="AN490" i="3"/>
  <c r="AO490" i="3"/>
  <c r="AT490" i="3"/>
  <c r="AU490" i="3"/>
  <c r="AM494" i="3"/>
  <c r="AK494" i="3"/>
  <c r="AJ494" i="3"/>
  <c r="AL494" i="3"/>
  <c r="AK495" i="3"/>
  <c r="AQ494" i="3"/>
  <c r="AY499" i="3"/>
  <c r="AX490" i="3"/>
  <c r="AR494" i="3"/>
  <c r="AZ499" i="3"/>
  <c r="AY490" i="3"/>
  <c r="AH492" i="3"/>
  <c r="AS494" i="3"/>
  <c r="AX498" i="3"/>
  <c r="AO499" i="3"/>
  <c r="AQ499" i="3"/>
  <c r="AV494" i="3"/>
  <c r="AW494" i="3"/>
  <c r="AR490" i="3"/>
  <c r="AX494" i="3"/>
  <c r="AQ498" i="3"/>
  <c r="AT499" i="3"/>
  <c r="AR499" i="3"/>
  <c r="AQ490" i="3"/>
  <c r="AS499" i="3"/>
  <c r="AS466" i="3"/>
  <c r="AW467" i="3"/>
  <c r="AK475" i="3"/>
  <c r="AJ467" i="3"/>
  <c r="AM467" i="3" s="1"/>
  <c r="AK467" i="3"/>
  <c r="AY470" i="3"/>
  <c r="AX475" i="3"/>
  <c r="AV467" i="3"/>
  <c r="AV474" i="3"/>
  <c r="AX467" i="3"/>
  <c r="AH476" i="3"/>
  <c r="AH477" i="3" s="1"/>
  <c r="AJ477" i="3" s="1"/>
  <c r="AY475" i="3"/>
  <c r="AU475" i="3"/>
  <c r="AP475" i="3"/>
  <c r="AH469" i="3"/>
  <c r="AJ469" i="3" s="1"/>
  <c r="AP470" i="3"/>
  <c r="AU466" i="3"/>
  <c r="AZ470" i="3"/>
  <c r="AR474" i="3"/>
  <c r="AJ475" i="3"/>
  <c r="AM475" i="3" s="1"/>
  <c r="AN470" i="3"/>
  <c r="AS474" i="3"/>
  <c r="AT466" i="3"/>
  <c r="AV475" i="3"/>
  <c r="AT474" i="3"/>
  <c r="AK471" i="3"/>
  <c r="AO470" i="3"/>
  <c r="AQ466" i="3"/>
  <c r="AD470" i="3"/>
  <c r="AW475" i="3"/>
  <c r="AC472" i="3"/>
  <c r="AC473" i="3" s="1"/>
  <c r="AD471" i="3"/>
  <c r="AC476" i="3"/>
  <c r="AC477" i="3" s="1"/>
  <c r="AD475" i="3"/>
  <c r="AR470" i="3"/>
  <c r="AK474" i="3"/>
  <c r="AW474" i="3"/>
  <c r="AZ475" i="3"/>
  <c r="AM466" i="3"/>
  <c r="AY466" i="3"/>
  <c r="AD467" i="3"/>
  <c r="AP467" i="3"/>
  <c r="AS470" i="3"/>
  <c r="N472" i="3"/>
  <c r="AL474" i="3"/>
  <c r="AX474" i="3"/>
  <c r="AO475" i="3"/>
  <c r="AY467" i="3"/>
  <c r="AU474" i="3"/>
  <c r="AJ466" i="3"/>
  <c r="AZ467" i="3"/>
  <c r="AX466" i="3"/>
  <c r="AN466" i="3"/>
  <c r="AQ467" i="3"/>
  <c r="AT470" i="3"/>
  <c r="AJ471" i="3"/>
  <c r="AL471" i="3" s="1"/>
  <c r="O472" i="3"/>
  <c r="AM474" i="3"/>
  <c r="AD466" i="3"/>
  <c r="AP466" i="3"/>
  <c r="AS467" i="3"/>
  <c r="AJ470" i="3"/>
  <c r="AV470" i="3"/>
  <c r="AX471" i="3"/>
  <c r="AH473" i="3"/>
  <c r="AO474" i="3"/>
  <c r="AR475" i="3"/>
  <c r="AW466" i="3"/>
  <c r="AQ470" i="3"/>
  <c r="AL466" i="3"/>
  <c r="AZ466" i="3"/>
  <c r="AO466" i="3"/>
  <c r="AN474" i="3"/>
  <c r="AT467" i="3"/>
  <c r="AK470" i="3"/>
  <c r="AW470" i="3"/>
  <c r="AD474" i="3"/>
  <c r="AP474" i="3"/>
  <c r="AS475" i="3"/>
  <c r="AJ472" i="3"/>
  <c r="AO467" i="3"/>
  <c r="AY474" i="3"/>
  <c r="AZ474" i="3"/>
  <c r="AR466" i="3"/>
  <c r="AU467" i="3"/>
  <c r="AL470" i="3"/>
  <c r="AX470" i="3"/>
  <c r="AQ474" i="3"/>
  <c r="AT475" i="3"/>
  <c r="AV466" i="3"/>
  <c r="AR467" i="3"/>
  <c r="AU470" i="3"/>
  <c r="N471" i="3" l="1"/>
  <c r="N519" i="3"/>
  <c r="O475" i="3"/>
  <c r="K475" i="3" s="1"/>
  <c r="AN475" i="3" s="1"/>
  <c r="AP519" i="3"/>
  <c r="P519" i="3"/>
  <c r="AQ519" i="3" s="1"/>
  <c r="AQ475" i="3"/>
  <c r="O495" i="3"/>
  <c r="N495" i="3"/>
  <c r="AT495" i="3"/>
  <c r="K499" i="3"/>
  <c r="AN499" i="3" s="1"/>
  <c r="AP471" i="3"/>
  <c r="BB471" i="3" s="1"/>
  <c r="K520" i="3"/>
  <c r="K467" i="3"/>
  <c r="AN467" i="3" s="1"/>
  <c r="K544" i="3"/>
  <c r="K491" i="3"/>
  <c r="AN491" i="3" s="1"/>
  <c r="K521" i="3"/>
  <c r="AP495" i="3"/>
  <c r="O471" i="3"/>
  <c r="K545" i="3"/>
  <c r="K496" i="3"/>
  <c r="K515" i="3"/>
  <c r="AN515" i="3" s="1"/>
  <c r="K473" i="3"/>
  <c r="K497" i="3"/>
  <c r="K539" i="3"/>
  <c r="AN539" i="3" s="1"/>
  <c r="K523" i="3"/>
  <c r="AN523" i="3" s="1"/>
  <c r="N543" i="3"/>
  <c r="BB539" i="3"/>
  <c r="AL547" i="3"/>
  <c r="K547" i="3"/>
  <c r="AN547" i="3" s="1"/>
  <c r="O543" i="3"/>
  <c r="AH549" i="3"/>
  <c r="AJ549" i="3" s="1"/>
  <c r="AJ544" i="3"/>
  <c r="BB547" i="3"/>
  <c r="AJ540" i="3"/>
  <c r="AB538" i="3"/>
  <c r="BB538" i="3"/>
  <c r="AB543" i="3"/>
  <c r="BB543" i="3"/>
  <c r="AB542" i="3"/>
  <c r="BB542" i="3"/>
  <c r="AJ545" i="3"/>
  <c r="BB546" i="3"/>
  <c r="AB546" i="3"/>
  <c r="AB515" i="3"/>
  <c r="BB523" i="3"/>
  <c r="AB518" i="3"/>
  <c r="AJ524" i="3"/>
  <c r="AL519" i="3"/>
  <c r="AJ516" i="3"/>
  <c r="AL515" i="3"/>
  <c r="AM515" i="3"/>
  <c r="AB514" i="3"/>
  <c r="BB514" i="3"/>
  <c r="BB522" i="3"/>
  <c r="AB522" i="3"/>
  <c r="AJ521" i="3"/>
  <c r="AL495" i="3"/>
  <c r="AM499" i="3"/>
  <c r="BB499" i="3"/>
  <c r="AH493" i="3"/>
  <c r="AJ492" i="3"/>
  <c r="BB491" i="3"/>
  <c r="AB491" i="3"/>
  <c r="AJ497" i="3"/>
  <c r="AJ501" i="3"/>
  <c r="AM471" i="3"/>
  <c r="AL467" i="3"/>
  <c r="AJ476" i="3"/>
  <c r="BB470" i="3"/>
  <c r="AB470" i="3"/>
  <c r="K472" i="3"/>
  <c r="AL475" i="3"/>
  <c r="AB467" i="3"/>
  <c r="BB467" i="3"/>
  <c r="BB475" i="3"/>
  <c r="AB475" i="3"/>
  <c r="BB474" i="3"/>
  <c r="AB474" i="3"/>
  <c r="AB466" i="3"/>
  <c r="BB466" i="3"/>
  <c r="AJ473" i="3"/>
  <c r="O519" i="3" l="1"/>
  <c r="K471" i="3"/>
  <c r="AN471" i="3" s="1"/>
  <c r="K519" i="3"/>
  <c r="AN519" i="3" s="1"/>
  <c r="AB471" i="3"/>
  <c r="AB519" i="3"/>
  <c r="BB519" i="3"/>
  <c r="K495" i="3"/>
  <c r="AN495" i="3" s="1"/>
  <c r="AB495" i="3"/>
  <c r="BB495" i="3"/>
  <c r="K543" i="3"/>
  <c r="AN543" i="3" s="1"/>
  <c r="AJ493" i="3"/>
  <c r="P260" i="3" l="1"/>
  <c r="P259" i="3" s="1"/>
  <c r="O261" i="3"/>
  <c r="M257" i="3"/>
  <c r="N260" i="3"/>
  <c r="AI259" i="3"/>
  <c r="AI260" i="3" s="1"/>
  <c r="AI261" i="3" s="1"/>
  <c r="AH259" i="3"/>
  <c r="AG259" i="3"/>
  <c r="AG260" i="3" s="1"/>
  <c r="AG261" i="3" s="1"/>
  <c r="AF259" i="3"/>
  <c r="AF260" i="3" s="1"/>
  <c r="AF261" i="3" s="1"/>
  <c r="AE259" i="3"/>
  <c r="Y259" i="3"/>
  <c r="X259" i="3"/>
  <c r="W259" i="3"/>
  <c r="V259" i="3"/>
  <c r="U259" i="3"/>
  <c r="T259" i="3"/>
  <c r="S259" i="3"/>
  <c r="R259" i="3"/>
  <c r="Q259" i="3"/>
  <c r="M259" i="3"/>
  <c r="L259" i="3"/>
  <c r="AI258" i="3"/>
  <c r="AH258" i="3"/>
  <c r="AM258" i="3" s="1"/>
  <c r="AG258" i="3"/>
  <c r="AF258" i="3"/>
  <c r="AE258" i="3"/>
  <c r="AC258" i="3"/>
  <c r="AC259" i="3" s="1"/>
  <c r="Y257" i="3"/>
  <c r="X257" i="3"/>
  <c r="W257" i="3"/>
  <c r="V257" i="3"/>
  <c r="U257" i="3"/>
  <c r="T257" i="3"/>
  <c r="S257" i="3"/>
  <c r="R257" i="3"/>
  <c r="Q257" i="3"/>
  <c r="P257" i="3"/>
  <c r="L257" i="3"/>
  <c r="Y256" i="3"/>
  <c r="X256" i="3"/>
  <c r="W256" i="3"/>
  <c r="V256" i="3"/>
  <c r="U256" i="3"/>
  <c r="T256" i="3"/>
  <c r="S256" i="3"/>
  <c r="R256" i="3"/>
  <c r="Q256" i="3"/>
  <c r="P256" i="3"/>
  <c r="M256" i="3"/>
  <c r="L256" i="3"/>
  <c r="AI255" i="3"/>
  <c r="AI256" i="3" s="1"/>
  <c r="AI257" i="3" s="1"/>
  <c r="AH255" i="3"/>
  <c r="AH256" i="3" s="1"/>
  <c r="AG255" i="3"/>
  <c r="AG256" i="3" s="1"/>
  <c r="AG257" i="3" s="1"/>
  <c r="AF255" i="3"/>
  <c r="AF256" i="3" s="1"/>
  <c r="AF257" i="3" s="1"/>
  <c r="AE255" i="3"/>
  <c r="AI254" i="3"/>
  <c r="AH254" i="3"/>
  <c r="AM254" i="3" s="1"/>
  <c r="AG254" i="3"/>
  <c r="AF254" i="3"/>
  <c r="AE254" i="3"/>
  <c r="AD254" i="3" s="1"/>
  <c r="AC254" i="3"/>
  <c r="AC255" i="3" s="1"/>
  <c r="AC256" i="3" s="1"/>
  <c r="AC257" i="3" s="1"/>
  <c r="O253" i="3"/>
  <c r="N253" i="3"/>
  <c r="O252" i="3"/>
  <c r="N252" i="3"/>
  <c r="AI251" i="3"/>
  <c r="AI252" i="3" s="1"/>
  <c r="AI253" i="3" s="1"/>
  <c r="AH251" i="3"/>
  <c r="AH252" i="3" s="1"/>
  <c r="AH253" i="3" s="1"/>
  <c r="AG251" i="3"/>
  <c r="AG252" i="3" s="1"/>
  <c r="AG253" i="3" s="1"/>
  <c r="AF251" i="3"/>
  <c r="AF252" i="3" s="1"/>
  <c r="AF253" i="3" s="1"/>
  <c r="AE251" i="3"/>
  <c r="Y251" i="3"/>
  <c r="X251" i="3"/>
  <c r="W251" i="3"/>
  <c r="V251" i="3"/>
  <c r="U251" i="3"/>
  <c r="T251" i="3"/>
  <c r="S251" i="3"/>
  <c r="R251" i="3"/>
  <c r="Q251" i="3"/>
  <c r="P251" i="3"/>
  <c r="M251" i="3"/>
  <c r="L251" i="3"/>
  <c r="AI250" i="3"/>
  <c r="AH250" i="3"/>
  <c r="AK250" i="3" s="1"/>
  <c r="AG250" i="3"/>
  <c r="AF250" i="3"/>
  <c r="AE250" i="3"/>
  <c r="AC250" i="3"/>
  <c r="AC251" i="3" s="1"/>
  <c r="AC252" i="3" s="1"/>
  <c r="AC253" i="3" s="1"/>
  <c r="O260" i="3" l="1"/>
  <c r="K252" i="3"/>
  <c r="T255" i="3"/>
  <c r="AU255" i="3" s="1"/>
  <c r="N256" i="3"/>
  <c r="N257" i="3"/>
  <c r="N259" i="3"/>
  <c r="V255" i="3"/>
  <c r="AW255" i="3" s="1"/>
  <c r="O257" i="3"/>
  <c r="K253" i="3"/>
  <c r="O251" i="3"/>
  <c r="Q255" i="3"/>
  <c r="AR255" i="3" s="1"/>
  <c r="R255" i="3"/>
  <c r="AS255" i="3" s="1"/>
  <c r="S255" i="3"/>
  <c r="AT255" i="3" s="1"/>
  <c r="W255" i="3"/>
  <c r="AX255" i="3" s="1"/>
  <c r="X255" i="3"/>
  <c r="AY255" i="3" s="1"/>
  <c r="Y255" i="3"/>
  <c r="AZ255" i="3" s="1"/>
  <c r="M255" i="3"/>
  <c r="AP255" i="3" s="1"/>
  <c r="U255" i="3"/>
  <c r="AV255" i="3" s="1"/>
  <c r="N251" i="3"/>
  <c r="K260" i="3"/>
  <c r="I251" i="3"/>
  <c r="AW259" i="3"/>
  <c r="AD259" i="3"/>
  <c r="AB259" i="3" s="1"/>
  <c r="AX251" i="3"/>
  <c r="AT258" i="3"/>
  <c r="AU250" i="3"/>
  <c r="AM250" i="3"/>
  <c r="P255" i="3"/>
  <c r="AP254" i="3"/>
  <c r="AR250" i="3"/>
  <c r="AL250" i="3"/>
  <c r="AN250" i="3"/>
  <c r="AP250" i="3"/>
  <c r="AD250" i="3"/>
  <c r="AU258" i="3"/>
  <c r="AZ259" i="3"/>
  <c r="AB254" i="3"/>
  <c r="BB254" i="3"/>
  <c r="AV250" i="3"/>
  <c r="AX250" i="3"/>
  <c r="AO259" i="3"/>
  <c r="AY250" i="3"/>
  <c r="AY251" i="3"/>
  <c r="AJ258" i="3"/>
  <c r="AR259" i="3"/>
  <c r="AZ250" i="3"/>
  <c r="AZ251" i="3"/>
  <c r="AK258" i="3"/>
  <c r="AX259" i="3"/>
  <c r="AC260" i="3"/>
  <c r="AC261" i="3" s="1"/>
  <c r="AK259" i="3"/>
  <c r="AT259" i="3"/>
  <c r="AO254" i="3"/>
  <c r="AL258" i="3"/>
  <c r="AY259" i="3"/>
  <c r="AW250" i="3"/>
  <c r="AO251" i="3"/>
  <c r="AU259" i="3"/>
  <c r="AP251" i="3"/>
  <c r="AO258" i="3"/>
  <c r="AJ250" i="3"/>
  <c r="AH257" i="3"/>
  <c r="AJ256" i="3"/>
  <c r="AJ253" i="3"/>
  <c r="AX258" i="3"/>
  <c r="AT254" i="3"/>
  <c r="L255" i="3"/>
  <c r="AJ255" i="3"/>
  <c r="AM255" i="3" s="1"/>
  <c r="O256" i="3"/>
  <c r="AY258" i="3"/>
  <c r="AP259" i="3"/>
  <c r="AO250" i="3"/>
  <c r="AR251" i="3"/>
  <c r="AJ252" i="3"/>
  <c r="AU254" i="3"/>
  <c r="AK255" i="3"/>
  <c r="AN258" i="3"/>
  <c r="AZ258" i="3"/>
  <c r="AQ259" i="3"/>
  <c r="AH260" i="3"/>
  <c r="N261" i="3"/>
  <c r="K261" i="3" s="1"/>
  <c r="AV258" i="3"/>
  <c r="AW258" i="3"/>
  <c r="O259" i="3"/>
  <c r="K259" i="3" s="1"/>
  <c r="AN259" i="3" s="1"/>
  <c r="AJ254" i="3"/>
  <c r="AV254" i="3"/>
  <c r="AQ250" i="3"/>
  <c r="AT251" i="3"/>
  <c r="AK254" i="3"/>
  <c r="AW254" i="3"/>
  <c r="AD258" i="3"/>
  <c r="AP258" i="3"/>
  <c r="AS259" i="3"/>
  <c r="AR254" i="3"/>
  <c r="AS254" i="3"/>
  <c r="AL254" i="3"/>
  <c r="AS250" i="3"/>
  <c r="AJ251" i="3"/>
  <c r="AM251" i="3" s="1"/>
  <c r="AY254" i="3"/>
  <c r="AR258" i="3"/>
  <c r="I259" i="3"/>
  <c r="I255" i="3" s="1"/>
  <c r="AQ254" i="3"/>
  <c r="AD251" i="3"/>
  <c r="AT250" i="3"/>
  <c r="AK251" i="3"/>
  <c r="AW251" i="3"/>
  <c r="AN254" i="3"/>
  <c r="AZ254" i="3"/>
  <c r="AD255" i="3"/>
  <c r="AS258" i="3"/>
  <c r="AJ259" i="3"/>
  <c r="AV259" i="3"/>
  <c r="AQ251" i="3"/>
  <c r="AS251" i="3"/>
  <c r="AU251" i="3"/>
  <c r="AX254" i="3"/>
  <c r="AQ258" i="3"/>
  <c r="AV251" i="3"/>
  <c r="K256" i="3" l="1"/>
  <c r="K257" i="3"/>
  <c r="K251" i="3"/>
  <c r="AN251" i="3" s="1"/>
  <c r="O255" i="3"/>
  <c r="N255" i="3"/>
  <c r="BB259" i="3"/>
  <c r="AQ255" i="3"/>
  <c r="BB250" i="3"/>
  <c r="AB250" i="3"/>
  <c r="AB251" i="3"/>
  <c r="BB251" i="3"/>
  <c r="AM259" i="3"/>
  <c r="AL259" i="3"/>
  <c r="BB258" i="3"/>
  <c r="AB258" i="3"/>
  <c r="AL251" i="3"/>
  <c r="AO255" i="3"/>
  <c r="AL255" i="3"/>
  <c r="AJ257" i="3"/>
  <c r="AH261" i="3"/>
  <c r="AJ260" i="3"/>
  <c r="K255" i="3" l="1"/>
  <c r="AN255" i="3" s="1"/>
  <c r="BB255" i="3"/>
  <c r="AJ261" i="3"/>
  <c r="AB255" i="3"/>
  <c r="R704" i="3" l="1"/>
  <c r="R428" i="3"/>
  <c r="R416" i="3"/>
  <c r="R415" i="3" s="1"/>
  <c r="R104" i="3"/>
  <c r="Q800" i="3"/>
  <c r="Q776" i="3"/>
  <c r="Q772" i="3" s="1"/>
  <c r="Q704" i="3"/>
  <c r="Q703" i="3" s="1"/>
  <c r="Q668" i="3"/>
  <c r="Q656" i="3"/>
  <c r="Q652" i="3" s="1"/>
  <c r="Q644" i="3"/>
  <c r="Q488" i="3"/>
  <c r="Q428" i="3"/>
  <c r="Q416" i="3"/>
  <c r="Q412" i="3" s="1"/>
  <c r="Q308" i="3"/>
  <c r="Q304" i="3" s="1"/>
  <c r="Q392" i="3"/>
  <c r="Q356" i="3"/>
  <c r="Q248" i="3"/>
  <c r="Q224" i="3"/>
  <c r="Q212" i="3"/>
  <c r="Q200" i="3"/>
  <c r="Q188" i="3"/>
  <c r="Q176" i="3"/>
  <c r="Q164" i="3"/>
  <c r="Q160" i="3" s="1"/>
  <c r="Q128" i="3"/>
  <c r="Q116" i="3"/>
  <c r="Q104" i="3"/>
  <c r="Q92" i="3"/>
  <c r="Q68" i="3"/>
  <c r="Q44" i="3"/>
  <c r="Q20" i="3"/>
  <c r="P836" i="3"/>
  <c r="P824" i="3"/>
  <c r="P800" i="3"/>
  <c r="P788" i="3"/>
  <c r="P776" i="3"/>
  <c r="P764" i="3"/>
  <c r="P752" i="3"/>
  <c r="P740" i="3"/>
  <c r="P704" i="3"/>
  <c r="P692" i="3"/>
  <c r="P680" i="3"/>
  <c r="P668" i="3"/>
  <c r="P644" i="3"/>
  <c r="P560" i="3"/>
  <c r="P536" i="3"/>
  <c r="P512" i="3"/>
  <c r="P464" i="3"/>
  <c r="P452" i="3"/>
  <c r="P440" i="3"/>
  <c r="P428" i="3"/>
  <c r="P416" i="3"/>
  <c r="P412" i="3" s="1"/>
  <c r="P308" i="3"/>
  <c r="P304" i="3" s="1"/>
  <c r="P404" i="3"/>
  <c r="P403" i="3" s="1"/>
  <c r="P380" i="3"/>
  <c r="P368" i="3"/>
  <c r="P344" i="3"/>
  <c r="P320" i="3"/>
  <c r="P284" i="3"/>
  <c r="P272" i="3"/>
  <c r="P248" i="3"/>
  <c r="P176" i="3"/>
  <c r="P164" i="3"/>
  <c r="P140" i="3"/>
  <c r="P128" i="3"/>
  <c r="P68" i="3"/>
  <c r="P56" i="3"/>
  <c r="P44" i="3"/>
  <c r="P32" i="3"/>
  <c r="P20" i="3"/>
  <c r="M849" i="3"/>
  <c r="M837" i="3"/>
  <c r="M825" i="3"/>
  <c r="M789" i="3"/>
  <c r="M777" i="3"/>
  <c r="M765" i="3"/>
  <c r="M741" i="3"/>
  <c r="M693" i="3"/>
  <c r="M681" i="3"/>
  <c r="M669" i="3"/>
  <c r="M645" i="3"/>
  <c r="M621" i="3"/>
  <c r="M609" i="3"/>
  <c r="M597" i="3"/>
  <c r="M585" i="3"/>
  <c r="M561" i="3"/>
  <c r="M537" i="3"/>
  <c r="M513" i="3"/>
  <c r="M489" i="3"/>
  <c r="M465" i="3"/>
  <c r="M453" i="3"/>
  <c r="M441" i="3"/>
  <c r="M429" i="3"/>
  <c r="M405" i="3"/>
  <c r="N405" i="3" s="1"/>
  <c r="M393" i="3"/>
  <c r="M381" i="3"/>
  <c r="M357" i="3"/>
  <c r="M297" i="3"/>
  <c r="M285" i="3"/>
  <c r="M273" i="3"/>
  <c r="M249" i="3"/>
  <c r="M225" i="3"/>
  <c r="M213" i="3"/>
  <c r="M201" i="3"/>
  <c r="M189" i="3"/>
  <c r="M177" i="3"/>
  <c r="M141" i="3"/>
  <c r="M105" i="3"/>
  <c r="M93" i="3"/>
  <c r="M21" i="3"/>
  <c r="O705" i="3"/>
  <c r="N705" i="3"/>
  <c r="N704" i="3"/>
  <c r="AI703" i="3"/>
  <c r="AI704" i="3" s="1"/>
  <c r="AI705" i="3" s="1"/>
  <c r="AH703" i="3"/>
  <c r="AG703" i="3"/>
  <c r="AG704" i="3" s="1"/>
  <c r="AG705" i="3" s="1"/>
  <c r="AF703" i="3"/>
  <c r="AF704" i="3" s="1"/>
  <c r="AF705" i="3" s="1"/>
  <c r="AE703" i="3"/>
  <c r="Y703" i="3"/>
  <c r="X703" i="3"/>
  <c r="W703" i="3"/>
  <c r="V703" i="3"/>
  <c r="U703" i="3"/>
  <c r="T703" i="3"/>
  <c r="S703" i="3"/>
  <c r="R703" i="3"/>
  <c r="P703" i="3"/>
  <c r="M703" i="3"/>
  <c r="L703" i="3"/>
  <c r="AI702" i="3"/>
  <c r="AH702" i="3"/>
  <c r="AL702" i="3" s="1"/>
  <c r="AG702" i="3"/>
  <c r="AF702" i="3"/>
  <c r="AE702" i="3"/>
  <c r="AD702" i="3" s="1"/>
  <c r="BB702" i="3" s="1"/>
  <c r="AC702" i="3"/>
  <c r="AC703" i="3" s="1"/>
  <c r="Y701" i="3"/>
  <c r="X701" i="3"/>
  <c r="W701" i="3"/>
  <c r="V701" i="3"/>
  <c r="U701" i="3"/>
  <c r="T701" i="3"/>
  <c r="S701" i="3"/>
  <c r="R701" i="3"/>
  <c r="Q701" i="3"/>
  <c r="P701" i="3"/>
  <c r="M701" i="3"/>
  <c r="L701" i="3"/>
  <c r="Y700" i="3"/>
  <c r="X700" i="3"/>
  <c r="W700" i="3"/>
  <c r="V700" i="3"/>
  <c r="U700" i="3"/>
  <c r="T700" i="3"/>
  <c r="S700" i="3"/>
  <c r="R700" i="3"/>
  <c r="P700" i="3"/>
  <c r="M700" i="3"/>
  <c r="L700" i="3"/>
  <c r="AI699" i="3"/>
  <c r="AI700" i="3" s="1"/>
  <c r="AI701" i="3" s="1"/>
  <c r="AH699" i="3"/>
  <c r="AH700" i="3" s="1"/>
  <c r="AG699" i="3"/>
  <c r="AG700" i="3" s="1"/>
  <c r="AG701" i="3" s="1"/>
  <c r="AF699" i="3"/>
  <c r="AF700" i="3" s="1"/>
  <c r="AF701" i="3" s="1"/>
  <c r="AE699" i="3"/>
  <c r="AI698" i="3"/>
  <c r="AH698" i="3"/>
  <c r="AM698" i="3" s="1"/>
  <c r="AG698" i="3"/>
  <c r="AF698" i="3"/>
  <c r="AE698" i="3"/>
  <c r="AC698" i="3"/>
  <c r="AC699" i="3" s="1"/>
  <c r="AC700" i="3" s="1"/>
  <c r="AC701" i="3" s="1"/>
  <c r="O697" i="3"/>
  <c r="N697" i="3"/>
  <c r="O696" i="3"/>
  <c r="N696" i="3"/>
  <c r="AI695" i="3"/>
  <c r="AI696" i="3" s="1"/>
  <c r="AI697" i="3" s="1"/>
  <c r="AH695" i="3"/>
  <c r="AG695" i="3"/>
  <c r="AG696" i="3" s="1"/>
  <c r="AG697" i="3" s="1"/>
  <c r="AF695" i="3"/>
  <c r="AF696" i="3" s="1"/>
  <c r="AF697" i="3" s="1"/>
  <c r="AE695" i="3"/>
  <c r="Y695" i="3"/>
  <c r="X695" i="3"/>
  <c r="W695" i="3"/>
  <c r="V695" i="3"/>
  <c r="U695" i="3"/>
  <c r="T695" i="3"/>
  <c r="S695" i="3"/>
  <c r="R695" i="3"/>
  <c r="Q695" i="3"/>
  <c r="P695" i="3"/>
  <c r="M695" i="3"/>
  <c r="L695" i="3"/>
  <c r="AI694" i="3"/>
  <c r="AH694" i="3"/>
  <c r="AM694" i="3" s="1"/>
  <c r="AG694" i="3"/>
  <c r="AF694" i="3"/>
  <c r="AE694" i="3"/>
  <c r="AD694" i="3" s="1"/>
  <c r="BB694" i="3" s="1"/>
  <c r="AC694" i="3"/>
  <c r="AC695" i="3" s="1"/>
  <c r="AC696" i="3" s="1"/>
  <c r="AC697" i="3" s="1"/>
  <c r="O417" i="3"/>
  <c r="N417" i="3"/>
  <c r="O416" i="3"/>
  <c r="N416" i="3"/>
  <c r="AI415" i="3"/>
  <c r="AI416" i="3" s="1"/>
  <c r="AI417" i="3" s="1"/>
  <c r="AH415" i="3"/>
  <c r="AG415" i="3"/>
  <c r="AG416" i="3" s="1"/>
  <c r="AG417" i="3" s="1"/>
  <c r="AF415" i="3"/>
  <c r="AF416" i="3" s="1"/>
  <c r="AF417" i="3" s="1"/>
  <c r="AE415" i="3"/>
  <c r="Y415" i="3"/>
  <c r="X415" i="3"/>
  <c r="W415" i="3"/>
  <c r="V415" i="3"/>
  <c r="U415" i="3"/>
  <c r="T415" i="3"/>
  <c r="S415" i="3"/>
  <c r="Q415" i="3"/>
  <c r="P415" i="3"/>
  <c r="M415" i="3"/>
  <c r="L415" i="3"/>
  <c r="AI414" i="3"/>
  <c r="AH414" i="3"/>
  <c r="AL414" i="3" s="1"/>
  <c r="AG414" i="3"/>
  <c r="AF414" i="3"/>
  <c r="AE414" i="3"/>
  <c r="AC414" i="3"/>
  <c r="AC415" i="3" s="1"/>
  <c r="Y413" i="3"/>
  <c r="X413" i="3"/>
  <c r="W413" i="3"/>
  <c r="V413" i="3"/>
  <c r="U413" i="3"/>
  <c r="T413" i="3"/>
  <c r="S413" i="3"/>
  <c r="R413" i="3"/>
  <c r="Q413" i="3"/>
  <c r="P413" i="3"/>
  <c r="M413" i="3"/>
  <c r="L413" i="3"/>
  <c r="Y412" i="3"/>
  <c r="X412" i="3"/>
  <c r="W412" i="3"/>
  <c r="V412" i="3"/>
  <c r="U412" i="3"/>
  <c r="T412" i="3"/>
  <c r="S412" i="3"/>
  <c r="S411" i="3" s="1"/>
  <c r="M412" i="3"/>
  <c r="L412" i="3"/>
  <c r="AI411" i="3"/>
  <c r="AI412" i="3" s="1"/>
  <c r="AI413" i="3" s="1"/>
  <c r="AH411" i="3"/>
  <c r="AH412" i="3" s="1"/>
  <c r="AG411" i="3"/>
  <c r="AG412" i="3" s="1"/>
  <c r="AG413" i="3" s="1"/>
  <c r="AF411" i="3"/>
  <c r="AF412" i="3" s="1"/>
  <c r="AF413" i="3" s="1"/>
  <c r="AE411" i="3"/>
  <c r="AI410" i="3"/>
  <c r="AH410" i="3"/>
  <c r="AM410" i="3" s="1"/>
  <c r="AG410" i="3"/>
  <c r="AF410" i="3"/>
  <c r="AE410" i="3"/>
  <c r="AD410" i="3" s="1"/>
  <c r="AB410" i="3" s="1"/>
  <c r="AC410" i="3"/>
  <c r="AC411" i="3" s="1"/>
  <c r="AC412" i="3" s="1"/>
  <c r="AC413" i="3" s="1"/>
  <c r="O409" i="3"/>
  <c r="N409" i="3"/>
  <c r="O408" i="3"/>
  <c r="N408" i="3"/>
  <c r="AI407" i="3"/>
  <c r="AH407" i="3"/>
  <c r="AG407" i="3"/>
  <c r="AG408" i="3" s="1"/>
  <c r="AG409" i="3" s="1"/>
  <c r="AF407" i="3"/>
  <c r="AF408" i="3" s="1"/>
  <c r="AF409" i="3" s="1"/>
  <c r="AE407" i="3"/>
  <c r="Y407" i="3"/>
  <c r="X407" i="3"/>
  <c r="W407" i="3"/>
  <c r="V407" i="3"/>
  <c r="U407" i="3"/>
  <c r="T407" i="3"/>
  <c r="S407" i="3"/>
  <c r="R407" i="3"/>
  <c r="Q407" i="3"/>
  <c r="P407" i="3"/>
  <c r="M407" i="3"/>
  <c r="L407" i="3"/>
  <c r="AI406" i="3"/>
  <c r="AH406" i="3"/>
  <c r="AM406" i="3" s="1"/>
  <c r="AG406" i="3"/>
  <c r="AF406" i="3"/>
  <c r="AE406" i="3"/>
  <c r="AC406" i="3"/>
  <c r="AC407" i="3" s="1"/>
  <c r="AC408" i="3" s="1"/>
  <c r="AC409" i="3" s="1"/>
  <c r="O657" i="3"/>
  <c r="N657" i="3"/>
  <c r="O656" i="3"/>
  <c r="N656" i="3"/>
  <c r="AI655" i="3"/>
  <c r="AI656" i="3" s="1"/>
  <c r="AI657" i="3" s="1"/>
  <c r="AH655" i="3"/>
  <c r="AH656" i="3" s="1"/>
  <c r="AH657" i="3" s="1"/>
  <c r="AG655" i="3"/>
  <c r="AG656" i="3" s="1"/>
  <c r="AG657" i="3" s="1"/>
  <c r="AF655" i="3"/>
  <c r="AF656" i="3" s="1"/>
  <c r="AF657" i="3" s="1"/>
  <c r="AE655" i="3"/>
  <c r="Y655" i="3"/>
  <c r="X655" i="3"/>
  <c r="W655" i="3"/>
  <c r="V655" i="3"/>
  <c r="U655" i="3"/>
  <c r="T655" i="3"/>
  <c r="S655" i="3"/>
  <c r="R655" i="3"/>
  <c r="P655" i="3"/>
  <c r="M655" i="3"/>
  <c r="L655" i="3"/>
  <c r="AI654" i="3"/>
  <c r="AH654" i="3"/>
  <c r="AK654" i="3" s="1"/>
  <c r="AG654" i="3"/>
  <c r="AF654" i="3"/>
  <c r="AE654" i="3"/>
  <c r="AD654" i="3" s="1"/>
  <c r="AC654" i="3"/>
  <c r="AC655" i="3" s="1"/>
  <c r="Y653" i="3"/>
  <c r="X653" i="3"/>
  <c r="W653" i="3"/>
  <c r="V653" i="3"/>
  <c r="U653" i="3"/>
  <c r="T653" i="3"/>
  <c r="S653" i="3"/>
  <c r="R653" i="3"/>
  <c r="Q653" i="3"/>
  <c r="P653" i="3"/>
  <c r="M653" i="3"/>
  <c r="L653" i="3"/>
  <c r="Y652" i="3"/>
  <c r="X652" i="3"/>
  <c r="W652" i="3"/>
  <c r="V652" i="3"/>
  <c r="U652" i="3"/>
  <c r="T652" i="3"/>
  <c r="S652" i="3"/>
  <c r="S651" i="3" s="1"/>
  <c r="R652" i="3"/>
  <c r="P652" i="3"/>
  <c r="M652" i="3"/>
  <c r="L652" i="3"/>
  <c r="AI651" i="3"/>
  <c r="AH651" i="3"/>
  <c r="AG651" i="3"/>
  <c r="AG652" i="3" s="1"/>
  <c r="AG653" i="3" s="1"/>
  <c r="AF651" i="3"/>
  <c r="AF652" i="3" s="1"/>
  <c r="AF653" i="3" s="1"/>
  <c r="AE651" i="3"/>
  <c r="AI650" i="3"/>
  <c r="AH650" i="3"/>
  <c r="AM650" i="3" s="1"/>
  <c r="AG650" i="3"/>
  <c r="AF650" i="3"/>
  <c r="AE650" i="3"/>
  <c r="AD650" i="3" s="1"/>
  <c r="AB650" i="3" s="1"/>
  <c r="AC650" i="3"/>
  <c r="AC651" i="3" s="1"/>
  <c r="AC652" i="3" s="1"/>
  <c r="AC653" i="3" s="1"/>
  <c r="O649" i="3"/>
  <c r="N649" i="3"/>
  <c r="O648" i="3"/>
  <c r="N648" i="3"/>
  <c r="AI647" i="3"/>
  <c r="AI648" i="3" s="1"/>
  <c r="AI649" i="3" s="1"/>
  <c r="AH647" i="3"/>
  <c r="AH648" i="3" s="1"/>
  <c r="AG647" i="3"/>
  <c r="AG648" i="3" s="1"/>
  <c r="AG649" i="3" s="1"/>
  <c r="AF647" i="3"/>
  <c r="AF648" i="3" s="1"/>
  <c r="AF649" i="3" s="1"/>
  <c r="AE647" i="3"/>
  <c r="Y647" i="3"/>
  <c r="X647" i="3"/>
  <c r="W647" i="3"/>
  <c r="V647" i="3"/>
  <c r="U647" i="3"/>
  <c r="T647" i="3"/>
  <c r="S647" i="3"/>
  <c r="R647" i="3"/>
  <c r="Q647" i="3"/>
  <c r="P647" i="3"/>
  <c r="M647" i="3"/>
  <c r="L647" i="3"/>
  <c r="AI646" i="3"/>
  <c r="AH646" i="3"/>
  <c r="AL646" i="3" s="1"/>
  <c r="AG646" i="3"/>
  <c r="AF646" i="3"/>
  <c r="AE646" i="3"/>
  <c r="AD646" i="3" s="1"/>
  <c r="BB646" i="3" s="1"/>
  <c r="AC646" i="3"/>
  <c r="AC647" i="3" s="1"/>
  <c r="AC648" i="3" s="1"/>
  <c r="AC649" i="3" s="1"/>
  <c r="O309" i="3"/>
  <c r="N309" i="3"/>
  <c r="O308" i="3"/>
  <c r="N308" i="3"/>
  <c r="AI307" i="3"/>
  <c r="AI308" i="3" s="1"/>
  <c r="AI309" i="3" s="1"/>
  <c r="AH307" i="3"/>
  <c r="AG307" i="3"/>
  <c r="AG308" i="3" s="1"/>
  <c r="AG309" i="3" s="1"/>
  <c r="AF307" i="3"/>
  <c r="AF308" i="3" s="1"/>
  <c r="AF309" i="3" s="1"/>
  <c r="AE307" i="3"/>
  <c r="Y307" i="3"/>
  <c r="X307" i="3"/>
  <c r="W307" i="3"/>
  <c r="V307" i="3"/>
  <c r="U307" i="3"/>
  <c r="T307" i="3"/>
  <c r="S307" i="3"/>
  <c r="R307" i="3"/>
  <c r="M307" i="3"/>
  <c r="L307" i="3"/>
  <c r="AI306" i="3"/>
  <c r="AH306" i="3"/>
  <c r="AL306" i="3" s="1"/>
  <c r="AG306" i="3"/>
  <c r="AF306" i="3"/>
  <c r="AE306" i="3"/>
  <c r="AD306" i="3" s="1"/>
  <c r="BB306" i="3" s="1"/>
  <c r="AC306" i="3"/>
  <c r="AC307" i="3" s="1"/>
  <c r="Y305" i="3"/>
  <c r="X305" i="3"/>
  <c r="W305" i="3"/>
  <c r="V305" i="3"/>
  <c r="U305" i="3"/>
  <c r="T305" i="3"/>
  <c r="S305" i="3"/>
  <c r="R305" i="3"/>
  <c r="Q305" i="3"/>
  <c r="P305" i="3"/>
  <c r="M305" i="3"/>
  <c r="L305" i="3"/>
  <c r="Y304" i="3"/>
  <c r="X304" i="3"/>
  <c r="W304" i="3"/>
  <c r="V304" i="3"/>
  <c r="U304" i="3"/>
  <c r="T304" i="3"/>
  <c r="S304" i="3"/>
  <c r="R304" i="3"/>
  <c r="M304" i="3"/>
  <c r="L304" i="3"/>
  <c r="AI303" i="3"/>
  <c r="AI304" i="3" s="1"/>
  <c r="AI305" i="3" s="1"/>
  <c r="AH303" i="3"/>
  <c r="AH304" i="3" s="1"/>
  <c r="AG303" i="3"/>
  <c r="AG304" i="3" s="1"/>
  <c r="AG305" i="3" s="1"/>
  <c r="AF303" i="3"/>
  <c r="AF304" i="3" s="1"/>
  <c r="AF305" i="3" s="1"/>
  <c r="AE303" i="3"/>
  <c r="AI302" i="3"/>
  <c r="AH302" i="3"/>
  <c r="AM302" i="3" s="1"/>
  <c r="AG302" i="3"/>
  <c r="AF302" i="3"/>
  <c r="AE302" i="3"/>
  <c r="AC302" i="3"/>
  <c r="AC303" i="3" s="1"/>
  <c r="AC304" i="3" s="1"/>
  <c r="AC305" i="3" s="1"/>
  <c r="O301" i="3"/>
  <c r="N301" i="3"/>
  <c r="O300" i="3"/>
  <c r="N300" i="3"/>
  <c r="AI299" i="3"/>
  <c r="AH299" i="3"/>
  <c r="AG299" i="3"/>
  <c r="AG300" i="3" s="1"/>
  <c r="AG301" i="3" s="1"/>
  <c r="AF299" i="3"/>
  <c r="AF300" i="3" s="1"/>
  <c r="AF301" i="3" s="1"/>
  <c r="AE299" i="3"/>
  <c r="Y299" i="3"/>
  <c r="X299" i="3"/>
  <c r="W299" i="3"/>
  <c r="V299" i="3"/>
  <c r="U299" i="3"/>
  <c r="T299" i="3"/>
  <c r="S299" i="3"/>
  <c r="R299" i="3"/>
  <c r="Q299" i="3"/>
  <c r="P299" i="3"/>
  <c r="M299" i="3"/>
  <c r="L299" i="3"/>
  <c r="AI298" i="3"/>
  <c r="AH298" i="3"/>
  <c r="AL298" i="3" s="1"/>
  <c r="AG298" i="3"/>
  <c r="AF298" i="3"/>
  <c r="AE298" i="3"/>
  <c r="AD298" i="3" s="1"/>
  <c r="BB298" i="3" s="1"/>
  <c r="AC298" i="3"/>
  <c r="AC299" i="3" s="1"/>
  <c r="AC300" i="3" s="1"/>
  <c r="AC301" i="3" s="1"/>
  <c r="O777" i="3"/>
  <c r="N777" i="3"/>
  <c r="N776" i="3"/>
  <c r="AI775" i="3"/>
  <c r="AI776" i="3" s="1"/>
  <c r="AI777" i="3" s="1"/>
  <c r="AH775" i="3"/>
  <c r="AH776" i="3" s="1"/>
  <c r="AH777" i="3" s="1"/>
  <c r="AG775" i="3"/>
  <c r="AG776" i="3" s="1"/>
  <c r="AG777" i="3" s="1"/>
  <c r="AF775" i="3"/>
  <c r="AF776" i="3" s="1"/>
  <c r="AF777" i="3" s="1"/>
  <c r="AE775" i="3"/>
  <c r="Y775" i="3"/>
  <c r="X775" i="3"/>
  <c r="W775" i="3"/>
  <c r="V775" i="3"/>
  <c r="U775" i="3"/>
  <c r="T775" i="3"/>
  <c r="S775" i="3"/>
  <c r="R775" i="3"/>
  <c r="M775" i="3"/>
  <c r="L775" i="3"/>
  <c r="AI774" i="3"/>
  <c r="AH774" i="3"/>
  <c r="AK774" i="3" s="1"/>
  <c r="AG774" i="3"/>
  <c r="AF774" i="3"/>
  <c r="AE774" i="3"/>
  <c r="AC774" i="3"/>
  <c r="AC775" i="3" s="1"/>
  <c r="AC776" i="3" s="1"/>
  <c r="AC777" i="3" s="1"/>
  <c r="Y773" i="3"/>
  <c r="X773" i="3"/>
  <c r="W773" i="3"/>
  <c r="V773" i="3"/>
  <c r="U773" i="3"/>
  <c r="T773" i="3"/>
  <c r="S773" i="3"/>
  <c r="R773" i="3"/>
  <c r="Q773" i="3"/>
  <c r="P773" i="3"/>
  <c r="M773" i="3"/>
  <c r="L773" i="3"/>
  <c r="Y772" i="3"/>
  <c r="X772" i="3"/>
  <c r="W772" i="3"/>
  <c r="V772" i="3"/>
  <c r="U772" i="3"/>
  <c r="T772" i="3"/>
  <c r="S772" i="3"/>
  <c r="R772" i="3"/>
  <c r="M772" i="3"/>
  <c r="L772" i="3"/>
  <c r="AI771" i="3"/>
  <c r="AI772" i="3" s="1"/>
  <c r="AI773" i="3" s="1"/>
  <c r="AH771" i="3"/>
  <c r="AH772" i="3" s="1"/>
  <c r="AG771" i="3"/>
  <c r="AG772" i="3" s="1"/>
  <c r="AG773" i="3" s="1"/>
  <c r="AF771" i="3"/>
  <c r="AF772" i="3" s="1"/>
  <c r="AF773" i="3" s="1"/>
  <c r="AE771" i="3"/>
  <c r="AI770" i="3"/>
  <c r="AH770" i="3"/>
  <c r="AL770" i="3" s="1"/>
  <c r="AG770" i="3"/>
  <c r="AF770" i="3"/>
  <c r="AE770" i="3"/>
  <c r="AD770" i="3" s="1"/>
  <c r="AB770" i="3" s="1"/>
  <c r="AC770" i="3"/>
  <c r="AC771" i="3" s="1"/>
  <c r="AC772" i="3" s="1"/>
  <c r="AC773" i="3" s="1"/>
  <c r="O769" i="3"/>
  <c r="N769" i="3"/>
  <c r="O768" i="3"/>
  <c r="N768" i="3"/>
  <c r="AI767" i="3"/>
  <c r="AI768" i="3" s="1"/>
  <c r="AI769" i="3" s="1"/>
  <c r="AH767" i="3"/>
  <c r="AH768" i="3" s="1"/>
  <c r="AH769" i="3" s="1"/>
  <c r="AJ769" i="3" s="1"/>
  <c r="AG767" i="3"/>
  <c r="AG768" i="3" s="1"/>
  <c r="AG769" i="3" s="1"/>
  <c r="AF767" i="3"/>
  <c r="AF768" i="3" s="1"/>
  <c r="AF769" i="3" s="1"/>
  <c r="AE767" i="3"/>
  <c r="Y767" i="3"/>
  <c r="X767" i="3"/>
  <c r="W767" i="3"/>
  <c r="V767" i="3"/>
  <c r="U767" i="3"/>
  <c r="T767" i="3"/>
  <c r="S767" i="3"/>
  <c r="R767" i="3"/>
  <c r="Q767" i="3"/>
  <c r="P767" i="3"/>
  <c r="M767" i="3"/>
  <c r="L767" i="3"/>
  <c r="AI766" i="3"/>
  <c r="AH766" i="3"/>
  <c r="AM766" i="3" s="1"/>
  <c r="AG766" i="3"/>
  <c r="AF766" i="3"/>
  <c r="AE766" i="3"/>
  <c r="AC766" i="3"/>
  <c r="AC767" i="3" s="1"/>
  <c r="AC768" i="3" s="1"/>
  <c r="AC769" i="3" s="1"/>
  <c r="O405" i="3"/>
  <c r="N404" i="3"/>
  <c r="AI403" i="3"/>
  <c r="AI404" i="3" s="1"/>
  <c r="AI405" i="3" s="1"/>
  <c r="AH403" i="3"/>
  <c r="AG403" i="3"/>
  <c r="AG404" i="3" s="1"/>
  <c r="AG405" i="3" s="1"/>
  <c r="AF403" i="3"/>
  <c r="AF404" i="3" s="1"/>
  <c r="AF405" i="3" s="1"/>
  <c r="AE403" i="3"/>
  <c r="Y403" i="3"/>
  <c r="X403" i="3"/>
  <c r="W403" i="3"/>
  <c r="V403" i="3"/>
  <c r="U403" i="3"/>
  <c r="T403" i="3"/>
  <c r="S403" i="3"/>
  <c r="R403" i="3"/>
  <c r="Q403" i="3"/>
  <c r="L403" i="3"/>
  <c r="AI402" i="3"/>
  <c r="AH402" i="3"/>
  <c r="AJ402" i="3" s="1"/>
  <c r="AG402" i="3"/>
  <c r="AF402" i="3"/>
  <c r="AE402" i="3"/>
  <c r="AD402" i="3" s="1"/>
  <c r="BB402" i="3" s="1"/>
  <c r="AC402" i="3"/>
  <c r="AC403" i="3" s="1"/>
  <c r="Y401" i="3"/>
  <c r="X401" i="3"/>
  <c r="W401" i="3"/>
  <c r="V401" i="3"/>
  <c r="U401" i="3"/>
  <c r="T401" i="3"/>
  <c r="S401" i="3"/>
  <c r="R401" i="3"/>
  <c r="Q401" i="3"/>
  <c r="P401" i="3"/>
  <c r="L401" i="3"/>
  <c r="Y400" i="3"/>
  <c r="X400" i="3"/>
  <c r="W400" i="3"/>
  <c r="V400" i="3"/>
  <c r="U400" i="3"/>
  <c r="T400" i="3"/>
  <c r="S400" i="3"/>
  <c r="R400" i="3"/>
  <c r="Q400" i="3"/>
  <c r="M400" i="3"/>
  <c r="L400" i="3"/>
  <c r="AI399" i="3"/>
  <c r="AI400" i="3" s="1"/>
  <c r="AI401" i="3" s="1"/>
  <c r="AH399" i="3"/>
  <c r="AG399" i="3"/>
  <c r="AG400" i="3" s="1"/>
  <c r="AG401" i="3" s="1"/>
  <c r="AF399" i="3"/>
  <c r="AF400" i="3" s="1"/>
  <c r="AF401" i="3" s="1"/>
  <c r="AE399" i="3"/>
  <c r="AI398" i="3"/>
  <c r="AH398" i="3"/>
  <c r="AM398" i="3" s="1"/>
  <c r="AG398" i="3"/>
  <c r="AF398" i="3"/>
  <c r="AE398" i="3"/>
  <c r="AD398" i="3" s="1"/>
  <c r="AB398" i="3" s="1"/>
  <c r="AC398" i="3"/>
  <c r="AC399" i="3" s="1"/>
  <c r="AC400" i="3" s="1"/>
  <c r="AC401" i="3" s="1"/>
  <c r="O397" i="3"/>
  <c r="N397" i="3"/>
  <c r="O396" i="3"/>
  <c r="N396" i="3"/>
  <c r="AI395" i="3"/>
  <c r="AH395" i="3"/>
  <c r="AG395" i="3"/>
  <c r="AG396" i="3" s="1"/>
  <c r="AG397" i="3" s="1"/>
  <c r="AF395" i="3"/>
  <c r="AF396" i="3" s="1"/>
  <c r="AF397" i="3" s="1"/>
  <c r="AE395" i="3"/>
  <c r="Y395" i="3"/>
  <c r="X395" i="3"/>
  <c r="W395" i="3"/>
  <c r="V395" i="3"/>
  <c r="U395" i="3"/>
  <c r="T395" i="3"/>
  <c r="S395" i="3"/>
  <c r="R395" i="3"/>
  <c r="Q395" i="3"/>
  <c r="P395" i="3"/>
  <c r="M395" i="3"/>
  <c r="L395" i="3"/>
  <c r="AI394" i="3"/>
  <c r="AH394" i="3"/>
  <c r="AM394" i="3" s="1"/>
  <c r="AG394" i="3"/>
  <c r="AF394" i="3"/>
  <c r="AE394" i="3"/>
  <c r="AD394" i="3" s="1"/>
  <c r="BB394" i="3" s="1"/>
  <c r="AC394" i="3"/>
  <c r="AC395" i="3" s="1"/>
  <c r="O165" i="3"/>
  <c r="N165" i="3"/>
  <c r="N164" i="3"/>
  <c r="AI163" i="3"/>
  <c r="AH163" i="3"/>
  <c r="AG163" i="3"/>
  <c r="AG164" i="3" s="1"/>
  <c r="AG165" i="3" s="1"/>
  <c r="AF163" i="3"/>
  <c r="AF164" i="3" s="1"/>
  <c r="AF165" i="3" s="1"/>
  <c r="AE163" i="3"/>
  <c r="Y163" i="3"/>
  <c r="X163" i="3"/>
  <c r="W163" i="3"/>
  <c r="V163" i="3"/>
  <c r="U163" i="3"/>
  <c r="T163" i="3"/>
  <c r="S163" i="3"/>
  <c r="R163" i="3"/>
  <c r="P163" i="3"/>
  <c r="M163" i="3"/>
  <c r="L163" i="3"/>
  <c r="AI162" i="3"/>
  <c r="AH162" i="3"/>
  <c r="AJ162" i="3" s="1"/>
  <c r="AG162" i="3"/>
  <c r="AF162" i="3"/>
  <c r="AE162" i="3"/>
  <c r="AC162" i="3"/>
  <c r="AC163" i="3" s="1"/>
  <c r="Y161" i="3"/>
  <c r="X161" i="3"/>
  <c r="W161" i="3"/>
  <c r="V161" i="3"/>
  <c r="U161" i="3"/>
  <c r="T161" i="3"/>
  <c r="S161" i="3"/>
  <c r="R161" i="3"/>
  <c r="Q161" i="3"/>
  <c r="P161" i="3"/>
  <c r="M161" i="3"/>
  <c r="L161" i="3"/>
  <c r="Y160" i="3"/>
  <c r="X160" i="3"/>
  <c r="W160" i="3"/>
  <c r="V160" i="3"/>
  <c r="U160" i="3"/>
  <c r="T160" i="3"/>
  <c r="S160" i="3"/>
  <c r="R160" i="3"/>
  <c r="P160" i="3"/>
  <c r="M160" i="3"/>
  <c r="L160" i="3"/>
  <c r="AI159" i="3"/>
  <c r="AI160" i="3" s="1"/>
  <c r="AI161" i="3" s="1"/>
  <c r="AH159" i="3"/>
  <c r="AH160" i="3" s="1"/>
  <c r="AG159" i="3"/>
  <c r="AG160" i="3" s="1"/>
  <c r="AG161" i="3" s="1"/>
  <c r="AF159" i="3"/>
  <c r="AF160" i="3" s="1"/>
  <c r="AF161" i="3" s="1"/>
  <c r="AE159" i="3"/>
  <c r="AI158" i="3"/>
  <c r="AH158" i="3"/>
  <c r="AM158" i="3" s="1"/>
  <c r="AG158" i="3"/>
  <c r="AF158" i="3"/>
  <c r="AE158" i="3"/>
  <c r="AD158" i="3" s="1"/>
  <c r="AB158" i="3" s="1"/>
  <c r="AC158" i="3"/>
  <c r="AC159" i="3" s="1"/>
  <c r="AC160" i="3" s="1"/>
  <c r="AC161" i="3" s="1"/>
  <c r="O157" i="3"/>
  <c r="N157" i="3"/>
  <c r="O156" i="3"/>
  <c r="N156" i="3"/>
  <c r="AI155" i="3"/>
  <c r="AH155" i="3"/>
  <c r="AG155" i="3"/>
  <c r="AG156" i="3" s="1"/>
  <c r="AG157" i="3" s="1"/>
  <c r="AF155" i="3"/>
  <c r="AF156" i="3" s="1"/>
  <c r="AF157" i="3" s="1"/>
  <c r="AE155" i="3"/>
  <c r="Y155" i="3"/>
  <c r="X155" i="3"/>
  <c r="W155" i="3"/>
  <c r="V155" i="3"/>
  <c r="U155" i="3"/>
  <c r="T155" i="3"/>
  <c r="S155" i="3"/>
  <c r="R155" i="3"/>
  <c r="Q155" i="3"/>
  <c r="P155" i="3"/>
  <c r="M155" i="3"/>
  <c r="L155" i="3"/>
  <c r="AI154" i="3"/>
  <c r="AH154" i="3"/>
  <c r="AL154" i="3" s="1"/>
  <c r="AG154" i="3"/>
  <c r="AF154" i="3"/>
  <c r="AE154" i="3"/>
  <c r="AC154" i="3"/>
  <c r="AC155" i="3" s="1"/>
  <c r="R412" i="3" l="1"/>
  <c r="R651" i="3"/>
  <c r="Y411" i="3"/>
  <c r="AZ411" i="3" s="1"/>
  <c r="P307" i="3"/>
  <c r="AQ307" i="3" s="1"/>
  <c r="M303" i="3"/>
  <c r="AP303" i="3" s="1"/>
  <c r="M411" i="3"/>
  <c r="AP411" i="3" s="1"/>
  <c r="U303" i="3"/>
  <c r="AV303" i="3" s="1"/>
  <c r="Q700" i="3"/>
  <c r="Q699" i="3" s="1"/>
  <c r="AR699" i="3" s="1"/>
  <c r="Y399" i="3"/>
  <c r="AZ399" i="3" s="1"/>
  <c r="M403" i="3"/>
  <c r="AP403" i="3" s="1"/>
  <c r="M401" i="3"/>
  <c r="N401" i="3" s="1"/>
  <c r="Q655" i="3"/>
  <c r="O655" i="3" s="1"/>
  <c r="O404" i="3"/>
  <c r="K404" i="3" s="1"/>
  <c r="Q775" i="3"/>
  <c r="I775" i="3" s="1"/>
  <c r="I771" i="3" s="1"/>
  <c r="O776" i="3"/>
  <c r="K776" i="3" s="1"/>
  <c r="P400" i="3"/>
  <c r="P399" i="3" s="1"/>
  <c r="AQ399" i="3" s="1"/>
  <c r="Q307" i="3"/>
  <c r="AR307" i="3" s="1"/>
  <c r="U699" i="3"/>
  <c r="AV699" i="3" s="1"/>
  <c r="O704" i="3"/>
  <c r="K704" i="3" s="1"/>
  <c r="S159" i="3"/>
  <c r="AT159" i="3" s="1"/>
  <c r="T651" i="3"/>
  <c r="AU651" i="3" s="1"/>
  <c r="M771" i="3"/>
  <c r="AP771" i="3" s="1"/>
  <c r="U651" i="3"/>
  <c r="AV651" i="3" s="1"/>
  <c r="K157" i="3"/>
  <c r="U399" i="3"/>
  <c r="AV399" i="3" s="1"/>
  <c r="Q411" i="3"/>
  <c r="AR411" i="3" s="1"/>
  <c r="T771" i="3"/>
  <c r="AU771" i="3" s="1"/>
  <c r="K705" i="3"/>
  <c r="P651" i="3"/>
  <c r="AQ651" i="3" s="1"/>
  <c r="K768" i="3"/>
  <c r="M159" i="3"/>
  <c r="AP159" i="3" s="1"/>
  <c r="V651" i="3"/>
  <c r="AW651" i="3" s="1"/>
  <c r="L651" i="3"/>
  <c r="AO651" i="3" s="1"/>
  <c r="Q163" i="3"/>
  <c r="O163" i="3" s="1"/>
  <c r="O164" i="3"/>
  <c r="K164" i="3" s="1"/>
  <c r="P772" i="3"/>
  <c r="O772" i="3" s="1"/>
  <c r="P775" i="3"/>
  <c r="U771" i="3"/>
  <c r="AV771" i="3" s="1"/>
  <c r="T399" i="3"/>
  <c r="AU399" i="3" s="1"/>
  <c r="T159" i="3"/>
  <c r="AU159" i="3" s="1"/>
  <c r="R303" i="3"/>
  <c r="AS303" i="3" s="1"/>
  <c r="M651" i="3"/>
  <c r="T303" i="3"/>
  <c r="AU303" i="3" s="1"/>
  <c r="V411" i="3"/>
  <c r="AW411" i="3" s="1"/>
  <c r="X303" i="3"/>
  <c r="AY303" i="3" s="1"/>
  <c r="W159" i="3"/>
  <c r="AX159" i="3" s="1"/>
  <c r="N700" i="3"/>
  <c r="N701" i="3"/>
  <c r="L159" i="3"/>
  <c r="AO159" i="3" s="1"/>
  <c r="V303" i="3"/>
  <c r="AW303" i="3" s="1"/>
  <c r="Q159" i="3"/>
  <c r="AR159" i="3" s="1"/>
  <c r="V771" i="3"/>
  <c r="AW771" i="3" s="1"/>
  <c r="M699" i="3"/>
  <c r="AP699" i="3" s="1"/>
  <c r="R699" i="3"/>
  <c r="AS699" i="3" s="1"/>
  <c r="T699" i="3"/>
  <c r="AU699" i="3" s="1"/>
  <c r="N412" i="3"/>
  <c r="N413" i="3"/>
  <c r="S771" i="3"/>
  <c r="AT771" i="3" s="1"/>
  <c r="M399" i="3"/>
  <c r="AP399" i="3" s="1"/>
  <c r="V159" i="3"/>
  <c r="AW159" i="3" s="1"/>
  <c r="X651" i="3"/>
  <c r="AY651" i="3" s="1"/>
  <c r="N161" i="3"/>
  <c r="U411" i="3"/>
  <c r="AV411" i="3" s="1"/>
  <c r="K696" i="3"/>
  <c r="K405" i="3"/>
  <c r="K309" i="3"/>
  <c r="K417" i="3"/>
  <c r="K769" i="3"/>
  <c r="K649" i="3"/>
  <c r="K697" i="3"/>
  <c r="W399" i="3"/>
  <c r="AX399" i="3" s="1"/>
  <c r="X159" i="3"/>
  <c r="AY159" i="3" s="1"/>
  <c r="K301" i="3"/>
  <c r="Q303" i="3"/>
  <c r="AR303" i="3" s="1"/>
  <c r="W651" i="3"/>
  <c r="AX651" i="3" s="1"/>
  <c r="K300" i="3"/>
  <c r="K657" i="3"/>
  <c r="Y159" i="3"/>
  <c r="AZ159" i="3" s="1"/>
  <c r="V699" i="3"/>
  <c r="AW699" i="3" s="1"/>
  <c r="Y699" i="3"/>
  <c r="AZ699" i="3" s="1"/>
  <c r="X699" i="3"/>
  <c r="AY699" i="3" s="1"/>
  <c r="L771" i="3"/>
  <c r="S303" i="3"/>
  <c r="AT303" i="3" s="1"/>
  <c r="Y651" i="3"/>
  <c r="AZ651" i="3" s="1"/>
  <c r="K397" i="3"/>
  <c r="X399" i="3"/>
  <c r="AY399" i="3" s="1"/>
  <c r="T411" i="3"/>
  <c r="AU411" i="3" s="1"/>
  <c r="K308" i="3"/>
  <c r="W771" i="3"/>
  <c r="AX771" i="3" s="1"/>
  <c r="O773" i="3"/>
  <c r="N304" i="3"/>
  <c r="N305" i="3"/>
  <c r="N655" i="3"/>
  <c r="O653" i="3"/>
  <c r="K396" i="3"/>
  <c r="K656" i="3"/>
  <c r="N407" i="3"/>
  <c r="S699" i="3"/>
  <c r="AT699" i="3" s="1"/>
  <c r="I703" i="3"/>
  <c r="I699" i="3" s="1"/>
  <c r="S399" i="3"/>
  <c r="AT399" i="3" s="1"/>
  <c r="O161" i="3"/>
  <c r="Y771" i="3"/>
  <c r="AZ771" i="3" s="1"/>
  <c r="O413" i="3"/>
  <c r="Q651" i="3"/>
  <c r="AR651" i="3" s="1"/>
  <c r="K777" i="3"/>
  <c r="K408" i="3"/>
  <c r="U159" i="3"/>
  <c r="AV159" i="3" s="1"/>
  <c r="N163" i="3"/>
  <c r="N767" i="3"/>
  <c r="P303" i="3"/>
  <c r="AQ303" i="3" s="1"/>
  <c r="O403" i="3"/>
  <c r="K409" i="3"/>
  <c r="O701" i="3"/>
  <c r="Q771" i="3"/>
  <c r="AR771" i="3" s="1"/>
  <c r="O305" i="3"/>
  <c r="N653" i="3"/>
  <c r="I407" i="3"/>
  <c r="W411" i="3"/>
  <c r="N703" i="3"/>
  <c r="X411" i="3"/>
  <c r="AY411" i="3" s="1"/>
  <c r="I695" i="3"/>
  <c r="W699" i="3"/>
  <c r="AX699" i="3" s="1"/>
  <c r="N415" i="3"/>
  <c r="P411" i="3"/>
  <c r="AQ411" i="3" s="1"/>
  <c r="I395" i="3"/>
  <c r="K648" i="3"/>
  <c r="N775" i="3"/>
  <c r="N307" i="3"/>
  <c r="K165" i="3"/>
  <c r="O401" i="3"/>
  <c r="X771" i="3"/>
  <c r="W303" i="3"/>
  <c r="AX303" i="3" s="1"/>
  <c r="R411" i="3"/>
  <c r="AS411" i="3" s="1"/>
  <c r="P699" i="3"/>
  <c r="K416" i="3"/>
  <c r="I155" i="3"/>
  <c r="V399" i="3"/>
  <c r="AW399" i="3" s="1"/>
  <c r="R771" i="3"/>
  <c r="AS771" i="3" s="1"/>
  <c r="N155" i="3"/>
  <c r="I767" i="3"/>
  <c r="K156" i="3"/>
  <c r="R159" i="3"/>
  <c r="AS159" i="3" s="1"/>
  <c r="R399" i="3"/>
  <c r="AS399" i="3" s="1"/>
  <c r="N773" i="3"/>
  <c r="N299" i="3"/>
  <c r="Y303" i="3"/>
  <c r="AZ303" i="3" s="1"/>
  <c r="AY695" i="3"/>
  <c r="AZ698" i="3"/>
  <c r="AO698" i="3"/>
  <c r="AP698" i="3"/>
  <c r="AD703" i="3"/>
  <c r="BB703" i="3" s="1"/>
  <c r="AT702" i="3"/>
  <c r="AY703" i="3"/>
  <c r="AR695" i="3"/>
  <c r="AV702" i="3"/>
  <c r="AJ702" i="3"/>
  <c r="AM702" i="3"/>
  <c r="AK694" i="3"/>
  <c r="AU702" i="3"/>
  <c r="AL694" i="3"/>
  <c r="AK698" i="3"/>
  <c r="AO695" i="3"/>
  <c r="AX694" i="3"/>
  <c r="AS695" i="3"/>
  <c r="AJ694" i="3"/>
  <c r="AX695" i="3"/>
  <c r="AL698" i="3"/>
  <c r="AW703" i="3"/>
  <c r="AC704" i="3"/>
  <c r="AC705" i="3" s="1"/>
  <c r="AU694" i="3"/>
  <c r="AD698" i="3"/>
  <c r="AB698" i="3" s="1"/>
  <c r="AK703" i="3"/>
  <c r="AP695" i="3"/>
  <c r="AW695" i="3"/>
  <c r="AT694" i="3"/>
  <c r="AO703" i="3"/>
  <c r="AR703" i="3"/>
  <c r="AK695" i="3"/>
  <c r="AH696" i="3"/>
  <c r="AK702" i="3"/>
  <c r="AS703" i="3"/>
  <c r="AJ698" i="3"/>
  <c r="AX703" i="3"/>
  <c r="AH701" i="3"/>
  <c r="AJ700" i="3"/>
  <c r="N695" i="3"/>
  <c r="AW694" i="3"/>
  <c r="O695" i="3"/>
  <c r="AW702" i="3"/>
  <c r="O703" i="3"/>
  <c r="AY694" i="3"/>
  <c r="AD695" i="3"/>
  <c r="AS698" i="3"/>
  <c r="AJ699" i="3"/>
  <c r="AL699" i="3" s="1"/>
  <c r="AY702" i="3"/>
  <c r="AP703" i="3"/>
  <c r="AM414" i="3"/>
  <c r="AZ415" i="3"/>
  <c r="AB694" i="3"/>
  <c r="AN694" i="3"/>
  <c r="AZ694" i="3"/>
  <c r="AQ695" i="3"/>
  <c r="AT698" i="3"/>
  <c r="L699" i="3"/>
  <c r="AK699" i="3"/>
  <c r="AB702" i="3"/>
  <c r="AN702" i="3"/>
  <c r="AZ702" i="3"/>
  <c r="AQ703" i="3"/>
  <c r="AH704" i="3"/>
  <c r="AZ695" i="3"/>
  <c r="AQ698" i="3"/>
  <c r="AZ703" i="3"/>
  <c r="AX702" i="3"/>
  <c r="AP702" i="3"/>
  <c r="AP410" i="3"/>
  <c r="AQ694" i="3"/>
  <c r="AT695" i="3"/>
  <c r="AW698" i="3"/>
  <c r="AQ702" i="3"/>
  <c r="AT703" i="3"/>
  <c r="AR698" i="3"/>
  <c r="AU698" i="3"/>
  <c r="AO702" i="3"/>
  <c r="AP694" i="3"/>
  <c r="AR694" i="3"/>
  <c r="AU695" i="3"/>
  <c r="AX698" i="3"/>
  <c r="AR702" i="3"/>
  <c r="AU703" i="3"/>
  <c r="AO694" i="3"/>
  <c r="AS694" i="3"/>
  <c r="AJ695" i="3"/>
  <c r="AV695" i="3"/>
  <c r="AY698" i="3"/>
  <c r="AD699" i="3"/>
  <c r="AS702" i="3"/>
  <c r="AJ703" i="3"/>
  <c r="AV703" i="3"/>
  <c r="AV694" i="3"/>
  <c r="AV698" i="3"/>
  <c r="AN698" i="3"/>
  <c r="AL410" i="3"/>
  <c r="AK410" i="3"/>
  <c r="AD415" i="3"/>
  <c r="BB415" i="3" s="1"/>
  <c r="AW415" i="3"/>
  <c r="AT406" i="3"/>
  <c r="AO410" i="3"/>
  <c r="AJ406" i="3"/>
  <c r="AW407" i="3"/>
  <c r="AU414" i="3"/>
  <c r="AK407" i="3"/>
  <c r="AT414" i="3"/>
  <c r="AC416" i="3"/>
  <c r="AC417" i="3" s="1"/>
  <c r="AT407" i="3"/>
  <c r="AU407" i="3"/>
  <c r="AT411" i="3"/>
  <c r="AK415" i="3"/>
  <c r="AO407" i="3"/>
  <c r="AK406" i="3"/>
  <c r="AX407" i="3"/>
  <c r="AZ410" i="3"/>
  <c r="AR415" i="3"/>
  <c r="AU415" i="3"/>
  <c r="AO415" i="3"/>
  <c r="AL406" i="3"/>
  <c r="AY407" i="3"/>
  <c r="AJ414" i="3"/>
  <c r="AT415" i="3"/>
  <c r="AR407" i="3"/>
  <c r="AK414" i="3"/>
  <c r="AX415" i="3"/>
  <c r="AW406" i="3"/>
  <c r="AU406" i="3"/>
  <c r="AY415" i="3"/>
  <c r="AJ412" i="3"/>
  <c r="AH413" i="3"/>
  <c r="BB410" i="3"/>
  <c r="AW414" i="3"/>
  <c r="AY406" i="3"/>
  <c r="AD407" i="3"/>
  <c r="AP407" i="3"/>
  <c r="AH408" i="3"/>
  <c r="AS410" i="3"/>
  <c r="AJ411" i="3"/>
  <c r="AM411" i="3" s="1"/>
  <c r="O412" i="3"/>
  <c r="AY414" i="3"/>
  <c r="AP415" i="3"/>
  <c r="AN406" i="3"/>
  <c r="AZ406" i="3"/>
  <c r="AQ407" i="3"/>
  <c r="AI408" i="3"/>
  <c r="AI409" i="3" s="1"/>
  <c r="AT410" i="3"/>
  <c r="L411" i="3"/>
  <c r="N411" i="3" s="1"/>
  <c r="AK411" i="3"/>
  <c r="AN414" i="3"/>
  <c r="AZ414" i="3"/>
  <c r="AQ415" i="3"/>
  <c r="AH416" i="3"/>
  <c r="O407" i="3"/>
  <c r="AQ410" i="3"/>
  <c r="AX406" i="3"/>
  <c r="AR410" i="3"/>
  <c r="AO406" i="3"/>
  <c r="AU410" i="3"/>
  <c r="AO414" i="3"/>
  <c r="AD406" i="3"/>
  <c r="AP406" i="3"/>
  <c r="AS407" i="3"/>
  <c r="AJ410" i="3"/>
  <c r="AV410" i="3"/>
  <c r="AD414" i="3"/>
  <c r="AP414" i="3"/>
  <c r="AS415" i="3"/>
  <c r="AV414" i="3"/>
  <c r="AZ407" i="3"/>
  <c r="AX414" i="3"/>
  <c r="AV406" i="3"/>
  <c r="AQ414" i="3"/>
  <c r="AR406" i="3"/>
  <c r="AX410" i="3"/>
  <c r="AR414" i="3"/>
  <c r="I415" i="3"/>
  <c r="I411" i="3" s="1"/>
  <c r="O415" i="3"/>
  <c r="AQ406" i="3"/>
  <c r="AS406" i="3"/>
  <c r="AJ407" i="3"/>
  <c r="AV407" i="3"/>
  <c r="AY410" i="3"/>
  <c r="AD411" i="3"/>
  <c r="AS414" i="3"/>
  <c r="AJ415" i="3"/>
  <c r="AV415" i="3"/>
  <c r="AW410" i="3"/>
  <c r="AN410" i="3"/>
  <c r="AW647" i="3"/>
  <c r="AR650" i="3"/>
  <c r="AD655" i="3"/>
  <c r="BB655" i="3" s="1"/>
  <c r="I647" i="3"/>
  <c r="AY646" i="3"/>
  <c r="AB646" i="3"/>
  <c r="AW655" i="3"/>
  <c r="AM646" i="3"/>
  <c r="BB654" i="3"/>
  <c r="AB654" i="3"/>
  <c r="AO650" i="3"/>
  <c r="AY654" i="3"/>
  <c r="AK655" i="3"/>
  <c r="AK647" i="3"/>
  <c r="AP650" i="3"/>
  <c r="AJ654" i="3"/>
  <c r="AO647" i="3"/>
  <c r="AL654" i="3"/>
  <c r="AX647" i="3"/>
  <c r="AS650" i="3"/>
  <c r="AM654" i="3"/>
  <c r="AY655" i="3"/>
  <c r="AK646" i="3"/>
  <c r="AP655" i="3"/>
  <c r="AP647" i="3"/>
  <c r="AQ650" i="3"/>
  <c r="AO655" i="3"/>
  <c r="AX655" i="3"/>
  <c r="AJ646" i="3"/>
  <c r="AY647" i="3"/>
  <c r="AZ655" i="3"/>
  <c r="AW646" i="3"/>
  <c r="AT654" i="3"/>
  <c r="AX654" i="3"/>
  <c r="AT646" i="3"/>
  <c r="AX646" i="3"/>
  <c r="AH652" i="3"/>
  <c r="AK651" i="3"/>
  <c r="AJ648" i="3"/>
  <c r="AH649" i="3"/>
  <c r="AZ650" i="3"/>
  <c r="AN650" i="3"/>
  <c r="AV650" i="3"/>
  <c r="AU650" i="3"/>
  <c r="AY650" i="3"/>
  <c r="AT650" i="3"/>
  <c r="AX650" i="3"/>
  <c r="AW650" i="3"/>
  <c r="AI652" i="3"/>
  <c r="AI653" i="3" s="1"/>
  <c r="BB650" i="3"/>
  <c r="AJ657" i="3"/>
  <c r="AD647" i="3"/>
  <c r="AJ651" i="3"/>
  <c r="AL651" i="3" s="1"/>
  <c r="AP654" i="3"/>
  <c r="AO654" i="3"/>
  <c r="AZ654" i="3"/>
  <c r="AN654" i="3"/>
  <c r="AP646" i="3"/>
  <c r="AO646" i="3"/>
  <c r="AZ646" i="3"/>
  <c r="AN646" i="3"/>
  <c r="N647" i="3"/>
  <c r="O647" i="3"/>
  <c r="AU654" i="3"/>
  <c r="AS651" i="3"/>
  <c r="AV654" i="3"/>
  <c r="N652" i="3"/>
  <c r="O652" i="3"/>
  <c r="AZ647" i="3"/>
  <c r="AU646" i="3"/>
  <c r="AV646" i="3"/>
  <c r="AT651" i="3"/>
  <c r="AW654" i="3"/>
  <c r="AC656" i="3"/>
  <c r="AC657" i="3" s="1"/>
  <c r="AQ647" i="3"/>
  <c r="AQ655" i="3"/>
  <c r="AR647" i="3"/>
  <c r="AO298" i="3"/>
  <c r="AS655" i="3"/>
  <c r="AJ656" i="3"/>
  <c r="AT647" i="3"/>
  <c r="AK650" i="3"/>
  <c r="AQ654" i="3"/>
  <c r="AT655" i="3"/>
  <c r="AR646" i="3"/>
  <c r="AU647" i="3"/>
  <c r="AL650" i="3"/>
  <c r="AR654" i="3"/>
  <c r="AU655" i="3"/>
  <c r="AS647" i="3"/>
  <c r="AJ650" i="3"/>
  <c r="AS646" i="3"/>
  <c r="AJ647" i="3"/>
  <c r="AV647" i="3"/>
  <c r="AD651" i="3"/>
  <c r="AS654" i="3"/>
  <c r="AJ655" i="3"/>
  <c r="AV655" i="3"/>
  <c r="AQ646" i="3"/>
  <c r="AP302" i="3"/>
  <c r="AK302" i="3"/>
  <c r="AL302" i="3"/>
  <c r="AM298" i="3"/>
  <c r="AO302" i="3"/>
  <c r="AW299" i="3"/>
  <c r="AZ302" i="3"/>
  <c r="AT306" i="3"/>
  <c r="AY307" i="3"/>
  <c r="AO299" i="3"/>
  <c r="AS299" i="3"/>
  <c r="AJ298" i="3"/>
  <c r="AX299" i="3"/>
  <c r="AK298" i="3"/>
  <c r="AY299" i="3"/>
  <c r="AU306" i="3"/>
  <c r="AR299" i="3"/>
  <c r="AM306" i="3"/>
  <c r="AJ302" i="3"/>
  <c r="AW307" i="3"/>
  <c r="AD307" i="3"/>
  <c r="BB307" i="3" s="1"/>
  <c r="AC308" i="3"/>
  <c r="AC309" i="3" s="1"/>
  <c r="AU298" i="3"/>
  <c r="AZ299" i="3"/>
  <c r="AD302" i="3"/>
  <c r="AB302" i="3" s="1"/>
  <c r="AT307" i="3"/>
  <c r="AU307" i="3"/>
  <c r="AT298" i="3"/>
  <c r="AP306" i="3"/>
  <c r="AO307" i="3"/>
  <c r="AJ306" i="3"/>
  <c r="AK299" i="3"/>
  <c r="AH300" i="3"/>
  <c r="AK306" i="3"/>
  <c r="AS307" i="3"/>
  <c r="AK307" i="3"/>
  <c r="AT299" i="3"/>
  <c r="AU299" i="3"/>
  <c r="AX307" i="3"/>
  <c r="AH305" i="3"/>
  <c r="AJ304" i="3"/>
  <c r="AQ302" i="3"/>
  <c r="AV306" i="3"/>
  <c r="AY298" i="3"/>
  <c r="AD299" i="3"/>
  <c r="AP299" i="3"/>
  <c r="AS302" i="3"/>
  <c r="AJ303" i="3"/>
  <c r="AM303" i="3" s="1"/>
  <c r="O304" i="3"/>
  <c r="AY306" i="3"/>
  <c r="AP307" i="3"/>
  <c r="AB298" i="3"/>
  <c r="AN298" i="3"/>
  <c r="AZ298" i="3"/>
  <c r="AQ299" i="3"/>
  <c r="AI300" i="3"/>
  <c r="AI301" i="3" s="1"/>
  <c r="AT302" i="3"/>
  <c r="L303" i="3"/>
  <c r="AK303" i="3"/>
  <c r="AB306" i="3"/>
  <c r="AN306" i="3"/>
  <c r="AZ306" i="3"/>
  <c r="AH308" i="3"/>
  <c r="AX298" i="3"/>
  <c r="AV298" i="3"/>
  <c r="O299" i="3"/>
  <c r="AZ307" i="3"/>
  <c r="AR302" i="3"/>
  <c r="AU302" i="3"/>
  <c r="AV302" i="3"/>
  <c r="AQ306" i="3"/>
  <c r="I299" i="3"/>
  <c r="AX302" i="3"/>
  <c r="AR306" i="3"/>
  <c r="AX306" i="3"/>
  <c r="AP298" i="3"/>
  <c r="AW302" i="3"/>
  <c r="AR298" i="3"/>
  <c r="AS298" i="3"/>
  <c r="AJ299" i="3"/>
  <c r="AV299" i="3"/>
  <c r="AY302" i="3"/>
  <c r="AD303" i="3"/>
  <c r="AS306" i="3"/>
  <c r="AJ307" i="3"/>
  <c r="AV307" i="3"/>
  <c r="AW298" i="3"/>
  <c r="AW306" i="3"/>
  <c r="AO306" i="3"/>
  <c r="AQ298" i="3"/>
  <c r="AN302" i="3"/>
  <c r="AO770" i="3"/>
  <c r="AT766" i="3"/>
  <c r="AO774" i="3"/>
  <c r="AJ766" i="3"/>
  <c r="AM774" i="3"/>
  <c r="AK766" i="3"/>
  <c r="AW767" i="3"/>
  <c r="AL774" i="3"/>
  <c r="AW775" i="3"/>
  <c r="AR766" i="3"/>
  <c r="AO767" i="3"/>
  <c r="AP770" i="3"/>
  <c r="AT774" i="3"/>
  <c r="AK767" i="3"/>
  <c r="AJ768" i="3"/>
  <c r="AK775" i="3"/>
  <c r="AL766" i="3"/>
  <c r="AX775" i="3"/>
  <c r="AY775" i="3"/>
  <c r="AU766" i="3"/>
  <c r="AJ774" i="3"/>
  <c r="AX767" i="3"/>
  <c r="AY767" i="3"/>
  <c r="AZ770" i="3"/>
  <c r="AH773" i="3"/>
  <c r="AJ772" i="3"/>
  <c r="AW774" i="3"/>
  <c r="AR770" i="3"/>
  <c r="N772" i="3"/>
  <c r="AX774" i="3"/>
  <c r="AO775" i="3"/>
  <c r="AY766" i="3"/>
  <c r="AD767" i="3"/>
  <c r="AP767" i="3"/>
  <c r="AS770" i="3"/>
  <c r="AJ771" i="3"/>
  <c r="AL771" i="3" s="1"/>
  <c r="AY774" i="3"/>
  <c r="AD775" i="3"/>
  <c r="AP775" i="3"/>
  <c r="AJ777" i="3"/>
  <c r="AU774" i="3"/>
  <c r="AW766" i="3"/>
  <c r="AX766" i="3"/>
  <c r="O767" i="3"/>
  <c r="AZ775" i="3"/>
  <c r="AZ766" i="3"/>
  <c r="AT770" i="3"/>
  <c r="AK771" i="3"/>
  <c r="AU770" i="3"/>
  <c r="AD766" i="3"/>
  <c r="AP766" i="3"/>
  <c r="AS767" i="3"/>
  <c r="AJ770" i="3"/>
  <c r="AV770" i="3"/>
  <c r="AD774" i="3"/>
  <c r="AP774" i="3"/>
  <c r="AS775" i="3"/>
  <c r="AJ776" i="3"/>
  <c r="BB770" i="3"/>
  <c r="AZ774" i="3"/>
  <c r="AQ766" i="3"/>
  <c r="AT767" i="3"/>
  <c r="AK770" i="3"/>
  <c r="AW770" i="3"/>
  <c r="AQ774" i="3"/>
  <c r="AT775" i="3"/>
  <c r="AN766" i="3"/>
  <c r="AQ767" i="3"/>
  <c r="AR774" i="3"/>
  <c r="AU775" i="3"/>
  <c r="AS766" i="3"/>
  <c r="AJ767" i="3"/>
  <c r="AV767" i="3"/>
  <c r="AM770" i="3"/>
  <c r="AY770" i="3"/>
  <c r="AD771" i="3"/>
  <c r="AS774" i="3"/>
  <c r="AJ775" i="3"/>
  <c r="AV775" i="3"/>
  <c r="AV766" i="3"/>
  <c r="AV774" i="3"/>
  <c r="AZ767" i="3"/>
  <c r="AQ770" i="3"/>
  <c r="AN774" i="3"/>
  <c r="AO766" i="3"/>
  <c r="AR767" i="3"/>
  <c r="AU767" i="3"/>
  <c r="AX770" i="3"/>
  <c r="AN770" i="3"/>
  <c r="AS403" i="3"/>
  <c r="AR403" i="3"/>
  <c r="AW403" i="3"/>
  <c r="AK402" i="3"/>
  <c r="AX403" i="3"/>
  <c r="AJ398" i="3"/>
  <c r="AL402" i="3"/>
  <c r="AY403" i="3"/>
  <c r="AK398" i="3"/>
  <c r="AM402" i="3"/>
  <c r="AZ403" i="3"/>
  <c r="AL398" i="3"/>
  <c r="AD403" i="3"/>
  <c r="BB403" i="3" s="1"/>
  <c r="AW395" i="3"/>
  <c r="AP395" i="3"/>
  <c r="AK394" i="3"/>
  <c r="AY395" i="3"/>
  <c r="AK403" i="3"/>
  <c r="AK395" i="3"/>
  <c r="AU395" i="3"/>
  <c r="AT395" i="3"/>
  <c r="AO395" i="3"/>
  <c r="AR395" i="3"/>
  <c r="AL394" i="3"/>
  <c r="AT403" i="3"/>
  <c r="AU403" i="3"/>
  <c r="AS395" i="3"/>
  <c r="AJ394" i="3"/>
  <c r="AX395" i="3"/>
  <c r="AQ398" i="3"/>
  <c r="AO403" i="3"/>
  <c r="N395" i="3"/>
  <c r="AP402" i="3"/>
  <c r="AO402" i="3"/>
  <c r="AX402" i="3"/>
  <c r="AP394" i="3"/>
  <c r="AX394" i="3"/>
  <c r="L399" i="3"/>
  <c r="N400" i="3"/>
  <c r="AZ395" i="3"/>
  <c r="Q399" i="3"/>
  <c r="AR399" i="3" s="1"/>
  <c r="AU402" i="3"/>
  <c r="AC404" i="3"/>
  <c r="AC405" i="3" s="1"/>
  <c r="O395" i="3"/>
  <c r="AO394" i="3"/>
  <c r="AV402" i="3"/>
  <c r="AO398" i="3"/>
  <c r="AP398" i="3"/>
  <c r="AU394" i="3"/>
  <c r="AU398" i="3"/>
  <c r="AW402" i="3"/>
  <c r="AV394" i="3"/>
  <c r="AZ398" i="3"/>
  <c r="AN398" i="3"/>
  <c r="AX398" i="3"/>
  <c r="AW398" i="3"/>
  <c r="AY398" i="3"/>
  <c r="AV398" i="3"/>
  <c r="AT398" i="3"/>
  <c r="AS398" i="3"/>
  <c r="AR398" i="3"/>
  <c r="AC396" i="3"/>
  <c r="AC397" i="3" s="1"/>
  <c r="AD395" i="3"/>
  <c r="AH400" i="3"/>
  <c r="AK399" i="3"/>
  <c r="AJ399" i="3"/>
  <c r="AL399" i="3" s="1"/>
  <c r="AT402" i="3"/>
  <c r="AU162" i="3"/>
  <c r="AT394" i="3"/>
  <c r="AW394" i="3"/>
  <c r="BB398" i="3"/>
  <c r="I403" i="3"/>
  <c r="I399" i="3" s="1"/>
  <c r="AY394" i="3"/>
  <c r="AH396" i="3"/>
  <c r="AY402" i="3"/>
  <c r="AB394" i="3"/>
  <c r="AN394" i="3"/>
  <c r="AZ394" i="3"/>
  <c r="AQ395" i="3"/>
  <c r="AI396" i="3"/>
  <c r="AI397" i="3" s="1"/>
  <c r="AB402" i="3"/>
  <c r="AN402" i="3"/>
  <c r="AZ402" i="3"/>
  <c r="AQ403" i="3"/>
  <c r="AH404" i="3"/>
  <c r="AQ402" i="3"/>
  <c r="AR402" i="3"/>
  <c r="AV155" i="3"/>
  <c r="AS394" i="3"/>
  <c r="AJ395" i="3"/>
  <c r="AV395" i="3"/>
  <c r="AD399" i="3"/>
  <c r="AS402" i="3"/>
  <c r="AJ403" i="3"/>
  <c r="AV403" i="3"/>
  <c r="AQ394" i="3"/>
  <c r="AR394" i="3"/>
  <c r="P159" i="3"/>
  <c r="AQ159" i="3" s="1"/>
  <c r="AM154" i="3"/>
  <c r="AX155" i="3"/>
  <c r="AU163" i="3"/>
  <c r="AY155" i="3"/>
  <c r="AS155" i="3"/>
  <c r="AP158" i="3"/>
  <c r="AJ154" i="3"/>
  <c r="AK154" i="3"/>
  <c r="AT163" i="3"/>
  <c r="AK162" i="3"/>
  <c r="AK158" i="3"/>
  <c r="AM162" i="3"/>
  <c r="AO158" i="3"/>
  <c r="AK155" i="3"/>
  <c r="AI164" i="3"/>
  <c r="AI165" i="3" s="1"/>
  <c r="AW155" i="3"/>
  <c r="AX163" i="3"/>
  <c r="AJ158" i="3"/>
  <c r="AL162" i="3"/>
  <c r="AW163" i="3"/>
  <c r="AW158" i="3"/>
  <c r="AT155" i="3"/>
  <c r="AO155" i="3"/>
  <c r="AT162" i="3"/>
  <c r="AY163" i="3"/>
  <c r="AL158" i="3"/>
  <c r="AT154" i="3"/>
  <c r="AU158" i="3"/>
  <c r="AR155" i="3"/>
  <c r="AZ158" i="3"/>
  <c r="AK163" i="3"/>
  <c r="AH161" i="3"/>
  <c r="AJ160" i="3"/>
  <c r="AC156" i="3"/>
  <c r="AC157" i="3" s="1"/>
  <c r="AD155" i="3"/>
  <c r="AD163" i="3"/>
  <c r="AC164" i="3"/>
  <c r="AC165" i="3" s="1"/>
  <c r="AV162" i="3"/>
  <c r="AW154" i="3"/>
  <c r="AZ155" i="3"/>
  <c r="AW162" i="3"/>
  <c r="AZ163" i="3"/>
  <c r="AU154" i="3"/>
  <c r="BB158" i="3"/>
  <c r="AQ158" i="3"/>
  <c r="AX154" i="3"/>
  <c r="AR158" i="3"/>
  <c r="N160" i="3"/>
  <c r="AX162" i="3"/>
  <c r="AO163" i="3"/>
  <c r="O155" i="3"/>
  <c r="AY154" i="3"/>
  <c r="AP155" i="3"/>
  <c r="AY162" i="3"/>
  <c r="AP163" i="3"/>
  <c r="AV154" i="3"/>
  <c r="AH156" i="3"/>
  <c r="AS158" i="3"/>
  <c r="AJ159" i="3"/>
  <c r="AL159" i="3" s="1"/>
  <c r="O160" i="3"/>
  <c r="AN154" i="3"/>
  <c r="AZ154" i="3"/>
  <c r="AQ155" i="3"/>
  <c r="AI156" i="3"/>
  <c r="AI157" i="3" s="1"/>
  <c r="AT158" i="3"/>
  <c r="AK159" i="3"/>
  <c r="AN162" i="3"/>
  <c r="AZ162" i="3"/>
  <c r="AQ163" i="3"/>
  <c r="AH164" i="3"/>
  <c r="AO162" i="3"/>
  <c r="AO154" i="3"/>
  <c r="AD154" i="3"/>
  <c r="AP154" i="3"/>
  <c r="AV158" i="3"/>
  <c r="AD162" i="3"/>
  <c r="AP162" i="3"/>
  <c r="AS163" i="3"/>
  <c r="AQ162" i="3"/>
  <c r="AR162" i="3"/>
  <c r="AS154" i="3"/>
  <c r="AJ155" i="3"/>
  <c r="AM155" i="3" s="1"/>
  <c r="AY158" i="3"/>
  <c r="AD159" i="3"/>
  <c r="AS162" i="3"/>
  <c r="AJ163" i="3"/>
  <c r="AL163" i="3" s="1"/>
  <c r="AV163" i="3"/>
  <c r="AQ154" i="3"/>
  <c r="AR154" i="3"/>
  <c r="AU155" i="3"/>
  <c r="AX158" i="3"/>
  <c r="AN158" i="3"/>
  <c r="N303" i="3" l="1"/>
  <c r="AR655" i="3"/>
  <c r="AR775" i="3"/>
  <c r="N403" i="3"/>
  <c r="K403" i="3" s="1"/>
  <c r="AN403" i="3" s="1"/>
  <c r="O700" i="3"/>
  <c r="K700" i="3" s="1"/>
  <c r="O400" i="3"/>
  <c r="K400" i="3" s="1"/>
  <c r="I655" i="3"/>
  <c r="I651" i="3" s="1"/>
  <c r="O307" i="3"/>
  <c r="K307" i="3" s="1"/>
  <c r="AN307" i="3" s="1"/>
  <c r="I307" i="3"/>
  <c r="I303" i="3" s="1"/>
  <c r="O775" i="3"/>
  <c r="K775" i="3" s="1"/>
  <c r="AN775" i="3" s="1"/>
  <c r="N771" i="3"/>
  <c r="AR163" i="3"/>
  <c r="I163" i="3"/>
  <c r="I159" i="3" s="1"/>
  <c r="P771" i="3"/>
  <c r="AQ771" i="3" s="1"/>
  <c r="AQ775" i="3"/>
  <c r="N651" i="3"/>
  <c r="AP651" i="3"/>
  <c r="AB651" i="3" s="1"/>
  <c r="K701" i="3"/>
  <c r="K412" i="3"/>
  <c r="N699" i="3"/>
  <c r="N159" i="3"/>
  <c r="K413" i="3"/>
  <c r="N399" i="3"/>
  <c r="K161" i="3"/>
  <c r="O651" i="3"/>
  <c r="K655" i="3"/>
  <c r="AN655" i="3" s="1"/>
  <c r="K401" i="3"/>
  <c r="AO771" i="3"/>
  <c r="K305" i="3"/>
  <c r="O303" i="3"/>
  <c r="AB307" i="3"/>
  <c r="K415" i="3"/>
  <c r="AN415" i="3" s="1"/>
  <c r="K773" i="3"/>
  <c r="K653" i="3"/>
  <c r="K155" i="3"/>
  <c r="AN155" i="3" s="1"/>
  <c r="K304" i="3"/>
  <c r="AO399" i="3"/>
  <c r="BB399" i="3" s="1"/>
  <c r="K772" i="3"/>
  <c r="BB302" i="3"/>
  <c r="K767" i="3"/>
  <c r="AN767" i="3" s="1"/>
  <c r="K407" i="3"/>
  <c r="AN407" i="3" s="1"/>
  <c r="K163" i="3"/>
  <c r="AN163" i="3" s="1"/>
  <c r="O411" i="3"/>
  <c r="K411" i="3" s="1"/>
  <c r="AN411" i="3" s="1"/>
  <c r="AO699" i="3"/>
  <c r="O699" i="3"/>
  <c r="K299" i="3"/>
  <c r="AN299" i="3" s="1"/>
  <c r="AY771" i="3"/>
  <c r="AX411" i="3"/>
  <c r="K703" i="3"/>
  <c r="AN703" i="3" s="1"/>
  <c r="AQ699" i="3"/>
  <c r="O159" i="3"/>
  <c r="O399" i="3"/>
  <c r="AB703" i="3"/>
  <c r="AM699" i="3"/>
  <c r="BB698" i="3"/>
  <c r="AJ696" i="3"/>
  <c r="AH697" i="3"/>
  <c r="AJ697" i="3" s="1"/>
  <c r="BB695" i="3"/>
  <c r="AB695" i="3"/>
  <c r="K695" i="3"/>
  <c r="AN695" i="3" s="1"/>
  <c r="AM695" i="3"/>
  <c r="AL695" i="3"/>
  <c r="AJ704" i="3"/>
  <c r="AH705" i="3"/>
  <c r="AM703" i="3"/>
  <c r="AL703" i="3"/>
  <c r="AB415" i="3"/>
  <c r="AJ701" i="3"/>
  <c r="AL411" i="3"/>
  <c r="AJ408" i="3"/>
  <c r="AH409" i="3"/>
  <c r="BB407" i="3"/>
  <c r="AB407" i="3"/>
  <c r="BB414" i="3"/>
  <c r="AB414" i="3"/>
  <c r="AH417" i="3"/>
  <c r="AJ416" i="3"/>
  <c r="AJ413" i="3"/>
  <c r="AL407" i="3"/>
  <c r="AM407" i="3"/>
  <c r="AO411" i="3"/>
  <c r="BB406" i="3"/>
  <c r="AB406" i="3"/>
  <c r="AM415" i="3"/>
  <c r="AL415" i="3"/>
  <c r="AB655" i="3"/>
  <c r="AM651" i="3"/>
  <c r="K652" i="3"/>
  <c r="AH653" i="3"/>
  <c r="AJ652" i="3"/>
  <c r="AM655" i="3"/>
  <c r="AL655" i="3"/>
  <c r="AM647" i="3"/>
  <c r="AL647" i="3"/>
  <c r="BB647" i="3"/>
  <c r="AB647" i="3"/>
  <c r="AJ649" i="3"/>
  <c r="K647" i="3"/>
  <c r="AN647" i="3" s="1"/>
  <c r="AL303" i="3"/>
  <c r="AJ300" i="3"/>
  <c r="AH301" i="3"/>
  <c r="AJ301" i="3" s="1"/>
  <c r="AL307" i="3"/>
  <c r="AM307" i="3"/>
  <c r="AO303" i="3"/>
  <c r="BB303" i="3" s="1"/>
  <c r="AL299" i="3"/>
  <c r="AM299" i="3"/>
  <c r="BB299" i="3"/>
  <c r="AB299" i="3"/>
  <c r="AJ305" i="3"/>
  <c r="AJ308" i="3"/>
  <c r="AH309" i="3"/>
  <c r="AL767" i="3"/>
  <c r="AM767" i="3"/>
  <c r="BB774" i="3"/>
  <c r="AB774" i="3"/>
  <c r="AM771" i="3"/>
  <c r="AB775" i="3"/>
  <c r="BB775" i="3"/>
  <c r="AL775" i="3"/>
  <c r="AM775" i="3"/>
  <c r="AJ773" i="3"/>
  <c r="AB766" i="3"/>
  <c r="BB766" i="3"/>
  <c r="AB767" i="3"/>
  <c r="BB767" i="3"/>
  <c r="AB403" i="3"/>
  <c r="AM403" i="3"/>
  <c r="AL403" i="3"/>
  <c r="AH397" i="3"/>
  <c r="AJ396" i="3"/>
  <c r="AH401" i="3"/>
  <c r="AJ400" i="3"/>
  <c r="AM395" i="3"/>
  <c r="AL395" i="3"/>
  <c r="BB395" i="3"/>
  <c r="AB395" i="3"/>
  <c r="AJ404" i="3"/>
  <c r="AH405" i="3"/>
  <c r="AM399" i="3"/>
  <c r="K395" i="3"/>
  <c r="AN395" i="3" s="1"/>
  <c r="AL155" i="3"/>
  <c r="AM163" i="3"/>
  <c r="BB159" i="3"/>
  <c r="AB159" i="3"/>
  <c r="K160" i="3"/>
  <c r="BB155" i="3"/>
  <c r="AB155" i="3"/>
  <c r="BB154" i="3"/>
  <c r="AB154" i="3"/>
  <c r="AJ164" i="3"/>
  <c r="AH165" i="3"/>
  <c r="AJ156" i="3"/>
  <c r="AH157" i="3"/>
  <c r="BB162" i="3"/>
  <c r="AB162" i="3"/>
  <c r="AJ161" i="3"/>
  <c r="AM159" i="3"/>
  <c r="BB163" i="3"/>
  <c r="AB163" i="3"/>
  <c r="K303" i="3" l="1"/>
  <c r="AN303" i="3" s="1"/>
  <c r="K651" i="3"/>
  <c r="AN651" i="3" s="1"/>
  <c r="BB651" i="3"/>
  <c r="O771" i="3"/>
  <c r="K771" i="3" s="1"/>
  <c r="AN771" i="3" s="1"/>
  <c r="K699" i="3"/>
  <c r="AN699" i="3" s="1"/>
  <c r="K159" i="3"/>
  <c r="AN159" i="3" s="1"/>
  <c r="K399" i="3"/>
  <c r="AN399" i="3" s="1"/>
  <c r="AB399" i="3"/>
  <c r="BB771" i="3"/>
  <c r="AB771" i="3"/>
  <c r="AB699" i="3"/>
  <c r="BB699" i="3"/>
  <c r="AB411" i="3"/>
  <c r="AJ705" i="3"/>
  <c r="BB411" i="3"/>
  <c r="AJ409" i="3"/>
  <c r="AJ417" i="3"/>
  <c r="AJ653" i="3"/>
  <c r="AB303" i="3"/>
  <c r="AJ309" i="3"/>
  <c r="AJ401" i="3"/>
  <c r="AJ405" i="3"/>
  <c r="AJ397" i="3"/>
  <c r="AJ157" i="3"/>
  <c r="AJ165" i="3"/>
  <c r="M881" i="3" l="1"/>
  <c r="L881" i="3"/>
  <c r="M880" i="3"/>
  <c r="L880" i="3"/>
  <c r="R881" i="3"/>
  <c r="Q881" i="3"/>
  <c r="P881" i="3"/>
  <c r="R880" i="3"/>
  <c r="Q880" i="3"/>
  <c r="P880" i="3"/>
  <c r="R869" i="3"/>
  <c r="Q869" i="3"/>
  <c r="P869" i="3"/>
  <c r="R868" i="3"/>
  <c r="Q868" i="3"/>
  <c r="P868" i="3"/>
  <c r="M869" i="3"/>
  <c r="L869" i="3"/>
  <c r="M868" i="3"/>
  <c r="L868" i="3"/>
  <c r="R857" i="3"/>
  <c r="Q857" i="3"/>
  <c r="P857" i="3"/>
  <c r="R856" i="3"/>
  <c r="Q856" i="3"/>
  <c r="P856" i="3"/>
  <c r="M857" i="3"/>
  <c r="L857" i="3"/>
  <c r="M856" i="3"/>
  <c r="L856" i="3"/>
  <c r="L436" i="3"/>
  <c r="M436" i="3"/>
  <c r="L437" i="3"/>
  <c r="M437" i="3" l="1"/>
  <c r="N84" i="7" l="1"/>
  <c r="N7" i="7"/>
  <c r="N8" i="7"/>
  <c r="N10" i="7"/>
  <c r="N12" i="7"/>
  <c r="N13" i="7"/>
  <c r="N15" i="7"/>
  <c r="N16" i="7"/>
  <c r="N18" i="7"/>
  <c r="N19" i="7"/>
  <c r="N21" i="7"/>
  <c r="N22" i="7"/>
  <c r="N24" i="7"/>
  <c r="N26" i="7"/>
  <c r="N27" i="7"/>
  <c r="N29" i="7"/>
  <c r="N30" i="7"/>
  <c r="N32" i="7"/>
  <c r="N33" i="7"/>
  <c r="N35" i="7"/>
  <c r="N36" i="7"/>
  <c r="N38" i="7"/>
  <c r="N39" i="7"/>
  <c r="N41" i="7"/>
  <c r="N42" i="7"/>
  <c r="N44" i="7"/>
  <c r="N45" i="7"/>
  <c r="N47" i="7"/>
  <c r="N48" i="7"/>
  <c r="N50" i="7"/>
  <c r="N51" i="7"/>
  <c r="N53" i="7"/>
  <c r="N54" i="7"/>
  <c r="N56" i="7"/>
  <c r="N57" i="7"/>
  <c r="N59" i="7"/>
  <c r="N60" i="7"/>
  <c r="N62" i="7"/>
  <c r="N63" i="7"/>
  <c r="N65" i="7"/>
  <c r="N66" i="7"/>
  <c r="N68" i="7"/>
  <c r="N69" i="7"/>
  <c r="N71" i="7"/>
  <c r="N72" i="7"/>
  <c r="N74" i="7"/>
  <c r="N75" i="7"/>
  <c r="N77" i="7"/>
  <c r="N78" i="7"/>
  <c r="N80" i="7"/>
  <c r="N81" i="7"/>
  <c r="N83" i="7"/>
  <c r="N86" i="7"/>
  <c r="N88" i="7"/>
  <c r="N89" i="7"/>
  <c r="N91" i="7"/>
  <c r="N92" i="7"/>
  <c r="N94" i="7"/>
  <c r="N95" i="7"/>
  <c r="N97" i="7"/>
  <c r="N98" i="7"/>
  <c r="N100" i="7"/>
  <c r="N101" i="7"/>
  <c r="N103" i="7"/>
  <c r="N104" i="7"/>
  <c r="N106" i="7"/>
  <c r="N107" i="7"/>
  <c r="N109" i="7"/>
  <c r="N110" i="7"/>
  <c r="N114" i="7"/>
  <c r="N115" i="7"/>
  <c r="P488" i="3"/>
  <c r="O321" i="3"/>
  <c r="N321" i="3"/>
  <c r="O320" i="3"/>
  <c r="N320" i="3"/>
  <c r="AI319" i="3"/>
  <c r="AH319" i="3"/>
  <c r="AH320" i="3" s="1"/>
  <c r="AG319" i="3"/>
  <c r="AG320" i="3" s="1"/>
  <c r="AG321" i="3" s="1"/>
  <c r="AF319" i="3"/>
  <c r="AF320" i="3" s="1"/>
  <c r="AF321" i="3" s="1"/>
  <c r="AE319" i="3"/>
  <c r="Y319" i="3"/>
  <c r="X319" i="3"/>
  <c r="W319" i="3"/>
  <c r="V319" i="3"/>
  <c r="U319" i="3"/>
  <c r="T319" i="3"/>
  <c r="S319" i="3"/>
  <c r="R319" i="3"/>
  <c r="Q319" i="3"/>
  <c r="P319" i="3"/>
  <c r="M319" i="3"/>
  <c r="L319" i="3"/>
  <c r="AI318" i="3"/>
  <c r="AH318" i="3"/>
  <c r="AM318" i="3" s="1"/>
  <c r="AG318" i="3"/>
  <c r="AF318" i="3"/>
  <c r="AE318" i="3"/>
  <c r="AD318" i="3" s="1"/>
  <c r="AC318" i="3"/>
  <c r="AC319" i="3" s="1"/>
  <c r="Y317" i="3"/>
  <c r="X317" i="3"/>
  <c r="W317" i="3"/>
  <c r="V317" i="3"/>
  <c r="U317" i="3"/>
  <c r="T317" i="3"/>
  <c r="S317" i="3"/>
  <c r="R317" i="3"/>
  <c r="Q317" i="3"/>
  <c r="P317" i="3"/>
  <c r="M317" i="3"/>
  <c r="L317" i="3"/>
  <c r="Y316" i="3"/>
  <c r="X316" i="3"/>
  <c r="X315" i="3" s="1"/>
  <c r="W316" i="3"/>
  <c r="V316" i="3"/>
  <c r="U316" i="3"/>
  <c r="T316" i="3"/>
  <c r="S316" i="3"/>
  <c r="R316" i="3"/>
  <c r="R315" i="3" s="1"/>
  <c r="Q316" i="3"/>
  <c r="P316" i="3"/>
  <c r="P315" i="3" s="1"/>
  <c r="M316" i="3"/>
  <c r="L316" i="3"/>
  <c r="AI315" i="3"/>
  <c r="AI316" i="3" s="1"/>
  <c r="AI317" i="3" s="1"/>
  <c r="AH315" i="3"/>
  <c r="AH316" i="3" s="1"/>
  <c r="AH317" i="3" s="1"/>
  <c r="AJ317" i="3" s="1"/>
  <c r="AG315" i="3"/>
  <c r="AG316" i="3" s="1"/>
  <c r="AG317" i="3" s="1"/>
  <c r="AF315" i="3"/>
  <c r="AF316" i="3" s="1"/>
  <c r="AF317" i="3" s="1"/>
  <c r="AE315" i="3"/>
  <c r="AI314" i="3"/>
  <c r="AH314" i="3"/>
  <c r="AM314" i="3" s="1"/>
  <c r="AG314" i="3"/>
  <c r="AF314" i="3"/>
  <c r="AE314" i="3"/>
  <c r="AC314" i="3"/>
  <c r="AC315" i="3" s="1"/>
  <c r="O313" i="3"/>
  <c r="N313" i="3"/>
  <c r="O312" i="3"/>
  <c r="N312" i="3"/>
  <c r="AI311" i="3"/>
  <c r="AH311" i="3"/>
  <c r="AJ311" i="3" s="1"/>
  <c r="AG311" i="3"/>
  <c r="AG312" i="3" s="1"/>
  <c r="AG313" i="3" s="1"/>
  <c r="AF311" i="3"/>
  <c r="AF312" i="3" s="1"/>
  <c r="AF313" i="3" s="1"/>
  <c r="AE311" i="3"/>
  <c r="Y311" i="3"/>
  <c r="X311" i="3"/>
  <c r="W311" i="3"/>
  <c r="V311" i="3"/>
  <c r="U311" i="3"/>
  <c r="T311" i="3"/>
  <c r="S311" i="3"/>
  <c r="R311" i="3"/>
  <c r="Q311" i="3"/>
  <c r="P311" i="3"/>
  <c r="M311" i="3"/>
  <c r="L311" i="3"/>
  <c r="AI310" i="3"/>
  <c r="AH310" i="3"/>
  <c r="AL310" i="3" s="1"/>
  <c r="AG310" i="3"/>
  <c r="AF310" i="3"/>
  <c r="AE310" i="3"/>
  <c r="AD310" i="3" s="1"/>
  <c r="AC310" i="3"/>
  <c r="AC311" i="3" s="1"/>
  <c r="Y315" i="3" l="1"/>
  <c r="K313" i="3"/>
  <c r="S315" i="3"/>
  <c r="AT315" i="3" s="1"/>
  <c r="K321" i="3"/>
  <c r="T315" i="3"/>
  <c r="AU315" i="3" s="1"/>
  <c r="V315" i="3"/>
  <c r="AW315" i="3" s="1"/>
  <c r="U315" i="3"/>
  <c r="AV315" i="3" s="1"/>
  <c r="I319" i="3"/>
  <c r="I315" i="3" s="1"/>
  <c r="I311" i="3"/>
  <c r="K320" i="3"/>
  <c r="Q315" i="3"/>
  <c r="AR315" i="3" s="1"/>
  <c r="K312" i="3"/>
  <c r="N316" i="3"/>
  <c r="N311" i="3"/>
  <c r="W315" i="3"/>
  <c r="N319" i="3"/>
  <c r="M315" i="3"/>
  <c r="AP315" i="3" s="1"/>
  <c r="O319" i="3"/>
  <c r="BB318" i="3"/>
  <c r="BB310" i="3"/>
  <c r="O311" i="3"/>
  <c r="N317" i="3"/>
  <c r="L315" i="3"/>
  <c r="O316" i="3"/>
  <c r="O317" i="3"/>
  <c r="AZ319" i="3"/>
  <c r="AS314" i="3"/>
  <c r="AU318" i="3"/>
  <c r="AB318" i="3"/>
  <c r="AD314" i="3"/>
  <c r="AP311" i="3"/>
  <c r="AO319" i="3"/>
  <c r="AK315" i="3"/>
  <c r="AU314" i="3"/>
  <c r="AN318" i="3"/>
  <c r="AJ315" i="3"/>
  <c r="AP310" i="3"/>
  <c r="AO318" i="3"/>
  <c r="AR319" i="3"/>
  <c r="AY315" i="3"/>
  <c r="AP318" i="3"/>
  <c r="AZ315" i="3"/>
  <c r="AD311" i="3"/>
  <c r="AC312" i="3"/>
  <c r="AC313" i="3" s="1"/>
  <c r="AD315" i="3"/>
  <c r="AC316" i="3"/>
  <c r="AC317" i="3" s="1"/>
  <c r="AD319" i="3"/>
  <c r="AC320" i="3"/>
  <c r="AC321" i="3" s="1"/>
  <c r="AJ320" i="3"/>
  <c r="AH321" i="3"/>
  <c r="AJ321" i="3" s="1"/>
  <c r="AI320" i="3"/>
  <c r="AI321" i="3" s="1"/>
  <c r="AP319" i="3"/>
  <c r="AX319" i="3"/>
  <c r="AZ318" i="3"/>
  <c r="AY319" i="3"/>
  <c r="AW318" i="3"/>
  <c r="AS310" i="3"/>
  <c r="AT310" i="3"/>
  <c r="AB310" i="3"/>
  <c r="AJ318" i="3"/>
  <c r="AV318" i="3"/>
  <c r="AK318" i="3"/>
  <c r="AK319" i="3"/>
  <c r="AT311" i="3"/>
  <c r="AX318" i="3"/>
  <c r="AY318" i="3"/>
  <c r="AU310" i="3"/>
  <c r="AS311" i="3"/>
  <c r="AO314" i="3"/>
  <c r="AL318" i="3"/>
  <c r="AR310" i="3"/>
  <c r="AQ310" i="3"/>
  <c r="AT314" i="3"/>
  <c r="AW319" i="3"/>
  <c r="AV311" i="3"/>
  <c r="AJ314" i="3"/>
  <c r="AK314" i="3"/>
  <c r="AL314" i="3"/>
  <c r="AW310" i="3"/>
  <c r="AM311" i="3"/>
  <c r="AY311" i="3"/>
  <c r="AY314" i="3"/>
  <c r="AQ319" i="3"/>
  <c r="AK311" i="3"/>
  <c r="AW314" i="3"/>
  <c r="AL311" i="3"/>
  <c r="AZ311" i="3"/>
  <c r="AW311" i="3"/>
  <c r="AV310" i="3"/>
  <c r="AV314" i="3"/>
  <c r="AK310" i="3"/>
  <c r="AX310" i="3"/>
  <c r="AN314" i="3"/>
  <c r="AM310" i="3"/>
  <c r="AQ318" i="3"/>
  <c r="AN310" i="3"/>
  <c r="AP314" i="3"/>
  <c r="AO310" i="3"/>
  <c r="AQ311" i="3"/>
  <c r="AH312" i="3"/>
  <c r="AQ314" i="3"/>
  <c r="AS315" i="3"/>
  <c r="AJ316" i="3"/>
  <c r="AS318" i="3"/>
  <c r="AU319" i="3"/>
  <c r="AU311" i="3"/>
  <c r="AJ310" i="3"/>
  <c r="AX311" i="3"/>
  <c r="AX314" i="3"/>
  <c r="AZ314" i="3"/>
  <c r="AY310" i="3"/>
  <c r="AS319" i="3"/>
  <c r="AZ310" i="3"/>
  <c r="AR318" i="3"/>
  <c r="AT319" i="3"/>
  <c r="AR311" i="3"/>
  <c r="AI312" i="3"/>
  <c r="AI313" i="3" s="1"/>
  <c r="AR314" i="3"/>
  <c r="AT318" i="3"/>
  <c r="AJ319" i="3"/>
  <c r="AV319" i="3"/>
  <c r="AO311" i="3"/>
  <c r="AQ315" i="3"/>
  <c r="K311" i="3" l="1"/>
  <c r="AN311" i="3" s="1"/>
  <c r="K316" i="3"/>
  <c r="O315" i="3"/>
  <c r="AX315" i="3"/>
  <c r="K317" i="3"/>
  <c r="K319" i="3"/>
  <c r="AN319" i="3" s="1"/>
  <c r="N315" i="3"/>
  <c r="AB311" i="3"/>
  <c r="BB319" i="3"/>
  <c r="BB314" i="3"/>
  <c r="AO315" i="3"/>
  <c r="AM315" i="3"/>
  <c r="BB311" i="3"/>
  <c r="AB314" i="3"/>
  <c r="AL315" i="3"/>
  <c r="AB319" i="3"/>
  <c r="AJ312" i="3"/>
  <c r="AH313" i="3"/>
  <c r="AM319" i="3"/>
  <c r="AL319" i="3"/>
  <c r="K315" i="3" l="1"/>
  <c r="AN315" i="3" s="1"/>
  <c r="AB315" i="3"/>
  <c r="BB315" i="3"/>
  <c r="AJ313" i="3"/>
  <c r="R845" i="3" l="1"/>
  <c r="Q845" i="3"/>
  <c r="P845" i="3"/>
  <c r="R844" i="3"/>
  <c r="Q844" i="3"/>
  <c r="P844" i="3"/>
  <c r="R833" i="3"/>
  <c r="Q833" i="3"/>
  <c r="P833" i="3"/>
  <c r="R832" i="3"/>
  <c r="Q832" i="3"/>
  <c r="P832" i="3"/>
  <c r="R821" i="3"/>
  <c r="Q821" i="3"/>
  <c r="P821" i="3"/>
  <c r="R820" i="3"/>
  <c r="Q820" i="3"/>
  <c r="P820" i="3"/>
  <c r="R797" i="3"/>
  <c r="Q797" i="3"/>
  <c r="P797" i="3"/>
  <c r="R796" i="3"/>
  <c r="Q796" i="3"/>
  <c r="P796" i="3"/>
  <c r="R785" i="3"/>
  <c r="Q785" i="3"/>
  <c r="P785" i="3"/>
  <c r="R784" i="3"/>
  <c r="Q784" i="3"/>
  <c r="P784" i="3"/>
  <c r="R761" i="3"/>
  <c r="Q761" i="3"/>
  <c r="P761" i="3"/>
  <c r="R760" i="3"/>
  <c r="Q760" i="3"/>
  <c r="P760" i="3"/>
  <c r="R749" i="3"/>
  <c r="Q749" i="3"/>
  <c r="P749" i="3"/>
  <c r="R748" i="3"/>
  <c r="Q748" i="3"/>
  <c r="P748" i="3"/>
  <c r="R737" i="3"/>
  <c r="Q737" i="3"/>
  <c r="P737" i="3"/>
  <c r="R736" i="3"/>
  <c r="Q736" i="3"/>
  <c r="P736" i="3"/>
  <c r="R689" i="3"/>
  <c r="Q689" i="3"/>
  <c r="P689" i="3"/>
  <c r="R688" i="3"/>
  <c r="Q688" i="3"/>
  <c r="P688" i="3"/>
  <c r="R677" i="3"/>
  <c r="Q677" i="3"/>
  <c r="P677" i="3"/>
  <c r="R676" i="3"/>
  <c r="Q676" i="3"/>
  <c r="P676" i="3"/>
  <c r="R665" i="3"/>
  <c r="Q665" i="3"/>
  <c r="P665" i="3"/>
  <c r="R664" i="3"/>
  <c r="Q664" i="3"/>
  <c r="P664" i="3"/>
  <c r="R641" i="3"/>
  <c r="Q641" i="3"/>
  <c r="P641" i="3"/>
  <c r="R640" i="3"/>
  <c r="Q640" i="3"/>
  <c r="P640" i="3"/>
  <c r="R629" i="3"/>
  <c r="Q629" i="3"/>
  <c r="P629" i="3"/>
  <c r="R628" i="3"/>
  <c r="Q628" i="3"/>
  <c r="P628" i="3"/>
  <c r="R617" i="3"/>
  <c r="Q617" i="3"/>
  <c r="P617" i="3"/>
  <c r="R616" i="3"/>
  <c r="Q616" i="3"/>
  <c r="P616" i="3"/>
  <c r="R605" i="3"/>
  <c r="Q605" i="3"/>
  <c r="P605" i="3"/>
  <c r="R604" i="3"/>
  <c r="Q604" i="3"/>
  <c r="P604" i="3"/>
  <c r="R593" i="3"/>
  <c r="Q593" i="3"/>
  <c r="P593" i="3"/>
  <c r="R592" i="3"/>
  <c r="Q592" i="3"/>
  <c r="P592" i="3"/>
  <c r="R581" i="3"/>
  <c r="Q581" i="3"/>
  <c r="P581" i="3"/>
  <c r="R580" i="3"/>
  <c r="Q580" i="3"/>
  <c r="P580" i="3"/>
  <c r="R557" i="3"/>
  <c r="Q557" i="3"/>
  <c r="P557" i="3"/>
  <c r="R556" i="3"/>
  <c r="Q556" i="3"/>
  <c r="P556" i="3"/>
  <c r="R533" i="3"/>
  <c r="Q533" i="3"/>
  <c r="P533" i="3"/>
  <c r="R532" i="3"/>
  <c r="Q532" i="3"/>
  <c r="P532" i="3"/>
  <c r="R509" i="3"/>
  <c r="Q509" i="3"/>
  <c r="P509" i="3"/>
  <c r="R508" i="3"/>
  <c r="Q508" i="3"/>
  <c r="P508" i="3"/>
  <c r="R485" i="3"/>
  <c r="Q485" i="3"/>
  <c r="P485" i="3"/>
  <c r="R484" i="3"/>
  <c r="Q484" i="3"/>
  <c r="P484" i="3"/>
  <c r="R461" i="3"/>
  <c r="Q461" i="3"/>
  <c r="P461" i="3"/>
  <c r="R460" i="3"/>
  <c r="Q460" i="3"/>
  <c r="P460" i="3"/>
  <c r="R449" i="3"/>
  <c r="Q449" i="3"/>
  <c r="P449" i="3"/>
  <c r="R448" i="3"/>
  <c r="Q448" i="3"/>
  <c r="P448" i="3"/>
  <c r="R437" i="3"/>
  <c r="Q437" i="3"/>
  <c r="P437" i="3"/>
  <c r="R436" i="3"/>
  <c r="Q436" i="3"/>
  <c r="P436" i="3"/>
  <c r="R425" i="3"/>
  <c r="Q425" i="3"/>
  <c r="P425" i="3"/>
  <c r="R424" i="3"/>
  <c r="Q424" i="3"/>
  <c r="P424" i="3"/>
  <c r="R389" i="3"/>
  <c r="Q389" i="3"/>
  <c r="P389" i="3"/>
  <c r="R388" i="3"/>
  <c r="Q388" i="3"/>
  <c r="P388" i="3"/>
  <c r="R377" i="3"/>
  <c r="Q377" i="3"/>
  <c r="P377" i="3"/>
  <c r="R376" i="3"/>
  <c r="Q376" i="3"/>
  <c r="P376" i="3"/>
  <c r="R365" i="3"/>
  <c r="Q365" i="3"/>
  <c r="P365" i="3"/>
  <c r="R364" i="3"/>
  <c r="Q364" i="3"/>
  <c r="P364" i="3"/>
  <c r="R353" i="3"/>
  <c r="Q353" i="3"/>
  <c r="P353" i="3"/>
  <c r="R352" i="3"/>
  <c r="Q352" i="3"/>
  <c r="P352" i="3"/>
  <c r="R341" i="3"/>
  <c r="Q341" i="3"/>
  <c r="P341" i="3"/>
  <c r="R340" i="3"/>
  <c r="Q340" i="3"/>
  <c r="P340" i="3"/>
  <c r="R329" i="3"/>
  <c r="Q329" i="3"/>
  <c r="P329" i="3"/>
  <c r="R328" i="3"/>
  <c r="Q328" i="3"/>
  <c r="P328" i="3"/>
  <c r="R293" i="3"/>
  <c r="Q293" i="3"/>
  <c r="P293" i="3"/>
  <c r="R292" i="3"/>
  <c r="Q292" i="3"/>
  <c r="P292" i="3"/>
  <c r="R281" i="3"/>
  <c r="Q281" i="3"/>
  <c r="P281" i="3"/>
  <c r="R280" i="3"/>
  <c r="Q280" i="3"/>
  <c r="P280" i="3"/>
  <c r="R269" i="3"/>
  <c r="Q269" i="3"/>
  <c r="P269" i="3"/>
  <c r="R268" i="3"/>
  <c r="Q268" i="3"/>
  <c r="P268" i="3"/>
  <c r="R245" i="3"/>
  <c r="Q245" i="3"/>
  <c r="P245" i="3"/>
  <c r="R244" i="3"/>
  <c r="Q244" i="3"/>
  <c r="P244" i="3"/>
  <c r="R233" i="3"/>
  <c r="Q233" i="3"/>
  <c r="P233" i="3"/>
  <c r="R232" i="3"/>
  <c r="Q232" i="3"/>
  <c r="P232" i="3"/>
  <c r="R221" i="3"/>
  <c r="Q221" i="3"/>
  <c r="P221" i="3"/>
  <c r="R220" i="3"/>
  <c r="Q220" i="3"/>
  <c r="P220" i="3"/>
  <c r="R209" i="3"/>
  <c r="Q209" i="3"/>
  <c r="P209" i="3"/>
  <c r="R208" i="3"/>
  <c r="Q208" i="3"/>
  <c r="P208" i="3"/>
  <c r="R197" i="3"/>
  <c r="Q197" i="3"/>
  <c r="P197" i="3"/>
  <c r="R196" i="3"/>
  <c r="Q196" i="3"/>
  <c r="P196" i="3"/>
  <c r="R185" i="3"/>
  <c r="Q185" i="3"/>
  <c r="P185" i="3"/>
  <c r="R184" i="3"/>
  <c r="Q184" i="3"/>
  <c r="P184" i="3"/>
  <c r="R173" i="3"/>
  <c r="Q173" i="3"/>
  <c r="P173" i="3"/>
  <c r="R172" i="3"/>
  <c r="Q172" i="3"/>
  <c r="P172" i="3"/>
  <c r="R149" i="3"/>
  <c r="Q149" i="3"/>
  <c r="P149" i="3"/>
  <c r="R148" i="3"/>
  <c r="Q148" i="3"/>
  <c r="P148" i="3"/>
  <c r="R137" i="3"/>
  <c r="Q137" i="3"/>
  <c r="P137" i="3"/>
  <c r="R136" i="3"/>
  <c r="Q136" i="3"/>
  <c r="P136" i="3"/>
  <c r="R125" i="3"/>
  <c r="Q125" i="3"/>
  <c r="P125" i="3"/>
  <c r="R124" i="3"/>
  <c r="Q124" i="3"/>
  <c r="P124" i="3"/>
  <c r="R113" i="3"/>
  <c r="Q113" i="3"/>
  <c r="P113" i="3"/>
  <c r="R112" i="3"/>
  <c r="Q112" i="3"/>
  <c r="P112" i="3"/>
  <c r="R101" i="3"/>
  <c r="Q101" i="3"/>
  <c r="P101" i="3"/>
  <c r="R100" i="3"/>
  <c r="Q100" i="3"/>
  <c r="P100" i="3"/>
  <c r="R89" i="3"/>
  <c r="Q89" i="3"/>
  <c r="P89" i="3"/>
  <c r="R88" i="3"/>
  <c r="Q88" i="3"/>
  <c r="P88" i="3"/>
  <c r="R77" i="3"/>
  <c r="Q77" i="3"/>
  <c r="P77" i="3"/>
  <c r="R76" i="3"/>
  <c r="Q76" i="3"/>
  <c r="P76" i="3"/>
  <c r="R65" i="3"/>
  <c r="Q65" i="3"/>
  <c r="P65" i="3"/>
  <c r="R64" i="3"/>
  <c r="Q64" i="3"/>
  <c r="P64" i="3"/>
  <c r="R53" i="3"/>
  <c r="Q53" i="3"/>
  <c r="P53" i="3"/>
  <c r="R52" i="3"/>
  <c r="Q52" i="3"/>
  <c r="P52" i="3"/>
  <c r="R41" i="3"/>
  <c r="Q41" i="3"/>
  <c r="P41" i="3"/>
  <c r="R40" i="3"/>
  <c r="Q40" i="3"/>
  <c r="P40" i="3"/>
  <c r="R29" i="3"/>
  <c r="Q29" i="3"/>
  <c r="P29" i="3"/>
  <c r="R28" i="3"/>
  <c r="Q28" i="3"/>
  <c r="P28" i="3"/>
  <c r="R17" i="3"/>
  <c r="Q17" i="3"/>
  <c r="P17" i="3"/>
  <c r="M845" i="3"/>
  <c r="L845" i="3"/>
  <c r="M844" i="3"/>
  <c r="L844" i="3"/>
  <c r="M833" i="3"/>
  <c r="L833" i="3"/>
  <c r="M832" i="3"/>
  <c r="L832" i="3"/>
  <c r="M821" i="3"/>
  <c r="L821" i="3"/>
  <c r="M820" i="3"/>
  <c r="L820" i="3"/>
  <c r="M797" i="3"/>
  <c r="L797" i="3"/>
  <c r="M796" i="3"/>
  <c r="L796" i="3"/>
  <c r="M785" i="3"/>
  <c r="L785" i="3"/>
  <c r="M784" i="3"/>
  <c r="L784" i="3"/>
  <c r="M761" i="3"/>
  <c r="L761" i="3"/>
  <c r="M760" i="3"/>
  <c r="L760" i="3"/>
  <c r="M749" i="3"/>
  <c r="L749" i="3"/>
  <c r="M748" i="3"/>
  <c r="L748" i="3"/>
  <c r="M737" i="3"/>
  <c r="L737" i="3"/>
  <c r="M736" i="3"/>
  <c r="L736" i="3"/>
  <c r="M689" i="3"/>
  <c r="L689" i="3"/>
  <c r="M688" i="3"/>
  <c r="L688" i="3"/>
  <c r="M677" i="3"/>
  <c r="L677" i="3"/>
  <c r="M676" i="3"/>
  <c r="L676" i="3"/>
  <c r="M665" i="3"/>
  <c r="L665" i="3"/>
  <c r="M664" i="3"/>
  <c r="L664" i="3"/>
  <c r="M641" i="3"/>
  <c r="L641" i="3"/>
  <c r="M640" i="3"/>
  <c r="L640" i="3"/>
  <c r="M629" i="3"/>
  <c r="L629" i="3"/>
  <c r="M628" i="3"/>
  <c r="L628" i="3"/>
  <c r="M617" i="3"/>
  <c r="L617" i="3"/>
  <c r="M616" i="3"/>
  <c r="L616" i="3"/>
  <c r="M605" i="3"/>
  <c r="L605" i="3"/>
  <c r="M604" i="3"/>
  <c r="L604" i="3"/>
  <c r="M593" i="3"/>
  <c r="L593" i="3"/>
  <c r="M592" i="3"/>
  <c r="L592" i="3"/>
  <c r="M581" i="3"/>
  <c r="L581" i="3"/>
  <c r="M580" i="3"/>
  <c r="L580" i="3"/>
  <c r="M557" i="3"/>
  <c r="L557" i="3"/>
  <c r="M556" i="3"/>
  <c r="L556" i="3"/>
  <c r="M533" i="3"/>
  <c r="L533" i="3"/>
  <c r="M532" i="3"/>
  <c r="L532" i="3"/>
  <c r="M509" i="3"/>
  <c r="L509" i="3"/>
  <c r="M508" i="3"/>
  <c r="L508" i="3"/>
  <c r="M485" i="3"/>
  <c r="L485" i="3"/>
  <c r="M484" i="3"/>
  <c r="L484" i="3"/>
  <c r="M461" i="3"/>
  <c r="L461" i="3"/>
  <c r="M460" i="3"/>
  <c r="L460" i="3"/>
  <c r="M449" i="3"/>
  <c r="L449" i="3"/>
  <c r="M448" i="3"/>
  <c r="L448" i="3"/>
  <c r="M425" i="3"/>
  <c r="L425" i="3"/>
  <c r="M424" i="3"/>
  <c r="L424" i="3"/>
  <c r="M389" i="3"/>
  <c r="L389" i="3"/>
  <c r="M388" i="3"/>
  <c r="L388" i="3"/>
  <c r="M377" i="3"/>
  <c r="L377" i="3"/>
  <c r="M376" i="3"/>
  <c r="L376" i="3"/>
  <c r="M365" i="3"/>
  <c r="L365" i="3"/>
  <c r="M364" i="3"/>
  <c r="L364" i="3"/>
  <c r="M353" i="3"/>
  <c r="L353" i="3"/>
  <c r="M352" i="3"/>
  <c r="L352" i="3"/>
  <c r="M341" i="3"/>
  <c r="L341" i="3"/>
  <c r="M340" i="3"/>
  <c r="L340" i="3"/>
  <c r="M329" i="3"/>
  <c r="L329" i="3"/>
  <c r="M328" i="3"/>
  <c r="L328" i="3"/>
  <c r="M293" i="3"/>
  <c r="L293" i="3"/>
  <c r="M292" i="3"/>
  <c r="L292" i="3"/>
  <c r="M281" i="3"/>
  <c r="L281" i="3"/>
  <c r="M280" i="3"/>
  <c r="L280" i="3"/>
  <c r="M269" i="3"/>
  <c r="L269" i="3"/>
  <c r="M268" i="3"/>
  <c r="L268" i="3"/>
  <c r="M245" i="3"/>
  <c r="L245" i="3"/>
  <c r="M244" i="3"/>
  <c r="L244" i="3"/>
  <c r="M233" i="3"/>
  <c r="L233" i="3"/>
  <c r="M232" i="3"/>
  <c r="L232" i="3"/>
  <c r="M221" i="3"/>
  <c r="L221" i="3"/>
  <c r="M220" i="3"/>
  <c r="L220" i="3"/>
  <c r="M209" i="3"/>
  <c r="L209" i="3"/>
  <c r="M208" i="3"/>
  <c r="L208" i="3"/>
  <c r="M197" i="3"/>
  <c r="L197" i="3"/>
  <c r="M196" i="3"/>
  <c r="L196" i="3"/>
  <c r="M185" i="3"/>
  <c r="L185" i="3"/>
  <c r="M184" i="3"/>
  <c r="L184" i="3"/>
  <c r="M173" i="3"/>
  <c r="L173" i="3"/>
  <c r="M172" i="3"/>
  <c r="L172" i="3"/>
  <c r="M149" i="3"/>
  <c r="L149" i="3"/>
  <c r="M148" i="3"/>
  <c r="L148" i="3"/>
  <c r="M137" i="3"/>
  <c r="L137" i="3"/>
  <c r="M136" i="3"/>
  <c r="L136" i="3"/>
  <c r="M125" i="3"/>
  <c r="L125" i="3"/>
  <c r="M124" i="3"/>
  <c r="L124" i="3"/>
  <c r="M113" i="3"/>
  <c r="L113" i="3"/>
  <c r="M112" i="3"/>
  <c r="L112" i="3"/>
  <c r="M101" i="3"/>
  <c r="L101" i="3"/>
  <c r="M100" i="3"/>
  <c r="L100" i="3"/>
  <c r="M89" i="3"/>
  <c r="L89" i="3"/>
  <c r="M88" i="3"/>
  <c r="L88" i="3"/>
  <c r="M77" i="3"/>
  <c r="L77" i="3"/>
  <c r="M76" i="3"/>
  <c r="L76" i="3"/>
  <c r="M65" i="3"/>
  <c r="L65" i="3"/>
  <c r="M64" i="3"/>
  <c r="L64" i="3"/>
  <c r="M53" i="3"/>
  <c r="L53" i="3"/>
  <c r="M52" i="3"/>
  <c r="L52" i="3"/>
  <c r="M41" i="3"/>
  <c r="L41" i="3"/>
  <c r="M40" i="3"/>
  <c r="L40" i="3"/>
  <c r="M29" i="3"/>
  <c r="L29" i="3"/>
  <c r="M28" i="3"/>
  <c r="L28" i="3"/>
  <c r="M17" i="3"/>
  <c r="L17" i="3"/>
  <c r="M16" i="3"/>
  <c r="L16" i="3"/>
  <c r="R16" i="3"/>
  <c r="Q16" i="3"/>
  <c r="P16" i="3"/>
  <c r="P887" i="3" l="1"/>
  <c r="L11" i="3" l="1"/>
  <c r="M11" i="3"/>
  <c r="R883" i="3"/>
  <c r="R879" i="3"/>
  <c r="R875" i="3"/>
  <c r="R871" i="3"/>
  <c r="R867" i="3"/>
  <c r="R863" i="3"/>
  <c r="R859" i="3"/>
  <c r="R855" i="3"/>
  <c r="R851" i="3"/>
  <c r="R847" i="3"/>
  <c r="R843" i="3"/>
  <c r="R839" i="3"/>
  <c r="R835" i="3"/>
  <c r="R831" i="3"/>
  <c r="R827" i="3"/>
  <c r="R823" i="3"/>
  <c r="R819" i="3"/>
  <c r="R815" i="3"/>
  <c r="R799" i="3"/>
  <c r="R795" i="3"/>
  <c r="R791" i="3"/>
  <c r="R787" i="3"/>
  <c r="R783" i="3"/>
  <c r="R779" i="3"/>
  <c r="R763" i="3"/>
  <c r="R759" i="3"/>
  <c r="R755" i="3"/>
  <c r="R751" i="3"/>
  <c r="R747" i="3"/>
  <c r="R743" i="3"/>
  <c r="R739" i="3"/>
  <c r="R735" i="3"/>
  <c r="R731" i="3"/>
  <c r="R691" i="3"/>
  <c r="R687" i="3"/>
  <c r="R683" i="3"/>
  <c r="R679" i="3"/>
  <c r="R675" i="3"/>
  <c r="R671" i="3"/>
  <c r="R667" i="3"/>
  <c r="R663" i="3"/>
  <c r="R659" i="3"/>
  <c r="R643" i="3"/>
  <c r="R639" i="3"/>
  <c r="R635" i="3"/>
  <c r="R631" i="3"/>
  <c r="R627" i="3"/>
  <c r="R623" i="3"/>
  <c r="R619" i="3"/>
  <c r="R615" i="3"/>
  <c r="R611" i="3"/>
  <c r="R607" i="3"/>
  <c r="R603" i="3"/>
  <c r="R599" i="3"/>
  <c r="R595" i="3"/>
  <c r="R591" i="3"/>
  <c r="R587" i="3"/>
  <c r="R583" i="3"/>
  <c r="R579" i="3"/>
  <c r="R575" i="3"/>
  <c r="R559" i="3"/>
  <c r="R555" i="3"/>
  <c r="R551" i="3"/>
  <c r="R535" i="3"/>
  <c r="R531" i="3"/>
  <c r="R527" i="3"/>
  <c r="R511" i="3"/>
  <c r="R507" i="3"/>
  <c r="R503" i="3"/>
  <c r="R487" i="3"/>
  <c r="R483" i="3"/>
  <c r="R479" i="3"/>
  <c r="R463" i="3"/>
  <c r="R459" i="3"/>
  <c r="R455" i="3"/>
  <c r="R451" i="3"/>
  <c r="R447" i="3"/>
  <c r="R443" i="3"/>
  <c r="R439" i="3"/>
  <c r="R435" i="3"/>
  <c r="R431" i="3"/>
  <c r="R427" i="3"/>
  <c r="R423" i="3"/>
  <c r="R419" i="3"/>
  <c r="R391" i="3"/>
  <c r="R387" i="3"/>
  <c r="R383" i="3"/>
  <c r="R379" i="3"/>
  <c r="R375" i="3"/>
  <c r="R371" i="3"/>
  <c r="R367" i="3"/>
  <c r="R363" i="3"/>
  <c r="R359" i="3"/>
  <c r="R355" i="3"/>
  <c r="R351" i="3"/>
  <c r="R347" i="3"/>
  <c r="R343" i="3"/>
  <c r="R339" i="3"/>
  <c r="R335" i="3"/>
  <c r="R331" i="3"/>
  <c r="R327" i="3"/>
  <c r="R323" i="3"/>
  <c r="R295" i="3"/>
  <c r="R291" i="3"/>
  <c r="R287" i="3"/>
  <c r="R283" i="3"/>
  <c r="R279" i="3"/>
  <c r="R275" i="3"/>
  <c r="R271" i="3"/>
  <c r="R267" i="3"/>
  <c r="R263" i="3"/>
  <c r="R247" i="3"/>
  <c r="R243" i="3"/>
  <c r="R239" i="3"/>
  <c r="R235" i="3"/>
  <c r="R231" i="3"/>
  <c r="R227" i="3"/>
  <c r="R223" i="3"/>
  <c r="R219" i="3"/>
  <c r="R215" i="3"/>
  <c r="R211" i="3"/>
  <c r="R207" i="3"/>
  <c r="R203" i="3"/>
  <c r="R199" i="3"/>
  <c r="R195" i="3"/>
  <c r="R191" i="3"/>
  <c r="R187" i="3"/>
  <c r="R183" i="3"/>
  <c r="R179" i="3"/>
  <c r="R175" i="3"/>
  <c r="R171" i="3"/>
  <c r="R167" i="3"/>
  <c r="R151" i="3"/>
  <c r="R147" i="3"/>
  <c r="R143" i="3"/>
  <c r="R139" i="3"/>
  <c r="R135" i="3"/>
  <c r="R131" i="3"/>
  <c r="R127" i="3"/>
  <c r="R123" i="3"/>
  <c r="R119" i="3"/>
  <c r="R115" i="3"/>
  <c r="R111" i="3"/>
  <c r="R107" i="3"/>
  <c r="R103" i="3"/>
  <c r="R99" i="3"/>
  <c r="R95" i="3"/>
  <c r="R91" i="3"/>
  <c r="R87" i="3"/>
  <c r="R83" i="3"/>
  <c r="R79" i="3"/>
  <c r="R75" i="3"/>
  <c r="R71" i="3"/>
  <c r="R67" i="3"/>
  <c r="R63" i="3"/>
  <c r="R59" i="3"/>
  <c r="R55" i="3"/>
  <c r="R51" i="3"/>
  <c r="R47" i="3"/>
  <c r="R43" i="3"/>
  <c r="R39" i="3"/>
  <c r="R35" i="3"/>
  <c r="R31" i="3"/>
  <c r="R27" i="3"/>
  <c r="R23" i="3"/>
  <c r="R19" i="3"/>
  <c r="R15" i="3"/>
  <c r="Q883" i="3"/>
  <c r="Q879" i="3"/>
  <c r="Q875" i="3"/>
  <c r="Q871" i="3"/>
  <c r="Q867" i="3"/>
  <c r="Q863" i="3"/>
  <c r="Q859" i="3"/>
  <c r="Q855" i="3"/>
  <c r="Q851" i="3"/>
  <c r="Q847" i="3"/>
  <c r="Q843" i="3"/>
  <c r="Q839" i="3"/>
  <c r="Q835" i="3"/>
  <c r="Q831" i="3"/>
  <c r="Q827" i="3"/>
  <c r="Q823" i="3"/>
  <c r="Q819" i="3"/>
  <c r="Q815" i="3"/>
  <c r="Q799" i="3"/>
  <c r="Q795" i="3"/>
  <c r="Q791" i="3"/>
  <c r="Q787" i="3"/>
  <c r="Q783" i="3"/>
  <c r="Q779" i="3"/>
  <c r="Q763" i="3"/>
  <c r="Q759" i="3"/>
  <c r="Q755" i="3"/>
  <c r="Q751" i="3"/>
  <c r="Q747" i="3"/>
  <c r="Q743" i="3"/>
  <c r="Q739" i="3"/>
  <c r="Q735" i="3"/>
  <c r="Q731" i="3"/>
  <c r="Q691" i="3"/>
  <c r="Q687" i="3"/>
  <c r="Q683" i="3"/>
  <c r="Q679" i="3"/>
  <c r="Q675" i="3"/>
  <c r="Q671" i="3"/>
  <c r="Q667" i="3"/>
  <c r="Q663" i="3"/>
  <c r="Q659" i="3"/>
  <c r="Q643" i="3"/>
  <c r="Q639" i="3"/>
  <c r="Q635" i="3"/>
  <c r="Q631" i="3"/>
  <c r="Q627" i="3"/>
  <c r="Q623" i="3"/>
  <c r="Q619" i="3"/>
  <c r="Q615" i="3"/>
  <c r="Q611" i="3"/>
  <c r="Q607" i="3"/>
  <c r="Q603" i="3"/>
  <c r="Q599" i="3"/>
  <c r="Q595" i="3"/>
  <c r="Q591" i="3"/>
  <c r="Q587" i="3"/>
  <c r="Q583" i="3"/>
  <c r="Q579" i="3"/>
  <c r="Q575" i="3"/>
  <c r="Q559" i="3"/>
  <c r="Q555" i="3"/>
  <c r="Q551" i="3"/>
  <c r="Q535" i="3"/>
  <c r="Q531" i="3"/>
  <c r="Q527" i="3"/>
  <c r="Q511" i="3"/>
  <c r="Q507" i="3"/>
  <c r="Q503" i="3"/>
  <c r="Q487" i="3"/>
  <c r="Q483" i="3"/>
  <c r="Q479" i="3"/>
  <c r="Q463" i="3"/>
  <c r="Q459" i="3"/>
  <c r="Q455" i="3"/>
  <c r="Q451" i="3"/>
  <c r="Q447" i="3"/>
  <c r="Q443" i="3"/>
  <c r="Q439" i="3"/>
  <c r="Q435" i="3"/>
  <c r="Q431" i="3"/>
  <c r="Q427" i="3"/>
  <c r="Q423" i="3"/>
  <c r="Q419" i="3"/>
  <c r="Q391" i="3"/>
  <c r="Q387" i="3"/>
  <c r="Q383" i="3"/>
  <c r="Q379" i="3"/>
  <c r="Q375" i="3"/>
  <c r="Q371" i="3"/>
  <c r="Q367" i="3"/>
  <c r="Q363" i="3"/>
  <c r="Q359" i="3"/>
  <c r="Q351" i="3"/>
  <c r="Q355" i="3" s="1"/>
  <c r="Q347" i="3"/>
  <c r="Q343" i="3"/>
  <c r="Q339" i="3"/>
  <c r="Q335" i="3"/>
  <c r="Q331" i="3"/>
  <c r="Q327" i="3"/>
  <c r="Q323" i="3"/>
  <c r="Q295" i="3"/>
  <c r="Q291" i="3"/>
  <c r="Q287" i="3"/>
  <c r="Q283" i="3"/>
  <c r="Q279" i="3"/>
  <c r="Q275" i="3"/>
  <c r="Q271" i="3"/>
  <c r="Q267" i="3"/>
  <c r="Q263" i="3"/>
  <c r="Q247" i="3"/>
  <c r="Q243" i="3"/>
  <c r="Q239" i="3"/>
  <c r="Q235" i="3"/>
  <c r="Q231" i="3"/>
  <c r="Q227" i="3"/>
  <c r="Q223" i="3"/>
  <c r="Q219" i="3"/>
  <c r="Q215" i="3"/>
  <c r="Q211" i="3"/>
  <c r="Q207" i="3"/>
  <c r="Q203" i="3"/>
  <c r="Q199" i="3"/>
  <c r="Q195" i="3"/>
  <c r="Q191" i="3"/>
  <c r="Q187" i="3"/>
  <c r="Q183" i="3"/>
  <c r="Q179" i="3"/>
  <c r="Q175" i="3"/>
  <c r="Q171" i="3"/>
  <c r="Q167" i="3"/>
  <c r="Q151" i="3"/>
  <c r="Q147" i="3"/>
  <c r="Q143" i="3"/>
  <c r="Q139" i="3"/>
  <c r="Q135" i="3"/>
  <c r="Q131" i="3"/>
  <c r="Q127" i="3"/>
  <c r="Q123" i="3"/>
  <c r="Q119" i="3"/>
  <c r="Q115" i="3"/>
  <c r="Q111" i="3"/>
  <c r="Q107" i="3"/>
  <c r="Q103" i="3"/>
  <c r="Q99" i="3"/>
  <c r="Q95" i="3"/>
  <c r="Q91" i="3"/>
  <c r="Q87" i="3"/>
  <c r="Q83" i="3"/>
  <c r="Q79" i="3"/>
  <c r="Q75" i="3"/>
  <c r="Q71" i="3"/>
  <c r="Q67" i="3"/>
  <c r="Q63" i="3"/>
  <c r="Q59" i="3"/>
  <c r="Q55" i="3"/>
  <c r="Q51" i="3"/>
  <c r="Q47" i="3"/>
  <c r="Q43" i="3"/>
  <c r="Q39" i="3"/>
  <c r="Q35" i="3"/>
  <c r="Q31" i="3"/>
  <c r="Q27" i="3"/>
  <c r="Q23" i="3"/>
  <c r="Q19" i="3"/>
  <c r="Q15" i="3"/>
  <c r="P883" i="3"/>
  <c r="P879" i="3"/>
  <c r="P875" i="3"/>
  <c r="P871" i="3"/>
  <c r="P867" i="3"/>
  <c r="P863" i="3"/>
  <c r="P859" i="3"/>
  <c r="P855" i="3"/>
  <c r="P851" i="3"/>
  <c r="P847" i="3"/>
  <c r="P843" i="3"/>
  <c r="P839" i="3"/>
  <c r="P835" i="3"/>
  <c r="P831" i="3"/>
  <c r="P827" i="3"/>
  <c r="P823" i="3"/>
  <c r="P819" i="3"/>
  <c r="P815" i="3"/>
  <c r="P799" i="3"/>
  <c r="P795" i="3"/>
  <c r="P791" i="3"/>
  <c r="P787" i="3"/>
  <c r="P783" i="3"/>
  <c r="P779" i="3"/>
  <c r="P763" i="3"/>
  <c r="P759" i="3"/>
  <c r="P755" i="3"/>
  <c r="P751" i="3"/>
  <c r="P747" i="3"/>
  <c r="P743" i="3"/>
  <c r="P739" i="3"/>
  <c r="P735" i="3"/>
  <c r="P731" i="3"/>
  <c r="P691" i="3"/>
  <c r="P687" i="3"/>
  <c r="P683" i="3"/>
  <c r="P679" i="3"/>
  <c r="P675" i="3"/>
  <c r="P671" i="3"/>
  <c r="P667" i="3"/>
  <c r="P663" i="3"/>
  <c r="P659" i="3"/>
  <c r="P643" i="3"/>
  <c r="P639" i="3"/>
  <c r="P635" i="3"/>
  <c r="P631" i="3"/>
  <c r="P627" i="3"/>
  <c r="P623" i="3"/>
  <c r="P619" i="3"/>
  <c r="P615" i="3"/>
  <c r="P611" i="3"/>
  <c r="P607" i="3"/>
  <c r="P603" i="3"/>
  <c r="P599" i="3"/>
  <c r="P595" i="3"/>
  <c r="P591" i="3"/>
  <c r="P587" i="3"/>
  <c r="P583" i="3"/>
  <c r="P579" i="3"/>
  <c r="P575" i="3"/>
  <c r="P559" i="3"/>
  <c r="P555" i="3"/>
  <c r="P551" i="3"/>
  <c r="P535" i="3"/>
  <c r="P531" i="3"/>
  <c r="P527" i="3"/>
  <c r="P511" i="3"/>
  <c r="P507" i="3"/>
  <c r="P503" i="3"/>
  <c r="P487" i="3"/>
  <c r="P483" i="3"/>
  <c r="P479" i="3"/>
  <c r="P463" i="3"/>
  <c r="P459" i="3"/>
  <c r="P455" i="3"/>
  <c r="P451" i="3"/>
  <c r="P447" i="3"/>
  <c r="P443" i="3"/>
  <c r="P439" i="3"/>
  <c r="P435" i="3"/>
  <c r="P431" i="3"/>
  <c r="P427" i="3"/>
  <c r="P423" i="3"/>
  <c r="P419" i="3"/>
  <c r="P391" i="3"/>
  <c r="P387" i="3"/>
  <c r="P383" i="3"/>
  <c r="P379" i="3"/>
  <c r="P375" i="3"/>
  <c r="P371" i="3"/>
  <c r="P367" i="3"/>
  <c r="P363" i="3"/>
  <c r="P359" i="3"/>
  <c r="P355" i="3"/>
  <c r="P351" i="3"/>
  <c r="P347" i="3"/>
  <c r="P343" i="3"/>
  <c r="P339" i="3"/>
  <c r="P335" i="3"/>
  <c r="P331" i="3"/>
  <c r="P327" i="3"/>
  <c r="P323" i="3"/>
  <c r="P295" i="3"/>
  <c r="P291" i="3"/>
  <c r="P287" i="3"/>
  <c r="P283" i="3"/>
  <c r="P279" i="3"/>
  <c r="P275" i="3"/>
  <c r="P271" i="3"/>
  <c r="P267" i="3"/>
  <c r="P263" i="3"/>
  <c r="P247" i="3"/>
  <c r="P243" i="3"/>
  <c r="P239" i="3"/>
  <c r="P235" i="3"/>
  <c r="P231" i="3"/>
  <c r="P227" i="3"/>
  <c r="P223" i="3"/>
  <c r="P219" i="3"/>
  <c r="P215" i="3"/>
  <c r="P211" i="3"/>
  <c r="P207" i="3"/>
  <c r="P203" i="3"/>
  <c r="P199" i="3"/>
  <c r="P195" i="3"/>
  <c r="P191" i="3"/>
  <c r="P187" i="3"/>
  <c r="P183" i="3"/>
  <c r="P179" i="3"/>
  <c r="P175" i="3"/>
  <c r="P171" i="3"/>
  <c r="P167" i="3"/>
  <c r="P151" i="3"/>
  <c r="P147" i="3"/>
  <c r="P143" i="3"/>
  <c r="P139" i="3"/>
  <c r="P135" i="3"/>
  <c r="P131" i="3"/>
  <c r="P127" i="3"/>
  <c r="P123" i="3"/>
  <c r="P119" i="3"/>
  <c r="P115" i="3"/>
  <c r="P111" i="3"/>
  <c r="P107" i="3"/>
  <c r="P103" i="3"/>
  <c r="P99" i="3"/>
  <c r="P95" i="3"/>
  <c r="P91" i="3"/>
  <c r="P87" i="3"/>
  <c r="P83" i="3"/>
  <c r="P79" i="3"/>
  <c r="P75" i="3"/>
  <c r="P71" i="3"/>
  <c r="P67" i="3"/>
  <c r="P63" i="3"/>
  <c r="P59" i="3"/>
  <c r="P55" i="3"/>
  <c r="P51" i="3"/>
  <c r="P47" i="3"/>
  <c r="P43" i="3"/>
  <c r="P39" i="3"/>
  <c r="P35" i="3"/>
  <c r="P31" i="3"/>
  <c r="P27" i="3"/>
  <c r="P23" i="3"/>
  <c r="P19" i="3"/>
  <c r="P15" i="3"/>
  <c r="M883" i="3"/>
  <c r="M879" i="3"/>
  <c r="M875" i="3"/>
  <c r="M871" i="3"/>
  <c r="M867" i="3"/>
  <c r="M863" i="3"/>
  <c r="M859" i="3"/>
  <c r="M855" i="3"/>
  <c r="M851" i="3"/>
  <c r="M847" i="3"/>
  <c r="M843" i="3"/>
  <c r="M839" i="3"/>
  <c r="M835" i="3"/>
  <c r="M831" i="3"/>
  <c r="M827" i="3"/>
  <c r="M823" i="3"/>
  <c r="M819" i="3"/>
  <c r="M815" i="3"/>
  <c r="M799" i="3"/>
  <c r="M795" i="3"/>
  <c r="M791" i="3"/>
  <c r="M787" i="3"/>
  <c r="M783" i="3"/>
  <c r="M779" i="3"/>
  <c r="M763" i="3"/>
  <c r="M759" i="3"/>
  <c r="M755" i="3"/>
  <c r="M751" i="3"/>
  <c r="M747" i="3"/>
  <c r="M743" i="3"/>
  <c r="M739" i="3"/>
  <c r="M735" i="3"/>
  <c r="M731" i="3"/>
  <c r="M691" i="3"/>
  <c r="M687" i="3"/>
  <c r="M683" i="3"/>
  <c r="M679" i="3"/>
  <c r="M675" i="3"/>
  <c r="M671" i="3"/>
  <c r="M667" i="3"/>
  <c r="M663" i="3"/>
  <c r="M659" i="3"/>
  <c r="M643" i="3"/>
  <c r="M639" i="3"/>
  <c r="M635" i="3"/>
  <c r="M631" i="3"/>
  <c r="M627" i="3"/>
  <c r="M623" i="3"/>
  <c r="M619" i="3"/>
  <c r="M615" i="3"/>
  <c r="M611" i="3"/>
  <c r="M607" i="3"/>
  <c r="M603" i="3"/>
  <c r="M599" i="3"/>
  <c r="M595" i="3"/>
  <c r="M591" i="3"/>
  <c r="M587" i="3"/>
  <c r="M583" i="3"/>
  <c r="M579" i="3"/>
  <c r="M575" i="3"/>
  <c r="M559" i="3"/>
  <c r="M555" i="3"/>
  <c r="M551" i="3"/>
  <c r="M535" i="3"/>
  <c r="M531" i="3"/>
  <c r="M527" i="3"/>
  <c r="M511" i="3"/>
  <c r="M507" i="3"/>
  <c r="M503" i="3"/>
  <c r="M487" i="3"/>
  <c r="M483" i="3"/>
  <c r="M479" i="3"/>
  <c r="M463" i="3"/>
  <c r="M459" i="3"/>
  <c r="M455" i="3"/>
  <c r="M451" i="3"/>
  <c r="M447" i="3"/>
  <c r="M443" i="3"/>
  <c r="M439" i="3"/>
  <c r="M435" i="3"/>
  <c r="M431" i="3"/>
  <c r="M427" i="3"/>
  <c r="M423" i="3"/>
  <c r="M419" i="3"/>
  <c r="M391" i="3"/>
  <c r="M387" i="3"/>
  <c r="M383" i="3"/>
  <c r="M379" i="3"/>
  <c r="M375" i="3"/>
  <c r="M371" i="3"/>
  <c r="M367" i="3"/>
  <c r="M363" i="3"/>
  <c r="M359" i="3"/>
  <c r="M355" i="3"/>
  <c r="M351" i="3"/>
  <c r="M347" i="3"/>
  <c r="M343" i="3"/>
  <c r="M339" i="3"/>
  <c r="M335" i="3"/>
  <c r="M331" i="3"/>
  <c r="M327" i="3"/>
  <c r="M323" i="3"/>
  <c r="M295" i="3"/>
  <c r="M291" i="3"/>
  <c r="M287" i="3"/>
  <c r="M283" i="3"/>
  <c r="M279" i="3"/>
  <c r="M275" i="3"/>
  <c r="M271" i="3"/>
  <c r="M267" i="3"/>
  <c r="M263" i="3"/>
  <c r="M247" i="3"/>
  <c r="M243" i="3"/>
  <c r="M239" i="3"/>
  <c r="M235" i="3"/>
  <c r="M231" i="3"/>
  <c r="M227" i="3"/>
  <c r="M223" i="3"/>
  <c r="M219" i="3"/>
  <c r="M215" i="3"/>
  <c r="M211" i="3"/>
  <c r="M207" i="3"/>
  <c r="M203" i="3"/>
  <c r="M199" i="3"/>
  <c r="M195" i="3"/>
  <c r="M191" i="3"/>
  <c r="M187" i="3"/>
  <c r="M183" i="3"/>
  <c r="M179" i="3"/>
  <c r="M175" i="3"/>
  <c r="M171" i="3"/>
  <c r="M167" i="3"/>
  <c r="M151" i="3"/>
  <c r="M147" i="3"/>
  <c r="M143" i="3"/>
  <c r="M139" i="3"/>
  <c r="M135" i="3"/>
  <c r="M131" i="3"/>
  <c r="M127" i="3"/>
  <c r="M123" i="3"/>
  <c r="M119" i="3"/>
  <c r="M115" i="3"/>
  <c r="M111" i="3"/>
  <c r="M107" i="3"/>
  <c r="M103" i="3"/>
  <c r="M99" i="3"/>
  <c r="M95" i="3"/>
  <c r="M91" i="3"/>
  <c r="M87" i="3"/>
  <c r="M83" i="3"/>
  <c r="M79" i="3"/>
  <c r="M75" i="3"/>
  <c r="M71" i="3"/>
  <c r="M67" i="3"/>
  <c r="M63" i="3"/>
  <c r="M59" i="3"/>
  <c r="M55" i="3"/>
  <c r="M51" i="3"/>
  <c r="M47" i="3"/>
  <c r="M43" i="3"/>
  <c r="M39" i="3"/>
  <c r="M35" i="3"/>
  <c r="M31" i="3"/>
  <c r="M27" i="3"/>
  <c r="M23" i="3"/>
  <c r="M19" i="3"/>
  <c r="M15" i="3"/>
  <c r="L883" i="3"/>
  <c r="L879" i="3"/>
  <c r="L875" i="3"/>
  <c r="L871" i="3"/>
  <c r="L867" i="3"/>
  <c r="L863" i="3"/>
  <c r="L859" i="3"/>
  <c r="L855" i="3"/>
  <c r="L851" i="3"/>
  <c r="L847" i="3"/>
  <c r="L843" i="3"/>
  <c r="L839" i="3"/>
  <c r="L835" i="3"/>
  <c r="L831" i="3"/>
  <c r="L827" i="3"/>
  <c r="L823" i="3"/>
  <c r="L819" i="3"/>
  <c r="L815" i="3"/>
  <c r="L799" i="3"/>
  <c r="L795" i="3"/>
  <c r="L791" i="3"/>
  <c r="L787" i="3"/>
  <c r="L783" i="3"/>
  <c r="L779" i="3"/>
  <c r="L763" i="3"/>
  <c r="L759" i="3"/>
  <c r="L755" i="3"/>
  <c r="L751" i="3"/>
  <c r="L747" i="3"/>
  <c r="L743" i="3"/>
  <c r="L739" i="3"/>
  <c r="L735" i="3"/>
  <c r="L731" i="3"/>
  <c r="L691" i="3"/>
  <c r="L687" i="3"/>
  <c r="L683" i="3"/>
  <c r="L679" i="3"/>
  <c r="L675" i="3"/>
  <c r="L671" i="3"/>
  <c r="L667" i="3"/>
  <c r="L663" i="3"/>
  <c r="L659" i="3"/>
  <c r="L643" i="3"/>
  <c r="L639" i="3"/>
  <c r="L635" i="3"/>
  <c r="L631" i="3"/>
  <c r="L627" i="3"/>
  <c r="L623" i="3"/>
  <c r="L619" i="3"/>
  <c r="L615" i="3"/>
  <c r="L611" i="3"/>
  <c r="L607" i="3"/>
  <c r="L603" i="3"/>
  <c r="L599" i="3"/>
  <c r="L595" i="3"/>
  <c r="L591" i="3"/>
  <c r="L587" i="3"/>
  <c r="L583" i="3"/>
  <c r="L579" i="3"/>
  <c r="L575" i="3"/>
  <c r="L559" i="3"/>
  <c r="L555" i="3"/>
  <c r="L551" i="3"/>
  <c r="L535" i="3"/>
  <c r="L531" i="3"/>
  <c r="L527" i="3"/>
  <c r="L511" i="3"/>
  <c r="L507" i="3"/>
  <c r="L503" i="3"/>
  <c r="L487" i="3"/>
  <c r="L483" i="3"/>
  <c r="L479" i="3"/>
  <c r="L463" i="3"/>
  <c r="L459" i="3"/>
  <c r="L455" i="3"/>
  <c r="L451" i="3"/>
  <c r="L447" i="3"/>
  <c r="L443" i="3"/>
  <c r="L439" i="3"/>
  <c r="L435" i="3"/>
  <c r="L431" i="3"/>
  <c r="L427" i="3"/>
  <c r="L423" i="3"/>
  <c r="L419" i="3"/>
  <c r="L391" i="3"/>
  <c r="L387" i="3"/>
  <c r="L383" i="3"/>
  <c r="L379" i="3"/>
  <c r="L375" i="3"/>
  <c r="L371" i="3"/>
  <c r="L367" i="3"/>
  <c r="L363" i="3"/>
  <c r="L359" i="3"/>
  <c r="L355" i="3"/>
  <c r="L351" i="3"/>
  <c r="L347" i="3"/>
  <c r="L343" i="3"/>
  <c r="L339" i="3"/>
  <c r="L335" i="3"/>
  <c r="L331" i="3"/>
  <c r="L327" i="3"/>
  <c r="L323" i="3"/>
  <c r="L295" i="3"/>
  <c r="L291" i="3"/>
  <c r="L287" i="3"/>
  <c r="L283" i="3"/>
  <c r="L279" i="3"/>
  <c r="L275" i="3"/>
  <c r="L271" i="3"/>
  <c r="L267" i="3"/>
  <c r="L263" i="3"/>
  <c r="L247" i="3"/>
  <c r="L243" i="3"/>
  <c r="L239" i="3"/>
  <c r="L235" i="3"/>
  <c r="L231" i="3"/>
  <c r="L227" i="3"/>
  <c r="L223" i="3"/>
  <c r="L219" i="3"/>
  <c r="L215" i="3"/>
  <c r="L211" i="3"/>
  <c r="L207" i="3"/>
  <c r="L203" i="3"/>
  <c r="L199" i="3"/>
  <c r="L195" i="3"/>
  <c r="L191" i="3"/>
  <c r="L187" i="3"/>
  <c r="L183" i="3"/>
  <c r="L179" i="3"/>
  <c r="L175" i="3"/>
  <c r="L171" i="3"/>
  <c r="L167" i="3"/>
  <c r="L151" i="3"/>
  <c r="L147" i="3"/>
  <c r="L143" i="3"/>
  <c r="L139" i="3"/>
  <c r="L135" i="3"/>
  <c r="L131" i="3"/>
  <c r="L127" i="3"/>
  <c r="L123" i="3"/>
  <c r="L119" i="3"/>
  <c r="L115" i="3"/>
  <c r="L111" i="3"/>
  <c r="L107" i="3"/>
  <c r="L103" i="3"/>
  <c r="L99" i="3"/>
  <c r="L95" i="3"/>
  <c r="L91" i="3"/>
  <c r="L87" i="3"/>
  <c r="L83" i="3"/>
  <c r="L79" i="3"/>
  <c r="L75" i="3"/>
  <c r="L71" i="3"/>
  <c r="L67" i="3"/>
  <c r="L63" i="3"/>
  <c r="L59" i="3"/>
  <c r="L55" i="3"/>
  <c r="L51" i="3"/>
  <c r="L47" i="3"/>
  <c r="L43" i="3"/>
  <c r="L39" i="3"/>
  <c r="L35" i="3"/>
  <c r="L31" i="3"/>
  <c r="L27" i="3"/>
  <c r="L23" i="3"/>
  <c r="L19" i="3"/>
  <c r="L15" i="3"/>
  <c r="R11" i="3"/>
  <c r="Q11" i="3"/>
  <c r="P11" i="3"/>
  <c r="N688" i="3"/>
  <c r="T179" i="7"/>
  <c r="S179" i="7"/>
  <c r="R179" i="7"/>
  <c r="Q179" i="7"/>
  <c r="P179" i="7"/>
  <c r="O179" i="7"/>
  <c r="N179" i="7"/>
  <c r="T178" i="7"/>
  <c r="S178" i="7"/>
  <c r="R178" i="7"/>
  <c r="Q178" i="7"/>
  <c r="P178" i="7"/>
  <c r="O178" i="7"/>
  <c r="N178" i="7"/>
  <c r="T177" i="7"/>
  <c r="S177" i="7"/>
  <c r="R177" i="7"/>
  <c r="Q177" i="7"/>
  <c r="P177" i="7"/>
  <c r="O177" i="7"/>
  <c r="N177" i="7"/>
  <c r="T176" i="7"/>
  <c r="S176" i="7"/>
  <c r="R176" i="7"/>
  <c r="Q176" i="7"/>
  <c r="P176" i="7"/>
  <c r="O176" i="7"/>
  <c r="N176" i="7"/>
  <c r="T175" i="7"/>
  <c r="S175" i="7"/>
  <c r="R175" i="7"/>
  <c r="Q175" i="7"/>
  <c r="P175" i="7"/>
  <c r="O175" i="7"/>
  <c r="N175" i="7"/>
  <c r="T174" i="7"/>
  <c r="S174" i="7"/>
  <c r="R174" i="7"/>
  <c r="Q174" i="7"/>
  <c r="P174" i="7"/>
  <c r="O174" i="7"/>
  <c r="N174" i="7"/>
  <c r="T173" i="7"/>
  <c r="S173" i="7"/>
  <c r="R173" i="7"/>
  <c r="Q173" i="7"/>
  <c r="P173" i="7"/>
  <c r="O173" i="7"/>
  <c r="N173" i="7"/>
  <c r="T172" i="7"/>
  <c r="S172" i="7"/>
  <c r="R172" i="7"/>
  <c r="Q172" i="7"/>
  <c r="P172" i="7"/>
  <c r="O172" i="7"/>
  <c r="N172" i="7"/>
  <c r="T171" i="7"/>
  <c r="S171" i="7"/>
  <c r="R171" i="7"/>
  <c r="Q171" i="7"/>
  <c r="P171" i="7"/>
  <c r="O171" i="7"/>
  <c r="N171" i="7"/>
  <c r="T170" i="7"/>
  <c r="S170" i="7"/>
  <c r="R170" i="7"/>
  <c r="Q170" i="7"/>
  <c r="P170" i="7"/>
  <c r="O170" i="7"/>
  <c r="N170" i="7"/>
  <c r="T169" i="7"/>
  <c r="S169" i="7"/>
  <c r="R169" i="7"/>
  <c r="Q169" i="7"/>
  <c r="P169" i="7"/>
  <c r="O169" i="7"/>
  <c r="N169" i="7"/>
  <c r="T168" i="7"/>
  <c r="S168" i="7"/>
  <c r="R168" i="7"/>
  <c r="Q168" i="7"/>
  <c r="P168" i="7"/>
  <c r="O168" i="7"/>
  <c r="N168" i="7"/>
  <c r="T167" i="7"/>
  <c r="S167" i="7"/>
  <c r="R167" i="7"/>
  <c r="Q167" i="7"/>
  <c r="P167" i="7"/>
  <c r="O167" i="7"/>
  <c r="N167" i="7"/>
  <c r="T166" i="7"/>
  <c r="S166" i="7"/>
  <c r="R166" i="7"/>
  <c r="Q166" i="7"/>
  <c r="P166" i="7"/>
  <c r="O166" i="7"/>
  <c r="N166" i="7"/>
  <c r="T165" i="7"/>
  <c r="S165" i="7"/>
  <c r="R165" i="7"/>
  <c r="Q165" i="7"/>
  <c r="P165" i="7"/>
  <c r="O165" i="7"/>
  <c r="N165" i="7"/>
  <c r="T164" i="7"/>
  <c r="S164" i="7"/>
  <c r="R164" i="7"/>
  <c r="Q164" i="7"/>
  <c r="P164" i="7"/>
  <c r="O164" i="7"/>
  <c r="N164" i="7"/>
  <c r="T163" i="7"/>
  <c r="S163" i="7"/>
  <c r="R163" i="7"/>
  <c r="Q163" i="7"/>
  <c r="P163" i="7"/>
  <c r="O163" i="7"/>
  <c r="N163" i="7"/>
  <c r="T162" i="7"/>
  <c r="S162" i="7"/>
  <c r="R162" i="7"/>
  <c r="Q162" i="7"/>
  <c r="P162" i="7"/>
  <c r="O162" i="7"/>
  <c r="N162" i="7"/>
  <c r="T161" i="7"/>
  <c r="S161" i="7"/>
  <c r="R161" i="7"/>
  <c r="Q161" i="7"/>
  <c r="P161" i="7"/>
  <c r="O161" i="7"/>
  <c r="N161" i="7"/>
  <c r="T160" i="7"/>
  <c r="S160" i="7"/>
  <c r="R160" i="7"/>
  <c r="Q160" i="7"/>
  <c r="P160" i="7"/>
  <c r="O160" i="7"/>
  <c r="N160" i="7"/>
  <c r="T159" i="7"/>
  <c r="S159" i="7"/>
  <c r="R159" i="7"/>
  <c r="Q159" i="7"/>
  <c r="P159" i="7"/>
  <c r="O159" i="7"/>
  <c r="N159" i="7"/>
  <c r="T158" i="7"/>
  <c r="S158" i="7"/>
  <c r="R158" i="7"/>
  <c r="Q158" i="7"/>
  <c r="P158" i="7"/>
  <c r="O158" i="7"/>
  <c r="N158" i="7"/>
  <c r="T157" i="7"/>
  <c r="S157" i="7"/>
  <c r="R157" i="7"/>
  <c r="Q157" i="7"/>
  <c r="P157" i="7"/>
  <c r="O157" i="7"/>
  <c r="N157" i="7"/>
  <c r="T156" i="7"/>
  <c r="S156" i="7"/>
  <c r="R156" i="7"/>
  <c r="Q156" i="7"/>
  <c r="P156" i="7"/>
  <c r="O156" i="7"/>
  <c r="N156" i="7"/>
  <c r="T155" i="7"/>
  <c r="S155" i="7"/>
  <c r="R155" i="7"/>
  <c r="Q155" i="7"/>
  <c r="P155" i="7"/>
  <c r="O155" i="7"/>
  <c r="N155" i="7"/>
  <c r="T154" i="7"/>
  <c r="S154" i="7"/>
  <c r="R154" i="7"/>
  <c r="Q154" i="7"/>
  <c r="P154" i="7"/>
  <c r="O154" i="7"/>
  <c r="N154" i="7"/>
  <c r="T153" i="7"/>
  <c r="S153" i="7"/>
  <c r="R153" i="7"/>
  <c r="Q153" i="7"/>
  <c r="P153" i="7"/>
  <c r="O153" i="7"/>
  <c r="N153" i="7"/>
  <c r="T152" i="7"/>
  <c r="S152" i="7"/>
  <c r="R152" i="7"/>
  <c r="Q152" i="7"/>
  <c r="P152" i="7"/>
  <c r="O152" i="7"/>
  <c r="N152" i="7"/>
  <c r="T151" i="7"/>
  <c r="S151" i="7"/>
  <c r="R151" i="7"/>
  <c r="Q151" i="7"/>
  <c r="P151" i="7"/>
  <c r="O151" i="7"/>
  <c r="N151" i="7"/>
  <c r="T150" i="7"/>
  <c r="S150" i="7"/>
  <c r="R150" i="7"/>
  <c r="Q150" i="7"/>
  <c r="P150" i="7"/>
  <c r="O150" i="7"/>
  <c r="N150" i="7"/>
  <c r="T149" i="7"/>
  <c r="S149" i="7"/>
  <c r="R149" i="7"/>
  <c r="Q149" i="7"/>
  <c r="P149" i="7"/>
  <c r="O149" i="7"/>
  <c r="N149" i="7"/>
  <c r="T148" i="7"/>
  <c r="S148" i="7"/>
  <c r="R148" i="7"/>
  <c r="Q148" i="7"/>
  <c r="P148" i="7"/>
  <c r="O148" i="7"/>
  <c r="N148" i="7"/>
  <c r="T147" i="7"/>
  <c r="S147" i="7"/>
  <c r="R147" i="7"/>
  <c r="Q147" i="7"/>
  <c r="P147" i="7"/>
  <c r="O147" i="7"/>
  <c r="N147" i="7"/>
  <c r="T146" i="7"/>
  <c r="S146" i="7"/>
  <c r="R146" i="7"/>
  <c r="Q146" i="7"/>
  <c r="P146" i="7"/>
  <c r="O146" i="7"/>
  <c r="N146" i="7"/>
  <c r="T145" i="7"/>
  <c r="S145" i="7"/>
  <c r="R145" i="7"/>
  <c r="Q145" i="7"/>
  <c r="P145" i="7"/>
  <c r="O145" i="7"/>
  <c r="N145" i="7"/>
  <c r="T144" i="7"/>
  <c r="S144" i="7"/>
  <c r="R144" i="7"/>
  <c r="Q144" i="7"/>
  <c r="P144" i="7"/>
  <c r="O144" i="7"/>
  <c r="N144" i="7"/>
  <c r="T143" i="7"/>
  <c r="S143" i="7"/>
  <c r="R143" i="7"/>
  <c r="Q143" i="7"/>
  <c r="P143" i="7"/>
  <c r="O143" i="7"/>
  <c r="N143" i="7"/>
  <c r="T142" i="7"/>
  <c r="S142" i="7"/>
  <c r="R142" i="7"/>
  <c r="Q142" i="7"/>
  <c r="P142" i="7"/>
  <c r="O142" i="7"/>
  <c r="N142" i="7"/>
  <c r="T141" i="7"/>
  <c r="S141" i="7"/>
  <c r="R141" i="7"/>
  <c r="Q141" i="7"/>
  <c r="P141" i="7"/>
  <c r="O141" i="7"/>
  <c r="N141" i="7"/>
  <c r="T140" i="7"/>
  <c r="S140" i="7"/>
  <c r="R140" i="7"/>
  <c r="Q140" i="7"/>
  <c r="P140" i="7"/>
  <c r="O140" i="7"/>
  <c r="N140" i="7"/>
  <c r="T139" i="7"/>
  <c r="S139" i="7"/>
  <c r="R139" i="7"/>
  <c r="Q139" i="7"/>
  <c r="P139" i="7"/>
  <c r="O139" i="7"/>
  <c r="N139" i="7"/>
  <c r="T138" i="7"/>
  <c r="S138" i="7"/>
  <c r="R138" i="7"/>
  <c r="Q138" i="7"/>
  <c r="P138" i="7"/>
  <c r="O138" i="7"/>
  <c r="N138" i="7"/>
  <c r="T137" i="7"/>
  <c r="S137" i="7"/>
  <c r="R137" i="7"/>
  <c r="Q137" i="7"/>
  <c r="P137" i="7"/>
  <c r="O137" i="7"/>
  <c r="N137" i="7"/>
  <c r="T136" i="7"/>
  <c r="S136" i="7"/>
  <c r="R136" i="7"/>
  <c r="Q136" i="7"/>
  <c r="P136" i="7"/>
  <c r="O136" i="7"/>
  <c r="N136" i="7"/>
  <c r="T135" i="7"/>
  <c r="S135" i="7"/>
  <c r="R135" i="7"/>
  <c r="Q135" i="7"/>
  <c r="P135" i="7"/>
  <c r="O135" i="7"/>
  <c r="N135" i="7"/>
  <c r="T134" i="7"/>
  <c r="S134" i="7"/>
  <c r="R134" i="7"/>
  <c r="Q134" i="7"/>
  <c r="P134" i="7"/>
  <c r="O134" i="7"/>
  <c r="N134" i="7"/>
  <c r="T133" i="7"/>
  <c r="S133" i="7"/>
  <c r="R133" i="7"/>
  <c r="Q133" i="7"/>
  <c r="P133" i="7"/>
  <c r="O133" i="7"/>
  <c r="N133" i="7"/>
  <c r="T132" i="7"/>
  <c r="S132" i="7"/>
  <c r="R132" i="7"/>
  <c r="Q132" i="7"/>
  <c r="P132" i="7"/>
  <c r="O132" i="7"/>
  <c r="N132" i="7"/>
  <c r="T131" i="7"/>
  <c r="S131" i="7"/>
  <c r="R131" i="7"/>
  <c r="Q131" i="7"/>
  <c r="P131" i="7"/>
  <c r="O131" i="7"/>
  <c r="N131" i="7"/>
  <c r="T130" i="7"/>
  <c r="S130" i="7"/>
  <c r="R130" i="7"/>
  <c r="Q130" i="7"/>
  <c r="P130" i="7"/>
  <c r="O130" i="7"/>
  <c r="N130" i="7"/>
  <c r="T129" i="7"/>
  <c r="S129" i="7"/>
  <c r="R129" i="7"/>
  <c r="Q129" i="7"/>
  <c r="P129" i="7"/>
  <c r="O129" i="7"/>
  <c r="N129" i="7"/>
  <c r="T128" i="7"/>
  <c r="S128" i="7"/>
  <c r="R128" i="7"/>
  <c r="Q128" i="7"/>
  <c r="P128" i="7"/>
  <c r="O128" i="7"/>
  <c r="N128" i="7"/>
  <c r="T127" i="7"/>
  <c r="S127" i="7"/>
  <c r="R127" i="7"/>
  <c r="Q127" i="7"/>
  <c r="P127" i="7"/>
  <c r="O127" i="7"/>
  <c r="N127" i="7"/>
  <c r="T126" i="7"/>
  <c r="S126" i="7"/>
  <c r="R126" i="7"/>
  <c r="Q126" i="7"/>
  <c r="P126" i="7"/>
  <c r="O126" i="7"/>
  <c r="N126" i="7"/>
  <c r="T125" i="7"/>
  <c r="S125" i="7"/>
  <c r="R125" i="7"/>
  <c r="Q125" i="7"/>
  <c r="P125" i="7"/>
  <c r="O125" i="7"/>
  <c r="N125" i="7"/>
  <c r="R124" i="7"/>
  <c r="P124" i="7"/>
  <c r="O124" i="7"/>
  <c r="N124" i="7"/>
  <c r="S124" i="7"/>
  <c r="Q124" i="7"/>
  <c r="T124" i="7"/>
  <c r="T123" i="7"/>
  <c r="S123" i="7"/>
  <c r="R123" i="7"/>
  <c r="Q123" i="7"/>
  <c r="P123" i="7"/>
  <c r="O123" i="7"/>
  <c r="N123" i="7"/>
  <c r="S122" i="7"/>
  <c r="N122" i="7"/>
  <c r="R122" i="7"/>
  <c r="Q122" i="7"/>
  <c r="P122" i="7"/>
  <c r="O122" i="7"/>
  <c r="T121" i="7"/>
  <c r="S121" i="7"/>
  <c r="R121" i="7"/>
  <c r="Q121" i="7"/>
  <c r="P121" i="7"/>
  <c r="O121" i="7"/>
  <c r="N121" i="7"/>
  <c r="T120" i="7"/>
  <c r="S120" i="7"/>
  <c r="R120" i="7"/>
  <c r="Q120" i="7"/>
  <c r="P120" i="7"/>
  <c r="O120" i="7"/>
  <c r="N120" i="7"/>
  <c r="R119" i="7"/>
  <c r="Q119" i="7"/>
  <c r="O119" i="7"/>
  <c r="N119" i="7"/>
  <c r="P119" i="7"/>
  <c r="T119" i="7"/>
  <c r="S119" i="7"/>
  <c r="T118" i="7"/>
  <c r="S118" i="7"/>
  <c r="R118" i="7"/>
  <c r="Q118" i="7"/>
  <c r="P118" i="7"/>
  <c r="O118" i="7"/>
  <c r="N118" i="7"/>
  <c r="T117" i="7"/>
  <c r="S117" i="7"/>
  <c r="R117" i="7"/>
  <c r="Q117" i="7"/>
  <c r="P117" i="7"/>
  <c r="O117" i="7"/>
  <c r="N117" i="7"/>
  <c r="T116" i="7"/>
  <c r="S116" i="7"/>
  <c r="R116" i="7"/>
  <c r="Q116" i="7"/>
  <c r="P116" i="7"/>
  <c r="O116" i="7"/>
  <c r="N116" i="7"/>
  <c r="T115" i="7"/>
  <c r="S115" i="7"/>
  <c r="R115" i="7"/>
  <c r="Q115" i="7"/>
  <c r="P115" i="7"/>
  <c r="O115" i="7"/>
  <c r="T114" i="7"/>
  <c r="S114" i="7"/>
  <c r="R114" i="7"/>
  <c r="Q114" i="7"/>
  <c r="P114" i="7"/>
  <c r="O114" i="7"/>
  <c r="T112" i="7"/>
  <c r="S112" i="7"/>
  <c r="R112" i="7"/>
  <c r="Q112" i="7"/>
  <c r="P112" i="7"/>
  <c r="O112" i="7"/>
  <c r="N112" i="7"/>
  <c r="T110" i="7"/>
  <c r="S110" i="7"/>
  <c r="R110" i="7"/>
  <c r="Q110" i="7"/>
  <c r="P110" i="7"/>
  <c r="O110" i="7"/>
  <c r="T109" i="7"/>
  <c r="S109" i="7"/>
  <c r="R109" i="7"/>
  <c r="Q109" i="7"/>
  <c r="P109" i="7"/>
  <c r="O109" i="7"/>
  <c r="T108" i="7"/>
  <c r="S108" i="7"/>
  <c r="R108" i="7"/>
  <c r="Q108" i="7"/>
  <c r="P108" i="7"/>
  <c r="O108" i="7"/>
  <c r="N108" i="7"/>
  <c r="T107" i="7"/>
  <c r="S107" i="7"/>
  <c r="R107" i="7"/>
  <c r="Q107" i="7"/>
  <c r="P107" i="7"/>
  <c r="O107" i="7"/>
  <c r="T106" i="7"/>
  <c r="S106" i="7"/>
  <c r="R106" i="7"/>
  <c r="Q106" i="7"/>
  <c r="P106" i="7"/>
  <c r="O106" i="7"/>
  <c r="T105" i="7"/>
  <c r="S105" i="7"/>
  <c r="R105" i="7"/>
  <c r="Q105" i="7"/>
  <c r="P105" i="7"/>
  <c r="O105" i="7"/>
  <c r="N105" i="7"/>
  <c r="T104" i="7"/>
  <c r="S104" i="7"/>
  <c r="R104" i="7"/>
  <c r="Q104" i="7"/>
  <c r="P104" i="7"/>
  <c r="O104" i="7"/>
  <c r="T103" i="7"/>
  <c r="S103" i="7"/>
  <c r="R103" i="7"/>
  <c r="Q103" i="7"/>
  <c r="P103" i="7"/>
  <c r="O103" i="7"/>
  <c r="T102" i="7"/>
  <c r="S102" i="7"/>
  <c r="R102" i="7"/>
  <c r="Q102" i="7"/>
  <c r="P102" i="7"/>
  <c r="O102" i="7"/>
  <c r="N102" i="7"/>
  <c r="T101" i="7"/>
  <c r="S101" i="7"/>
  <c r="R101" i="7"/>
  <c r="Q101" i="7"/>
  <c r="P101" i="7"/>
  <c r="O101" i="7"/>
  <c r="T100" i="7"/>
  <c r="S100" i="7"/>
  <c r="R100" i="7"/>
  <c r="Q100" i="7"/>
  <c r="P100" i="7"/>
  <c r="O100" i="7"/>
  <c r="T99" i="7"/>
  <c r="S99" i="7"/>
  <c r="R99" i="7"/>
  <c r="Q99" i="7"/>
  <c r="P99" i="7"/>
  <c r="O99" i="7"/>
  <c r="N99" i="7"/>
  <c r="T98" i="7"/>
  <c r="S98" i="7"/>
  <c r="R98" i="7"/>
  <c r="Q98" i="7"/>
  <c r="P98" i="7"/>
  <c r="O98" i="7"/>
  <c r="T97" i="7"/>
  <c r="S97" i="7"/>
  <c r="R97" i="7"/>
  <c r="Q97" i="7"/>
  <c r="P97" i="7"/>
  <c r="O97" i="7"/>
  <c r="T96" i="7"/>
  <c r="S96" i="7"/>
  <c r="R96" i="7"/>
  <c r="Q96" i="7"/>
  <c r="P96" i="7"/>
  <c r="O96" i="7"/>
  <c r="N96" i="7"/>
  <c r="T95" i="7"/>
  <c r="S95" i="7"/>
  <c r="R95" i="7"/>
  <c r="Q95" i="7"/>
  <c r="P95" i="7"/>
  <c r="O95" i="7"/>
  <c r="T94" i="7"/>
  <c r="S94" i="7"/>
  <c r="R94" i="7"/>
  <c r="Q94" i="7"/>
  <c r="P94" i="7"/>
  <c r="O94" i="7"/>
  <c r="T93" i="7"/>
  <c r="S93" i="7"/>
  <c r="R93" i="7"/>
  <c r="Q93" i="7"/>
  <c r="P93" i="7"/>
  <c r="O93" i="7"/>
  <c r="N93" i="7"/>
  <c r="T92" i="7"/>
  <c r="S92" i="7"/>
  <c r="R92" i="7"/>
  <c r="Q92" i="7"/>
  <c r="P92" i="7"/>
  <c r="O92" i="7"/>
  <c r="T91" i="7"/>
  <c r="S91" i="7"/>
  <c r="R91" i="7"/>
  <c r="Q91" i="7"/>
  <c r="P91" i="7"/>
  <c r="O91" i="7"/>
  <c r="T90" i="7"/>
  <c r="S90" i="7"/>
  <c r="R90" i="7"/>
  <c r="Q90" i="7"/>
  <c r="P90" i="7"/>
  <c r="O90" i="7"/>
  <c r="N90" i="7"/>
  <c r="T89" i="7"/>
  <c r="S89" i="7"/>
  <c r="R89" i="7"/>
  <c r="Q89" i="7"/>
  <c r="P89" i="7"/>
  <c r="O89" i="7"/>
  <c r="T88" i="7"/>
  <c r="S88" i="7"/>
  <c r="R88" i="7"/>
  <c r="Q88" i="7"/>
  <c r="P88" i="7"/>
  <c r="O88" i="7"/>
  <c r="T87" i="7"/>
  <c r="S87" i="7"/>
  <c r="R87" i="7"/>
  <c r="Q87" i="7"/>
  <c r="P87" i="7"/>
  <c r="O87" i="7"/>
  <c r="N87" i="7"/>
  <c r="T86" i="7"/>
  <c r="S86" i="7"/>
  <c r="R86" i="7"/>
  <c r="Q86" i="7"/>
  <c r="P86" i="7"/>
  <c r="O86" i="7"/>
  <c r="T85" i="7"/>
  <c r="S85" i="7"/>
  <c r="R85" i="7"/>
  <c r="Q85" i="7"/>
  <c r="P85" i="7"/>
  <c r="O85" i="7"/>
  <c r="N85" i="7"/>
  <c r="T84" i="7"/>
  <c r="S84" i="7"/>
  <c r="R84" i="7"/>
  <c r="Q84" i="7"/>
  <c r="P84" i="7"/>
  <c r="O84" i="7"/>
  <c r="T83" i="7"/>
  <c r="S83" i="7"/>
  <c r="R83" i="7"/>
  <c r="Q83" i="7"/>
  <c r="P83" i="7"/>
  <c r="O83" i="7"/>
  <c r="T82" i="7"/>
  <c r="S82" i="7"/>
  <c r="R82" i="7"/>
  <c r="Q82" i="7"/>
  <c r="P82" i="7"/>
  <c r="O82" i="7"/>
  <c r="N82" i="7"/>
  <c r="T81" i="7"/>
  <c r="S81" i="7"/>
  <c r="R81" i="7"/>
  <c r="Q81" i="7"/>
  <c r="P81" i="7"/>
  <c r="O81" i="7"/>
  <c r="T80" i="7"/>
  <c r="S80" i="7"/>
  <c r="R80" i="7"/>
  <c r="Q80" i="7"/>
  <c r="P80" i="7"/>
  <c r="O80" i="7"/>
  <c r="T79" i="7"/>
  <c r="S79" i="7"/>
  <c r="R79" i="7"/>
  <c r="Q79" i="7"/>
  <c r="P79" i="7"/>
  <c r="O79" i="7"/>
  <c r="N79" i="7"/>
  <c r="T78" i="7"/>
  <c r="S78" i="7"/>
  <c r="R78" i="7"/>
  <c r="Q78" i="7"/>
  <c r="P78" i="7"/>
  <c r="O78" i="7"/>
  <c r="T77" i="7"/>
  <c r="S77" i="7"/>
  <c r="R77" i="7"/>
  <c r="Q77" i="7"/>
  <c r="P77" i="7"/>
  <c r="O77" i="7"/>
  <c r="T76" i="7"/>
  <c r="S76" i="7"/>
  <c r="R76" i="7"/>
  <c r="Q76" i="7"/>
  <c r="P76" i="7"/>
  <c r="O76" i="7"/>
  <c r="N76" i="7"/>
  <c r="T75" i="7"/>
  <c r="S75" i="7"/>
  <c r="R75" i="7"/>
  <c r="Q75" i="7"/>
  <c r="P75" i="7"/>
  <c r="O75" i="7"/>
  <c r="T74" i="7"/>
  <c r="S74" i="7"/>
  <c r="R74" i="7"/>
  <c r="Q74" i="7"/>
  <c r="P74" i="7"/>
  <c r="O74" i="7"/>
  <c r="T73" i="7"/>
  <c r="S73" i="7"/>
  <c r="R73" i="7"/>
  <c r="Q73" i="7"/>
  <c r="P73" i="7"/>
  <c r="O73" i="7"/>
  <c r="N73" i="7"/>
  <c r="T72" i="7"/>
  <c r="S72" i="7"/>
  <c r="R72" i="7"/>
  <c r="Q72" i="7"/>
  <c r="P72" i="7"/>
  <c r="O72" i="7"/>
  <c r="T71" i="7"/>
  <c r="S71" i="7"/>
  <c r="R71" i="7"/>
  <c r="Q71" i="7"/>
  <c r="P71" i="7"/>
  <c r="O71" i="7"/>
  <c r="T70" i="7"/>
  <c r="S70" i="7"/>
  <c r="R70" i="7"/>
  <c r="Q70" i="7"/>
  <c r="P70" i="7"/>
  <c r="O70" i="7"/>
  <c r="N70" i="7"/>
  <c r="T69" i="7"/>
  <c r="S69" i="7"/>
  <c r="R69" i="7"/>
  <c r="Q69" i="7"/>
  <c r="P69" i="7"/>
  <c r="O69" i="7"/>
  <c r="T68" i="7"/>
  <c r="S68" i="7"/>
  <c r="R68" i="7"/>
  <c r="Q68" i="7"/>
  <c r="P68" i="7"/>
  <c r="O68" i="7"/>
  <c r="T67" i="7"/>
  <c r="S67" i="7"/>
  <c r="R67" i="7"/>
  <c r="Q67" i="7"/>
  <c r="P67" i="7"/>
  <c r="O67" i="7"/>
  <c r="N67" i="7"/>
  <c r="T66" i="7"/>
  <c r="S66" i="7"/>
  <c r="R66" i="7"/>
  <c r="Q66" i="7"/>
  <c r="P66" i="7"/>
  <c r="O66" i="7"/>
  <c r="T65" i="7"/>
  <c r="S65" i="7"/>
  <c r="R65" i="7"/>
  <c r="Q65" i="7"/>
  <c r="P65" i="7"/>
  <c r="O65" i="7"/>
  <c r="T64" i="7"/>
  <c r="S64" i="7"/>
  <c r="R64" i="7"/>
  <c r="Q64" i="7"/>
  <c r="P64" i="7"/>
  <c r="O64" i="7"/>
  <c r="N64" i="7"/>
  <c r="T63" i="7"/>
  <c r="S63" i="7"/>
  <c r="R63" i="7"/>
  <c r="Q63" i="7"/>
  <c r="P63" i="7"/>
  <c r="O63" i="7"/>
  <c r="T62" i="7"/>
  <c r="S62" i="7"/>
  <c r="R62" i="7"/>
  <c r="Q62" i="7"/>
  <c r="P62" i="7"/>
  <c r="O62" i="7"/>
  <c r="T61" i="7"/>
  <c r="S61" i="7"/>
  <c r="R61" i="7"/>
  <c r="Q61" i="7"/>
  <c r="P61" i="7"/>
  <c r="O61" i="7"/>
  <c r="N61" i="7"/>
  <c r="T60" i="7"/>
  <c r="S60" i="7"/>
  <c r="R60" i="7"/>
  <c r="Q60" i="7"/>
  <c r="P60" i="7"/>
  <c r="O60" i="7"/>
  <c r="T59" i="7"/>
  <c r="S59" i="7"/>
  <c r="R59" i="7"/>
  <c r="Q59" i="7"/>
  <c r="P59" i="7"/>
  <c r="O59" i="7"/>
  <c r="T58" i="7"/>
  <c r="S58" i="7"/>
  <c r="R58" i="7"/>
  <c r="Q58" i="7"/>
  <c r="P58" i="7"/>
  <c r="O58" i="7"/>
  <c r="N58" i="7"/>
  <c r="T57" i="7"/>
  <c r="S57" i="7"/>
  <c r="R57" i="7"/>
  <c r="Q57" i="7"/>
  <c r="P57" i="7"/>
  <c r="O57" i="7"/>
  <c r="T56" i="7"/>
  <c r="S56" i="7"/>
  <c r="R56" i="7"/>
  <c r="Q56" i="7"/>
  <c r="P56" i="7"/>
  <c r="O56" i="7"/>
  <c r="T55" i="7"/>
  <c r="S55" i="7"/>
  <c r="R55" i="7"/>
  <c r="Q55" i="7"/>
  <c r="P55" i="7"/>
  <c r="O55" i="7"/>
  <c r="N55" i="7"/>
  <c r="T54" i="7"/>
  <c r="S54" i="7"/>
  <c r="R54" i="7"/>
  <c r="Q54" i="7"/>
  <c r="P54" i="7"/>
  <c r="O54" i="7"/>
  <c r="T53" i="7"/>
  <c r="S53" i="7"/>
  <c r="R53" i="7"/>
  <c r="Q53" i="7"/>
  <c r="P53" i="7"/>
  <c r="O53" i="7"/>
  <c r="T52" i="7"/>
  <c r="S52" i="7"/>
  <c r="R52" i="7"/>
  <c r="Q52" i="7"/>
  <c r="P52" i="7"/>
  <c r="O52" i="7"/>
  <c r="N52" i="7"/>
  <c r="T51" i="7"/>
  <c r="S51" i="7"/>
  <c r="R51" i="7"/>
  <c r="Q51" i="7"/>
  <c r="P51" i="7"/>
  <c r="O51" i="7"/>
  <c r="T50" i="7"/>
  <c r="S50" i="7"/>
  <c r="R50" i="7"/>
  <c r="Q50" i="7"/>
  <c r="P50" i="7"/>
  <c r="O50" i="7"/>
  <c r="T49" i="7"/>
  <c r="S49" i="7"/>
  <c r="R49" i="7"/>
  <c r="Q49" i="7"/>
  <c r="P49" i="7"/>
  <c r="O49" i="7"/>
  <c r="N49" i="7"/>
  <c r="T48" i="7"/>
  <c r="S48" i="7"/>
  <c r="R48" i="7"/>
  <c r="Q48" i="7"/>
  <c r="P48" i="7"/>
  <c r="O48" i="7"/>
  <c r="T47" i="7"/>
  <c r="S47" i="7"/>
  <c r="R47" i="7"/>
  <c r="Q47" i="7"/>
  <c r="P47" i="7"/>
  <c r="O47" i="7"/>
  <c r="T46" i="7"/>
  <c r="S46" i="7"/>
  <c r="R46" i="7"/>
  <c r="Q46" i="7"/>
  <c r="P46" i="7"/>
  <c r="O46" i="7"/>
  <c r="N46" i="7"/>
  <c r="T45" i="7"/>
  <c r="S45" i="7"/>
  <c r="R45" i="7"/>
  <c r="Q45" i="7"/>
  <c r="P45" i="7"/>
  <c r="O45" i="7"/>
  <c r="T44" i="7"/>
  <c r="S44" i="7"/>
  <c r="R44" i="7"/>
  <c r="Q44" i="7"/>
  <c r="P44" i="7"/>
  <c r="O44" i="7"/>
  <c r="T43" i="7"/>
  <c r="S43" i="7"/>
  <c r="R43" i="7"/>
  <c r="Q43" i="7"/>
  <c r="P43" i="7"/>
  <c r="O43" i="7"/>
  <c r="N43" i="7"/>
  <c r="T42" i="7"/>
  <c r="S42" i="7"/>
  <c r="R42" i="7"/>
  <c r="Q42" i="7"/>
  <c r="P42" i="7"/>
  <c r="O42" i="7"/>
  <c r="T41" i="7"/>
  <c r="S41" i="7"/>
  <c r="R41" i="7"/>
  <c r="Q41" i="7"/>
  <c r="P41" i="7"/>
  <c r="O41" i="7"/>
  <c r="T40" i="7"/>
  <c r="S40" i="7"/>
  <c r="R40" i="7"/>
  <c r="Q40" i="7"/>
  <c r="P40" i="7"/>
  <c r="O40" i="7"/>
  <c r="N40" i="7"/>
  <c r="T39" i="7"/>
  <c r="S39" i="7"/>
  <c r="R39" i="7"/>
  <c r="Q39" i="7"/>
  <c r="P39" i="7"/>
  <c r="O39" i="7"/>
  <c r="T38" i="7"/>
  <c r="S38" i="7"/>
  <c r="R38" i="7"/>
  <c r="Q38" i="7"/>
  <c r="P38" i="7"/>
  <c r="O38" i="7"/>
  <c r="T37" i="7"/>
  <c r="S37" i="7"/>
  <c r="R37" i="7"/>
  <c r="Q37" i="7"/>
  <c r="P37" i="7"/>
  <c r="O37" i="7"/>
  <c r="N37" i="7"/>
  <c r="T36" i="7"/>
  <c r="S36" i="7"/>
  <c r="R36" i="7"/>
  <c r="Q36" i="7"/>
  <c r="P36" i="7"/>
  <c r="O36" i="7"/>
  <c r="T35" i="7"/>
  <c r="S35" i="7"/>
  <c r="R35" i="7"/>
  <c r="Q35" i="7"/>
  <c r="P35" i="7"/>
  <c r="O35" i="7"/>
  <c r="T34" i="7"/>
  <c r="S34" i="7"/>
  <c r="R34" i="7"/>
  <c r="Q34" i="7"/>
  <c r="P34" i="7"/>
  <c r="O34" i="7"/>
  <c r="N34" i="7"/>
  <c r="T33" i="7"/>
  <c r="S33" i="7"/>
  <c r="R33" i="7"/>
  <c r="Q33" i="7"/>
  <c r="P33" i="7"/>
  <c r="O33" i="7"/>
  <c r="T32" i="7"/>
  <c r="S32" i="7"/>
  <c r="R32" i="7"/>
  <c r="Q32" i="7"/>
  <c r="P32" i="7"/>
  <c r="O32" i="7"/>
  <c r="T31" i="7"/>
  <c r="S31" i="7"/>
  <c r="R31" i="7"/>
  <c r="Q31" i="7"/>
  <c r="P31" i="7"/>
  <c r="O31" i="7"/>
  <c r="N31" i="7"/>
  <c r="T30" i="7"/>
  <c r="S30" i="7"/>
  <c r="R30" i="7"/>
  <c r="Q30" i="7"/>
  <c r="P30" i="7"/>
  <c r="O30" i="7"/>
  <c r="T29" i="7"/>
  <c r="S29" i="7"/>
  <c r="R29" i="7"/>
  <c r="Q29" i="7"/>
  <c r="P29" i="7"/>
  <c r="O29" i="7"/>
  <c r="T28" i="7"/>
  <c r="S28" i="7"/>
  <c r="R28" i="7"/>
  <c r="Q28" i="7"/>
  <c r="P28" i="7"/>
  <c r="O28" i="7"/>
  <c r="N28" i="7"/>
  <c r="T27" i="7"/>
  <c r="S27" i="7"/>
  <c r="R27" i="7"/>
  <c r="Q27" i="7"/>
  <c r="P27" i="7"/>
  <c r="O27" i="7"/>
  <c r="T26" i="7"/>
  <c r="S26" i="7"/>
  <c r="R26" i="7"/>
  <c r="Q26" i="7"/>
  <c r="P26" i="7"/>
  <c r="O26" i="7"/>
  <c r="T25" i="7"/>
  <c r="S25" i="7"/>
  <c r="R25" i="7"/>
  <c r="Q25" i="7"/>
  <c r="P25" i="7"/>
  <c r="O25" i="7"/>
  <c r="N25" i="7"/>
  <c r="T24" i="7"/>
  <c r="S24" i="7"/>
  <c r="R24" i="7"/>
  <c r="Q24" i="7"/>
  <c r="P24" i="7"/>
  <c r="O24" i="7"/>
  <c r="T23" i="7"/>
  <c r="S23" i="7"/>
  <c r="R23" i="7"/>
  <c r="Q23" i="7"/>
  <c r="P23" i="7"/>
  <c r="O23" i="7"/>
  <c r="N23" i="7"/>
  <c r="T22" i="7"/>
  <c r="S22" i="7"/>
  <c r="R22" i="7"/>
  <c r="Q22" i="7"/>
  <c r="P22" i="7"/>
  <c r="O22" i="7"/>
  <c r="T21" i="7"/>
  <c r="S21" i="7"/>
  <c r="R21" i="7"/>
  <c r="Q21" i="7"/>
  <c r="P21" i="7"/>
  <c r="O21" i="7"/>
  <c r="T20" i="7"/>
  <c r="S20" i="7"/>
  <c r="R20" i="7"/>
  <c r="Q20" i="7"/>
  <c r="P20" i="7"/>
  <c r="O20" i="7"/>
  <c r="N20" i="7"/>
  <c r="T19" i="7"/>
  <c r="S19" i="7"/>
  <c r="R19" i="7"/>
  <c r="Q19" i="7"/>
  <c r="P19" i="7"/>
  <c r="O19" i="7"/>
  <c r="T18" i="7"/>
  <c r="S18" i="7"/>
  <c r="R18" i="7"/>
  <c r="Q18" i="7"/>
  <c r="O18" i="7"/>
  <c r="T17" i="7"/>
  <c r="S17" i="7"/>
  <c r="R17" i="7"/>
  <c r="Q17" i="7"/>
  <c r="O17" i="7"/>
  <c r="N17" i="7"/>
  <c r="T16" i="7"/>
  <c r="S16" i="7"/>
  <c r="R16" i="7"/>
  <c r="Q16" i="7"/>
  <c r="O16" i="7"/>
  <c r="T15" i="7"/>
  <c r="S15" i="7"/>
  <c r="R15" i="7"/>
  <c r="Q15" i="7"/>
  <c r="P15" i="7"/>
  <c r="O15" i="7"/>
  <c r="T14" i="7"/>
  <c r="S14" i="7"/>
  <c r="R14" i="7"/>
  <c r="Q14" i="7"/>
  <c r="P14" i="7"/>
  <c r="O14" i="7"/>
  <c r="N14" i="7"/>
  <c r="T13" i="7"/>
  <c r="S13" i="7"/>
  <c r="R13" i="7"/>
  <c r="Q13" i="7"/>
  <c r="P13" i="7"/>
  <c r="O13" i="7"/>
  <c r="T12" i="7"/>
  <c r="S12" i="7"/>
  <c r="R12" i="7"/>
  <c r="Q12" i="7"/>
  <c r="P12" i="7"/>
  <c r="O12" i="7"/>
  <c r="T11" i="7"/>
  <c r="S11" i="7"/>
  <c r="R11" i="7"/>
  <c r="Q11" i="7"/>
  <c r="P11" i="7"/>
  <c r="O11" i="7"/>
  <c r="N11" i="7"/>
  <c r="T10" i="7"/>
  <c r="S10" i="7"/>
  <c r="R10" i="7"/>
  <c r="Q10" i="7"/>
  <c r="P10" i="7"/>
  <c r="O10" i="7"/>
  <c r="T9" i="7"/>
  <c r="S9" i="7"/>
  <c r="R9" i="7"/>
  <c r="Q9" i="7"/>
  <c r="P9" i="7"/>
  <c r="O9" i="7"/>
  <c r="N9" i="7"/>
  <c r="T8" i="7"/>
  <c r="S8" i="7"/>
  <c r="R8" i="7"/>
  <c r="Q8" i="7"/>
  <c r="P8" i="7"/>
  <c r="O8" i="7"/>
  <c r="T7" i="7"/>
  <c r="S7" i="7"/>
  <c r="R7" i="7"/>
  <c r="Q7" i="7"/>
  <c r="P7" i="7"/>
  <c r="O7" i="7"/>
  <c r="T6" i="7"/>
  <c r="S6" i="7"/>
  <c r="R6" i="7"/>
  <c r="Q6" i="7"/>
  <c r="P6" i="7"/>
  <c r="O6" i="7"/>
  <c r="N6" i="7"/>
  <c r="L4" i="7"/>
  <c r="K4" i="7"/>
  <c r="J4" i="7"/>
  <c r="I4" i="7"/>
  <c r="H4" i="7"/>
  <c r="G4" i="7"/>
  <c r="F4" i="7"/>
  <c r="L3" i="7"/>
  <c r="K3" i="7"/>
  <c r="J3" i="7"/>
  <c r="I3" i="7"/>
  <c r="H3" i="7"/>
  <c r="G3" i="7"/>
  <c r="F3" i="7"/>
  <c r="L2" i="7"/>
  <c r="K2" i="7"/>
  <c r="J2" i="7"/>
  <c r="I2" i="7"/>
  <c r="H2" i="7"/>
  <c r="G2" i="7"/>
  <c r="F2" i="7"/>
  <c r="R6" i="6"/>
  <c r="Q6" i="6"/>
  <c r="P6" i="6"/>
  <c r="O6" i="6"/>
  <c r="N6" i="6"/>
  <c r="M6" i="6"/>
  <c r="L6" i="6"/>
  <c r="K6" i="6"/>
  <c r="J6" i="6"/>
  <c r="I6" i="6"/>
  <c r="H6" i="6"/>
  <c r="G6" i="6"/>
  <c r="F6" i="6"/>
  <c r="R5" i="6"/>
  <c r="Q5" i="6"/>
  <c r="P5" i="6"/>
  <c r="O5" i="6"/>
  <c r="N5" i="6"/>
  <c r="M5" i="6"/>
  <c r="L5" i="6"/>
  <c r="K5" i="6"/>
  <c r="J5" i="6"/>
  <c r="I5" i="6"/>
  <c r="H5" i="6"/>
  <c r="G5" i="6"/>
  <c r="F5" i="6"/>
  <c r="R4" i="6"/>
  <c r="Q4" i="6"/>
  <c r="P4" i="6"/>
  <c r="O4" i="6"/>
  <c r="N4" i="6"/>
  <c r="M4" i="6"/>
  <c r="L4" i="6"/>
  <c r="K4" i="6"/>
  <c r="J4" i="6"/>
  <c r="I4" i="6"/>
  <c r="H4" i="6"/>
  <c r="G4" i="6"/>
  <c r="F4" i="6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U4" i="5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N5" i="4"/>
  <c r="M5" i="4"/>
  <c r="L5" i="4"/>
  <c r="K5" i="4"/>
  <c r="J5" i="4"/>
  <c r="I5" i="4"/>
  <c r="H5" i="4"/>
  <c r="G5" i="4"/>
  <c r="N4" i="4"/>
  <c r="M4" i="4"/>
  <c r="L4" i="4"/>
  <c r="K4" i="4"/>
  <c r="J4" i="4"/>
  <c r="I4" i="4"/>
  <c r="H4" i="4"/>
  <c r="G4" i="4"/>
  <c r="N3" i="4"/>
  <c r="M3" i="4"/>
  <c r="L3" i="4"/>
  <c r="K3" i="4"/>
  <c r="J3" i="4"/>
  <c r="I3" i="4"/>
  <c r="H3" i="4"/>
  <c r="G3" i="4"/>
  <c r="Y917" i="3"/>
  <c r="X917" i="3"/>
  <c r="W917" i="3"/>
  <c r="V917" i="3"/>
  <c r="U917" i="3"/>
  <c r="T917" i="3"/>
  <c r="S917" i="3"/>
  <c r="R917" i="3"/>
  <c r="Q917" i="3"/>
  <c r="P917" i="3"/>
  <c r="O917" i="3"/>
  <c r="M917" i="3"/>
  <c r="L917" i="3"/>
  <c r="K917" i="3"/>
  <c r="N916" i="3"/>
  <c r="N915" i="3"/>
  <c r="N914" i="3"/>
  <c r="Y910" i="3"/>
  <c r="Y921" i="3" s="1"/>
  <c r="X910" i="3"/>
  <c r="X921" i="3" s="1"/>
  <c r="W910" i="3"/>
  <c r="W921" i="3" s="1"/>
  <c r="V910" i="3"/>
  <c r="V921" i="3" s="1"/>
  <c r="U910" i="3"/>
  <c r="U921" i="3" s="1"/>
  <c r="T910" i="3"/>
  <c r="T921" i="3" s="1"/>
  <c r="S910" i="3"/>
  <c r="S921" i="3" s="1"/>
  <c r="R910" i="3"/>
  <c r="R921" i="3" s="1"/>
  <c r="Q910" i="3"/>
  <c r="Q921" i="3" s="1"/>
  <c r="M910" i="3"/>
  <c r="M921" i="3" s="1"/>
  <c r="Y909" i="3"/>
  <c r="Y920" i="3" s="1"/>
  <c r="X909" i="3"/>
  <c r="X920" i="3" s="1"/>
  <c r="W909" i="3"/>
  <c r="W920" i="3" s="1"/>
  <c r="V909" i="3"/>
  <c r="V920" i="3" s="1"/>
  <c r="U909" i="3"/>
  <c r="U920" i="3" s="1"/>
  <c r="T909" i="3"/>
  <c r="T920" i="3" s="1"/>
  <c r="S909" i="3"/>
  <c r="S920" i="3" s="1"/>
  <c r="R909" i="3"/>
  <c r="R920" i="3" s="1"/>
  <c r="Q909" i="3"/>
  <c r="Q920" i="3" s="1"/>
  <c r="M909" i="3"/>
  <c r="M920" i="3" s="1"/>
  <c r="L909" i="3"/>
  <c r="L920" i="3" s="1"/>
  <c r="Y902" i="3"/>
  <c r="X902" i="3"/>
  <c r="W902" i="3"/>
  <c r="V902" i="3"/>
  <c r="U902" i="3"/>
  <c r="T902" i="3"/>
  <c r="S902" i="3"/>
  <c r="M902" i="3"/>
  <c r="Y901" i="3"/>
  <c r="X901" i="3"/>
  <c r="W901" i="3"/>
  <c r="V901" i="3"/>
  <c r="U901" i="3"/>
  <c r="T901" i="3"/>
  <c r="S901" i="3"/>
  <c r="M901" i="3"/>
  <c r="L901" i="3"/>
  <c r="Y894" i="3"/>
  <c r="X894" i="3"/>
  <c r="W894" i="3"/>
  <c r="V894" i="3"/>
  <c r="U894" i="3"/>
  <c r="T894" i="3"/>
  <c r="S894" i="3"/>
  <c r="R894" i="3"/>
  <c r="Q894" i="3"/>
  <c r="M894" i="3"/>
  <c r="Y893" i="3"/>
  <c r="X893" i="3"/>
  <c r="W893" i="3"/>
  <c r="V893" i="3"/>
  <c r="U893" i="3"/>
  <c r="T893" i="3"/>
  <c r="S893" i="3"/>
  <c r="R893" i="3"/>
  <c r="Q893" i="3"/>
  <c r="M893" i="3"/>
  <c r="L893" i="3"/>
  <c r="AI886" i="3"/>
  <c r="AI887" i="3" s="1"/>
  <c r="AI888" i="3" s="1"/>
  <c r="AH886" i="3"/>
  <c r="AG886" i="3"/>
  <c r="AG887" i="3" s="1"/>
  <c r="AG888" i="3" s="1"/>
  <c r="AF886" i="3"/>
  <c r="AF887" i="3" s="1"/>
  <c r="AF888" i="3" s="1"/>
  <c r="AE886" i="3"/>
  <c r="AE887" i="3" s="1"/>
  <c r="AE888" i="3" s="1"/>
  <c r="AC886" i="3"/>
  <c r="O885" i="3"/>
  <c r="N885" i="3"/>
  <c r="O884" i="3"/>
  <c r="N884" i="3"/>
  <c r="Y883" i="3"/>
  <c r="X883" i="3"/>
  <c r="W883" i="3"/>
  <c r="V883" i="3"/>
  <c r="U883" i="3"/>
  <c r="T883" i="3"/>
  <c r="S883" i="3"/>
  <c r="AI882" i="3"/>
  <c r="AI883" i="3" s="1"/>
  <c r="AI884" i="3" s="1"/>
  <c r="AI885" i="3" s="1"/>
  <c r="AH882" i="3"/>
  <c r="AG882" i="3"/>
  <c r="AG883" i="3" s="1"/>
  <c r="AG884" i="3" s="1"/>
  <c r="AG885" i="3" s="1"/>
  <c r="AF882" i="3"/>
  <c r="AF883" i="3" s="1"/>
  <c r="AF884" i="3" s="1"/>
  <c r="AF885" i="3" s="1"/>
  <c r="AE882" i="3"/>
  <c r="AC882" i="3"/>
  <c r="AC883" i="3" s="1"/>
  <c r="AC884" i="3" s="1"/>
  <c r="AC885" i="3" s="1"/>
  <c r="Y881" i="3"/>
  <c r="X881" i="3"/>
  <c r="W881" i="3"/>
  <c r="V881" i="3"/>
  <c r="U881" i="3"/>
  <c r="T881" i="3"/>
  <c r="S881" i="3"/>
  <c r="Y880" i="3"/>
  <c r="X880" i="3"/>
  <c r="W880" i="3"/>
  <c r="V880" i="3"/>
  <c r="U880" i="3"/>
  <c r="T880" i="3"/>
  <c r="S880" i="3"/>
  <c r="AI878" i="3"/>
  <c r="AI879" i="3" s="1"/>
  <c r="AH878" i="3"/>
  <c r="AL878" i="3" s="1"/>
  <c r="AG878" i="3"/>
  <c r="AG879" i="3" s="1"/>
  <c r="AF878" i="3"/>
  <c r="AF879" i="3" s="1"/>
  <c r="AF875" i="3" s="1"/>
  <c r="AF876" i="3" s="1"/>
  <c r="AF877" i="3" s="1"/>
  <c r="AE878" i="3"/>
  <c r="AC878" i="3"/>
  <c r="AC879" i="3" s="1"/>
  <c r="AC880" i="3" s="1"/>
  <c r="AC881" i="3" s="1"/>
  <c r="O877" i="3"/>
  <c r="N877" i="3"/>
  <c r="K876" i="3"/>
  <c r="Y875" i="3"/>
  <c r="X875" i="3"/>
  <c r="W875" i="3"/>
  <c r="V875" i="3"/>
  <c r="U875" i="3"/>
  <c r="T875" i="3"/>
  <c r="S875" i="3"/>
  <c r="AI874" i="3"/>
  <c r="AH874" i="3"/>
  <c r="AG874" i="3"/>
  <c r="AF874" i="3"/>
  <c r="AE874" i="3"/>
  <c r="AC874" i="3"/>
  <c r="AC875" i="3" s="1"/>
  <c r="AC876" i="3" s="1"/>
  <c r="AC877" i="3" s="1"/>
  <c r="O873" i="3"/>
  <c r="N873" i="3"/>
  <c r="O872" i="3"/>
  <c r="N872" i="3"/>
  <c r="Y871" i="3"/>
  <c r="X871" i="3"/>
  <c r="W871" i="3"/>
  <c r="V871" i="3"/>
  <c r="U871" i="3"/>
  <c r="T871" i="3"/>
  <c r="S871" i="3"/>
  <c r="AI870" i="3"/>
  <c r="AH870" i="3"/>
  <c r="AG870" i="3"/>
  <c r="AG871" i="3" s="1"/>
  <c r="AG872" i="3" s="1"/>
  <c r="AG873" i="3" s="1"/>
  <c r="AF870" i="3"/>
  <c r="AF871" i="3" s="1"/>
  <c r="AF872" i="3" s="1"/>
  <c r="AF873" i="3" s="1"/>
  <c r="AE870" i="3"/>
  <c r="AC870" i="3"/>
  <c r="AC871" i="3" s="1"/>
  <c r="AC872" i="3" s="1"/>
  <c r="AC873" i="3" s="1"/>
  <c r="Y869" i="3"/>
  <c r="X869" i="3"/>
  <c r="W869" i="3"/>
  <c r="V869" i="3"/>
  <c r="U869" i="3"/>
  <c r="T869" i="3"/>
  <c r="S869" i="3"/>
  <c r="N869" i="3"/>
  <c r="Y868" i="3"/>
  <c r="X868" i="3"/>
  <c r="W868" i="3"/>
  <c r="V868" i="3"/>
  <c r="U868" i="3"/>
  <c r="T868" i="3"/>
  <c r="S868" i="3"/>
  <c r="N868" i="3"/>
  <c r="AI866" i="3"/>
  <c r="AI867" i="3" s="1"/>
  <c r="AI868" i="3" s="1"/>
  <c r="AI869" i="3" s="1"/>
  <c r="AH866" i="3"/>
  <c r="AG866" i="3"/>
  <c r="AG867" i="3" s="1"/>
  <c r="AF866" i="3"/>
  <c r="AF867" i="3" s="1"/>
  <c r="AE866" i="3"/>
  <c r="AC866" i="3"/>
  <c r="AC867" i="3" s="1"/>
  <c r="AC868" i="3" s="1"/>
  <c r="AC869" i="3" s="1"/>
  <c r="O865" i="3"/>
  <c r="N865" i="3"/>
  <c r="O864" i="3"/>
  <c r="N864" i="3"/>
  <c r="Y863" i="3"/>
  <c r="X863" i="3"/>
  <c r="W863" i="3"/>
  <c r="V863" i="3"/>
  <c r="U863" i="3"/>
  <c r="T863" i="3"/>
  <c r="S863" i="3"/>
  <c r="AI862" i="3"/>
  <c r="AH862" i="3"/>
  <c r="AG862" i="3"/>
  <c r="AF862" i="3"/>
  <c r="AE862" i="3"/>
  <c r="AD862" i="3" s="1"/>
  <c r="AC862" i="3"/>
  <c r="AC863" i="3" s="1"/>
  <c r="AC864" i="3" s="1"/>
  <c r="AC865" i="3" s="1"/>
  <c r="O861" i="3"/>
  <c r="N861" i="3"/>
  <c r="O860" i="3"/>
  <c r="N860" i="3"/>
  <c r="Y859" i="3"/>
  <c r="X859" i="3"/>
  <c r="W859" i="3"/>
  <c r="V859" i="3"/>
  <c r="U859" i="3"/>
  <c r="T859" i="3"/>
  <c r="S859" i="3"/>
  <c r="AI858" i="3"/>
  <c r="AH858" i="3"/>
  <c r="AG858" i="3"/>
  <c r="AG859" i="3" s="1"/>
  <c r="AG860" i="3" s="1"/>
  <c r="AG861" i="3" s="1"/>
  <c r="AF858" i="3"/>
  <c r="AF859" i="3" s="1"/>
  <c r="AF860" i="3" s="1"/>
  <c r="AF861" i="3" s="1"/>
  <c r="AE858" i="3"/>
  <c r="AD858" i="3" s="1"/>
  <c r="AC858" i="3"/>
  <c r="AC859" i="3" s="1"/>
  <c r="AC860" i="3" s="1"/>
  <c r="AC861" i="3" s="1"/>
  <c r="Y857" i="3"/>
  <c r="X857" i="3"/>
  <c r="W857" i="3"/>
  <c r="V857" i="3"/>
  <c r="U857" i="3"/>
  <c r="T857" i="3"/>
  <c r="S857" i="3"/>
  <c r="N857" i="3"/>
  <c r="Y856" i="3"/>
  <c r="X856" i="3"/>
  <c r="W856" i="3"/>
  <c r="V856" i="3"/>
  <c r="U856" i="3"/>
  <c r="T856" i="3"/>
  <c r="S856" i="3"/>
  <c r="N856" i="3"/>
  <c r="AI854" i="3"/>
  <c r="AH854" i="3"/>
  <c r="AM854" i="3" s="1"/>
  <c r="AG854" i="3"/>
  <c r="AG855" i="3" s="1"/>
  <c r="AG856" i="3" s="1"/>
  <c r="AG857" i="3" s="1"/>
  <c r="AF854" i="3"/>
  <c r="AF855" i="3" s="1"/>
  <c r="AF856" i="3" s="1"/>
  <c r="AF857" i="3" s="1"/>
  <c r="AE854" i="3"/>
  <c r="AC854" i="3"/>
  <c r="AC855" i="3" s="1"/>
  <c r="AC856" i="3" s="1"/>
  <c r="AC857" i="3" s="1"/>
  <c r="O853" i="3"/>
  <c r="N853" i="3"/>
  <c r="O852" i="3"/>
  <c r="N852" i="3"/>
  <c r="Y851" i="3"/>
  <c r="X851" i="3"/>
  <c r="W851" i="3"/>
  <c r="V851" i="3"/>
  <c r="U851" i="3"/>
  <c r="T851" i="3"/>
  <c r="S851" i="3"/>
  <c r="AI850" i="3"/>
  <c r="AH850" i="3"/>
  <c r="AG850" i="3"/>
  <c r="AF850" i="3"/>
  <c r="AE850" i="3"/>
  <c r="AC850" i="3"/>
  <c r="AC851" i="3" s="1"/>
  <c r="AC852" i="3" s="1"/>
  <c r="AC853" i="3" s="1"/>
  <c r="O849" i="3"/>
  <c r="N849" i="3"/>
  <c r="N848" i="3"/>
  <c r="AI847" i="3"/>
  <c r="AI848" i="3" s="1"/>
  <c r="AI849" i="3" s="1"/>
  <c r="AH847" i="3"/>
  <c r="AJ847" i="3" s="1"/>
  <c r="AG847" i="3"/>
  <c r="AG848" i="3" s="1"/>
  <c r="AG849" i="3" s="1"/>
  <c r="AF847" i="3"/>
  <c r="AF848" i="3" s="1"/>
  <c r="AF849" i="3" s="1"/>
  <c r="AE847" i="3"/>
  <c r="Y847" i="3"/>
  <c r="X847" i="3"/>
  <c r="W847" i="3"/>
  <c r="V847" i="3"/>
  <c r="U847" i="3"/>
  <c r="T847" i="3"/>
  <c r="S847" i="3"/>
  <c r="AI846" i="3"/>
  <c r="AH846" i="3"/>
  <c r="AK846" i="3" s="1"/>
  <c r="AG846" i="3"/>
  <c r="AF846" i="3"/>
  <c r="AE846" i="3"/>
  <c r="AC846" i="3"/>
  <c r="AC847" i="3" s="1"/>
  <c r="AC848" i="3" s="1"/>
  <c r="AC849" i="3" s="1"/>
  <c r="Y845" i="3"/>
  <c r="X845" i="3"/>
  <c r="W845" i="3"/>
  <c r="V845" i="3"/>
  <c r="U845" i="3"/>
  <c r="T845" i="3"/>
  <c r="S845" i="3"/>
  <c r="Y844" i="3"/>
  <c r="X844" i="3"/>
  <c r="W844" i="3"/>
  <c r="V844" i="3"/>
  <c r="U844" i="3"/>
  <c r="T844" i="3"/>
  <c r="S844" i="3"/>
  <c r="N844" i="3"/>
  <c r="AI843" i="3"/>
  <c r="AI844" i="3" s="1"/>
  <c r="AI845" i="3" s="1"/>
  <c r="AH843" i="3"/>
  <c r="AJ843" i="3" s="1"/>
  <c r="AG843" i="3"/>
  <c r="AG844" i="3" s="1"/>
  <c r="AG845" i="3" s="1"/>
  <c r="AF843" i="3"/>
  <c r="AF844" i="3" s="1"/>
  <c r="AF845" i="3" s="1"/>
  <c r="AE843" i="3"/>
  <c r="AI842" i="3"/>
  <c r="AH842" i="3"/>
  <c r="AG842" i="3"/>
  <c r="AF842" i="3"/>
  <c r="AE842" i="3"/>
  <c r="AC842" i="3"/>
  <c r="AC843" i="3" s="1"/>
  <c r="AC844" i="3" s="1"/>
  <c r="AC845" i="3" s="1"/>
  <c r="O841" i="3"/>
  <c r="N841" i="3"/>
  <c r="O840" i="3"/>
  <c r="N840" i="3"/>
  <c r="AI839" i="3"/>
  <c r="AI840" i="3" s="1"/>
  <c r="AI841" i="3" s="1"/>
  <c r="AH839" i="3"/>
  <c r="AG839" i="3"/>
  <c r="AG840" i="3" s="1"/>
  <c r="AG841" i="3" s="1"/>
  <c r="AF839" i="3"/>
  <c r="AF840" i="3" s="1"/>
  <c r="AF841" i="3" s="1"/>
  <c r="AE839" i="3"/>
  <c r="Y839" i="3"/>
  <c r="X839" i="3"/>
  <c r="W839" i="3"/>
  <c r="V839" i="3"/>
  <c r="U839" i="3"/>
  <c r="T839" i="3"/>
  <c r="S839" i="3"/>
  <c r="AI838" i="3"/>
  <c r="AH838" i="3"/>
  <c r="AK838" i="3" s="1"/>
  <c r="AG838" i="3"/>
  <c r="AF838" i="3"/>
  <c r="AE838" i="3"/>
  <c r="AC838" i="3"/>
  <c r="AC839" i="3" s="1"/>
  <c r="AC840" i="3" s="1"/>
  <c r="AC841" i="3" s="1"/>
  <c r="O837" i="3"/>
  <c r="N837" i="3"/>
  <c r="N836" i="3"/>
  <c r="AI835" i="3"/>
  <c r="AI836" i="3" s="1"/>
  <c r="AI837" i="3" s="1"/>
  <c r="AH835" i="3"/>
  <c r="AG835" i="3"/>
  <c r="AG836" i="3" s="1"/>
  <c r="AG837" i="3" s="1"/>
  <c r="AF835" i="3"/>
  <c r="AF836" i="3" s="1"/>
  <c r="AF837" i="3" s="1"/>
  <c r="AE835" i="3"/>
  <c r="Y835" i="3"/>
  <c r="X835" i="3"/>
  <c r="W835" i="3"/>
  <c r="V835" i="3"/>
  <c r="U835" i="3"/>
  <c r="T835" i="3"/>
  <c r="S835" i="3"/>
  <c r="AI834" i="3"/>
  <c r="AH834" i="3"/>
  <c r="AG834" i="3"/>
  <c r="AF834" i="3"/>
  <c r="AE834" i="3"/>
  <c r="AC834" i="3"/>
  <c r="AC835" i="3" s="1"/>
  <c r="Y833" i="3"/>
  <c r="X833" i="3"/>
  <c r="W833" i="3"/>
  <c r="V833" i="3"/>
  <c r="U833" i="3"/>
  <c r="T833" i="3"/>
  <c r="S833" i="3"/>
  <c r="N833" i="3"/>
  <c r="Y832" i="3"/>
  <c r="X832" i="3"/>
  <c r="W832" i="3"/>
  <c r="V832" i="3"/>
  <c r="U832" i="3"/>
  <c r="T832" i="3"/>
  <c r="S832" i="3"/>
  <c r="N832" i="3"/>
  <c r="AI831" i="3"/>
  <c r="AI832" i="3" s="1"/>
  <c r="AI833" i="3" s="1"/>
  <c r="AH831" i="3"/>
  <c r="AH832" i="3" s="1"/>
  <c r="AG831" i="3"/>
  <c r="AG832" i="3" s="1"/>
  <c r="AG833" i="3" s="1"/>
  <c r="AF831" i="3"/>
  <c r="AF832" i="3" s="1"/>
  <c r="AF833" i="3" s="1"/>
  <c r="AE831" i="3"/>
  <c r="AI830" i="3"/>
  <c r="AH830" i="3"/>
  <c r="AG830" i="3"/>
  <c r="AF830" i="3"/>
  <c r="AE830" i="3"/>
  <c r="AC830" i="3"/>
  <c r="AC831" i="3" s="1"/>
  <c r="AC832" i="3" s="1"/>
  <c r="AC833" i="3" s="1"/>
  <c r="O829" i="3"/>
  <c r="N829" i="3"/>
  <c r="O828" i="3"/>
  <c r="N828" i="3"/>
  <c r="AI827" i="3"/>
  <c r="AH827" i="3"/>
  <c r="AG827" i="3"/>
  <c r="AG828" i="3" s="1"/>
  <c r="AG829" i="3" s="1"/>
  <c r="AF827" i="3"/>
  <c r="AF828" i="3" s="1"/>
  <c r="AF829" i="3" s="1"/>
  <c r="AE827" i="3"/>
  <c r="Y827" i="3"/>
  <c r="X827" i="3"/>
  <c r="W827" i="3"/>
  <c r="V827" i="3"/>
  <c r="U827" i="3"/>
  <c r="T827" i="3"/>
  <c r="S827" i="3"/>
  <c r="AI826" i="3"/>
  <c r="AH826" i="3"/>
  <c r="AM826" i="3" s="1"/>
  <c r="AG826" i="3"/>
  <c r="AF826" i="3"/>
  <c r="AE826" i="3"/>
  <c r="AD826" i="3" s="1"/>
  <c r="AC826" i="3"/>
  <c r="AC827" i="3" s="1"/>
  <c r="O825" i="3"/>
  <c r="N825" i="3"/>
  <c r="O824" i="3"/>
  <c r="N824" i="3"/>
  <c r="AI823" i="3"/>
  <c r="AI824" i="3" s="1"/>
  <c r="AI825" i="3" s="1"/>
  <c r="AH823" i="3"/>
  <c r="AG823" i="3"/>
  <c r="AG824" i="3" s="1"/>
  <c r="AG825" i="3" s="1"/>
  <c r="AF823" i="3"/>
  <c r="AF824" i="3" s="1"/>
  <c r="AF825" i="3" s="1"/>
  <c r="AE823" i="3"/>
  <c r="Y823" i="3"/>
  <c r="X823" i="3"/>
  <c r="W823" i="3"/>
  <c r="V823" i="3"/>
  <c r="U823" i="3"/>
  <c r="T823" i="3"/>
  <c r="S823" i="3"/>
  <c r="AI822" i="3"/>
  <c r="AH822" i="3"/>
  <c r="AK822" i="3" s="1"/>
  <c r="AG822" i="3"/>
  <c r="AF822" i="3"/>
  <c r="AE822" i="3"/>
  <c r="AC822" i="3"/>
  <c r="AC823" i="3" s="1"/>
  <c r="AC824" i="3" s="1"/>
  <c r="AC825" i="3" s="1"/>
  <c r="Y821" i="3"/>
  <c r="X821" i="3"/>
  <c r="W821" i="3"/>
  <c r="V821" i="3"/>
  <c r="U821" i="3"/>
  <c r="T821" i="3"/>
  <c r="S821" i="3"/>
  <c r="Y820" i="3"/>
  <c r="X820" i="3"/>
  <c r="W820" i="3"/>
  <c r="V820" i="3"/>
  <c r="U820" i="3"/>
  <c r="T820" i="3"/>
  <c r="S820" i="3"/>
  <c r="AI819" i="3"/>
  <c r="AI820" i="3" s="1"/>
  <c r="AI821" i="3" s="1"/>
  <c r="AH819" i="3"/>
  <c r="AG819" i="3"/>
  <c r="AG820" i="3" s="1"/>
  <c r="AG821" i="3" s="1"/>
  <c r="AF819" i="3"/>
  <c r="AF820" i="3" s="1"/>
  <c r="AF821" i="3" s="1"/>
  <c r="AE819" i="3"/>
  <c r="AI818" i="3"/>
  <c r="AH818" i="3"/>
  <c r="AG818" i="3"/>
  <c r="AF818" i="3"/>
  <c r="AE818" i="3"/>
  <c r="AC818" i="3"/>
  <c r="AC819" i="3" s="1"/>
  <c r="AC820" i="3" s="1"/>
  <c r="AC821" i="3" s="1"/>
  <c r="O817" i="3"/>
  <c r="N817" i="3"/>
  <c r="O816" i="3"/>
  <c r="N816" i="3"/>
  <c r="AI815" i="3"/>
  <c r="AI816" i="3" s="1"/>
  <c r="AI817" i="3" s="1"/>
  <c r="AH815" i="3"/>
  <c r="AH816" i="3" s="1"/>
  <c r="AJ816" i="3" s="1"/>
  <c r="AG815" i="3"/>
  <c r="AG816" i="3" s="1"/>
  <c r="AG817" i="3" s="1"/>
  <c r="AF815" i="3"/>
  <c r="AF816" i="3" s="1"/>
  <c r="AF817" i="3" s="1"/>
  <c r="AE815" i="3"/>
  <c r="Y815" i="3"/>
  <c r="X815" i="3"/>
  <c r="W815" i="3"/>
  <c r="V815" i="3"/>
  <c r="U815" i="3"/>
  <c r="T815" i="3"/>
  <c r="S815" i="3"/>
  <c r="AI814" i="3"/>
  <c r="AH814" i="3"/>
  <c r="AL814" i="3" s="1"/>
  <c r="AG814" i="3"/>
  <c r="AF814" i="3"/>
  <c r="AE814" i="3"/>
  <c r="AC814" i="3"/>
  <c r="AC815" i="3" s="1"/>
  <c r="AC816" i="3" s="1"/>
  <c r="AC817" i="3" s="1"/>
  <c r="O801" i="3"/>
  <c r="N801" i="3"/>
  <c r="N800" i="3"/>
  <c r="AI799" i="3"/>
  <c r="AH799" i="3"/>
  <c r="AH800" i="3" s="1"/>
  <c r="AG799" i="3"/>
  <c r="AG800" i="3" s="1"/>
  <c r="AG801" i="3" s="1"/>
  <c r="AF799" i="3"/>
  <c r="AF800" i="3" s="1"/>
  <c r="AF801" i="3" s="1"/>
  <c r="AE799" i="3"/>
  <c r="Y799" i="3"/>
  <c r="X799" i="3"/>
  <c r="W799" i="3"/>
  <c r="V799" i="3"/>
  <c r="U799" i="3"/>
  <c r="T799" i="3"/>
  <c r="S799" i="3"/>
  <c r="AI798" i="3"/>
  <c r="AH798" i="3"/>
  <c r="AJ798" i="3" s="1"/>
  <c r="AG798" i="3"/>
  <c r="AF798" i="3"/>
  <c r="AE798" i="3"/>
  <c r="AC798" i="3"/>
  <c r="AC799" i="3" s="1"/>
  <c r="Y797" i="3"/>
  <c r="X797" i="3"/>
  <c r="W797" i="3"/>
  <c r="V797" i="3"/>
  <c r="U797" i="3"/>
  <c r="T797" i="3"/>
  <c r="S797" i="3"/>
  <c r="Y796" i="3"/>
  <c r="X796" i="3"/>
  <c r="W796" i="3"/>
  <c r="V796" i="3"/>
  <c r="U796" i="3"/>
  <c r="T796" i="3"/>
  <c r="S796" i="3"/>
  <c r="AI795" i="3"/>
  <c r="AI796" i="3" s="1"/>
  <c r="AI797" i="3" s="1"/>
  <c r="AH795" i="3"/>
  <c r="AG795" i="3"/>
  <c r="AG796" i="3" s="1"/>
  <c r="AG797" i="3" s="1"/>
  <c r="AF795" i="3"/>
  <c r="AF796" i="3" s="1"/>
  <c r="AF797" i="3" s="1"/>
  <c r="AE795" i="3"/>
  <c r="AI794" i="3"/>
  <c r="AH794" i="3"/>
  <c r="AK794" i="3" s="1"/>
  <c r="AG794" i="3"/>
  <c r="AF794" i="3"/>
  <c r="AE794" i="3"/>
  <c r="AC794" i="3"/>
  <c r="AC795" i="3" s="1"/>
  <c r="AC796" i="3" s="1"/>
  <c r="AC797" i="3" s="1"/>
  <c r="O793" i="3"/>
  <c r="N793" i="3"/>
  <c r="O792" i="3"/>
  <c r="N792" i="3"/>
  <c r="AI791" i="3"/>
  <c r="AH791" i="3"/>
  <c r="AG791" i="3"/>
  <c r="AG792" i="3" s="1"/>
  <c r="AG793" i="3" s="1"/>
  <c r="AF791" i="3"/>
  <c r="AF792" i="3" s="1"/>
  <c r="AF793" i="3" s="1"/>
  <c r="AE791" i="3"/>
  <c r="Y791" i="3"/>
  <c r="X791" i="3"/>
  <c r="W791" i="3"/>
  <c r="V791" i="3"/>
  <c r="U791" i="3"/>
  <c r="T791" i="3"/>
  <c r="S791" i="3"/>
  <c r="AI790" i="3"/>
  <c r="AH790" i="3"/>
  <c r="AG790" i="3"/>
  <c r="AF790" i="3"/>
  <c r="AE790" i="3"/>
  <c r="AC790" i="3"/>
  <c r="AC791" i="3" s="1"/>
  <c r="O789" i="3"/>
  <c r="N789" i="3"/>
  <c r="O788" i="3"/>
  <c r="N788" i="3"/>
  <c r="AI787" i="3"/>
  <c r="AI788" i="3" s="1"/>
  <c r="AI789" i="3" s="1"/>
  <c r="AH787" i="3"/>
  <c r="AG787" i="3"/>
  <c r="AG788" i="3" s="1"/>
  <c r="AG789" i="3" s="1"/>
  <c r="AF787" i="3"/>
  <c r="AF788" i="3" s="1"/>
  <c r="AF789" i="3" s="1"/>
  <c r="AE787" i="3"/>
  <c r="Y787" i="3"/>
  <c r="X787" i="3"/>
  <c r="W787" i="3"/>
  <c r="V787" i="3"/>
  <c r="U787" i="3"/>
  <c r="T787" i="3"/>
  <c r="S787" i="3"/>
  <c r="AI786" i="3"/>
  <c r="AH786" i="3"/>
  <c r="AM786" i="3" s="1"/>
  <c r="AG786" i="3"/>
  <c r="AF786" i="3"/>
  <c r="AE786" i="3"/>
  <c r="AC786" i="3"/>
  <c r="AC787" i="3" s="1"/>
  <c r="AC788" i="3" s="1"/>
  <c r="AC789" i="3" s="1"/>
  <c r="Y785" i="3"/>
  <c r="X785" i="3"/>
  <c r="W785" i="3"/>
  <c r="V785" i="3"/>
  <c r="U785" i="3"/>
  <c r="T785" i="3"/>
  <c r="S785" i="3"/>
  <c r="Y784" i="3"/>
  <c r="X784" i="3"/>
  <c r="W784" i="3"/>
  <c r="V784" i="3"/>
  <c r="U784" i="3"/>
  <c r="T784" i="3"/>
  <c r="S784" i="3"/>
  <c r="N784" i="3"/>
  <c r="AI783" i="3"/>
  <c r="AH783" i="3"/>
  <c r="AG783" i="3"/>
  <c r="AG784" i="3" s="1"/>
  <c r="AG785" i="3" s="1"/>
  <c r="AF783" i="3"/>
  <c r="AF784" i="3" s="1"/>
  <c r="AF785" i="3" s="1"/>
  <c r="AE783" i="3"/>
  <c r="AI782" i="3"/>
  <c r="AH782" i="3"/>
  <c r="AG782" i="3"/>
  <c r="AF782" i="3"/>
  <c r="AE782" i="3"/>
  <c r="AD782" i="3" s="1"/>
  <c r="AC782" i="3"/>
  <c r="AC783" i="3" s="1"/>
  <c r="AC784" i="3" s="1"/>
  <c r="AC785" i="3" s="1"/>
  <c r="O781" i="3"/>
  <c r="N781" i="3"/>
  <c r="O780" i="3"/>
  <c r="N780" i="3"/>
  <c r="AI779" i="3"/>
  <c r="AH779" i="3"/>
  <c r="AH780" i="3" s="1"/>
  <c r="AG779" i="3"/>
  <c r="AG780" i="3" s="1"/>
  <c r="AG781" i="3" s="1"/>
  <c r="AF779" i="3"/>
  <c r="AF780" i="3" s="1"/>
  <c r="AF781" i="3" s="1"/>
  <c r="AE779" i="3"/>
  <c r="Y779" i="3"/>
  <c r="X779" i="3"/>
  <c r="W779" i="3"/>
  <c r="V779" i="3"/>
  <c r="U779" i="3"/>
  <c r="T779" i="3"/>
  <c r="S779" i="3"/>
  <c r="AI778" i="3"/>
  <c r="AH778" i="3"/>
  <c r="AM778" i="3" s="1"/>
  <c r="AG778" i="3"/>
  <c r="AF778" i="3"/>
  <c r="AE778" i="3"/>
  <c r="AD778" i="3" s="1"/>
  <c r="AC778" i="3"/>
  <c r="AC779" i="3" s="1"/>
  <c r="AC780" i="3" s="1"/>
  <c r="AC781" i="3" s="1"/>
  <c r="O765" i="3"/>
  <c r="N765" i="3"/>
  <c r="O764" i="3"/>
  <c r="N764" i="3"/>
  <c r="AI763" i="3"/>
  <c r="AI764" i="3" s="1"/>
  <c r="AI765" i="3" s="1"/>
  <c r="AH763" i="3"/>
  <c r="AH764" i="3" s="1"/>
  <c r="AG763" i="3"/>
  <c r="AG764" i="3" s="1"/>
  <c r="AG765" i="3" s="1"/>
  <c r="AF763" i="3"/>
  <c r="AF764" i="3" s="1"/>
  <c r="AF765" i="3" s="1"/>
  <c r="AE763" i="3"/>
  <c r="Y763" i="3"/>
  <c r="X763" i="3"/>
  <c r="W763" i="3"/>
  <c r="V763" i="3"/>
  <c r="U763" i="3"/>
  <c r="T763" i="3"/>
  <c r="S763" i="3"/>
  <c r="AI762" i="3"/>
  <c r="AH762" i="3"/>
  <c r="AM762" i="3" s="1"/>
  <c r="AG762" i="3"/>
  <c r="AF762" i="3"/>
  <c r="AE762" i="3"/>
  <c r="AC762" i="3"/>
  <c r="AC763" i="3" s="1"/>
  <c r="AC764" i="3" s="1"/>
  <c r="AC765" i="3" s="1"/>
  <c r="Y761" i="3"/>
  <c r="X761" i="3"/>
  <c r="W761" i="3"/>
  <c r="V761" i="3"/>
  <c r="U761" i="3"/>
  <c r="T761" i="3"/>
  <c r="S761" i="3"/>
  <c r="N761" i="3"/>
  <c r="Y760" i="3"/>
  <c r="X760" i="3"/>
  <c r="W760" i="3"/>
  <c r="V760" i="3"/>
  <c r="U760" i="3"/>
  <c r="T760" i="3"/>
  <c r="S760" i="3"/>
  <c r="AI759" i="3"/>
  <c r="AH759" i="3"/>
  <c r="AH760" i="3" s="1"/>
  <c r="AG759" i="3"/>
  <c r="AF759" i="3"/>
  <c r="AF760" i="3" s="1"/>
  <c r="AF761" i="3" s="1"/>
  <c r="AE759" i="3"/>
  <c r="AI758" i="3"/>
  <c r="AH758" i="3"/>
  <c r="AG758" i="3"/>
  <c r="AF758" i="3"/>
  <c r="AE758" i="3"/>
  <c r="AC758" i="3"/>
  <c r="AC759" i="3" s="1"/>
  <c r="O757" i="3"/>
  <c r="N757" i="3"/>
  <c r="O756" i="3"/>
  <c r="N756" i="3"/>
  <c r="AI755" i="3"/>
  <c r="AI756" i="3" s="1"/>
  <c r="AI757" i="3" s="1"/>
  <c r="AH755" i="3"/>
  <c r="AH756" i="3" s="1"/>
  <c r="AJ756" i="3" s="1"/>
  <c r="AG755" i="3"/>
  <c r="AG756" i="3" s="1"/>
  <c r="AG757" i="3" s="1"/>
  <c r="AF755" i="3"/>
  <c r="AF756" i="3" s="1"/>
  <c r="AF757" i="3" s="1"/>
  <c r="AE755" i="3"/>
  <c r="Y755" i="3"/>
  <c r="X755" i="3"/>
  <c r="W755" i="3"/>
  <c r="V755" i="3"/>
  <c r="U755" i="3"/>
  <c r="T755" i="3"/>
  <c r="S755" i="3"/>
  <c r="AI754" i="3"/>
  <c r="AH754" i="3"/>
  <c r="AK754" i="3" s="1"/>
  <c r="AG754" i="3"/>
  <c r="AF754" i="3"/>
  <c r="AE754" i="3"/>
  <c r="AC754" i="3"/>
  <c r="AC755" i="3" s="1"/>
  <c r="AC756" i="3" s="1"/>
  <c r="AC757" i="3" s="1"/>
  <c r="O753" i="3"/>
  <c r="N753" i="3"/>
  <c r="N752" i="3"/>
  <c r="AI751" i="3"/>
  <c r="AI752" i="3" s="1"/>
  <c r="AI753" i="3" s="1"/>
  <c r="AH751" i="3"/>
  <c r="AH752" i="3" s="1"/>
  <c r="AH753" i="3" s="1"/>
  <c r="AG751" i="3"/>
  <c r="AG752" i="3" s="1"/>
  <c r="AG753" i="3" s="1"/>
  <c r="AF751" i="3"/>
  <c r="AF752" i="3" s="1"/>
  <c r="AF753" i="3" s="1"/>
  <c r="AE751" i="3"/>
  <c r="Y751" i="3"/>
  <c r="X751" i="3"/>
  <c r="W751" i="3"/>
  <c r="V751" i="3"/>
  <c r="U751" i="3"/>
  <c r="T751" i="3"/>
  <c r="S751" i="3"/>
  <c r="AI750" i="3"/>
  <c r="AH750" i="3"/>
  <c r="AG750" i="3"/>
  <c r="AF750" i="3"/>
  <c r="AE750" i="3"/>
  <c r="AD750" i="3" s="1"/>
  <c r="AC750" i="3"/>
  <c r="AC751" i="3" s="1"/>
  <c r="Y749" i="3"/>
  <c r="X749" i="3"/>
  <c r="W749" i="3"/>
  <c r="V749" i="3"/>
  <c r="U749" i="3"/>
  <c r="T749" i="3"/>
  <c r="S749" i="3"/>
  <c r="N749" i="3"/>
  <c r="Y748" i="3"/>
  <c r="X748" i="3"/>
  <c r="W748" i="3"/>
  <c r="V748" i="3"/>
  <c r="U748" i="3"/>
  <c r="T748" i="3"/>
  <c r="S748" i="3"/>
  <c r="AI747" i="3"/>
  <c r="AH747" i="3"/>
  <c r="AG747" i="3"/>
  <c r="AG748" i="3" s="1"/>
  <c r="AG749" i="3" s="1"/>
  <c r="AF747" i="3"/>
  <c r="AF748" i="3" s="1"/>
  <c r="AF749" i="3" s="1"/>
  <c r="AE747" i="3"/>
  <c r="AI746" i="3"/>
  <c r="AH746" i="3"/>
  <c r="AL746" i="3" s="1"/>
  <c r="AG746" i="3"/>
  <c r="AF746" i="3"/>
  <c r="AE746" i="3"/>
  <c r="AC746" i="3"/>
  <c r="AC747" i="3" s="1"/>
  <c r="AC748" i="3" s="1"/>
  <c r="AC749" i="3" s="1"/>
  <c r="O745" i="3"/>
  <c r="N745" i="3"/>
  <c r="O744" i="3"/>
  <c r="N744" i="3"/>
  <c r="AI743" i="3"/>
  <c r="AH743" i="3"/>
  <c r="AJ743" i="3" s="1"/>
  <c r="AG743" i="3"/>
  <c r="AG744" i="3" s="1"/>
  <c r="AG745" i="3" s="1"/>
  <c r="AF743" i="3"/>
  <c r="AF744" i="3" s="1"/>
  <c r="AF745" i="3" s="1"/>
  <c r="AE743" i="3"/>
  <c r="Y743" i="3"/>
  <c r="X743" i="3"/>
  <c r="W743" i="3"/>
  <c r="V743" i="3"/>
  <c r="U743" i="3"/>
  <c r="T743" i="3"/>
  <c r="S743" i="3"/>
  <c r="AI742" i="3"/>
  <c r="AH742" i="3"/>
  <c r="AL742" i="3" s="1"/>
  <c r="AG742" i="3"/>
  <c r="AF742" i="3"/>
  <c r="AE742" i="3"/>
  <c r="AD742" i="3" s="1"/>
  <c r="AC742" i="3"/>
  <c r="AC743" i="3" s="1"/>
  <c r="AC744" i="3" s="1"/>
  <c r="AC745" i="3" s="1"/>
  <c r="O741" i="3"/>
  <c r="N741" i="3"/>
  <c r="N740" i="3"/>
  <c r="AI739" i="3"/>
  <c r="AH739" i="3"/>
  <c r="AG739" i="3"/>
  <c r="AG740" i="3" s="1"/>
  <c r="AG741" i="3" s="1"/>
  <c r="AF739" i="3"/>
  <c r="AF740" i="3" s="1"/>
  <c r="AF741" i="3" s="1"/>
  <c r="AE739" i="3"/>
  <c r="Y739" i="3"/>
  <c r="X739" i="3"/>
  <c r="W739" i="3"/>
  <c r="V739" i="3"/>
  <c r="U739" i="3"/>
  <c r="T739" i="3"/>
  <c r="S739" i="3"/>
  <c r="AI738" i="3"/>
  <c r="AH738" i="3"/>
  <c r="AJ738" i="3" s="1"/>
  <c r="AG738" i="3"/>
  <c r="AF738" i="3"/>
  <c r="AE738" i="3"/>
  <c r="AC738" i="3"/>
  <c r="AC739" i="3" s="1"/>
  <c r="Y737" i="3"/>
  <c r="X737" i="3"/>
  <c r="W737" i="3"/>
  <c r="V737" i="3"/>
  <c r="U737" i="3"/>
  <c r="T737" i="3"/>
  <c r="S737" i="3"/>
  <c r="Y736" i="3"/>
  <c r="X736" i="3"/>
  <c r="W736" i="3"/>
  <c r="V736" i="3"/>
  <c r="U736" i="3"/>
  <c r="T736" i="3"/>
  <c r="S736" i="3"/>
  <c r="AI735" i="3"/>
  <c r="AI736" i="3" s="1"/>
  <c r="AI737" i="3" s="1"/>
  <c r="AH735" i="3"/>
  <c r="AH736" i="3" s="1"/>
  <c r="AJ736" i="3" s="1"/>
  <c r="AG735" i="3"/>
  <c r="AG736" i="3" s="1"/>
  <c r="AG737" i="3" s="1"/>
  <c r="AF735" i="3"/>
  <c r="AF736" i="3" s="1"/>
  <c r="AF737" i="3" s="1"/>
  <c r="AE735" i="3"/>
  <c r="AI734" i="3"/>
  <c r="AH734" i="3"/>
  <c r="AL734" i="3" s="1"/>
  <c r="AG734" i="3"/>
  <c r="AF734" i="3"/>
  <c r="AE734" i="3"/>
  <c r="AC734" i="3"/>
  <c r="AC735" i="3" s="1"/>
  <c r="AC736" i="3" s="1"/>
  <c r="AC737" i="3" s="1"/>
  <c r="O733" i="3"/>
  <c r="N733" i="3"/>
  <c r="O732" i="3"/>
  <c r="N732" i="3"/>
  <c r="AI731" i="3"/>
  <c r="AH731" i="3"/>
  <c r="AH732" i="3" s="1"/>
  <c r="AJ732" i="3" s="1"/>
  <c r="AG731" i="3"/>
  <c r="AG732" i="3" s="1"/>
  <c r="AG733" i="3" s="1"/>
  <c r="AF731" i="3"/>
  <c r="AF732" i="3" s="1"/>
  <c r="AF733" i="3" s="1"/>
  <c r="AE731" i="3"/>
  <c r="AE727" i="3" s="1"/>
  <c r="Y731" i="3"/>
  <c r="X731" i="3"/>
  <c r="W731" i="3"/>
  <c r="V731" i="3"/>
  <c r="U731" i="3"/>
  <c r="T731" i="3"/>
  <c r="S731" i="3"/>
  <c r="AI730" i="3"/>
  <c r="AH730" i="3"/>
  <c r="AG730" i="3"/>
  <c r="AF730" i="3"/>
  <c r="AE730" i="3"/>
  <c r="AC730" i="3"/>
  <c r="AC731" i="3" s="1"/>
  <c r="O693" i="3"/>
  <c r="N693" i="3"/>
  <c r="O692" i="3"/>
  <c r="N692" i="3"/>
  <c r="AI691" i="3"/>
  <c r="AI692" i="3" s="1"/>
  <c r="AI693" i="3" s="1"/>
  <c r="AH691" i="3"/>
  <c r="AH692" i="3" s="1"/>
  <c r="AG691" i="3"/>
  <c r="AG692" i="3" s="1"/>
  <c r="AG693" i="3" s="1"/>
  <c r="AF691" i="3"/>
  <c r="AF692" i="3" s="1"/>
  <c r="AF693" i="3" s="1"/>
  <c r="AE691" i="3"/>
  <c r="Y691" i="3"/>
  <c r="X691" i="3"/>
  <c r="W691" i="3"/>
  <c r="V691" i="3"/>
  <c r="U691" i="3"/>
  <c r="T691" i="3"/>
  <c r="S691" i="3"/>
  <c r="AI690" i="3"/>
  <c r="AH690" i="3"/>
  <c r="AM690" i="3" s="1"/>
  <c r="AG690" i="3"/>
  <c r="AF690" i="3"/>
  <c r="AE690" i="3"/>
  <c r="AC690" i="3"/>
  <c r="AC691" i="3" s="1"/>
  <c r="AC692" i="3" s="1"/>
  <c r="AC693" i="3" s="1"/>
  <c r="Y689" i="3"/>
  <c r="X689" i="3"/>
  <c r="W689" i="3"/>
  <c r="V689" i="3"/>
  <c r="U689" i="3"/>
  <c r="T689" i="3"/>
  <c r="S689" i="3"/>
  <c r="Y688" i="3"/>
  <c r="X688" i="3"/>
  <c r="W688" i="3"/>
  <c r="V688" i="3"/>
  <c r="U688" i="3"/>
  <c r="T688" i="3"/>
  <c r="S688" i="3"/>
  <c r="AI687" i="3"/>
  <c r="AH687" i="3"/>
  <c r="AH688" i="3" s="1"/>
  <c r="AH689" i="3" s="1"/>
  <c r="AG687" i="3"/>
  <c r="AG688" i="3" s="1"/>
  <c r="AG689" i="3" s="1"/>
  <c r="AF687" i="3"/>
  <c r="AF688" i="3" s="1"/>
  <c r="AF689" i="3" s="1"/>
  <c r="AE687" i="3"/>
  <c r="AI686" i="3"/>
  <c r="AH686" i="3"/>
  <c r="AG686" i="3"/>
  <c r="AF686" i="3"/>
  <c r="AE686" i="3"/>
  <c r="AC686" i="3"/>
  <c r="AC687" i="3" s="1"/>
  <c r="AC688" i="3" s="1"/>
  <c r="AC689" i="3" s="1"/>
  <c r="O685" i="3"/>
  <c r="N685" i="3"/>
  <c r="O684" i="3"/>
  <c r="N684" i="3"/>
  <c r="AI683" i="3"/>
  <c r="AI684" i="3" s="1"/>
  <c r="AI685" i="3" s="1"/>
  <c r="AH683" i="3"/>
  <c r="AH684" i="3" s="1"/>
  <c r="AG683" i="3"/>
  <c r="AG684" i="3" s="1"/>
  <c r="AG685" i="3" s="1"/>
  <c r="AF683" i="3"/>
  <c r="AF684" i="3" s="1"/>
  <c r="AF685" i="3" s="1"/>
  <c r="AE683" i="3"/>
  <c r="Y683" i="3"/>
  <c r="X683" i="3"/>
  <c r="W683" i="3"/>
  <c r="V683" i="3"/>
  <c r="U683" i="3"/>
  <c r="T683" i="3"/>
  <c r="S683" i="3"/>
  <c r="AI682" i="3"/>
  <c r="AH682" i="3"/>
  <c r="AK682" i="3" s="1"/>
  <c r="AG682" i="3"/>
  <c r="AF682" i="3"/>
  <c r="AE682" i="3"/>
  <c r="AC682" i="3"/>
  <c r="AC683" i="3" s="1"/>
  <c r="AC684" i="3" s="1"/>
  <c r="AC685" i="3" s="1"/>
  <c r="O681" i="3"/>
  <c r="N681" i="3"/>
  <c r="O680" i="3"/>
  <c r="N680" i="3"/>
  <c r="AI679" i="3"/>
  <c r="AH679" i="3"/>
  <c r="AH680" i="3" s="1"/>
  <c r="AH681" i="3" s="1"/>
  <c r="AJ681" i="3" s="1"/>
  <c r="AG679" i="3"/>
  <c r="AG680" i="3" s="1"/>
  <c r="AG681" i="3" s="1"/>
  <c r="AF679" i="3"/>
  <c r="AF680" i="3" s="1"/>
  <c r="AF681" i="3" s="1"/>
  <c r="AE679" i="3"/>
  <c r="Y679" i="3"/>
  <c r="X679" i="3"/>
  <c r="W679" i="3"/>
  <c r="V679" i="3"/>
  <c r="U679" i="3"/>
  <c r="T679" i="3"/>
  <c r="S679" i="3"/>
  <c r="AI678" i="3"/>
  <c r="AH678" i="3"/>
  <c r="AJ678" i="3" s="1"/>
  <c r="AG678" i="3"/>
  <c r="AF678" i="3"/>
  <c r="AE678" i="3"/>
  <c r="AC678" i="3"/>
  <c r="AC679" i="3" s="1"/>
  <c r="AC680" i="3" s="1"/>
  <c r="AC681" i="3" s="1"/>
  <c r="Y677" i="3"/>
  <c r="X677" i="3"/>
  <c r="W677" i="3"/>
  <c r="V677" i="3"/>
  <c r="U677" i="3"/>
  <c r="T677" i="3"/>
  <c r="S677" i="3"/>
  <c r="N677" i="3"/>
  <c r="Y676" i="3"/>
  <c r="X676" i="3"/>
  <c r="W676" i="3"/>
  <c r="V676" i="3"/>
  <c r="U676" i="3"/>
  <c r="T676" i="3"/>
  <c r="S676" i="3"/>
  <c r="AI675" i="3"/>
  <c r="AI676" i="3" s="1"/>
  <c r="AI677" i="3" s="1"/>
  <c r="AH675" i="3"/>
  <c r="AG675" i="3"/>
  <c r="AG676" i="3" s="1"/>
  <c r="AG677" i="3" s="1"/>
  <c r="AF675" i="3"/>
  <c r="AF676" i="3" s="1"/>
  <c r="AF677" i="3" s="1"/>
  <c r="AE675" i="3"/>
  <c r="AI674" i="3"/>
  <c r="AH674" i="3"/>
  <c r="AG674" i="3"/>
  <c r="AF674" i="3"/>
  <c r="AE674" i="3"/>
  <c r="AC674" i="3"/>
  <c r="AC675" i="3" s="1"/>
  <c r="AC676" i="3" s="1"/>
  <c r="AC677" i="3" s="1"/>
  <c r="O673" i="3"/>
  <c r="N673" i="3"/>
  <c r="O672" i="3"/>
  <c r="N672" i="3"/>
  <c r="AI671" i="3"/>
  <c r="AI672" i="3" s="1"/>
  <c r="AI673" i="3" s="1"/>
  <c r="AH671" i="3"/>
  <c r="AH672" i="3" s="1"/>
  <c r="AH673" i="3" s="1"/>
  <c r="AJ673" i="3" s="1"/>
  <c r="AG671" i="3"/>
  <c r="AG672" i="3" s="1"/>
  <c r="AG673" i="3" s="1"/>
  <c r="AF671" i="3"/>
  <c r="AF672" i="3" s="1"/>
  <c r="AF673" i="3" s="1"/>
  <c r="AE671" i="3"/>
  <c r="Y671" i="3"/>
  <c r="X671" i="3"/>
  <c r="W671" i="3"/>
  <c r="V671" i="3"/>
  <c r="U671" i="3"/>
  <c r="T671" i="3"/>
  <c r="S671" i="3"/>
  <c r="AI670" i="3"/>
  <c r="AH670" i="3"/>
  <c r="AJ670" i="3" s="1"/>
  <c r="AG670" i="3"/>
  <c r="AF670" i="3"/>
  <c r="AE670" i="3"/>
  <c r="AC670" i="3"/>
  <c r="AC671" i="3" s="1"/>
  <c r="AC672" i="3" s="1"/>
  <c r="AC673" i="3" s="1"/>
  <c r="O669" i="3"/>
  <c r="N669" i="3"/>
  <c r="O668" i="3"/>
  <c r="N668" i="3"/>
  <c r="AI667" i="3"/>
  <c r="AI668" i="3" s="1"/>
  <c r="AI669" i="3" s="1"/>
  <c r="AH667" i="3"/>
  <c r="AH668" i="3" s="1"/>
  <c r="AG667" i="3"/>
  <c r="AG668" i="3" s="1"/>
  <c r="AG669" i="3" s="1"/>
  <c r="AF667" i="3"/>
  <c r="AF668" i="3" s="1"/>
  <c r="AF669" i="3" s="1"/>
  <c r="AE667" i="3"/>
  <c r="Y667" i="3"/>
  <c r="X667" i="3"/>
  <c r="W667" i="3"/>
  <c r="V667" i="3"/>
  <c r="U667" i="3"/>
  <c r="T667" i="3"/>
  <c r="S667" i="3"/>
  <c r="AI666" i="3"/>
  <c r="AH666" i="3"/>
  <c r="AG666" i="3"/>
  <c r="AF666" i="3"/>
  <c r="AE666" i="3"/>
  <c r="AC666" i="3"/>
  <c r="AC667" i="3" s="1"/>
  <c r="AC668" i="3" s="1"/>
  <c r="AC669" i="3" s="1"/>
  <c r="Y665" i="3"/>
  <c r="X665" i="3"/>
  <c r="W665" i="3"/>
  <c r="V665" i="3"/>
  <c r="U665" i="3"/>
  <c r="T665" i="3"/>
  <c r="S665" i="3"/>
  <c r="N665" i="3"/>
  <c r="Y664" i="3"/>
  <c r="X664" i="3"/>
  <c r="W664" i="3"/>
  <c r="V664" i="3"/>
  <c r="U664" i="3"/>
  <c r="T664" i="3"/>
  <c r="S664" i="3"/>
  <c r="AI663" i="3"/>
  <c r="AI664" i="3" s="1"/>
  <c r="AI665" i="3" s="1"/>
  <c r="AH663" i="3"/>
  <c r="AJ663" i="3" s="1"/>
  <c r="AG663" i="3"/>
  <c r="AG664" i="3" s="1"/>
  <c r="AG665" i="3" s="1"/>
  <c r="AF663" i="3"/>
  <c r="AF664" i="3" s="1"/>
  <c r="AF665" i="3" s="1"/>
  <c r="AE663" i="3"/>
  <c r="AI662" i="3"/>
  <c r="AH662" i="3"/>
  <c r="AG662" i="3"/>
  <c r="AF662" i="3"/>
  <c r="AE662" i="3"/>
  <c r="AC662" i="3"/>
  <c r="AC663" i="3" s="1"/>
  <c r="AC664" i="3" s="1"/>
  <c r="AC665" i="3" s="1"/>
  <c r="O661" i="3"/>
  <c r="N661" i="3"/>
  <c r="O660" i="3"/>
  <c r="N660" i="3"/>
  <c r="AI659" i="3"/>
  <c r="AH659" i="3"/>
  <c r="AJ659" i="3" s="1"/>
  <c r="AG659" i="3"/>
  <c r="AG660" i="3" s="1"/>
  <c r="AG661" i="3" s="1"/>
  <c r="AF659" i="3"/>
  <c r="AF660" i="3" s="1"/>
  <c r="AF661" i="3" s="1"/>
  <c r="AE659" i="3"/>
  <c r="Y659" i="3"/>
  <c r="X659" i="3"/>
  <c r="W659" i="3"/>
  <c r="V659" i="3"/>
  <c r="U659" i="3"/>
  <c r="T659" i="3"/>
  <c r="S659" i="3"/>
  <c r="AI658" i="3"/>
  <c r="AH658" i="3"/>
  <c r="AG658" i="3"/>
  <c r="AF658" i="3"/>
  <c r="AE658" i="3"/>
  <c r="AC658" i="3"/>
  <c r="AC659" i="3" s="1"/>
  <c r="AC660" i="3" s="1"/>
  <c r="AC661" i="3" s="1"/>
  <c r="O645" i="3"/>
  <c r="N645" i="3"/>
  <c r="O644" i="3"/>
  <c r="N644" i="3"/>
  <c r="AI643" i="3"/>
  <c r="AI644" i="3" s="1"/>
  <c r="AI645" i="3" s="1"/>
  <c r="AH643" i="3"/>
  <c r="AJ643" i="3" s="1"/>
  <c r="AG643" i="3"/>
  <c r="AG644" i="3" s="1"/>
  <c r="AG645" i="3" s="1"/>
  <c r="AF643" i="3"/>
  <c r="AF644" i="3" s="1"/>
  <c r="AF645" i="3" s="1"/>
  <c r="AE643" i="3"/>
  <c r="Y643" i="3"/>
  <c r="X643" i="3"/>
  <c r="W643" i="3"/>
  <c r="V643" i="3"/>
  <c r="U643" i="3"/>
  <c r="T643" i="3"/>
  <c r="S643" i="3"/>
  <c r="AI642" i="3"/>
  <c r="AH642" i="3"/>
  <c r="AG642" i="3"/>
  <c r="AF642" i="3"/>
  <c r="AE642" i="3"/>
  <c r="AC642" i="3"/>
  <c r="AC643" i="3" s="1"/>
  <c r="AC644" i="3" s="1"/>
  <c r="AC645" i="3" s="1"/>
  <c r="Y641" i="3"/>
  <c r="X641" i="3"/>
  <c r="W641" i="3"/>
  <c r="V641" i="3"/>
  <c r="U641" i="3"/>
  <c r="T641" i="3"/>
  <c r="S641" i="3"/>
  <c r="Y640" i="3"/>
  <c r="X640" i="3"/>
  <c r="W640" i="3"/>
  <c r="V640" i="3"/>
  <c r="U640" i="3"/>
  <c r="T640" i="3"/>
  <c r="S640" i="3"/>
  <c r="AI639" i="3"/>
  <c r="AI640" i="3" s="1"/>
  <c r="AI641" i="3" s="1"/>
  <c r="AH639" i="3"/>
  <c r="AG639" i="3"/>
  <c r="AG640" i="3" s="1"/>
  <c r="AG641" i="3" s="1"/>
  <c r="AF639" i="3"/>
  <c r="AF640" i="3" s="1"/>
  <c r="AF641" i="3" s="1"/>
  <c r="AE639" i="3"/>
  <c r="AI638" i="3"/>
  <c r="AH638" i="3"/>
  <c r="AK638" i="3" s="1"/>
  <c r="AG638" i="3"/>
  <c r="AF638" i="3"/>
  <c r="AE638" i="3"/>
  <c r="AD638" i="3" s="1"/>
  <c r="AC638" i="3"/>
  <c r="AC639" i="3" s="1"/>
  <c r="AC640" i="3" s="1"/>
  <c r="AC641" i="3" s="1"/>
  <c r="O637" i="3"/>
  <c r="N637" i="3"/>
  <c r="O636" i="3"/>
  <c r="N636" i="3"/>
  <c r="AI635" i="3"/>
  <c r="AI636" i="3" s="1"/>
  <c r="AI637" i="3" s="1"/>
  <c r="AH635" i="3"/>
  <c r="AG635" i="3"/>
  <c r="AG636" i="3" s="1"/>
  <c r="AG637" i="3" s="1"/>
  <c r="AF635" i="3"/>
  <c r="AF636" i="3" s="1"/>
  <c r="AF637" i="3" s="1"/>
  <c r="AE635" i="3"/>
  <c r="Y635" i="3"/>
  <c r="X635" i="3"/>
  <c r="W635" i="3"/>
  <c r="V635" i="3"/>
  <c r="U635" i="3"/>
  <c r="T635" i="3"/>
  <c r="S635" i="3"/>
  <c r="AI634" i="3"/>
  <c r="AH634" i="3"/>
  <c r="AK634" i="3" s="1"/>
  <c r="AG634" i="3"/>
  <c r="AF634" i="3"/>
  <c r="AE634" i="3"/>
  <c r="AC634" i="3"/>
  <c r="AC635" i="3" s="1"/>
  <c r="AC636" i="3" s="1"/>
  <c r="AC637" i="3" s="1"/>
  <c r="O633" i="3"/>
  <c r="N633" i="3"/>
  <c r="O632" i="3"/>
  <c r="N632" i="3"/>
  <c r="AI631" i="3"/>
  <c r="AI632" i="3" s="1"/>
  <c r="AI633" i="3" s="1"/>
  <c r="AH631" i="3"/>
  <c r="AH632" i="3" s="1"/>
  <c r="AG631" i="3"/>
  <c r="AG632" i="3" s="1"/>
  <c r="AG633" i="3" s="1"/>
  <c r="AF631" i="3"/>
  <c r="AF632" i="3" s="1"/>
  <c r="AF633" i="3" s="1"/>
  <c r="AE631" i="3"/>
  <c r="Y631" i="3"/>
  <c r="X631" i="3"/>
  <c r="W631" i="3"/>
  <c r="V631" i="3"/>
  <c r="U631" i="3"/>
  <c r="T631" i="3"/>
  <c r="S631" i="3"/>
  <c r="AI630" i="3"/>
  <c r="AH630" i="3"/>
  <c r="AM630" i="3" s="1"/>
  <c r="AG630" i="3"/>
  <c r="AF630" i="3"/>
  <c r="AE630" i="3"/>
  <c r="AC630" i="3"/>
  <c r="AC631" i="3" s="1"/>
  <c r="AC632" i="3" s="1"/>
  <c r="AC633" i="3" s="1"/>
  <c r="Y629" i="3"/>
  <c r="X629" i="3"/>
  <c r="W629" i="3"/>
  <c r="V629" i="3"/>
  <c r="U629" i="3"/>
  <c r="T629" i="3"/>
  <c r="S629" i="3"/>
  <c r="N629" i="3"/>
  <c r="Y628" i="3"/>
  <c r="X628" i="3"/>
  <c r="W628" i="3"/>
  <c r="V628" i="3"/>
  <c r="U628" i="3"/>
  <c r="T628" i="3"/>
  <c r="S628" i="3"/>
  <c r="AI627" i="3"/>
  <c r="AH627" i="3"/>
  <c r="AH628" i="3" s="1"/>
  <c r="AG627" i="3"/>
  <c r="AF627" i="3"/>
  <c r="AF628" i="3" s="1"/>
  <c r="AF629" i="3" s="1"/>
  <c r="AE627" i="3"/>
  <c r="AI626" i="3"/>
  <c r="AH626" i="3"/>
  <c r="AG626" i="3"/>
  <c r="AF626" i="3"/>
  <c r="AE626" i="3"/>
  <c r="AD626" i="3" s="1"/>
  <c r="AC626" i="3"/>
  <c r="AC627" i="3" s="1"/>
  <c r="O625" i="3"/>
  <c r="N625" i="3"/>
  <c r="O624" i="3"/>
  <c r="N624" i="3"/>
  <c r="AI623" i="3"/>
  <c r="AH623" i="3"/>
  <c r="AG623" i="3"/>
  <c r="AF623" i="3"/>
  <c r="AF624" i="3" s="1"/>
  <c r="AF625" i="3" s="1"/>
  <c r="AE623" i="3"/>
  <c r="Y623" i="3"/>
  <c r="X623" i="3"/>
  <c r="W623" i="3"/>
  <c r="V623" i="3"/>
  <c r="U623" i="3"/>
  <c r="T623" i="3"/>
  <c r="S623" i="3"/>
  <c r="AI622" i="3"/>
  <c r="AH622" i="3"/>
  <c r="AL622" i="3" s="1"/>
  <c r="AG622" i="3"/>
  <c r="AF622" i="3"/>
  <c r="AE622" i="3"/>
  <c r="AC622" i="3"/>
  <c r="AC623" i="3" s="1"/>
  <c r="AC624" i="3" s="1"/>
  <c r="AC625" i="3" s="1"/>
  <c r="O621" i="3"/>
  <c r="N621" i="3"/>
  <c r="O620" i="3"/>
  <c r="N620" i="3"/>
  <c r="AI619" i="3"/>
  <c r="AH619" i="3"/>
  <c r="AH620" i="3" s="1"/>
  <c r="AH621" i="3" s="1"/>
  <c r="AG619" i="3"/>
  <c r="AG620" i="3" s="1"/>
  <c r="AG621" i="3" s="1"/>
  <c r="AF619" i="3"/>
  <c r="AF620" i="3" s="1"/>
  <c r="AF621" i="3" s="1"/>
  <c r="AE619" i="3"/>
  <c r="Y619" i="3"/>
  <c r="X619" i="3"/>
  <c r="W619" i="3"/>
  <c r="V619" i="3"/>
  <c r="U619" i="3"/>
  <c r="T619" i="3"/>
  <c r="S619" i="3"/>
  <c r="AI618" i="3"/>
  <c r="AH618" i="3"/>
  <c r="AL618" i="3" s="1"/>
  <c r="AG618" i="3"/>
  <c r="AF618" i="3"/>
  <c r="AE618" i="3"/>
  <c r="AC618" i="3"/>
  <c r="AC619" i="3" s="1"/>
  <c r="Y617" i="3"/>
  <c r="X617" i="3"/>
  <c r="W617" i="3"/>
  <c r="V617" i="3"/>
  <c r="U617" i="3"/>
  <c r="T617" i="3"/>
  <c r="S617" i="3"/>
  <c r="N617" i="3"/>
  <c r="Y616" i="3"/>
  <c r="X616" i="3"/>
  <c r="W616" i="3"/>
  <c r="V616" i="3"/>
  <c r="U616" i="3"/>
  <c r="T616" i="3"/>
  <c r="S616" i="3"/>
  <c r="N616" i="3"/>
  <c r="AI615" i="3"/>
  <c r="AH615" i="3"/>
  <c r="AJ615" i="3" s="1"/>
  <c r="AG615" i="3"/>
  <c r="AF615" i="3"/>
  <c r="AF616" i="3" s="1"/>
  <c r="AF617" i="3" s="1"/>
  <c r="AE615" i="3"/>
  <c r="AI614" i="3"/>
  <c r="AH614" i="3"/>
  <c r="AG614" i="3"/>
  <c r="AF614" i="3"/>
  <c r="AE614" i="3"/>
  <c r="AC614" i="3"/>
  <c r="AC615" i="3" s="1"/>
  <c r="AC616" i="3" s="1"/>
  <c r="AC617" i="3" s="1"/>
  <c r="O613" i="3"/>
  <c r="N613" i="3"/>
  <c r="O612" i="3"/>
  <c r="N612" i="3"/>
  <c r="AI611" i="3"/>
  <c r="AH611" i="3"/>
  <c r="AG611" i="3"/>
  <c r="AG612" i="3" s="1"/>
  <c r="AG613" i="3" s="1"/>
  <c r="AF611" i="3"/>
  <c r="AF612" i="3" s="1"/>
  <c r="AF613" i="3" s="1"/>
  <c r="AE611" i="3"/>
  <c r="Y611" i="3"/>
  <c r="X611" i="3"/>
  <c r="W611" i="3"/>
  <c r="V611" i="3"/>
  <c r="U611" i="3"/>
  <c r="T611" i="3"/>
  <c r="S611" i="3"/>
  <c r="AI610" i="3"/>
  <c r="AH610" i="3"/>
  <c r="AL610" i="3" s="1"/>
  <c r="AG610" i="3"/>
  <c r="AF610" i="3"/>
  <c r="AE610" i="3"/>
  <c r="AC610" i="3"/>
  <c r="AC611" i="3" s="1"/>
  <c r="O609" i="3"/>
  <c r="N609" i="3"/>
  <c r="O608" i="3"/>
  <c r="N608" i="3"/>
  <c r="AI607" i="3"/>
  <c r="AH607" i="3"/>
  <c r="AH608" i="3" s="1"/>
  <c r="AJ608" i="3" s="1"/>
  <c r="AG607" i="3"/>
  <c r="AG608" i="3" s="1"/>
  <c r="AG609" i="3" s="1"/>
  <c r="AF607" i="3"/>
  <c r="AF608" i="3" s="1"/>
  <c r="AF609" i="3" s="1"/>
  <c r="AE607" i="3"/>
  <c r="Y607" i="3"/>
  <c r="X607" i="3"/>
  <c r="W607" i="3"/>
  <c r="V607" i="3"/>
  <c r="U607" i="3"/>
  <c r="T607" i="3"/>
  <c r="S607" i="3"/>
  <c r="AI606" i="3"/>
  <c r="AH606" i="3"/>
  <c r="AM606" i="3" s="1"/>
  <c r="AG606" i="3"/>
  <c r="AF606" i="3"/>
  <c r="AE606" i="3"/>
  <c r="AD606" i="3" s="1"/>
  <c r="AC606" i="3"/>
  <c r="AC607" i="3" s="1"/>
  <c r="Y605" i="3"/>
  <c r="X605" i="3"/>
  <c r="W605" i="3"/>
  <c r="V605" i="3"/>
  <c r="U605" i="3"/>
  <c r="T605" i="3"/>
  <c r="S605" i="3"/>
  <c r="Y604" i="3"/>
  <c r="X604" i="3"/>
  <c r="W604" i="3"/>
  <c r="V604" i="3"/>
  <c r="U604" i="3"/>
  <c r="T604" i="3"/>
  <c r="S604" i="3"/>
  <c r="AI603" i="3"/>
  <c r="AH603" i="3"/>
  <c r="AG603" i="3"/>
  <c r="AG604" i="3" s="1"/>
  <c r="AG605" i="3" s="1"/>
  <c r="AF603" i="3"/>
  <c r="AF604" i="3" s="1"/>
  <c r="AF605" i="3" s="1"/>
  <c r="AE603" i="3"/>
  <c r="AI602" i="3"/>
  <c r="AH602" i="3"/>
  <c r="AK602" i="3" s="1"/>
  <c r="AG602" i="3"/>
  <c r="AF602" i="3"/>
  <c r="AE602" i="3"/>
  <c r="AD602" i="3" s="1"/>
  <c r="AC602" i="3"/>
  <c r="AC603" i="3" s="1"/>
  <c r="AC604" i="3" s="1"/>
  <c r="AC605" i="3" s="1"/>
  <c r="O601" i="3"/>
  <c r="N601" i="3"/>
  <c r="O600" i="3"/>
  <c r="N600" i="3"/>
  <c r="AI599" i="3"/>
  <c r="AI600" i="3" s="1"/>
  <c r="AI601" i="3" s="1"/>
  <c r="AH599" i="3"/>
  <c r="AH600" i="3" s="1"/>
  <c r="AG599" i="3"/>
  <c r="AG600" i="3" s="1"/>
  <c r="AG601" i="3" s="1"/>
  <c r="AF599" i="3"/>
  <c r="AF600" i="3" s="1"/>
  <c r="AF601" i="3" s="1"/>
  <c r="AE599" i="3"/>
  <c r="Y599" i="3"/>
  <c r="X599" i="3"/>
  <c r="W599" i="3"/>
  <c r="V599" i="3"/>
  <c r="U599" i="3"/>
  <c r="T599" i="3"/>
  <c r="S599" i="3"/>
  <c r="AI598" i="3"/>
  <c r="AH598" i="3"/>
  <c r="AM598" i="3" s="1"/>
  <c r="AG598" i="3"/>
  <c r="AF598" i="3"/>
  <c r="AE598" i="3"/>
  <c r="AC598" i="3"/>
  <c r="AC599" i="3" s="1"/>
  <c r="AC600" i="3" s="1"/>
  <c r="AC601" i="3" s="1"/>
  <c r="O597" i="3"/>
  <c r="N597" i="3"/>
  <c r="O596" i="3"/>
  <c r="N596" i="3"/>
  <c r="AI595" i="3"/>
  <c r="AH595" i="3"/>
  <c r="AG595" i="3"/>
  <c r="AG596" i="3" s="1"/>
  <c r="AG597" i="3" s="1"/>
  <c r="AF595" i="3"/>
  <c r="AF596" i="3" s="1"/>
  <c r="AF597" i="3" s="1"/>
  <c r="AE595" i="3"/>
  <c r="Y595" i="3"/>
  <c r="X595" i="3"/>
  <c r="W595" i="3"/>
  <c r="V595" i="3"/>
  <c r="U595" i="3"/>
  <c r="T595" i="3"/>
  <c r="S595" i="3"/>
  <c r="AI594" i="3"/>
  <c r="AH594" i="3"/>
  <c r="AG594" i="3"/>
  <c r="AF594" i="3"/>
  <c r="AE594" i="3"/>
  <c r="AD594" i="3" s="1"/>
  <c r="AC594" i="3"/>
  <c r="AC595" i="3" s="1"/>
  <c r="Y593" i="3"/>
  <c r="X593" i="3"/>
  <c r="W593" i="3"/>
  <c r="V593" i="3"/>
  <c r="U593" i="3"/>
  <c r="T593" i="3"/>
  <c r="S593" i="3"/>
  <c r="N593" i="3"/>
  <c r="Y592" i="3"/>
  <c r="X592" i="3"/>
  <c r="W592" i="3"/>
  <c r="V592" i="3"/>
  <c r="U592" i="3"/>
  <c r="T592" i="3"/>
  <c r="S592" i="3"/>
  <c r="N592" i="3"/>
  <c r="AI591" i="3"/>
  <c r="AH591" i="3"/>
  <c r="AG591" i="3"/>
  <c r="AG592" i="3" s="1"/>
  <c r="AG593" i="3" s="1"/>
  <c r="AF591" i="3"/>
  <c r="AF592" i="3" s="1"/>
  <c r="AF593" i="3" s="1"/>
  <c r="AE591" i="3"/>
  <c r="AI590" i="3"/>
  <c r="AH590" i="3"/>
  <c r="AK590" i="3" s="1"/>
  <c r="AG590" i="3"/>
  <c r="AF590" i="3"/>
  <c r="AE590" i="3"/>
  <c r="AC590" i="3"/>
  <c r="AC591" i="3" s="1"/>
  <c r="AC592" i="3" s="1"/>
  <c r="AC593" i="3" s="1"/>
  <c r="O589" i="3"/>
  <c r="N589" i="3"/>
  <c r="O588" i="3"/>
  <c r="N588" i="3"/>
  <c r="AI587" i="3"/>
  <c r="AH587" i="3"/>
  <c r="AH588" i="3" s="1"/>
  <c r="AG587" i="3"/>
  <c r="AG588" i="3" s="1"/>
  <c r="AG589" i="3" s="1"/>
  <c r="AF587" i="3"/>
  <c r="AF588" i="3" s="1"/>
  <c r="AF589" i="3" s="1"/>
  <c r="AE587" i="3"/>
  <c r="Y587" i="3"/>
  <c r="X587" i="3"/>
  <c r="W587" i="3"/>
  <c r="V587" i="3"/>
  <c r="U587" i="3"/>
  <c r="T587" i="3"/>
  <c r="S587" i="3"/>
  <c r="AI586" i="3"/>
  <c r="AH586" i="3"/>
  <c r="AG586" i="3"/>
  <c r="AF586" i="3"/>
  <c r="AE586" i="3"/>
  <c r="AC586" i="3"/>
  <c r="AC587" i="3" s="1"/>
  <c r="AC588" i="3" s="1"/>
  <c r="AC589" i="3" s="1"/>
  <c r="O585" i="3"/>
  <c r="N585" i="3"/>
  <c r="O584" i="3"/>
  <c r="N584" i="3"/>
  <c r="AI583" i="3"/>
  <c r="AI584" i="3" s="1"/>
  <c r="AI585" i="3" s="1"/>
  <c r="AH583" i="3"/>
  <c r="AG583" i="3"/>
  <c r="AG584" i="3" s="1"/>
  <c r="AG585" i="3" s="1"/>
  <c r="AF583" i="3"/>
  <c r="AF584" i="3" s="1"/>
  <c r="AF585" i="3" s="1"/>
  <c r="AE583" i="3"/>
  <c r="Y583" i="3"/>
  <c r="X583" i="3"/>
  <c r="W583" i="3"/>
  <c r="V583" i="3"/>
  <c r="U583" i="3"/>
  <c r="T583" i="3"/>
  <c r="S583" i="3"/>
  <c r="AI582" i="3"/>
  <c r="AH582" i="3"/>
  <c r="AM582" i="3" s="1"/>
  <c r="AG582" i="3"/>
  <c r="AF582" i="3"/>
  <c r="AE582" i="3"/>
  <c r="AC582" i="3"/>
  <c r="AC583" i="3" s="1"/>
  <c r="AC584" i="3" s="1"/>
  <c r="AC585" i="3" s="1"/>
  <c r="Y581" i="3"/>
  <c r="X581" i="3"/>
  <c r="W581" i="3"/>
  <c r="V581" i="3"/>
  <c r="U581" i="3"/>
  <c r="T581" i="3"/>
  <c r="S581" i="3"/>
  <c r="N581" i="3"/>
  <c r="Y580" i="3"/>
  <c r="X580" i="3"/>
  <c r="W580" i="3"/>
  <c r="V580" i="3"/>
  <c r="U580" i="3"/>
  <c r="T580" i="3"/>
  <c r="S580" i="3"/>
  <c r="AI579" i="3"/>
  <c r="AI580" i="3" s="1"/>
  <c r="AI581" i="3" s="1"/>
  <c r="AH579" i="3"/>
  <c r="AG579" i="3"/>
  <c r="AG580" i="3" s="1"/>
  <c r="AG581" i="3" s="1"/>
  <c r="AF579" i="3"/>
  <c r="AF580" i="3" s="1"/>
  <c r="AF581" i="3" s="1"/>
  <c r="AE579" i="3"/>
  <c r="AI578" i="3"/>
  <c r="AH578" i="3"/>
  <c r="AG578" i="3"/>
  <c r="AF578" i="3"/>
  <c r="AE578" i="3"/>
  <c r="AD578" i="3" s="1"/>
  <c r="AC578" i="3"/>
  <c r="AC579" i="3" s="1"/>
  <c r="AC580" i="3" s="1"/>
  <c r="AC581" i="3" s="1"/>
  <c r="O577" i="3"/>
  <c r="N577" i="3"/>
  <c r="O576" i="3"/>
  <c r="N576" i="3"/>
  <c r="AI575" i="3"/>
  <c r="AI576" i="3" s="1"/>
  <c r="AI577" i="3" s="1"/>
  <c r="AH575" i="3"/>
  <c r="AG575" i="3"/>
  <c r="AG576" i="3" s="1"/>
  <c r="AG577" i="3" s="1"/>
  <c r="AF575" i="3"/>
  <c r="AF576" i="3" s="1"/>
  <c r="AF577" i="3" s="1"/>
  <c r="AE575" i="3"/>
  <c r="Y575" i="3"/>
  <c r="X575" i="3"/>
  <c r="W575" i="3"/>
  <c r="V575" i="3"/>
  <c r="U575" i="3"/>
  <c r="T575" i="3"/>
  <c r="S575" i="3"/>
  <c r="AI574" i="3"/>
  <c r="AH574" i="3"/>
  <c r="AG574" i="3"/>
  <c r="AF574" i="3"/>
  <c r="AE574" i="3"/>
  <c r="AC574" i="3"/>
  <c r="AC575" i="3" s="1"/>
  <c r="AC576" i="3" s="1"/>
  <c r="AC577" i="3" s="1"/>
  <c r="N561" i="3"/>
  <c r="O560" i="3"/>
  <c r="N560" i="3"/>
  <c r="AI559" i="3"/>
  <c r="AH559" i="3"/>
  <c r="AG559" i="3"/>
  <c r="AG560" i="3" s="1"/>
  <c r="AG561" i="3" s="1"/>
  <c r="AF559" i="3"/>
  <c r="AF560" i="3" s="1"/>
  <c r="AF561" i="3" s="1"/>
  <c r="AE559" i="3"/>
  <c r="Y559" i="3"/>
  <c r="X559" i="3"/>
  <c r="W559" i="3"/>
  <c r="V559" i="3"/>
  <c r="U559" i="3"/>
  <c r="T559" i="3"/>
  <c r="S559" i="3"/>
  <c r="AI558" i="3"/>
  <c r="AH558" i="3"/>
  <c r="AM558" i="3" s="1"/>
  <c r="AG558" i="3"/>
  <c r="AF558" i="3"/>
  <c r="AE558" i="3"/>
  <c r="AC558" i="3"/>
  <c r="AC559" i="3" s="1"/>
  <c r="AC560" i="3" s="1"/>
  <c r="AC561" i="3" s="1"/>
  <c r="Y557" i="3"/>
  <c r="X557" i="3"/>
  <c r="W557" i="3"/>
  <c r="V557" i="3"/>
  <c r="U557" i="3"/>
  <c r="T557" i="3"/>
  <c r="S557" i="3"/>
  <c r="N557" i="3"/>
  <c r="Y556" i="3"/>
  <c r="X556" i="3"/>
  <c r="W556" i="3"/>
  <c r="V556" i="3"/>
  <c r="U556" i="3"/>
  <c r="T556" i="3"/>
  <c r="S556" i="3"/>
  <c r="N556" i="3"/>
  <c r="AI555" i="3"/>
  <c r="AI556" i="3" s="1"/>
  <c r="AI557" i="3" s="1"/>
  <c r="AH555" i="3"/>
  <c r="AJ555" i="3" s="1"/>
  <c r="AG555" i="3"/>
  <c r="AG556" i="3" s="1"/>
  <c r="AG557" i="3" s="1"/>
  <c r="AF555" i="3"/>
  <c r="AF556" i="3" s="1"/>
  <c r="AF557" i="3" s="1"/>
  <c r="AE555" i="3"/>
  <c r="AI554" i="3"/>
  <c r="AH554" i="3"/>
  <c r="AG554" i="3"/>
  <c r="AF554" i="3"/>
  <c r="AE554" i="3"/>
  <c r="AC554" i="3"/>
  <c r="AC555" i="3" s="1"/>
  <c r="AC556" i="3" s="1"/>
  <c r="AC557" i="3" s="1"/>
  <c r="O553" i="3"/>
  <c r="N553" i="3"/>
  <c r="O552" i="3"/>
  <c r="N552" i="3"/>
  <c r="AI551" i="3"/>
  <c r="AI552" i="3" s="1"/>
  <c r="AI553" i="3" s="1"/>
  <c r="AH551" i="3"/>
  <c r="AH552" i="3" s="1"/>
  <c r="AH553" i="3" s="1"/>
  <c r="AG551" i="3"/>
  <c r="AG552" i="3" s="1"/>
  <c r="AG553" i="3" s="1"/>
  <c r="AF551" i="3"/>
  <c r="AF552" i="3" s="1"/>
  <c r="AF553" i="3" s="1"/>
  <c r="AE551" i="3"/>
  <c r="Y551" i="3"/>
  <c r="X551" i="3"/>
  <c r="W551" i="3"/>
  <c r="V551" i="3"/>
  <c r="U551" i="3"/>
  <c r="T551" i="3"/>
  <c r="S551" i="3"/>
  <c r="AI550" i="3"/>
  <c r="AH550" i="3"/>
  <c r="AL550" i="3" s="1"/>
  <c r="AG550" i="3"/>
  <c r="AF550" i="3"/>
  <c r="AE550" i="3"/>
  <c r="AC550" i="3"/>
  <c r="AC551" i="3" s="1"/>
  <c r="O537" i="3"/>
  <c r="N537" i="3"/>
  <c r="N536" i="3"/>
  <c r="AI535" i="3"/>
  <c r="AI536" i="3" s="1"/>
  <c r="AI537" i="3" s="1"/>
  <c r="AH535" i="3"/>
  <c r="AG535" i="3"/>
  <c r="AG536" i="3" s="1"/>
  <c r="AG537" i="3" s="1"/>
  <c r="AF535" i="3"/>
  <c r="AF536" i="3" s="1"/>
  <c r="AF537" i="3" s="1"/>
  <c r="AE535" i="3"/>
  <c r="Y535" i="3"/>
  <c r="X535" i="3"/>
  <c r="W535" i="3"/>
  <c r="V535" i="3"/>
  <c r="U535" i="3"/>
  <c r="T535" i="3"/>
  <c r="S535" i="3"/>
  <c r="AI534" i="3"/>
  <c r="AH534" i="3"/>
  <c r="AM534" i="3" s="1"/>
  <c r="AG534" i="3"/>
  <c r="AF534" i="3"/>
  <c r="AE534" i="3"/>
  <c r="AC534" i="3"/>
  <c r="AC535" i="3" s="1"/>
  <c r="AC536" i="3" s="1"/>
  <c r="AC537" i="3" s="1"/>
  <c r="Y533" i="3"/>
  <c r="X533" i="3"/>
  <c r="W533" i="3"/>
  <c r="V533" i="3"/>
  <c r="U533" i="3"/>
  <c r="T533" i="3"/>
  <c r="S533" i="3"/>
  <c r="Y532" i="3"/>
  <c r="X532" i="3"/>
  <c r="W532" i="3"/>
  <c r="V532" i="3"/>
  <c r="U532" i="3"/>
  <c r="T532" i="3"/>
  <c r="S532" i="3"/>
  <c r="N532" i="3"/>
  <c r="AI531" i="3"/>
  <c r="AI532" i="3" s="1"/>
  <c r="AI533" i="3" s="1"/>
  <c r="AH531" i="3"/>
  <c r="AG531" i="3"/>
  <c r="AG532" i="3" s="1"/>
  <c r="AG533" i="3" s="1"/>
  <c r="AF531" i="3"/>
  <c r="AF532" i="3" s="1"/>
  <c r="AF533" i="3" s="1"/>
  <c r="AE531" i="3"/>
  <c r="AI530" i="3"/>
  <c r="AH530" i="3"/>
  <c r="AJ530" i="3" s="1"/>
  <c r="AG530" i="3"/>
  <c r="AF530" i="3"/>
  <c r="AE530" i="3"/>
  <c r="AC530" i="3"/>
  <c r="AC531" i="3" s="1"/>
  <c r="AC532" i="3" s="1"/>
  <c r="AC533" i="3" s="1"/>
  <c r="O529" i="3"/>
  <c r="N529" i="3"/>
  <c r="O528" i="3"/>
  <c r="N528" i="3"/>
  <c r="AI527" i="3"/>
  <c r="AH527" i="3"/>
  <c r="AG527" i="3"/>
  <c r="AG528" i="3" s="1"/>
  <c r="AG529" i="3" s="1"/>
  <c r="AF527" i="3"/>
  <c r="AF528" i="3" s="1"/>
  <c r="AF529" i="3" s="1"/>
  <c r="AE527" i="3"/>
  <c r="Y527" i="3"/>
  <c r="X527" i="3"/>
  <c r="W527" i="3"/>
  <c r="V527" i="3"/>
  <c r="U527" i="3"/>
  <c r="T527" i="3"/>
  <c r="S527" i="3"/>
  <c r="AI526" i="3"/>
  <c r="AH526" i="3"/>
  <c r="AG526" i="3"/>
  <c r="AF526" i="3"/>
  <c r="AE526" i="3"/>
  <c r="AC526" i="3"/>
  <c r="AC527" i="3" s="1"/>
  <c r="AC528" i="3" s="1"/>
  <c r="AC529" i="3" s="1"/>
  <c r="O513" i="3"/>
  <c r="N513" i="3"/>
  <c r="N512" i="3"/>
  <c r="AI511" i="3"/>
  <c r="AI512" i="3" s="1"/>
  <c r="AI513" i="3" s="1"/>
  <c r="AH511" i="3"/>
  <c r="AG511" i="3"/>
  <c r="AG512" i="3" s="1"/>
  <c r="AG513" i="3" s="1"/>
  <c r="AF511" i="3"/>
  <c r="AF512" i="3" s="1"/>
  <c r="AF513" i="3" s="1"/>
  <c r="AE511" i="3"/>
  <c r="Y511" i="3"/>
  <c r="X511" i="3"/>
  <c r="W511" i="3"/>
  <c r="V511" i="3"/>
  <c r="U511" i="3"/>
  <c r="T511" i="3"/>
  <c r="S511" i="3"/>
  <c r="AI510" i="3"/>
  <c r="AH510" i="3"/>
  <c r="AG510" i="3"/>
  <c r="AF510" i="3"/>
  <c r="AE510" i="3"/>
  <c r="AD510" i="3" s="1"/>
  <c r="AC510" i="3"/>
  <c r="AC511" i="3" s="1"/>
  <c r="AC512" i="3" s="1"/>
  <c r="AC513" i="3" s="1"/>
  <c r="Y509" i="3"/>
  <c r="X509" i="3"/>
  <c r="W509" i="3"/>
  <c r="V509" i="3"/>
  <c r="U509" i="3"/>
  <c r="T509" i="3"/>
  <c r="S509" i="3"/>
  <c r="N509" i="3"/>
  <c r="Y508" i="3"/>
  <c r="X508" i="3"/>
  <c r="W508" i="3"/>
  <c r="V508" i="3"/>
  <c r="U508" i="3"/>
  <c r="T508" i="3"/>
  <c r="S508" i="3"/>
  <c r="N508" i="3"/>
  <c r="AI507" i="3"/>
  <c r="AI508" i="3" s="1"/>
  <c r="AI509" i="3" s="1"/>
  <c r="AH507" i="3"/>
  <c r="AH508" i="3" s="1"/>
  <c r="AH509" i="3" s="1"/>
  <c r="AG507" i="3"/>
  <c r="AG508" i="3" s="1"/>
  <c r="AG509" i="3" s="1"/>
  <c r="AF507" i="3"/>
  <c r="AF508" i="3" s="1"/>
  <c r="AF509" i="3" s="1"/>
  <c r="AE507" i="3"/>
  <c r="AI506" i="3"/>
  <c r="AH506" i="3"/>
  <c r="AM506" i="3" s="1"/>
  <c r="AG506" i="3"/>
  <c r="AF506" i="3"/>
  <c r="AE506" i="3"/>
  <c r="AD506" i="3" s="1"/>
  <c r="AC506" i="3"/>
  <c r="AC507" i="3" s="1"/>
  <c r="AC508" i="3" s="1"/>
  <c r="AC509" i="3" s="1"/>
  <c r="O505" i="3"/>
  <c r="N505" i="3"/>
  <c r="O504" i="3"/>
  <c r="N504" i="3"/>
  <c r="AI503" i="3"/>
  <c r="AI504" i="3" s="1"/>
  <c r="AI505" i="3" s="1"/>
  <c r="AH503" i="3"/>
  <c r="AG503" i="3"/>
  <c r="AG504" i="3" s="1"/>
  <c r="AG505" i="3" s="1"/>
  <c r="AF503" i="3"/>
  <c r="AF504" i="3" s="1"/>
  <c r="AF505" i="3" s="1"/>
  <c r="AE503" i="3"/>
  <c r="Y503" i="3"/>
  <c r="X503" i="3"/>
  <c r="W503" i="3"/>
  <c r="V503" i="3"/>
  <c r="U503" i="3"/>
  <c r="T503" i="3"/>
  <c r="S503" i="3"/>
  <c r="AI502" i="3"/>
  <c r="AH502" i="3"/>
  <c r="AG502" i="3"/>
  <c r="AF502" i="3"/>
  <c r="AE502" i="3"/>
  <c r="AC502" i="3"/>
  <c r="AC503" i="3" s="1"/>
  <c r="AC504" i="3" s="1"/>
  <c r="AC505" i="3" s="1"/>
  <c r="O489" i="3"/>
  <c r="N489" i="3"/>
  <c r="N488" i="3"/>
  <c r="AI487" i="3"/>
  <c r="AH487" i="3"/>
  <c r="AG487" i="3"/>
  <c r="AG488" i="3" s="1"/>
  <c r="AG489" i="3" s="1"/>
  <c r="AF487" i="3"/>
  <c r="AF488" i="3" s="1"/>
  <c r="AF489" i="3" s="1"/>
  <c r="AE487" i="3"/>
  <c r="Y487" i="3"/>
  <c r="X487" i="3"/>
  <c r="W487" i="3"/>
  <c r="V487" i="3"/>
  <c r="U487" i="3"/>
  <c r="T487" i="3"/>
  <c r="S487" i="3"/>
  <c r="AI486" i="3"/>
  <c r="AH486" i="3"/>
  <c r="AL486" i="3" s="1"/>
  <c r="AG486" i="3"/>
  <c r="AF486" i="3"/>
  <c r="AE486" i="3"/>
  <c r="AC486" i="3"/>
  <c r="AC487" i="3" s="1"/>
  <c r="AC488" i="3" s="1"/>
  <c r="AC489" i="3" s="1"/>
  <c r="Y485" i="3"/>
  <c r="X485" i="3"/>
  <c r="W485" i="3"/>
  <c r="V485" i="3"/>
  <c r="U485" i="3"/>
  <c r="T485" i="3"/>
  <c r="S485" i="3"/>
  <c r="Y484" i="3"/>
  <c r="X484" i="3"/>
  <c r="W484" i="3"/>
  <c r="V484" i="3"/>
  <c r="U484" i="3"/>
  <c r="T484" i="3"/>
  <c r="S484" i="3"/>
  <c r="N484" i="3"/>
  <c r="AI483" i="3"/>
  <c r="AI484" i="3" s="1"/>
  <c r="AI485" i="3" s="1"/>
  <c r="AH483" i="3"/>
  <c r="AG483" i="3"/>
  <c r="AF483" i="3"/>
  <c r="AF484" i="3" s="1"/>
  <c r="AF485" i="3" s="1"/>
  <c r="AE483" i="3"/>
  <c r="AI482" i="3"/>
  <c r="AH482" i="3"/>
  <c r="AL482" i="3" s="1"/>
  <c r="AG482" i="3"/>
  <c r="AF482" i="3"/>
  <c r="AE482" i="3"/>
  <c r="AC482" i="3"/>
  <c r="AC483" i="3" s="1"/>
  <c r="AC484" i="3" s="1"/>
  <c r="AC485" i="3" s="1"/>
  <c r="O481" i="3"/>
  <c r="N481" i="3"/>
  <c r="O480" i="3"/>
  <c r="N480" i="3"/>
  <c r="AI479" i="3"/>
  <c r="AI480" i="3" s="1"/>
  <c r="AI481" i="3" s="1"/>
  <c r="AH479" i="3"/>
  <c r="AG479" i="3"/>
  <c r="AG480" i="3" s="1"/>
  <c r="AG481" i="3" s="1"/>
  <c r="AF479" i="3"/>
  <c r="AF480" i="3" s="1"/>
  <c r="AF481" i="3" s="1"/>
  <c r="AE479" i="3"/>
  <c r="Y479" i="3"/>
  <c r="X479" i="3"/>
  <c r="W479" i="3"/>
  <c r="V479" i="3"/>
  <c r="U479" i="3"/>
  <c r="T479" i="3"/>
  <c r="S479" i="3"/>
  <c r="AI478" i="3"/>
  <c r="AH478" i="3"/>
  <c r="AL478" i="3" s="1"/>
  <c r="AG478" i="3"/>
  <c r="AF478" i="3"/>
  <c r="AE478" i="3"/>
  <c r="AC478" i="3"/>
  <c r="AC479" i="3" s="1"/>
  <c r="AC480" i="3" s="1"/>
  <c r="AC481" i="3" s="1"/>
  <c r="O465" i="3"/>
  <c r="N465" i="3"/>
  <c r="N464" i="3"/>
  <c r="AI463" i="3"/>
  <c r="AI464" i="3" s="1"/>
  <c r="AI465" i="3" s="1"/>
  <c r="AH463" i="3"/>
  <c r="AG463" i="3"/>
  <c r="AG464" i="3" s="1"/>
  <c r="AG465" i="3" s="1"/>
  <c r="AF463" i="3"/>
  <c r="AF464" i="3" s="1"/>
  <c r="AF465" i="3" s="1"/>
  <c r="AE463" i="3"/>
  <c r="Y463" i="3"/>
  <c r="X463" i="3"/>
  <c r="W463" i="3"/>
  <c r="V463" i="3"/>
  <c r="U463" i="3"/>
  <c r="T463" i="3"/>
  <c r="S463" i="3"/>
  <c r="AI462" i="3"/>
  <c r="AH462" i="3"/>
  <c r="AJ462" i="3" s="1"/>
  <c r="AG462" i="3"/>
  <c r="AF462" i="3"/>
  <c r="AE462" i="3"/>
  <c r="AC462" i="3"/>
  <c r="AC463" i="3" s="1"/>
  <c r="Y461" i="3"/>
  <c r="X461" i="3"/>
  <c r="W461" i="3"/>
  <c r="V461" i="3"/>
  <c r="U461" i="3"/>
  <c r="T461" i="3"/>
  <c r="S461" i="3"/>
  <c r="N461" i="3"/>
  <c r="Y460" i="3"/>
  <c r="X460" i="3"/>
  <c r="W460" i="3"/>
  <c r="V460" i="3"/>
  <c r="U460" i="3"/>
  <c r="T460" i="3"/>
  <c r="S460" i="3"/>
  <c r="AI459" i="3"/>
  <c r="AI460" i="3" s="1"/>
  <c r="AI461" i="3" s="1"/>
  <c r="AH459" i="3"/>
  <c r="AH460" i="3" s="1"/>
  <c r="AJ460" i="3" s="1"/>
  <c r="AG459" i="3"/>
  <c r="AG460" i="3" s="1"/>
  <c r="AG461" i="3" s="1"/>
  <c r="AF459" i="3"/>
  <c r="AF460" i="3" s="1"/>
  <c r="AF461" i="3" s="1"/>
  <c r="AE459" i="3"/>
  <c r="AI458" i="3"/>
  <c r="AH458" i="3"/>
  <c r="AK458" i="3" s="1"/>
  <c r="AG458" i="3"/>
  <c r="AF458" i="3"/>
  <c r="AE458" i="3"/>
  <c r="AD458" i="3" s="1"/>
  <c r="AC458" i="3"/>
  <c r="AC459" i="3" s="1"/>
  <c r="AC460" i="3" s="1"/>
  <c r="AC461" i="3" s="1"/>
  <c r="O457" i="3"/>
  <c r="N457" i="3"/>
  <c r="O456" i="3"/>
  <c r="N456" i="3"/>
  <c r="AI455" i="3"/>
  <c r="AH455" i="3"/>
  <c r="AG455" i="3"/>
  <c r="AG456" i="3" s="1"/>
  <c r="AG457" i="3" s="1"/>
  <c r="AF455" i="3"/>
  <c r="AF456" i="3" s="1"/>
  <c r="AF457" i="3" s="1"/>
  <c r="AE455" i="3"/>
  <c r="Y455" i="3"/>
  <c r="X455" i="3"/>
  <c r="W455" i="3"/>
  <c r="V455" i="3"/>
  <c r="U455" i="3"/>
  <c r="T455" i="3"/>
  <c r="S455" i="3"/>
  <c r="AI454" i="3"/>
  <c r="AH454" i="3"/>
  <c r="AM454" i="3" s="1"/>
  <c r="AG454" i="3"/>
  <c r="AF454" i="3"/>
  <c r="AE454" i="3"/>
  <c r="AC454" i="3"/>
  <c r="AC455" i="3" s="1"/>
  <c r="AC456" i="3" s="1"/>
  <c r="AC457" i="3" s="1"/>
  <c r="N453" i="3"/>
  <c r="N452" i="3"/>
  <c r="AI451" i="3"/>
  <c r="AH451" i="3"/>
  <c r="AJ451" i="3" s="1"/>
  <c r="AG451" i="3"/>
  <c r="AG452" i="3" s="1"/>
  <c r="AG453" i="3" s="1"/>
  <c r="AF451" i="3"/>
  <c r="AF452" i="3" s="1"/>
  <c r="AF453" i="3" s="1"/>
  <c r="AE451" i="3"/>
  <c r="Y451" i="3"/>
  <c r="X451" i="3"/>
  <c r="W451" i="3"/>
  <c r="V451" i="3"/>
  <c r="U451" i="3"/>
  <c r="T451" i="3"/>
  <c r="S451" i="3"/>
  <c r="AI450" i="3"/>
  <c r="AH450" i="3"/>
  <c r="AG450" i="3"/>
  <c r="AF450" i="3"/>
  <c r="AE450" i="3"/>
  <c r="AD450" i="3" s="1"/>
  <c r="AC450" i="3"/>
  <c r="AC451" i="3" s="1"/>
  <c r="AC452" i="3" s="1"/>
  <c r="AC453" i="3" s="1"/>
  <c r="Y449" i="3"/>
  <c r="X449" i="3"/>
  <c r="W449" i="3"/>
  <c r="V449" i="3"/>
  <c r="U449" i="3"/>
  <c r="T449" i="3"/>
  <c r="S449" i="3"/>
  <c r="N449" i="3"/>
  <c r="Y448" i="3"/>
  <c r="X448" i="3"/>
  <c r="W448" i="3"/>
  <c r="V448" i="3"/>
  <c r="U448" i="3"/>
  <c r="T448" i="3"/>
  <c r="S448" i="3"/>
  <c r="N448" i="3"/>
  <c r="AI447" i="3"/>
  <c r="AI448" i="3" s="1"/>
  <c r="AI449" i="3" s="1"/>
  <c r="AH447" i="3"/>
  <c r="AJ447" i="3" s="1"/>
  <c r="AG447" i="3"/>
  <c r="AG448" i="3" s="1"/>
  <c r="AG449" i="3" s="1"/>
  <c r="AF447" i="3"/>
  <c r="AF448" i="3" s="1"/>
  <c r="AF449" i="3" s="1"/>
  <c r="AE447" i="3"/>
  <c r="AI446" i="3"/>
  <c r="AH446" i="3"/>
  <c r="AM446" i="3" s="1"/>
  <c r="AG446" i="3"/>
  <c r="AF446" i="3"/>
  <c r="AE446" i="3"/>
  <c r="AC446" i="3"/>
  <c r="AC447" i="3" s="1"/>
  <c r="AC448" i="3" s="1"/>
  <c r="AC449" i="3" s="1"/>
  <c r="O445" i="3"/>
  <c r="N445" i="3"/>
  <c r="O444" i="3"/>
  <c r="N444" i="3"/>
  <c r="AI443" i="3"/>
  <c r="AH443" i="3"/>
  <c r="AJ443" i="3" s="1"/>
  <c r="AG443" i="3"/>
  <c r="AG444" i="3" s="1"/>
  <c r="AG445" i="3" s="1"/>
  <c r="AF443" i="3"/>
  <c r="AF444" i="3" s="1"/>
  <c r="AF445" i="3" s="1"/>
  <c r="AE443" i="3"/>
  <c r="Y443" i="3"/>
  <c r="X443" i="3"/>
  <c r="W443" i="3"/>
  <c r="V443" i="3"/>
  <c r="U443" i="3"/>
  <c r="T443" i="3"/>
  <c r="S443" i="3"/>
  <c r="AI442" i="3"/>
  <c r="AH442" i="3"/>
  <c r="AJ442" i="3" s="1"/>
  <c r="AG442" i="3"/>
  <c r="AF442" i="3"/>
  <c r="AE442" i="3"/>
  <c r="AC442" i="3"/>
  <c r="AC443" i="3" s="1"/>
  <c r="AC444" i="3" s="1"/>
  <c r="AC445" i="3" s="1"/>
  <c r="O441" i="3"/>
  <c r="N441" i="3"/>
  <c r="O440" i="3"/>
  <c r="N440" i="3"/>
  <c r="AI439" i="3"/>
  <c r="AI440" i="3" s="1"/>
  <c r="AI441" i="3" s="1"/>
  <c r="AH439" i="3"/>
  <c r="AH440" i="3" s="1"/>
  <c r="AG439" i="3"/>
  <c r="AG440" i="3" s="1"/>
  <c r="AG441" i="3" s="1"/>
  <c r="AF439" i="3"/>
  <c r="AF440" i="3" s="1"/>
  <c r="AF441" i="3" s="1"/>
  <c r="AE439" i="3"/>
  <c r="Y439" i="3"/>
  <c r="X439" i="3"/>
  <c r="W439" i="3"/>
  <c r="V439" i="3"/>
  <c r="U439" i="3"/>
  <c r="T439" i="3"/>
  <c r="S439" i="3"/>
  <c r="AI438" i="3"/>
  <c r="AH438" i="3"/>
  <c r="AK438" i="3" s="1"/>
  <c r="AG438" i="3"/>
  <c r="AF438" i="3"/>
  <c r="AE438" i="3"/>
  <c r="AD438" i="3" s="1"/>
  <c r="AC438" i="3"/>
  <c r="AC439" i="3" s="1"/>
  <c r="Y437" i="3"/>
  <c r="X437" i="3"/>
  <c r="W437" i="3"/>
  <c r="V437" i="3"/>
  <c r="U437" i="3"/>
  <c r="T437" i="3"/>
  <c r="S437" i="3"/>
  <c r="N437" i="3"/>
  <c r="Y436" i="3"/>
  <c r="X436" i="3"/>
  <c r="W436" i="3"/>
  <c r="V436" i="3"/>
  <c r="U436" i="3"/>
  <c r="T436" i="3"/>
  <c r="S436" i="3"/>
  <c r="AI435" i="3"/>
  <c r="AI436" i="3" s="1"/>
  <c r="AI437" i="3" s="1"/>
  <c r="AH435" i="3"/>
  <c r="AG435" i="3"/>
  <c r="AG436" i="3" s="1"/>
  <c r="AG437" i="3" s="1"/>
  <c r="AF435" i="3"/>
  <c r="AF436" i="3" s="1"/>
  <c r="AF437" i="3" s="1"/>
  <c r="AE435" i="3"/>
  <c r="AI434" i="3"/>
  <c r="AH434" i="3"/>
  <c r="AJ434" i="3" s="1"/>
  <c r="AG434" i="3"/>
  <c r="AF434" i="3"/>
  <c r="AE434" i="3"/>
  <c r="AD434" i="3" s="1"/>
  <c r="AC434" i="3"/>
  <c r="AC435" i="3" s="1"/>
  <c r="O433" i="3"/>
  <c r="N433" i="3"/>
  <c r="O432" i="3"/>
  <c r="N432" i="3"/>
  <c r="AI431" i="3"/>
  <c r="AH431" i="3"/>
  <c r="AJ431" i="3" s="1"/>
  <c r="AG431" i="3"/>
  <c r="AG432" i="3" s="1"/>
  <c r="AG433" i="3" s="1"/>
  <c r="AF431" i="3"/>
  <c r="AF432" i="3" s="1"/>
  <c r="AF433" i="3" s="1"/>
  <c r="AE431" i="3"/>
  <c r="Y431" i="3"/>
  <c r="X431" i="3"/>
  <c r="W431" i="3"/>
  <c r="V431" i="3"/>
  <c r="U431" i="3"/>
  <c r="T431" i="3"/>
  <c r="S431" i="3"/>
  <c r="AI430" i="3"/>
  <c r="AH430" i="3"/>
  <c r="AG430" i="3"/>
  <c r="AF430" i="3"/>
  <c r="AE430" i="3"/>
  <c r="AC430" i="3"/>
  <c r="AC431" i="3" s="1"/>
  <c r="AC432" i="3" s="1"/>
  <c r="AC433" i="3" s="1"/>
  <c r="O429" i="3"/>
  <c r="N429" i="3"/>
  <c r="N428" i="3"/>
  <c r="AI427" i="3"/>
  <c r="AH427" i="3"/>
  <c r="AG427" i="3"/>
  <c r="AG428" i="3" s="1"/>
  <c r="AG429" i="3" s="1"/>
  <c r="AF427" i="3"/>
  <c r="AF428" i="3" s="1"/>
  <c r="AF429" i="3" s="1"/>
  <c r="AE427" i="3"/>
  <c r="Y427" i="3"/>
  <c r="X427" i="3"/>
  <c r="W427" i="3"/>
  <c r="V427" i="3"/>
  <c r="U427" i="3"/>
  <c r="T427" i="3"/>
  <c r="S427" i="3"/>
  <c r="AI426" i="3"/>
  <c r="AH426" i="3"/>
  <c r="AM426" i="3" s="1"/>
  <c r="AG426" i="3"/>
  <c r="AF426" i="3"/>
  <c r="AE426" i="3"/>
  <c r="AC426" i="3"/>
  <c r="AC427" i="3" s="1"/>
  <c r="Y425" i="3"/>
  <c r="X425" i="3"/>
  <c r="W425" i="3"/>
  <c r="V425" i="3"/>
  <c r="U425" i="3"/>
  <c r="T425" i="3"/>
  <c r="S425" i="3"/>
  <c r="N425" i="3"/>
  <c r="Y424" i="3"/>
  <c r="X424" i="3"/>
  <c r="W424" i="3"/>
  <c r="V424" i="3"/>
  <c r="U424" i="3"/>
  <c r="T424" i="3"/>
  <c r="S424" i="3"/>
  <c r="AI423" i="3"/>
  <c r="AI424" i="3" s="1"/>
  <c r="AI425" i="3" s="1"/>
  <c r="AH423" i="3"/>
  <c r="AH424" i="3" s="1"/>
  <c r="AH425" i="3" s="1"/>
  <c r="AG423" i="3"/>
  <c r="AG424" i="3" s="1"/>
  <c r="AG425" i="3" s="1"/>
  <c r="AF423" i="3"/>
  <c r="AF424" i="3" s="1"/>
  <c r="AF425" i="3" s="1"/>
  <c r="AE423" i="3"/>
  <c r="AI422" i="3"/>
  <c r="AH422" i="3"/>
  <c r="AM422" i="3" s="1"/>
  <c r="AG422" i="3"/>
  <c r="AF422" i="3"/>
  <c r="AE422" i="3"/>
  <c r="AC422" i="3"/>
  <c r="AC423" i="3" s="1"/>
  <c r="AC424" i="3" s="1"/>
  <c r="AC425" i="3" s="1"/>
  <c r="O421" i="3"/>
  <c r="N421" i="3"/>
  <c r="O420" i="3"/>
  <c r="N420" i="3"/>
  <c r="AI419" i="3"/>
  <c r="AH419" i="3"/>
  <c r="AJ419" i="3" s="1"/>
  <c r="AG419" i="3"/>
  <c r="AF419" i="3"/>
  <c r="AF420" i="3" s="1"/>
  <c r="AF421" i="3" s="1"/>
  <c r="AE419" i="3"/>
  <c r="Y419" i="3"/>
  <c r="X419" i="3"/>
  <c r="W419" i="3"/>
  <c r="V419" i="3"/>
  <c r="U419" i="3"/>
  <c r="T419" i="3"/>
  <c r="S419" i="3"/>
  <c r="AI418" i="3"/>
  <c r="AH418" i="3"/>
  <c r="AG418" i="3"/>
  <c r="AF418" i="3"/>
  <c r="AE418" i="3"/>
  <c r="AD418" i="3" s="1"/>
  <c r="AC418" i="3"/>
  <c r="AC419" i="3" s="1"/>
  <c r="O393" i="3"/>
  <c r="N393" i="3"/>
  <c r="N392" i="3"/>
  <c r="AI391" i="3"/>
  <c r="AI392" i="3" s="1"/>
  <c r="AI393" i="3" s="1"/>
  <c r="AH391" i="3"/>
  <c r="AH392" i="3" s="1"/>
  <c r="AJ392" i="3" s="1"/>
  <c r="AG391" i="3"/>
  <c r="AG392" i="3" s="1"/>
  <c r="AG393" i="3" s="1"/>
  <c r="AF391" i="3"/>
  <c r="AF392" i="3" s="1"/>
  <c r="AF393" i="3" s="1"/>
  <c r="AE391" i="3"/>
  <c r="Y391" i="3"/>
  <c r="X391" i="3"/>
  <c r="W391" i="3"/>
  <c r="V391" i="3"/>
  <c r="U391" i="3"/>
  <c r="T391" i="3"/>
  <c r="S391" i="3"/>
  <c r="AI390" i="3"/>
  <c r="AH390" i="3"/>
  <c r="AJ390" i="3" s="1"/>
  <c r="AG390" i="3"/>
  <c r="AF390" i="3"/>
  <c r="AE390" i="3"/>
  <c r="AC390" i="3"/>
  <c r="AC391" i="3" s="1"/>
  <c r="AC392" i="3" s="1"/>
  <c r="AC393" i="3" s="1"/>
  <c r="Y389" i="3"/>
  <c r="X389" i="3"/>
  <c r="W389" i="3"/>
  <c r="V389" i="3"/>
  <c r="U389" i="3"/>
  <c r="T389" i="3"/>
  <c r="S389" i="3"/>
  <c r="N389" i="3"/>
  <c r="Y388" i="3"/>
  <c r="X388" i="3"/>
  <c r="W388" i="3"/>
  <c r="V388" i="3"/>
  <c r="U388" i="3"/>
  <c r="T388" i="3"/>
  <c r="S388" i="3"/>
  <c r="AI387" i="3"/>
  <c r="AI388" i="3" s="1"/>
  <c r="AI389" i="3" s="1"/>
  <c r="AH387" i="3"/>
  <c r="AJ387" i="3" s="1"/>
  <c r="AG387" i="3"/>
  <c r="AG388" i="3" s="1"/>
  <c r="AG389" i="3" s="1"/>
  <c r="AF387" i="3"/>
  <c r="AF388" i="3" s="1"/>
  <c r="AF389" i="3" s="1"/>
  <c r="AE387" i="3"/>
  <c r="AI386" i="3"/>
  <c r="AH386" i="3"/>
  <c r="AG386" i="3"/>
  <c r="AF386" i="3"/>
  <c r="AE386" i="3"/>
  <c r="AC386" i="3"/>
  <c r="AC387" i="3" s="1"/>
  <c r="AC388" i="3" s="1"/>
  <c r="AC389" i="3" s="1"/>
  <c r="O385" i="3"/>
  <c r="N385" i="3"/>
  <c r="O384" i="3"/>
  <c r="N384" i="3"/>
  <c r="AI383" i="3"/>
  <c r="AH383" i="3"/>
  <c r="AJ383" i="3" s="1"/>
  <c r="AG383" i="3"/>
  <c r="AG384" i="3" s="1"/>
  <c r="AG385" i="3" s="1"/>
  <c r="AF383" i="3"/>
  <c r="AF384" i="3" s="1"/>
  <c r="AF385" i="3" s="1"/>
  <c r="AE383" i="3"/>
  <c r="Y383" i="3"/>
  <c r="X383" i="3"/>
  <c r="W383" i="3"/>
  <c r="V383" i="3"/>
  <c r="U383" i="3"/>
  <c r="T383" i="3"/>
  <c r="S383" i="3"/>
  <c r="AI382" i="3"/>
  <c r="AH382" i="3"/>
  <c r="AG382" i="3"/>
  <c r="AF382" i="3"/>
  <c r="AE382" i="3"/>
  <c r="AD382" i="3" s="1"/>
  <c r="AC382" i="3"/>
  <c r="AC383" i="3" s="1"/>
  <c r="AC384" i="3" s="1"/>
  <c r="AC385" i="3" s="1"/>
  <c r="O381" i="3"/>
  <c r="N381" i="3"/>
  <c r="N380" i="3"/>
  <c r="AI379" i="3"/>
  <c r="AI380" i="3" s="1"/>
  <c r="AI381" i="3" s="1"/>
  <c r="AH379" i="3"/>
  <c r="AG379" i="3"/>
  <c r="AG380" i="3" s="1"/>
  <c r="AG381" i="3" s="1"/>
  <c r="AF379" i="3"/>
  <c r="AF380" i="3" s="1"/>
  <c r="AF381" i="3" s="1"/>
  <c r="AE379" i="3"/>
  <c r="Y379" i="3"/>
  <c r="X379" i="3"/>
  <c r="W379" i="3"/>
  <c r="V379" i="3"/>
  <c r="U379" i="3"/>
  <c r="T379" i="3"/>
  <c r="S379" i="3"/>
  <c r="AI378" i="3"/>
  <c r="AH378" i="3"/>
  <c r="AJ378" i="3" s="1"/>
  <c r="AG378" i="3"/>
  <c r="AF378" i="3"/>
  <c r="AE378" i="3"/>
  <c r="AC378" i="3"/>
  <c r="AC379" i="3" s="1"/>
  <c r="Y377" i="3"/>
  <c r="X377" i="3"/>
  <c r="W377" i="3"/>
  <c r="V377" i="3"/>
  <c r="U377" i="3"/>
  <c r="T377" i="3"/>
  <c r="S377" i="3"/>
  <c r="N377" i="3"/>
  <c r="Y376" i="3"/>
  <c r="X376" i="3"/>
  <c r="W376" i="3"/>
  <c r="V376" i="3"/>
  <c r="U376" i="3"/>
  <c r="T376" i="3"/>
  <c r="S376" i="3"/>
  <c r="AI375" i="3"/>
  <c r="AI376" i="3" s="1"/>
  <c r="AI377" i="3" s="1"/>
  <c r="AH375" i="3"/>
  <c r="AH376" i="3" s="1"/>
  <c r="AG375" i="3"/>
  <c r="AG376" i="3" s="1"/>
  <c r="AG377" i="3" s="1"/>
  <c r="AF375" i="3"/>
  <c r="AF376" i="3" s="1"/>
  <c r="AF377" i="3" s="1"/>
  <c r="AE375" i="3"/>
  <c r="AI374" i="3"/>
  <c r="AH374" i="3"/>
  <c r="AM374" i="3" s="1"/>
  <c r="AG374" i="3"/>
  <c r="AF374" i="3"/>
  <c r="AE374" i="3"/>
  <c r="AC374" i="3"/>
  <c r="AC375" i="3" s="1"/>
  <c r="AC376" i="3" s="1"/>
  <c r="AC377" i="3" s="1"/>
  <c r="O373" i="3"/>
  <c r="N373" i="3"/>
  <c r="O372" i="3"/>
  <c r="N372" i="3"/>
  <c r="AI371" i="3"/>
  <c r="AH371" i="3"/>
  <c r="AH372" i="3" s="1"/>
  <c r="AJ372" i="3" s="1"/>
  <c r="AG371" i="3"/>
  <c r="AG372" i="3" s="1"/>
  <c r="AG373" i="3" s="1"/>
  <c r="AF371" i="3"/>
  <c r="AF372" i="3" s="1"/>
  <c r="AF373" i="3" s="1"/>
  <c r="AE371" i="3"/>
  <c r="Y371" i="3"/>
  <c r="X371" i="3"/>
  <c r="W371" i="3"/>
  <c r="V371" i="3"/>
  <c r="U371" i="3"/>
  <c r="T371" i="3"/>
  <c r="S371" i="3"/>
  <c r="AI370" i="3"/>
  <c r="AH370" i="3"/>
  <c r="AG370" i="3"/>
  <c r="AF370" i="3"/>
  <c r="AE370" i="3"/>
  <c r="AD370" i="3" s="1"/>
  <c r="AC370" i="3"/>
  <c r="AC371" i="3" s="1"/>
  <c r="O369" i="3"/>
  <c r="N369" i="3"/>
  <c r="O368" i="3"/>
  <c r="N368" i="3"/>
  <c r="AI367" i="3"/>
  <c r="AH367" i="3"/>
  <c r="AG367" i="3"/>
  <c r="AG368" i="3" s="1"/>
  <c r="AG369" i="3" s="1"/>
  <c r="AF367" i="3"/>
  <c r="AF368" i="3" s="1"/>
  <c r="AF369" i="3" s="1"/>
  <c r="AE367" i="3"/>
  <c r="Y367" i="3"/>
  <c r="X367" i="3"/>
  <c r="W367" i="3"/>
  <c r="V367" i="3"/>
  <c r="U367" i="3"/>
  <c r="T367" i="3"/>
  <c r="S367" i="3"/>
  <c r="AI366" i="3"/>
  <c r="AH366" i="3"/>
  <c r="AG366" i="3"/>
  <c r="AF366" i="3"/>
  <c r="AE366" i="3"/>
  <c r="AC366" i="3"/>
  <c r="AC367" i="3" s="1"/>
  <c r="AC368" i="3" s="1"/>
  <c r="AC369" i="3" s="1"/>
  <c r="Y365" i="3"/>
  <c r="X365" i="3"/>
  <c r="W365" i="3"/>
  <c r="V365" i="3"/>
  <c r="U365" i="3"/>
  <c r="T365" i="3"/>
  <c r="S365" i="3"/>
  <c r="N365" i="3"/>
  <c r="Y364" i="3"/>
  <c r="X364" i="3"/>
  <c r="W364" i="3"/>
  <c r="V364" i="3"/>
  <c r="U364" i="3"/>
  <c r="T364" i="3"/>
  <c r="S364" i="3"/>
  <c r="N364" i="3"/>
  <c r="AI363" i="3"/>
  <c r="AI364" i="3" s="1"/>
  <c r="AI365" i="3" s="1"/>
  <c r="AH363" i="3"/>
  <c r="AJ363" i="3" s="1"/>
  <c r="AG363" i="3"/>
  <c r="AG364" i="3" s="1"/>
  <c r="AG365" i="3" s="1"/>
  <c r="AF363" i="3"/>
  <c r="AF364" i="3" s="1"/>
  <c r="AF365" i="3" s="1"/>
  <c r="AE363" i="3"/>
  <c r="AI362" i="3"/>
  <c r="AH362" i="3"/>
  <c r="AK362" i="3" s="1"/>
  <c r="AG362" i="3"/>
  <c r="AF362" i="3"/>
  <c r="AE362" i="3"/>
  <c r="AC362" i="3"/>
  <c r="AC363" i="3" s="1"/>
  <c r="AC364" i="3" s="1"/>
  <c r="AC365" i="3" s="1"/>
  <c r="O361" i="3"/>
  <c r="N361" i="3"/>
  <c r="O360" i="3"/>
  <c r="N360" i="3"/>
  <c r="AI359" i="3"/>
  <c r="AI360" i="3" s="1"/>
  <c r="AI361" i="3" s="1"/>
  <c r="AH359" i="3"/>
  <c r="AJ359" i="3" s="1"/>
  <c r="AG359" i="3"/>
  <c r="AG360" i="3" s="1"/>
  <c r="AG361" i="3" s="1"/>
  <c r="AF359" i="3"/>
  <c r="AF360" i="3" s="1"/>
  <c r="AF361" i="3" s="1"/>
  <c r="AE359" i="3"/>
  <c r="Y359" i="3"/>
  <c r="X359" i="3"/>
  <c r="W359" i="3"/>
  <c r="V359" i="3"/>
  <c r="U359" i="3"/>
  <c r="T359" i="3"/>
  <c r="S359" i="3"/>
  <c r="AI358" i="3"/>
  <c r="AH358" i="3"/>
  <c r="AJ358" i="3" s="1"/>
  <c r="AG358" i="3"/>
  <c r="AF358" i="3"/>
  <c r="AE358" i="3"/>
  <c r="AC358" i="3"/>
  <c r="AC359" i="3" s="1"/>
  <c r="AC360" i="3" s="1"/>
  <c r="AC361" i="3" s="1"/>
  <c r="O357" i="3"/>
  <c r="N357" i="3"/>
  <c r="O356" i="3"/>
  <c r="N356" i="3"/>
  <c r="AI355" i="3"/>
  <c r="AH355" i="3"/>
  <c r="AJ355" i="3" s="1"/>
  <c r="AG355" i="3"/>
  <c r="AG356" i="3" s="1"/>
  <c r="AG357" i="3" s="1"/>
  <c r="AF355" i="3"/>
  <c r="AF356" i="3" s="1"/>
  <c r="AF357" i="3" s="1"/>
  <c r="AE355" i="3"/>
  <c r="Y355" i="3"/>
  <c r="X355" i="3"/>
  <c r="W355" i="3"/>
  <c r="V355" i="3"/>
  <c r="U355" i="3"/>
  <c r="T355" i="3"/>
  <c r="S355" i="3"/>
  <c r="AI354" i="3"/>
  <c r="AH354" i="3"/>
  <c r="AG354" i="3"/>
  <c r="AF354" i="3"/>
  <c r="AE354" i="3"/>
  <c r="AC354" i="3"/>
  <c r="AC355" i="3" s="1"/>
  <c r="AC356" i="3" s="1"/>
  <c r="AC357" i="3" s="1"/>
  <c r="Y353" i="3"/>
  <c r="X353" i="3"/>
  <c r="W353" i="3"/>
  <c r="V353" i="3"/>
  <c r="U353" i="3"/>
  <c r="T353" i="3"/>
  <c r="S353" i="3"/>
  <c r="N353" i="3"/>
  <c r="Y352" i="3"/>
  <c r="X352" i="3"/>
  <c r="W352" i="3"/>
  <c r="V352" i="3"/>
  <c r="U352" i="3"/>
  <c r="T352" i="3"/>
  <c r="S352" i="3"/>
  <c r="AI351" i="3"/>
  <c r="AI352" i="3" s="1"/>
  <c r="AI353" i="3" s="1"/>
  <c r="AH351" i="3"/>
  <c r="AJ351" i="3" s="1"/>
  <c r="AG351" i="3"/>
  <c r="AG352" i="3" s="1"/>
  <c r="AG353" i="3" s="1"/>
  <c r="AF351" i="3"/>
  <c r="AF352" i="3" s="1"/>
  <c r="AF353" i="3" s="1"/>
  <c r="AE351" i="3"/>
  <c r="AI350" i="3"/>
  <c r="AH350" i="3"/>
  <c r="AG350" i="3"/>
  <c r="AF350" i="3"/>
  <c r="AE350" i="3"/>
  <c r="AC350" i="3"/>
  <c r="AC351" i="3" s="1"/>
  <c r="AC352" i="3" s="1"/>
  <c r="AC353" i="3" s="1"/>
  <c r="O349" i="3"/>
  <c r="N349" i="3"/>
  <c r="O348" i="3"/>
  <c r="N348" i="3"/>
  <c r="AI347" i="3"/>
  <c r="AI348" i="3" s="1"/>
  <c r="AI349" i="3" s="1"/>
  <c r="AH347" i="3"/>
  <c r="AG347" i="3"/>
  <c r="AG348" i="3" s="1"/>
  <c r="AG349" i="3" s="1"/>
  <c r="AF347" i="3"/>
  <c r="AF348" i="3" s="1"/>
  <c r="AF349" i="3" s="1"/>
  <c r="AE347" i="3"/>
  <c r="Y347" i="3"/>
  <c r="X347" i="3"/>
  <c r="W347" i="3"/>
  <c r="V347" i="3"/>
  <c r="U347" i="3"/>
  <c r="T347" i="3"/>
  <c r="S347" i="3"/>
  <c r="AI346" i="3"/>
  <c r="AH346" i="3"/>
  <c r="AG346" i="3"/>
  <c r="AF346" i="3"/>
  <c r="AE346" i="3"/>
  <c r="AC346" i="3"/>
  <c r="AC347" i="3" s="1"/>
  <c r="AC348" i="3" s="1"/>
  <c r="AC349" i="3" s="1"/>
  <c r="O345" i="3"/>
  <c r="N345" i="3"/>
  <c r="O344" i="3"/>
  <c r="N344" i="3"/>
  <c r="AI343" i="3"/>
  <c r="AH343" i="3"/>
  <c r="AJ343" i="3" s="1"/>
  <c r="AG343" i="3"/>
  <c r="AG344" i="3" s="1"/>
  <c r="AG345" i="3" s="1"/>
  <c r="AF343" i="3"/>
  <c r="AF344" i="3" s="1"/>
  <c r="AF345" i="3" s="1"/>
  <c r="AE343" i="3"/>
  <c r="Y343" i="3"/>
  <c r="X343" i="3"/>
  <c r="W343" i="3"/>
  <c r="V343" i="3"/>
  <c r="U343" i="3"/>
  <c r="T343" i="3"/>
  <c r="S343" i="3"/>
  <c r="AI342" i="3"/>
  <c r="AH342" i="3"/>
  <c r="AJ342" i="3" s="1"/>
  <c r="AG342" i="3"/>
  <c r="AF342" i="3"/>
  <c r="AE342" i="3"/>
  <c r="AC342" i="3"/>
  <c r="AC343" i="3" s="1"/>
  <c r="Y341" i="3"/>
  <c r="X341" i="3"/>
  <c r="W341" i="3"/>
  <c r="V341" i="3"/>
  <c r="U341" i="3"/>
  <c r="T341" i="3"/>
  <c r="S341" i="3"/>
  <c r="Y340" i="3"/>
  <c r="X340" i="3"/>
  <c r="W340" i="3"/>
  <c r="V340" i="3"/>
  <c r="U340" i="3"/>
  <c r="T340" i="3"/>
  <c r="S340" i="3"/>
  <c r="N340" i="3"/>
  <c r="AI339" i="3"/>
  <c r="AI340" i="3" s="1"/>
  <c r="AI341" i="3" s="1"/>
  <c r="AH339" i="3"/>
  <c r="AJ339" i="3" s="1"/>
  <c r="AG339" i="3"/>
  <c r="AG340" i="3" s="1"/>
  <c r="AG341" i="3" s="1"/>
  <c r="AF339" i="3"/>
  <c r="AF340" i="3" s="1"/>
  <c r="AF341" i="3" s="1"/>
  <c r="AE339" i="3"/>
  <c r="AI338" i="3"/>
  <c r="AH338" i="3"/>
  <c r="AM338" i="3" s="1"/>
  <c r="AG338" i="3"/>
  <c r="AF338" i="3"/>
  <c r="AE338" i="3"/>
  <c r="AC338" i="3"/>
  <c r="AC339" i="3" s="1"/>
  <c r="O337" i="3"/>
  <c r="N337" i="3"/>
  <c r="O336" i="3"/>
  <c r="N336" i="3"/>
  <c r="AI335" i="3"/>
  <c r="AH335" i="3"/>
  <c r="AG335" i="3"/>
  <c r="AF335" i="3"/>
  <c r="AF336" i="3" s="1"/>
  <c r="AF337" i="3" s="1"/>
  <c r="AE335" i="3"/>
  <c r="Y335" i="3"/>
  <c r="X335" i="3"/>
  <c r="W335" i="3"/>
  <c r="V335" i="3"/>
  <c r="U335" i="3"/>
  <c r="T335" i="3"/>
  <c r="S335" i="3"/>
  <c r="AI334" i="3"/>
  <c r="AH334" i="3"/>
  <c r="AM334" i="3" s="1"/>
  <c r="AG334" i="3"/>
  <c r="AF334" i="3"/>
  <c r="AE334" i="3"/>
  <c r="AC334" i="3"/>
  <c r="AC335" i="3" s="1"/>
  <c r="O333" i="3"/>
  <c r="N333" i="3"/>
  <c r="N332" i="3"/>
  <c r="AI331" i="3"/>
  <c r="AI332" i="3" s="1"/>
  <c r="AI333" i="3" s="1"/>
  <c r="AH331" i="3"/>
  <c r="AG331" i="3"/>
  <c r="AF331" i="3"/>
  <c r="AF332" i="3" s="1"/>
  <c r="AF333" i="3" s="1"/>
  <c r="AE331" i="3"/>
  <c r="Y331" i="3"/>
  <c r="X331" i="3"/>
  <c r="W331" i="3"/>
  <c r="V331" i="3"/>
  <c r="U331" i="3"/>
  <c r="T331" i="3"/>
  <c r="S331" i="3"/>
  <c r="AI330" i="3"/>
  <c r="AH330" i="3"/>
  <c r="AM330" i="3" s="1"/>
  <c r="AG330" i="3"/>
  <c r="AF330" i="3"/>
  <c r="AE330" i="3"/>
  <c r="AC330" i="3"/>
  <c r="AC331" i="3" s="1"/>
  <c r="Y329" i="3"/>
  <c r="X329" i="3"/>
  <c r="W329" i="3"/>
  <c r="V329" i="3"/>
  <c r="U329" i="3"/>
  <c r="T329" i="3"/>
  <c r="S329" i="3"/>
  <c r="N329" i="3"/>
  <c r="Y328" i="3"/>
  <c r="X328" i="3"/>
  <c r="W328" i="3"/>
  <c r="V328" i="3"/>
  <c r="U328" i="3"/>
  <c r="T328" i="3"/>
  <c r="S328" i="3"/>
  <c r="N328" i="3"/>
  <c r="AI327" i="3"/>
  <c r="AI328" i="3" s="1"/>
  <c r="AI329" i="3" s="1"/>
  <c r="AH327" i="3"/>
  <c r="AG327" i="3"/>
  <c r="AG328" i="3" s="1"/>
  <c r="AG329" i="3" s="1"/>
  <c r="AF327" i="3"/>
  <c r="AF328" i="3" s="1"/>
  <c r="AF329" i="3" s="1"/>
  <c r="AE327" i="3"/>
  <c r="AI326" i="3"/>
  <c r="AH326" i="3"/>
  <c r="AG326" i="3"/>
  <c r="AF326" i="3"/>
  <c r="AE326" i="3"/>
  <c r="AD326" i="3" s="1"/>
  <c r="AC326" i="3"/>
  <c r="AC327" i="3" s="1"/>
  <c r="AC328" i="3" s="1"/>
  <c r="AC329" i="3" s="1"/>
  <c r="O325" i="3"/>
  <c r="N325" i="3"/>
  <c r="O324" i="3"/>
  <c r="N324" i="3"/>
  <c r="AI323" i="3"/>
  <c r="AH323" i="3"/>
  <c r="AH324" i="3" s="1"/>
  <c r="AH325" i="3" s="1"/>
  <c r="AG323" i="3"/>
  <c r="AG324" i="3" s="1"/>
  <c r="AG325" i="3" s="1"/>
  <c r="AF323" i="3"/>
  <c r="AF324" i="3" s="1"/>
  <c r="AF325" i="3" s="1"/>
  <c r="AE323" i="3"/>
  <c r="Y323" i="3"/>
  <c r="X323" i="3"/>
  <c r="W323" i="3"/>
  <c r="V323" i="3"/>
  <c r="U323" i="3"/>
  <c r="T323" i="3"/>
  <c r="S323" i="3"/>
  <c r="AI322" i="3"/>
  <c r="AH322" i="3"/>
  <c r="AG322" i="3"/>
  <c r="AF322" i="3"/>
  <c r="AE322" i="3"/>
  <c r="AC322" i="3"/>
  <c r="AC323" i="3" s="1"/>
  <c r="N297" i="3"/>
  <c r="O296" i="3"/>
  <c r="N296" i="3"/>
  <c r="AI295" i="3"/>
  <c r="AI296" i="3" s="1"/>
  <c r="AI297" i="3" s="1"/>
  <c r="AH295" i="3"/>
  <c r="AG295" i="3"/>
  <c r="AG296" i="3" s="1"/>
  <c r="AG297" i="3" s="1"/>
  <c r="AF295" i="3"/>
  <c r="AF296" i="3" s="1"/>
  <c r="AF297" i="3" s="1"/>
  <c r="AE295" i="3"/>
  <c r="Y295" i="3"/>
  <c r="X295" i="3"/>
  <c r="W295" i="3"/>
  <c r="V295" i="3"/>
  <c r="U295" i="3"/>
  <c r="T295" i="3"/>
  <c r="S295" i="3"/>
  <c r="AI294" i="3"/>
  <c r="AH294" i="3"/>
  <c r="AG294" i="3"/>
  <c r="AF294" i="3"/>
  <c r="AE294" i="3"/>
  <c r="AD294" i="3" s="1"/>
  <c r="AC294" i="3"/>
  <c r="AC295" i="3" s="1"/>
  <c r="AC296" i="3" s="1"/>
  <c r="AC297" i="3" s="1"/>
  <c r="Y293" i="3"/>
  <c r="X293" i="3"/>
  <c r="W293" i="3"/>
  <c r="V293" i="3"/>
  <c r="U293" i="3"/>
  <c r="T293" i="3"/>
  <c r="S293" i="3"/>
  <c r="N293" i="3"/>
  <c r="Y292" i="3"/>
  <c r="X292" i="3"/>
  <c r="W292" i="3"/>
  <c r="V292" i="3"/>
  <c r="U292" i="3"/>
  <c r="T292" i="3"/>
  <c r="S292" i="3"/>
  <c r="N292" i="3"/>
  <c r="AI291" i="3"/>
  <c r="AH291" i="3"/>
  <c r="AG291" i="3"/>
  <c r="AG292" i="3" s="1"/>
  <c r="AG293" i="3" s="1"/>
  <c r="AF291" i="3"/>
  <c r="AF292" i="3" s="1"/>
  <c r="AF293" i="3" s="1"/>
  <c r="AE291" i="3"/>
  <c r="AI290" i="3"/>
  <c r="AH290" i="3"/>
  <c r="AM290" i="3" s="1"/>
  <c r="AG290" i="3"/>
  <c r="AF290" i="3"/>
  <c r="AE290" i="3"/>
  <c r="AC290" i="3"/>
  <c r="AC291" i="3" s="1"/>
  <c r="O289" i="3"/>
  <c r="N289" i="3"/>
  <c r="O288" i="3"/>
  <c r="N288" i="3"/>
  <c r="AI287" i="3"/>
  <c r="AH287" i="3"/>
  <c r="AG287" i="3"/>
  <c r="AG288" i="3" s="1"/>
  <c r="AG289" i="3" s="1"/>
  <c r="AF287" i="3"/>
  <c r="AF288" i="3" s="1"/>
  <c r="AF289" i="3" s="1"/>
  <c r="AE287" i="3"/>
  <c r="Y287" i="3"/>
  <c r="X287" i="3"/>
  <c r="W287" i="3"/>
  <c r="V287" i="3"/>
  <c r="U287" i="3"/>
  <c r="T287" i="3"/>
  <c r="S287" i="3"/>
  <c r="AI286" i="3"/>
  <c r="AH286" i="3"/>
  <c r="AG286" i="3"/>
  <c r="AF286" i="3"/>
  <c r="AE286" i="3"/>
  <c r="AD286" i="3" s="1"/>
  <c r="AC286" i="3"/>
  <c r="AC287" i="3" s="1"/>
  <c r="AC288" i="3" s="1"/>
  <c r="AC289" i="3" s="1"/>
  <c r="O285" i="3"/>
  <c r="N285" i="3"/>
  <c r="N284" i="3"/>
  <c r="AI283" i="3"/>
  <c r="AI284" i="3" s="1"/>
  <c r="AI285" i="3" s="1"/>
  <c r="AH283" i="3"/>
  <c r="AJ283" i="3" s="1"/>
  <c r="AG283" i="3"/>
  <c r="AG284" i="3" s="1"/>
  <c r="AG285" i="3" s="1"/>
  <c r="AF283" i="3"/>
  <c r="AF284" i="3" s="1"/>
  <c r="AF285" i="3" s="1"/>
  <c r="AE283" i="3"/>
  <c r="Y283" i="3"/>
  <c r="X283" i="3"/>
  <c r="W283" i="3"/>
  <c r="V283" i="3"/>
  <c r="U283" i="3"/>
  <c r="T283" i="3"/>
  <c r="S283" i="3"/>
  <c r="AI282" i="3"/>
  <c r="AH282" i="3"/>
  <c r="AM282" i="3" s="1"/>
  <c r="AG282" i="3"/>
  <c r="AF282" i="3"/>
  <c r="AE282" i="3"/>
  <c r="AC282" i="3"/>
  <c r="AC283" i="3" s="1"/>
  <c r="AC284" i="3" s="1"/>
  <c r="AC285" i="3" s="1"/>
  <c r="Y281" i="3"/>
  <c r="X281" i="3"/>
  <c r="W281" i="3"/>
  <c r="V281" i="3"/>
  <c r="U281" i="3"/>
  <c r="T281" i="3"/>
  <c r="S281" i="3"/>
  <c r="N281" i="3"/>
  <c r="Y280" i="3"/>
  <c r="X280" i="3"/>
  <c r="W280" i="3"/>
  <c r="V280" i="3"/>
  <c r="U280" i="3"/>
  <c r="T280" i="3"/>
  <c r="S280" i="3"/>
  <c r="N280" i="3"/>
  <c r="AI279" i="3"/>
  <c r="AI280" i="3" s="1"/>
  <c r="AI281" i="3" s="1"/>
  <c r="AH279" i="3"/>
  <c r="AJ279" i="3" s="1"/>
  <c r="AG279" i="3"/>
  <c r="AG280" i="3" s="1"/>
  <c r="AG281" i="3" s="1"/>
  <c r="AF279" i="3"/>
  <c r="AF280" i="3" s="1"/>
  <c r="AF281" i="3" s="1"/>
  <c r="AE279" i="3"/>
  <c r="AI278" i="3"/>
  <c r="AH278" i="3"/>
  <c r="AM278" i="3" s="1"/>
  <c r="AG278" i="3"/>
  <c r="AF278" i="3"/>
  <c r="AE278" i="3"/>
  <c r="AD278" i="3" s="1"/>
  <c r="AC278" i="3"/>
  <c r="AC279" i="3" s="1"/>
  <c r="AC280" i="3" s="1"/>
  <c r="AC281" i="3" s="1"/>
  <c r="O277" i="3"/>
  <c r="N277" i="3"/>
  <c r="O276" i="3"/>
  <c r="N276" i="3"/>
  <c r="AI275" i="3"/>
  <c r="AI276" i="3" s="1"/>
  <c r="AI277" i="3" s="1"/>
  <c r="AH275" i="3"/>
  <c r="AG275" i="3"/>
  <c r="AG276" i="3" s="1"/>
  <c r="AG277" i="3" s="1"/>
  <c r="AF275" i="3"/>
  <c r="AF276" i="3" s="1"/>
  <c r="AF277" i="3" s="1"/>
  <c r="AE275" i="3"/>
  <c r="Y275" i="3"/>
  <c r="X275" i="3"/>
  <c r="W275" i="3"/>
  <c r="V275" i="3"/>
  <c r="U275" i="3"/>
  <c r="T275" i="3"/>
  <c r="S275" i="3"/>
  <c r="AI274" i="3"/>
  <c r="AH274" i="3"/>
  <c r="AL274" i="3" s="1"/>
  <c r="AG274" i="3"/>
  <c r="AF274" i="3"/>
  <c r="AE274" i="3"/>
  <c r="AC274" i="3"/>
  <c r="AC275" i="3" s="1"/>
  <c r="AC276" i="3" s="1"/>
  <c r="AC277" i="3" s="1"/>
  <c r="N273" i="3"/>
  <c r="O272" i="3"/>
  <c r="N272" i="3"/>
  <c r="AI271" i="3"/>
  <c r="AH271" i="3"/>
  <c r="AG271" i="3"/>
  <c r="AG272" i="3" s="1"/>
  <c r="AG273" i="3" s="1"/>
  <c r="AF271" i="3"/>
  <c r="AF272" i="3" s="1"/>
  <c r="AF273" i="3" s="1"/>
  <c r="AE271" i="3"/>
  <c r="Y271" i="3"/>
  <c r="X271" i="3"/>
  <c r="W271" i="3"/>
  <c r="V271" i="3"/>
  <c r="U271" i="3"/>
  <c r="T271" i="3"/>
  <c r="S271" i="3"/>
  <c r="AI270" i="3"/>
  <c r="AH270" i="3"/>
  <c r="AM270" i="3" s="1"/>
  <c r="AG270" i="3"/>
  <c r="AF270" i="3"/>
  <c r="AE270" i="3"/>
  <c r="AD270" i="3" s="1"/>
  <c r="AC270" i="3"/>
  <c r="AC271" i="3" s="1"/>
  <c r="AC272" i="3" s="1"/>
  <c r="AC273" i="3" s="1"/>
  <c r="Y269" i="3"/>
  <c r="X269" i="3"/>
  <c r="W269" i="3"/>
  <c r="V269" i="3"/>
  <c r="U269" i="3"/>
  <c r="T269" i="3"/>
  <c r="S269" i="3"/>
  <c r="N269" i="3"/>
  <c r="Y268" i="3"/>
  <c r="X268" i="3"/>
  <c r="W268" i="3"/>
  <c r="V268" i="3"/>
  <c r="U268" i="3"/>
  <c r="T268" i="3"/>
  <c r="S268" i="3"/>
  <c r="AI267" i="3"/>
  <c r="AH267" i="3"/>
  <c r="AH268" i="3" s="1"/>
  <c r="AG267" i="3"/>
  <c r="AG268" i="3" s="1"/>
  <c r="AG269" i="3" s="1"/>
  <c r="AF267" i="3"/>
  <c r="AF268" i="3" s="1"/>
  <c r="AF269" i="3" s="1"/>
  <c r="AE267" i="3"/>
  <c r="AI266" i="3"/>
  <c r="AH266" i="3"/>
  <c r="AG266" i="3"/>
  <c r="AF266" i="3"/>
  <c r="AE266" i="3"/>
  <c r="AC266" i="3"/>
  <c r="AC267" i="3" s="1"/>
  <c r="AC268" i="3" s="1"/>
  <c r="AC269" i="3" s="1"/>
  <c r="O265" i="3"/>
  <c r="N265" i="3"/>
  <c r="O264" i="3"/>
  <c r="N264" i="3"/>
  <c r="AI263" i="3"/>
  <c r="AI264" i="3" s="1"/>
  <c r="AI265" i="3" s="1"/>
  <c r="AH263" i="3"/>
  <c r="AG263" i="3"/>
  <c r="AG264" i="3" s="1"/>
  <c r="AG265" i="3" s="1"/>
  <c r="AF263" i="3"/>
  <c r="AF264" i="3" s="1"/>
  <c r="AF265" i="3" s="1"/>
  <c r="AE263" i="3"/>
  <c r="Y263" i="3"/>
  <c r="X263" i="3"/>
  <c r="W263" i="3"/>
  <c r="V263" i="3"/>
  <c r="U263" i="3"/>
  <c r="T263" i="3"/>
  <c r="S263" i="3"/>
  <c r="AI262" i="3"/>
  <c r="AH262" i="3"/>
  <c r="AG262" i="3"/>
  <c r="AF262" i="3"/>
  <c r="AE262" i="3"/>
  <c r="AC262" i="3"/>
  <c r="AC263" i="3" s="1"/>
  <c r="AC264" i="3" s="1"/>
  <c r="AC265" i="3" s="1"/>
  <c r="O249" i="3"/>
  <c r="N249" i="3"/>
  <c r="O248" i="3"/>
  <c r="N248" i="3"/>
  <c r="AI247" i="3"/>
  <c r="AI248" i="3" s="1"/>
  <c r="AI249" i="3" s="1"/>
  <c r="AH247" i="3"/>
  <c r="AG247" i="3"/>
  <c r="AG248" i="3" s="1"/>
  <c r="AG249" i="3" s="1"/>
  <c r="AF247" i="3"/>
  <c r="AF248" i="3" s="1"/>
  <c r="AF249" i="3" s="1"/>
  <c r="AE247" i="3"/>
  <c r="Y247" i="3"/>
  <c r="X247" i="3"/>
  <c r="W247" i="3"/>
  <c r="V247" i="3"/>
  <c r="U247" i="3"/>
  <c r="T247" i="3"/>
  <c r="S247" i="3"/>
  <c r="AI246" i="3"/>
  <c r="AH246" i="3"/>
  <c r="AG246" i="3"/>
  <c r="AF246" i="3"/>
  <c r="AE246" i="3"/>
  <c r="AC246" i="3"/>
  <c r="AC247" i="3" s="1"/>
  <c r="AC248" i="3" s="1"/>
  <c r="AC249" i="3" s="1"/>
  <c r="Y245" i="3"/>
  <c r="X245" i="3"/>
  <c r="W245" i="3"/>
  <c r="V245" i="3"/>
  <c r="U245" i="3"/>
  <c r="T245" i="3"/>
  <c r="S245" i="3"/>
  <c r="N245" i="3"/>
  <c r="Y244" i="3"/>
  <c r="X244" i="3"/>
  <c r="W244" i="3"/>
  <c r="V244" i="3"/>
  <c r="U244" i="3"/>
  <c r="T244" i="3"/>
  <c r="S244" i="3"/>
  <c r="N244" i="3"/>
  <c r="AI243" i="3"/>
  <c r="AH243" i="3"/>
  <c r="AG243" i="3"/>
  <c r="AG244" i="3" s="1"/>
  <c r="AG245" i="3" s="1"/>
  <c r="AF243" i="3"/>
  <c r="AF244" i="3" s="1"/>
  <c r="AF245" i="3" s="1"/>
  <c r="AE243" i="3"/>
  <c r="AI242" i="3"/>
  <c r="AH242" i="3"/>
  <c r="AG242" i="3"/>
  <c r="AF242" i="3"/>
  <c r="AE242" i="3"/>
  <c r="AC242" i="3"/>
  <c r="AC243" i="3" s="1"/>
  <c r="AC244" i="3" s="1"/>
  <c r="AC245" i="3" s="1"/>
  <c r="O241" i="3"/>
  <c r="N241" i="3"/>
  <c r="O240" i="3"/>
  <c r="N240" i="3"/>
  <c r="AI239" i="3"/>
  <c r="AI240" i="3" s="1"/>
  <c r="AI241" i="3" s="1"/>
  <c r="AH239" i="3"/>
  <c r="AG239" i="3"/>
  <c r="AG240" i="3" s="1"/>
  <c r="AG241" i="3" s="1"/>
  <c r="AF239" i="3"/>
  <c r="AF240" i="3" s="1"/>
  <c r="AF241" i="3" s="1"/>
  <c r="AE239" i="3"/>
  <c r="Y239" i="3"/>
  <c r="X239" i="3"/>
  <c r="W239" i="3"/>
  <c r="V239" i="3"/>
  <c r="U239" i="3"/>
  <c r="T239" i="3"/>
  <c r="S239" i="3"/>
  <c r="AI238" i="3"/>
  <c r="AH238" i="3"/>
  <c r="AJ238" i="3" s="1"/>
  <c r="AG238" i="3"/>
  <c r="AF238" i="3"/>
  <c r="AE238" i="3"/>
  <c r="AC238" i="3"/>
  <c r="AC239" i="3" s="1"/>
  <c r="AC240" i="3" s="1"/>
  <c r="AC241" i="3" s="1"/>
  <c r="O237" i="3"/>
  <c r="N237" i="3"/>
  <c r="O236" i="3"/>
  <c r="N236" i="3"/>
  <c r="AI235" i="3"/>
  <c r="AI236" i="3" s="1"/>
  <c r="AI237" i="3" s="1"/>
  <c r="AH235" i="3"/>
  <c r="AH236" i="3" s="1"/>
  <c r="AG235" i="3"/>
  <c r="AG236" i="3" s="1"/>
  <c r="AG237" i="3" s="1"/>
  <c r="AF235" i="3"/>
  <c r="AF236" i="3" s="1"/>
  <c r="AF237" i="3" s="1"/>
  <c r="AE235" i="3"/>
  <c r="Y235" i="3"/>
  <c r="X235" i="3"/>
  <c r="W235" i="3"/>
  <c r="V235" i="3"/>
  <c r="U235" i="3"/>
  <c r="T235" i="3"/>
  <c r="S235" i="3"/>
  <c r="AI234" i="3"/>
  <c r="AH234" i="3"/>
  <c r="AK234" i="3" s="1"/>
  <c r="AG234" i="3"/>
  <c r="AF234" i="3"/>
  <c r="AE234" i="3"/>
  <c r="AC234" i="3"/>
  <c r="AC235" i="3" s="1"/>
  <c r="AC236" i="3" s="1"/>
  <c r="AC237" i="3" s="1"/>
  <c r="Y233" i="3"/>
  <c r="X233" i="3"/>
  <c r="W233" i="3"/>
  <c r="V233" i="3"/>
  <c r="U233" i="3"/>
  <c r="T233" i="3"/>
  <c r="S233" i="3"/>
  <c r="Y232" i="3"/>
  <c r="X232" i="3"/>
  <c r="W232" i="3"/>
  <c r="V232" i="3"/>
  <c r="U232" i="3"/>
  <c r="T232" i="3"/>
  <c r="S232" i="3"/>
  <c r="N232" i="3"/>
  <c r="AI231" i="3"/>
  <c r="AI232" i="3" s="1"/>
  <c r="AI233" i="3" s="1"/>
  <c r="AH231" i="3"/>
  <c r="AG231" i="3"/>
  <c r="AG232" i="3" s="1"/>
  <c r="AG233" i="3" s="1"/>
  <c r="AF231" i="3"/>
  <c r="AF232" i="3" s="1"/>
  <c r="AF233" i="3" s="1"/>
  <c r="AE231" i="3"/>
  <c r="AI230" i="3"/>
  <c r="AH230" i="3"/>
  <c r="AG230" i="3"/>
  <c r="AF230" i="3"/>
  <c r="AE230" i="3"/>
  <c r="AD230" i="3" s="1"/>
  <c r="AC230" i="3"/>
  <c r="AC231" i="3" s="1"/>
  <c r="AC232" i="3" s="1"/>
  <c r="AC233" i="3" s="1"/>
  <c r="N229" i="3"/>
  <c r="O228" i="3"/>
  <c r="N228" i="3"/>
  <c r="AI227" i="3"/>
  <c r="AI228" i="3" s="1"/>
  <c r="AI229" i="3" s="1"/>
  <c r="AH227" i="3"/>
  <c r="AG227" i="3"/>
  <c r="AG228" i="3" s="1"/>
  <c r="AG229" i="3" s="1"/>
  <c r="AF227" i="3"/>
  <c r="AF228" i="3" s="1"/>
  <c r="AF229" i="3" s="1"/>
  <c r="AE227" i="3"/>
  <c r="Y227" i="3"/>
  <c r="X227" i="3"/>
  <c r="W227" i="3"/>
  <c r="V227" i="3"/>
  <c r="U227" i="3"/>
  <c r="T227" i="3"/>
  <c r="S227" i="3"/>
  <c r="AI226" i="3"/>
  <c r="AH226" i="3"/>
  <c r="AG226" i="3"/>
  <c r="AF226" i="3"/>
  <c r="AE226" i="3"/>
  <c r="AC226" i="3"/>
  <c r="AC227" i="3" s="1"/>
  <c r="O225" i="3"/>
  <c r="N225" i="3"/>
  <c r="O224" i="3"/>
  <c r="N224" i="3"/>
  <c r="AI223" i="3"/>
  <c r="AI224" i="3" s="1"/>
  <c r="AI225" i="3" s="1"/>
  <c r="AH223" i="3"/>
  <c r="AH224" i="3" s="1"/>
  <c r="AJ224" i="3" s="1"/>
  <c r="AG223" i="3"/>
  <c r="AG224" i="3" s="1"/>
  <c r="AG225" i="3" s="1"/>
  <c r="AF223" i="3"/>
  <c r="AF224" i="3" s="1"/>
  <c r="AF225" i="3" s="1"/>
  <c r="AE223" i="3"/>
  <c r="Y223" i="3"/>
  <c r="X223" i="3"/>
  <c r="W223" i="3"/>
  <c r="V223" i="3"/>
  <c r="U223" i="3"/>
  <c r="T223" i="3"/>
  <c r="S223" i="3"/>
  <c r="AI222" i="3"/>
  <c r="AH222" i="3"/>
  <c r="AL222" i="3" s="1"/>
  <c r="AG222" i="3"/>
  <c r="AF222" i="3"/>
  <c r="AE222" i="3"/>
  <c r="AC222" i="3"/>
  <c r="AC223" i="3" s="1"/>
  <c r="AC224" i="3" s="1"/>
  <c r="AC225" i="3" s="1"/>
  <c r="Y221" i="3"/>
  <c r="X221" i="3"/>
  <c r="W221" i="3"/>
  <c r="V221" i="3"/>
  <c r="U221" i="3"/>
  <c r="T221" i="3"/>
  <c r="S221" i="3"/>
  <c r="N221" i="3"/>
  <c r="Y220" i="3"/>
  <c r="X220" i="3"/>
  <c r="W220" i="3"/>
  <c r="V220" i="3"/>
  <c r="U220" i="3"/>
  <c r="T220" i="3"/>
  <c r="S220" i="3"/>
  <c r="N220" i="3"/>
  <c r="AI219" i="3"/>
  <c r="AH219" i="3"/>
  <c r="AH220" i="3" s="1"/>
  <c r="AG219" i="3"/>
  <c r="AG220" i="3" s="1"/>
  <c r="AG221" i="3" s="1"/>
  <c r="AF219" i="3"/>
  <c r="AF220" i="3" s="1"/>
  <c r="AF221" i="3" s="1"/>
  <c r="AE219" i="3"/>
  <c r="AI218" i="3"/>
  <c r="AH218" i="3"/>
  <c r="AG218" i="3"/>
  <c r="AF218" i="3"/>
  <c r="AE218" i="3"/>
  <c r="AC218" i="3"/>
  <c r="AC219" i="3" s="1"/>
  <c r="AC220" i="3" s="1"/>
  <c r="AC221" i="3" s="1"/>
  <c r="O217" i="3"/>
  <c r="N217" i="3"/>
  <c r="O216" i="3"/>
  <c r="N216" i="3"/>
  <c r="AI215" i="3"/>
  <c r="AI216" i="3" s="1"/>
  <c r="AI217" i="3" s="1"/>
  <c r="AH215" i="3"/>
  <c r="AG215" i="3"/>
  <c r="AG216" i="3" s="1"/>
  <c r="AG217" i="3" s="1"/>
  <c r="AF215" i="3"/>
  <c r="AF216" i="3" s="1"/>
  <c r="AF217" i="3" s="1"/>
  <c r="AE215" i="3"/>
  <c r="Y215" i="3"/>
  <c r="X215" i="3"/>
  <c r="W215" i="3"/>
  <c r="V215" i="3"/>
  <c r="U215" i="3"/>
  <c r="T215" i="3"/>
  <c r="S215" i="3"/>
  <c r="AI214" i="3"/>
  <c r="AH214" i="3"/>
  <c r="AG214" i="3"/>
  <c r="AF214" i="3"/>
  <c r="AE214" i="3"/>
  <c r="AC214" i="3"/>
  <c r="AC215" i="3" s="1"/>
  <c r="O213" i="3"/>
  <c r="N213" i="3"/>
  <c r="O212" i="3"/>
  <c r="N212" i="3"/>
  <c r="AI211" i="3"/>
  <c r="AI212" i="3" s="1"/>
  <c r="AI213" i="3" s="1"/>
  <c r="AH211" i="3"/>
  <c r="AG211" i="3"/>
  <c r="AG212" i="3" s="1"/>
  <c r="AG213" i="3" s="1"/>
  <c r="AF211" i="3"/>
  <c r="AF212" i="3" s="1"/>
  <c r="AF213" i="3" s="1"/>
  <c r="AE211" i="3"/>
  <c r="Y211" i="3"/>
  <c r="X211" i="3"/>
  <c r="W211" i="3"/>
  <c r="V211" i="3"/>
  <c r="U211" i="3"/>
  <c r="T211" i="3"/>
  <c r="S211" i="3"/>
  <c r="AI210" i="3"/>
  <c r="AH210" i="3"/>
  <c r="AG210" i="3"/>
  <c r="AF210" i="3"/>
  <c r="AE210" i="3"/>
  <c r="AD210" i="3" s="1"/>
  <c r="AC210" i="3"/>
  <c r="AC211" i="3" s="1"/>
  <c r="AC212" i="3" s="1"/>
  <c r="AC213" i="3" s="1"/>
  <c r="Y209" i="3"/>
  <c r="X209" i="3"/>
  <c r="W209" i="3"/>
  <c r="V209" i="3"/>
  <c r="U209" i="3"/>
  <c r="T209" i="3"/>
  <c r="S209" i="3"/>
  <c r="N209" i="3"/>
  <c r="Y208" i="3"/>
  <c r="X208" i="3"/>
  <c r="W208" i="3"/>
  <c r="V208" i="3"/>
  <c r="U208" i="3"/>
  <c r="T208" i="3"/>
  <c r="S208" i="3"/>
  <c r="AI207" i="3"/>
  <c r="AI208" i="3" s="1"/>
  <c r="AI209" i="3" s="1"/>
  <c r="AH207" i="3"/>
  <c r="AH208" i="3" s="1"/>
  <c r="AH209" i="3" s="1"/>
  <c r="AJ209" i="3" s="1"/>
  <c r="AG207" i="3"/>
  <c r="AG208" i="3" s="1"/>
  <c r="AG209" i="3" s="1"/>
  <c r="AF207" i="3"/>
  <c r="AF208" i="3" s="1"/>
  <c r="AF209" i="3" s="1"/>
  <c r="AE207" i="3"/>
  <c r="AI206" i="3"/>
  <c r="AH206" i="3"/>
  <c r="AK206" i="3" s="1"/>
  <c r="AG206" i="3"/>
  <c r="AF206" i="3"/>
  <c r="AE206" i="3"/>
  <c r="AC206" i="3"/>
  <c r="AC207" i="3" s="1"/>
  <c r="AC208" i="3" s="1"/>
  <c r="AC209" i="3" s="1"/>
  <c r="O205" i="3"/>
  <c r="N205" i="3"/>
  <c r="O204" i="3"/>
  <c r="N204" i="3"/>
  <c r="AI203" i="3"/>
  <c r="AI204" i="3" s="1"/>
  <c r="AI205" i="3" s="1"/>
  <c r="AH203" i="3"/>
  <c r="AG203" i="3"/>
  <c r="AG204" i="3" s="1"/>
  <c r="AG205" i="3" s="1"/>
  <c r="AF203" i="3"/>
  <c r="AF204" i="3" s="1"/>
  <c r="AF205" i="3" s="1"/>
  <c r="AE203" i="3"/>
  <c r="Y203" i="3"/>
  <c r="X203" i="3"/>
  <c r="W203" i="3"/>
  <c r="V203" i="3"/>
  <c r="U203" i="3"/>
  <c r="T203" i="3"/>
  <c r="S203" i="3"/>
  <c r="AI202" i="3"/>
  <c r="AH202" i="3"/>
  <c r="AG202" i="3"/>
  <c r="AF202" i="3"/>
  <c r="AE202" i="3"/>
  <c r="AD202" i="3" s="1"/>
  <c r="AC202" i="3"/>
  <c r="AC203" i="3" s="1"/>
  <c r="AC204" i="3" s="1"/>
  <c r="AC205" i="3" s="1"/>
  <c r="O201" i="3"/>
  <c r="N201" i="3"/>
  <c r="N200" i="3"/>
  <c r="AI199" i="3"/>
  <c r="AI200" i="3" s="1"/>
  <c r="AI201" i="3" s="1"/>
  <c r="AH199" i="3"/>
  <c r="AH200" i="3" s="1"/>
  <c r="AG199" i="3"/>
  <c r="AG200" i="3" s="1"/>
  <c r="AG201" i="3" s="1"/>
  <c r="AF199" i="3"/>
  <c r="AF200" i="3" s="1"/>
  <c r="AF201" i="3" s="1"/>
  <c r="AE199" i="3"/>
  <c r="Y199" i="3"/>
  <c r="X199" i="3"/>
  <c r="W199" i="3"/>
  <c r="V199" i="3"/>
  <c r="U199" i="3"/>
  <c r="T199" i="3"/>
  <c r="S199" i="3"/>
  <c r="AI198" i="3"/>
  <c r="AH198" i="3"/>
  <c r="AG198" i="3"/>
  <c r="AF198" i="3"/>
  <c r="AE198" i="3"/>
  <c r="AC198" i="3"/>
  <c r="AC199" i="3" s="1"/>
  <c r="AC200" i="3" s="1"/>
  <c r="AC201" i="3" s="1"/>
  <c r="Y197" i="3"/>
  <c r="X197" i="3"/>
  <c r="W197" i="3"/>
  <c r="V197" i="3"/>
  <c r="U197" i="3"/>
  <c r="T197" i="3"/>
  <c r="S197" i="3"/>
  <c r="N197" i="3"/>
  <c r="Y196" i="3"/>
  <c r="X196" i="3"/>
  <c r="W196" i="3"/>
  <c r="V196" i="3"/>
  <c r="U196" i="3"/>
  <c r="T196" i="3"/>
  <c r="S196" i="3"/>
  <c r="N196" i="3"/>
  <c r="AI195" i="3"/>
  <c r="AH195" i="3"/>
  <c r="AG195" i="3"/>
  <c r="AG196" i="3" s="1"/>
  <c r="AG197" i="3" s="1"/>
  <c r="AF195" i="3"/>
  <c r="AF196" i="3" s="1"/>
  <c r="AF197" i="3" s="1"/>
  <c r="AE195" i="3"/>
  <c r="AI194" i="3"/>
  <c r="AH194" i="3"/>
  <c r="AG194" i="3"/>
  <c r="AF194" i="3"/>
  <c r="AE194" i="3"/>
  <c r="AD194" i="3" s="1"/>
  <c r="AC194" i="3"/>
  <c r="AC195" i="3" s="1"/>
  <c r="O193" i="3"/>
  <c r="N193" i="3"/>
  <c r="O192" i="3"/>
  <c r="N192" i="3"/>
  <c r="AI191" i="3"/>
  <c r="AH191" i="3"/>
  <c r="AH192" i="3" s="1"/>
  <c r="AJ192" i="3" s="1"/>
  <c r="AG191" i="3"/>
  <c r="AG192" i="3" s="1"/>
  <c r="AG193" i="3" s="1"/>
  <c r="AF191" i="3"/>
  <c r="AF192" i="3" s="1"/>
  <c r="AF193" i="3" s="1"/>
  <c r="AE191" i="3"/>
  <c r="Y191" i="3"/>
  <c r="X191" i="3"/>
  <c r="W191" i="3"/>
  <c r="V191" i="3"/>
  <c r="U191" i="3"/>
  <c r="T191" i="3"/>
  <c r="S191" i="3"/>
  <c r="AI190" i="3"/>
  <c r="AH190" i="3"/>
  <c r="AM190" i="3" s="1"/>
  <c r="AG190" i="3"/>
  <c r="AF190" i="3"/>
  <c r="AE190" i="3"/>
  <c r="AD190" i="3" s="1"/>
  <c r="AC190" i="3"/>
  <c r="AC191" i="3" s="1"/>
  <c r="AC192" i="3" s="1"/>
  <c r="AC193" i="3" s="1"/>
  <c r="O189" i="3"/>
  <c r="N189" i="3"/>
  <c r="O188" i="3"/>
  <c r="N188" i="3"/>
  <c r="AI187" i="3"/>
  <c r="AI188" i="3" s="1"/>
  <c r="AI189" i="3" s="1"/>
  <c r="AH187" i="3"/>
  <c r="AH188" i="3" s="1"/>
  <c r="AG187" i="3"/>
  <c r="AG188" i="3" s="1"/>
  <c r="AG189" i="3" s="1"/>
  <c r="AF187" i="3"/>
  <c r="AF188" i="3" s="1"/>
  <c r="AF189" i="3" s="1"/>
  <c r="AE187" i="3"/>
  <c r="Y187" i="3"/>
  <c r="X187" i="3"/>
  <c r="W187" i="3"/>
  <c r="V187" i="3"/>
  <c r="U187" i="3"/>
  <c r="T187" i="3"/>
  <c r="S187" i="3"/>
  <c r="AI186" i="3"/>
  <c r="AH186" i="3"/>
  <c r="AK186" i="3" s="1"/>
  <c r="AG186" i="3"/>
  <c r="AF186" i="3"/>
  <c r="AE186" i="3"/>
  <c r="AD186" i="3" s="1"/>
  <c r="AC186" i="3"/>
  <c r="AC187" i="3" s="1"/>
  <c r="Y185" i="3"/>
  <c r="X185" i="3"/>
  <c r="W185" i="3"/>
  <c r="V185" i="3"/>
  <c r="U185" i="3"/>
  <c r="T185" i="3"/>
  <c r="S185" i="3"/>
  <c r="N185" i="3"/>
  <c r="Y184" i="3"/>
  <c r="X184" i="3"/>
  <c r="W184" i="3"/>
  <c r="V184" i="3"/>
  <c r="U184" i="3"/>
  <c r="T184" i="3"/>
  <c r="S184" i="3"/>
  <c r="N184" i="3"/>
  <c r="AI183" i="3"/>
  <c r="AH183" i="3"/>
  <c r="AJ183" i="3" s="1"/>
  <c r="AG183" i="3"/>
  <c r="AG184" i="3" s="1"/>
  <c r="AG185" i="3" s="1"/>
  <c r="AF183" i="3"/>
  <c r="AF184" i="3" s="1"/>
  <c r="AF185" i="3" s="1"/>
  <c r="AE183" i="3"/>
  <c r="AI182" i="3"/>
  <c r="AH182" i="3"/>
  <c r="AJ182" i="3" s="1"/>
  <c r="AG182" i="3"/>
  <c r="AF182" i="3"/>
  <c r="AE182" i="3"/>
  <c r="AD182" i="3" s="1"/>
  <c r="AC182" i="3"/>
  <c r="AC183" i="3" s="1"/>
  <c r="O181" i="3"/>
  <c r="N181" i="3"/>
  <c r="O180" i="3"/>
  <c r="N180" i="3"/>
  <c r="AI179" i="3"/>
  <c r="AI180" i="3" s="1"/>
  <c r="AI181" i="3" s="1"/>
  <c r="AH179" i="3"/>
  <c r="AH180" i="3" s="1"/>
  <c r="AG179" i="3"/>
  <c r="AG180" i="3" s="1"/>
  <c r="AG181" i="3" s="1"/>
  <c r="AF179" i="3"/>
  <c r="AF180" i="3" s="1"/>
  <c r="AF181" i="3" s="1"/>
  <c r="AE179" i="3"/>
  <c r="Y179" i="3"/>
  <c r="X179" i="3"/>
  <c r="W179" i="3"/>
  <c r="V179" i="3"/>
  <c r="U179" i="3"/>
  <c r="T179" i="3"/>
  <c r="S179" i="3"/>
  <c r="AI178" i="3"/>
  <c r="AH178" i="3"/>
  <c r="AJ178" i="3" s="1"/>
  <c r="AG178" i="3"/>
  <c r="AF178" i="3"/>
  <c r="AE178" i="3"/>
  <c r="AC178" i="3"/>
  <c r="AC179" i="3" s="1"/>
  <c r="AC180" i="3" s="1"/>
  <c r="AC181" i="3" s="1"/>
  <c r="O177" i="3"/>
  <c r="N177" i="3"/>
  <c r="O176" i="3"/>
  <c r="N176" i="3"/>
  <c r="AI175" i="3"/>
  <c r="AH175" i="3"/>
  <c r="AG175" i="3"/>
  <c r="AG176" i="3" s="1"/>
  <c r="AG177" i="3" s="1"/>
  <c r="AF175" i="3"/>
  <c r="AF176" i="3" s="1"/>
  <c r="AF177" i="3" s="1"/>
  <c r="AE175" i="3"/>
  <c r="Y175" i="3"/>
  <c r="X175" i="3"/>
  <c r="W175" i="3"/>
  <c r="V175" i="3"/>
  <c r="U175" i="3"/>
  <c r="T175" i="3"/>
  <c r="S175" i="3"/>
  <c r="AI174" i="3"/>
  <c r="AH174" i="3"/>
  <c r="AL174" i="3" s="1"/>
  <c r="AG174" i="3"/>
  <c r="AF174" i="3"/>
  <c r="AE174" i="3"/>
  <c r="AC174" i="3"/>
  <c r="AC175" i="3" s="1"/>
  <c r="AC176" i="3" s="1"/>
  <c r="AC177" i="3" s="1"/>
  <c r="Y173" i="3"/>
  <c r="X173" i="3"/>
  <c r="W173" i="3"/>
  <c r="V173" i="3"/>
  <c r="U173" i="3"/>
  <c r="T173" i="3"/>
  <c r="S173" i="3"/>
  <c r="N173" i="3"/>
  <c r="Y172" i="3"/>
  <c r="X172" i="3"/>
  <c r="W172" i="3"/>
  <c r="V172" i="3"/>
  <c r="U172" i="3"/>
  <c r="T172" i="3"/>
  <c r="S172" i="3"/>
  <c r="N172" i="3"/>
  <c r="AI171" i="3"/>
  <c r="AI172" i="3" s="1"/>
  <c r="AI173" i="3" s="1"/>
  <c r="AH171" i="3"/>
  <c r="AG171" i="3"/>
  <c r="AG172" i="3" s="1"/>
  <c r="AG173" i="3" s="1"/>
  <c r="AF171" i="3"/>
  <c r="AF172" i="3" s="1"/>
  <c r="AF173" i="3" s="1"/>
  <c r="AE171" i="3"/>
  <c r="AI170" i="3"/>
  <c r="AH170" i="3"/>
  <c r="AJ170" i="3" s="1"/>
  <c r="AG170" i="3"/>
  <c r="AF170" i="3"/>
  <c r="AE170" i="3"/>
  <c r="AD170" i="3" s="1"/>
  <c r="AC170" i="3"/>
  <c r="AC171" i="3" s="1"/>
  <c r="AC172" i="3" s="1"/>
  <c r="AC173" i="3" s="1"/>
  <c r="O169" i="3"/>
  <c r="N169" i="3"/>
  <c r="O168" i="3"/>
  <c r="N168" i="3"/>
  <c r="AI167" i="3"/>
  <c r="AI168" i="3" s="1"/>
  <c r="AI169" i="3" s="1"/>
  <c r="AH167" i="3"/>
  <c r="AJ167" i="3" s="1"/>
  <c r="AG167" i="3"/>
  <c r="AG168" i="3" s="1"/>
  <c r="AG169" i="3" s="1"/>
  <c r="AF167" i="3"/>
  <c r="AF168" i="3" s="1"/>
  <c r="AF169" i="3" s="1"/>
  <c r="AE167" i="3"/>
  <c r="Y167" i="3"/>
  <c r="X167" i="3"/>
  <c r="W167" i="3"/>
  <c r="V167" i="3"/>
  <c r="U167" i="3"/>
  <c r="T167" i="3"/>
  <c r="S167" i="3"/>
  <c r="AI166" i="3"/>
  <c r="AH166" i="3"/>
  <c r="AM166" i="3" s="1"/>
  <c r="AG166" i="3"/>
  <c r="AF166" i="3"/>
  <c r="AE166" i="3"/>
  <c r="AD166" i="3" s="1"/>
  <c r="AC166" i="3"/>
  <c r="AC167" i="3" s="1"/>
  <c r="AC168" i="3" s="1"/>
  <c r="AC169" i="3" s="1"/>
  <c r="O153" i="3"/>
  <c r="N153" i="3"/>
  <c r="N152" i="3"/>
  <c r="AI151" i="3"/>
  <c r="AH151" i="3"/>
  <c r="AJ151" i="3" s="1"/>
  <c r="AG151" i="3"/>
  <c r="AG152" i="3" s="1"/>
  <c r="AG153" i="3" s="1"/>
  <c r="AF151" i="3"/>
  <c r="AF152" i="3" s="1"/>
  <c r="AF153" i="3" s="1"/>
  <c r="AE151" i="3"/>
  <c r="Y151" i="3"/>
  <c r="X151" i="3"/>
  <c r="W151" i="3"/>
  <c r="V151" i="3"/>
  <c r="U151" i="3"/>
  <c r="T151" i="3"/>
  <c r="S151" i="3"/>
  <c r="AI150" i="3"/>
  <c r="AH150" i="3"/>
  <c r="AM150" i="3" s="1"/>
  <c r="AG150" i="3"/>
  <c r="AF150" i="3"/>
  <c r="AE150" i="3"/>
  <c r="AD150" i="3" s="1"/>
  <c r="AC150" i="3"/>
  <c r="AC151" i="3" s="1"/>
  <c r="Y149" i="3"/>
  <c r="X149" i="3"/>
  <c r="W149" i="3"/>
  <c r="V149" i="3"/>
  <c r="U149" i="3"/>
  <c r="T149" i="3"/>
  <c r="S149" i="3"/>
  <c r="N149" i="3"/>
  <c r="Y148" i="3"/>
  <c r="X148" i="3"/>
  <c r="W148" i="3"/>
  <c r="V148" i="3"/>
  <c r="U148" i="3"/>
  <c r="T148" i="3"/>
  <c r="S148" i="3"/>
  <c r="AI147" i="3"/>
  <c r="AI148" i="3" s="1"/>
  <c r="AI149" i="3" s="1"/>
  <c r="AH147" i="3"/>
  <c r="AJ147" i="3" s="1"/>
  <c r="AG147" i="3"/>
  <c r="AG148" i="3" s="1"/>
  <c r="AG149" i="3" s="1"/>
  <c r="AF147" i="3"/>
  <c r="AF148" i="3" s="1"/>
  <c r="AF149" i="3" s="1"/>
  <c r="AE147" i="3"/>
  <c r="AI146" i="3"/>
  <c r="AH146" i="3"/>
  <c r="AJ146" i="3" s="1"/>
  <c r="AG146" i="3"/>
  <c r="AF146" i="3"/>
  <c r="AE146" i="3"/>
  <c r="AC146" i="3"/>
  <c r="AC147" i="3" s="1"/>
  <c r="AC148" i="3" s="1"/>
  <c r="AC149" i="3" s="1"/>
  <c r="O145" i="3"/>
  <c r="N145" i="3"/>
  <c r="O144" i="3"/>
  <c r="N144" i="3"/>
  <c r="AI143" i="3"/>
  <c r="AH143" i="3"/>
  <c r="AH144" i="3" s="1"/>
  <c r="AG143" i="3"/>
  <c r="AG144" i="3" s="1"/>
  <c r="AG145" i="3" s="1"/>
  <c r="AF143" i="3"/>
  <c r="AF144" i="3" s="1"/>
  <c r="AF145" i="3" s="1"/>
  <c r="AE143" i="3"/>
  <c r="Y143" i="3"/>
  <c r="X143" i="3"/>
  <c r="W143" i="3"/>
  <c r="V143" i="3"/>
  <c r="U143" i="3"/>
  <c r="T143" i="3"/>
  <c r="S143" i="3"/>
  <c r="AI142" i="3"/>
  <c r="AH142" i="3"/>
  <c r="AG142" i="3"/>
  <c r="AF142" i="3"/>
  <c r="AE142" i="3"/>
  <c r="AC142" i="3"/>
  <c r="AC143" i="3" s="1"/>
  <c r="AC144" i="3" s="1"/>
  <c r="AC145" i="3" s="1"/>
  <c r="O141" i="3"/>
  <c r="N141" i="3"/>
  <c r="N140" i="3"/>
  <c r="AI139" i="3"/>
  <c r="AI140" i="3" s="1"/>
  <c r="AI141" i="3" s="1"/>
  <c r="AH139" i="3"/>
  <c r="AH140" i="3" s="1"/>
  <c r="AG139" i="3"/>
  <c r="AG140" i="3" s="1"/>
  <c r="AG141" i="3" s="1"/>
  <c r="AF139" i="3"/>
  <c r="AF140" i="3" s="1"/>
  <c r="AF141" i="3" s="1"/>
  <c r="AE139" i="3"/>
  <c r="Y139" i="3"/>
  <c r="X139" i="3"/>
  <c r="W139" i="3"/>
  <c r="V139" i="3"/>
  <c r="U139" i="3"/>
  <c r="T139" i="3"/>
  <c r="S139" i="3"/>
  <c r="AI138" i="3"/>
  <c r="AH138" i="3"/>
  <c r="AM138" i="3" s="1"/>
  <c r="AG138" i="3"/>
  <c r="AF138" i="3"/>
  <c r="AE138" i="3"/>
  <c r="AC138" i="3"/>
  <c r="AC139" i="3" s="1"/>
  <c r="AC140" i="3" s="1"/>
  <c r="AC141" i="3" s="1"/>
  <c r="Y137" i="3"/>
  <c r="X137" i="3"/>
  <c r="W137" i="3"/>
  <c r="V137" i="3"/>
  <c r="U137" i="3"/>
  <c r="T137" i="3"/>
  <c r="S137" i="3"/>
  <c r="N137" i="3"/>
  <c r="Y136" i="3"/>
  <c r="X136" i="3"/>
  <c r="W136" i="3"/>
  <c r="V136" i="3"/>
  <c r="U136" i="3"/>
  <c r="T136" i="3"/>
  <c r="S136" i="3"/>
  <c r="N136" i="3"/>
  <c r="AI135" i="3"/>
  <c r="AI136" i="3" s="1"/>
  <c r="AI137" i="3" s="1"/>
  <c r="AH135" i="3"/>
  <c r="AH136" i="3" s="1"/>
  <c r="AG135" i="3"/>
  <c r="AG136" i="3" s="1"/>
  <c r="AG137" i="3" s="1"/>
  <c r="AF135" i="3"/>
  <c r="AF136" i="3" s="1"/>
  <c r="AF137" i="3" s="1"/>
  <c r="AE135" i="3"/>
  <c r="AI134" i="3"/>
  <c r="AH134" i="3"/>
  <c r="AJ134" i="3" s="1"/>
  <c r="AG134" i="3"/>
  <c r="AF134" i="3"/>
  <c r="AE134" i="3"/>
  <c r="AC134" i="3"/>
  <c r="AC135" i="3" s="1"/>
  <c r="AC136" i="3" s="1"/>
  <c r="AC137" i="3" s="1"/>
  <c r="O133" i="3"/>
  <c r="N133" i="3"/>
  <c r="O132" i="3"/>
  <c r="N132" i="3"/>
  <c r="AI131" i="3"/>
  <c r="AI132" i="3" s="1"/>
  <c r="AI133" i="3" s="1"/>
  <c r="AH131" i="3"/>
  <c r="AH132" i="3" s="1"/>
  <c r="AG131" i="3"/>
  <c r="AG132" i="3" s="1"/>
  <c r="AG133" i="3" s="1"/>
  <c r="AF131" i="3"/>
  <c r="AF132" i="3" s="1"/>
  <c r="AF133" i="3" s="1"/>
  <c r="AE131" i="3"/>
  <c r="Y131" i="3"/>
  <c r="X131" i="3"/>
  <c r="W131" i="3"/>
  <c r="V131" i="3"/>
  <c r="U131" i="3"/>
  <c r="T131" i="3"/>
  <c r="S131" i="3"/>
  <c r="AI130" i="3"/>
  <c r="AH130" i="3"/>
  <c r="AM130" i="3" s="1"/>
  <c r="AG130" i="3"/>
  <c r="AF130" i="3"/>
  <c r="AE130" i="3"/>
  <c r="AC130" i="3"/>
  <c r="AC131" i="3" s="1"/>
  <c r="AC132" i="3" s="1"/>
  <c r="AC133" i="3" s="1"/>
  <c r="O129" i="3"/>
  <c r="N129" i="3"/>
  <c r="O128" i="3"/>
  <c r="N128" i="3"/>
  <c r="AI127" i="3"/>
  <c r="AI128" i="3" s="1"/>
  <c r="AI129" i="3" s="1"/>
  <c r="AH127" i="3"/>
  <c r="AH128" i="3" s="1"/>
  <c r="AH129" i="3" s="1"/>
  <c r="AG127" i="3"/>
  <c r="AG128" i="3" s="1"/>
  <c r="AG129" i="3" s="1"/>
  <c r="AF127" i="3"/>
  <c r="AF128" i="3" s="1"/>
  <c r="AF129" i="3" s="1"/>
  <c r="AE127" i="3"/>
  <c r="Y127" i="3"/>
  <c r="X127" i="3"/>
  <c r="W127" i="3"/>
  <c r="V127" i="3"/>
  <c r="U127" i="3"/>
  <c r="T127" i="3"/>
  <c r="S127" i="3"/>
  <c r="AI126" i="3"/>
  <c r="AH126" i="3"/>
  <c r="AL126" i="3" s="1"/>
  <c r="AG126" i="3"/>
  <c r="AF126" i="3"/>
  <c r="AE126" i="3"/>
  <c r="AC126" i="3"/>
  <c r="AC127" i="3" s="1"/>
  <c r="AC128" i="3" s="1"/>
  <c r="AC129" i="3" s="1"/>
  <c r="Y125" i="3"/>
  <c r="X125" i="3"/>
  <c r="W125" i="3"/>
  <c r="V125" i="3"/>
  <c r="U125" i="3"/>
  <c r="T125" i="3"/>
  <c r="S125" i="3"/>
  <c r="N125" i="3"/>
  <c r="Y124" i="3"/>
  <c r="X124" i="3"/>
  <c r="W124" i="3"/>
  <c r="V124" i="3"/>
  <c r="U124" i="3"/>
  <c r="T124" i="3"/>
  <c r="S124" i="3"/>
  <c r="AI123" i="3"/>
  <c r="AH123" i="3"/>
  <c r="AG123" i="3"/>
  <c r="AG124" i="3" s="1"/>
  <c r="AG125" i="3" s="1"/>
  <c r="AF123" i="3"/>
  <c r="AF124" i="3" s="1"/>
  <c r="AF125" i="3" s="1"/>
  <c r="AE123" i="3"/>
  <c r="AI122" i="3"/>
  <c r="AH122" i="3"/>
  <c r="AM122" i="3" s="1"/>
  <c r="AG122" i="3"/>
  <c r="AF122" i="3"/>
  <c r="AE122" i="3"/>
  <c r="AC122" i="3"/>
  <c r="AC123" i="3" s="1"/>
  <c r="O121" i="3"/>
  <c r="N121" i="3"/>
  <c r="O120" i="3"/>
  <c r="N120" i="3"/>
  <c r="AI119" i="3"/>
  <c r="AH119" i="3"/>
  <c r="AG119" i="3"/>
  <c r="AG120" i="3" s="1"/>
  <c r="AG121" i="3" s="1"/>
  <c r="AF119" i="3"/>
  <c r="AF120" i="3" s="1"/>
  <c r="AF121" i="3" s="1"/>
  <c r="AE119" i="3"/>
  <c r="Y119" i="3"/>
  <c r="X119" i="3"/>
  <c r="W119" i="3"/>
  <c r="V119" i="3"/>
  <c r="U119" i="3"/>
  <c r="T119" i="3"/>
  <c r="S119" i="3"/>
  <c r="AI118" i="3"/>
  <c r="AH118" i="3"/>
  <c r="AM118" i="3" s="1"/>
  <c r="AG118" i="3"/>
  <c r="AF118" i="3"/>
  <c r="AE118" i="3"/>
  <c r="AC118" i="3"/>
  <c r="AC119" i="3" s="1"/>
  <c r="AC120" i="3" s="1"/>
  <c r="AC121" i="3" s="1"/>
  <c r="O117" i="3"/>
  <c r="N117" i="3"/>
  <c r="O116" i="3"/>
  <c r="N116" i="3"/>
  <c r="AI115" i="3"/>
  <c r="AI116" i="3" s="1"/>
  <c r="AI117" i="3" s="1"/>
  <c r="AH115" i="3"/>
  <c r="AG115" i="3"/>
  <c r="AG116" i="3" s="1"/>
  <c r="AG117" i="3" s="1"/>
  <c r="AF115" i="3"/>
  <c r="AF116" i="3" s="1"/>
  <c r="AF117" i="3" s="1"/>
  <c r="AE115" i="3"/>
  <c r="Y115" i="3"/>
  <c r="X115" i="3"/>
  <c r="W115" i="3"/>
  <c r="V115" i="3"/>
  <c r="U115" i="3"/>
  <c r="T115" i="3"/>
  <c r="S115" i="3"/>
  <c r="AI114" i="3"/>
  <c r="AH114" i="3"/>
  <c r="AJ114" i="3" s="1"/>
  <c r="AG114" i="3"/>
  <c r="AF114" i="3"/>
  <c r="AE114" i="3"/>
  <c r="AC114" i="3"/>
  <c r="AC115" i="3" s="1"/>
  <c r="AC116" i="3" s="1"/>
  <c r="AC117" i="3" s="1"/>
  <c r="Y113" i="3"/>
  <c r="X113" i="3"/>
  <c r="W113" i="3"/>
  <c r="V113" i="3"/>
  <c r="U113" i="3"/>
  <c r="T113" i="3"/>
  <c r="S113" i="3"/>
  <c r="N113" i="3"/>
  <c r="Y112" i="3"/>
  <c r="X112" i="3"/>
  <c r="W112" i="3"/>
  <c r="V112" i="3"/>
  <c r="U112" i="3"/>
  <c r="T112" i="3"/>
  <c r="S112" i="3"/>
  <c r="AI111" i="3"/>
  <c r="AI112" i="3" s="1"/>
  <c r="AI113" i="3" s="1"/>
  <c r="AH111" i="3"/>
  <c r="AH112" i="3" s="1"/>
  <c r="AJ112" i="3" s="1"/>
  <c r="AG111" i="3"/>
  <c r="AG112" i="3" s="1"/>
  <c r="AG113" i="3" s="1"/>
  <c r="AF111" i="3"/>
  <c r="AF112" i="3" s="1"/>
  <c r="AF113" i="3" s="1"/>
  <c r="AE111" i="3"/>
  <c r="AI110" i="3"/>
  <c r="AH110" i="3"/>
  <c r="AM110" i="3" s="1"/>
  <c r="AG110" i="3"/>
  <c r="AF110" i="3"/>
  <c r="AE110" i="3"/>
  <c r="AC110" i="3"/>
  <c r="AC111" i="3" s="1"/>
  <c r="AC112" i="3" s="1"/>
  <c r="AC113" i="3" s="1"/>
  <c r="O109" i="3"/>
  <c r="N109" i="3"/>
  <c r="O108" i="3"/>
  <c r="N108" i="3"/>
  <c r="AI107" i="3"/>
  <c r="AI108" i="3" s="1"/>
  <c r="AI109" i="3" s="1"/>
  <c r="AH107" i="3"/>
  <c r="AJ107" i="3" s="1"/>
  <c r="AG107" i="3"/>
  <c r="AG108" i="3" s="1"/>
  <c r="AG109" i="3" s="1"/>
  <c r="AF107" i="3"/>
  <c r="AF108" i="3" s="1"/>
  <c r="AF109" i="3" s="1"/>
  <c r="AE107" i="3"/>
  <c r="Y107" i="3"/>
  <c r="X107" i="3"/>
  <c r="W107" i="3"/>
  <c r="V107" i="3"/>
  <c r="U107" i="3"/>
  <c r="T107" i="3"/>
  <c r="S107" i="3"/>
  <c r="AI106" i="3"/>
  <c r="AH106" i="3"/>
  <c r="AG106" i="3"/>
  <c r="AF106" i="3"/>
  <c r="AE106" i="3"/>
  <c r="AC106" i="3"/>
  <c r="AC107" i="3" s="1"/>
  <c r="AC108" i="3" s="1"/>
  <c r="AC109" i="3" s="1"/>
  <c r="R902" i="3"/>
  <c r="Q902" i="3"/>
  <c r="O105" i="3"/>
  <c r="N105" i="3"/>
  <c r="N104" i="3"/>
  <c r="AI103" i="3"/>
  <c r="AH103" i="3"/>
  <c r="AH104" i="3" s="1"/>
  <c r="AG103" i="3"/>
  <c r="AF103" i="3"/>
  <c r="AF104" i="3" s="1"/>
  <c r="AF105" i="3" s="1"/>
  <c r="AE103" i="3"/>
  <c r="Y103" i="3"/>
  <c r="X103" i="3"/>
  <c r="W103" i="3"/>
  <c r="V103" i="3"/>
  <c r="U103" i="3"/>
  <c r="T103" i="3"/>
  <c r="S103" i="3"/>
  <c r="AI102" i="3"/>
  <c r="AH102" i="3"/>
  <c r="AG102" i="3"/>
  <c r="AF102" i="3"/>
  <c r="AE102" i="3"/>
  <c r="AC102" i="3"/>
  <c r="AC103" i="3" s="1"/>
  <c r="AC104" i="3" s="1"/>
  <c r="AC105" i="3" s="1"/>
  <c r="Y101" i="3"/>
  <c r="X101" i="3"/>
  <c r="W101" i="3"/>
  <c r="V101" i="3"/>
  <c r="U101" i="3"/>
  <c r="T101" i="3"/>
  <c r="S101" i="3"/>
  <c r="N101" i="3"/>
  <c r="Y100" i="3"/>
  <c r="X100" i="3"/>
  <c r="W100" i="3"/>
  <c r="V100" i="3"/>
  <c r="U100" i="3"/>
  <c r="T100" i="3"/>
  <c r="S100" i="3"/>
  <c r="AI99" i="3"/>
  <c r="AI100" i="3" s="1"/>
  <c r="AI101" i="3" s="1"/>
  <c r="AH99" i="3"/>
  <c r="AH100" i="3" s="1"/>
  <c r="AG99" i="3"/>
  <c r="AG100" i="3" s="1"/>
  <c r="AG101" i="3" s="1"/>
  <c r="AF99" i="3"/>
  <c r="AF100" i="3" s="1"/>
  <c r="AF101" i="3" s="1"/>
  <c r="AE99" i="3"/>
  <c r="AI98" i="3"/>
  <c r="AH98" i="3"/>
  <c r="AK98" i="3" s="1"/>
  <c r="AG98" i="3"/>
  <c r="AF98" i="3"/>
  <c r="AE98" i="3"/>
  <c r="AD98" i="3" s="1"/>
  <c r="AC98" i="3"/>
  <c r="AC99" i="3" s="1"/>
  <c r="AC100" i="3" s="1"/>
  <c r="AC101" i="3" s="1"/>
  <c r="O97" i="3"/>
  <c r="N97" i="3"/>
  <c r="O96" i="3"/>
  <c r="N96" i="3"/>
  <c r="AI95" i="3"/>
  <c r="AH95" i="3"/>
  <c r="AH96" i="3" s="1"/>
  <c r="AG95" i="3"/>
  <c r="AG96" i="3" s="1"/>
  <c r="AG97" i="3" s="1"/>
  <c r="AF95" i="3"/>
  <c r="AF96" i="3" s="1"/>
  <c r="AF97" i="3" s="1"/>
  <c r="AE95" i="3"/>
  <c r="Y95" i="3"/>
  <c r="X95" i="3"/>
  <c r="W95" i="3"/>
  <c r="V95" i="3"/>
  <c r="U95" i="3"/>
  <c r="T95" i="3"/>
  <c r="S95" i="3"/>
  <c r="AI94" i="3"/>
  <c r="AH94" i="3"/>
  <c r="AL94" i="3" s="1"/>
  <c r="AG94" i="3"/>
  <c r="AF94" i="3"/>
  <c r="AE94" i="3"/>
  <c r="AC94" i="3"/>
  <c r="AC95" i="3" s="1"/>
  <c r="AC96" i="3" s="1"/>
  <c r="AC97" i="3" s="1"/>
  <c r="O93" i="3"/>
  <c r="N93" i="3"/>
  <c r="O92" i="3"/>
  <c r="N92" i="3"/>
  <c r="AI91" i="3"/>
  <c r="AI92" i="3" s="1"/>
  <c r="AI93" i="3" s="1"/>
  <c r="AH91" i="3"/>
  <c r="AG91" i="3"/>
  <c r="AG92" i="3" s="1"/>
  <c r="AG93" i="3" s="1"/>
  <c r="AF91" i="3"/>
  <c r="AF92" i="3" s="1"/>
  <c r="AF93" i="3" s="1"/>
  <c r="AE91" i="3"/>
  <c r="Y91" i="3"/>
  <c r="X91" i="3"/>
  <c r="W91" i="3"/>
  <c r="V91" i="3"/>
  <c r="U91" i="3"/>
  <c r="T91" i="3"/>
  <c r="S91" i="3"/>
  <c r="AI90" i="3"/>
  <c r="AH90" i="3"/>
  <c r="AG90" i="3"/>
  <c r="AF90" i="3"/>
  <c r="AE90" i="3"/>
  <c r="AC90" i="3"/>
  <c r="AC91" i="3" s="1"/>
  <c r="AC92" i="3" s="1"/>
  <c r="AC93" i="3" s="1"/>
  <c r="Y89" i="3"/>
  <c r="X89" i="3"/>
  <c r="W89" i="3"/>
  <c r="V89" i="3"/>
  <c r="U89" i="3"/>
  <c r="T89" i="3"/>
  <c r="S89" i="3"/>
  <c r="N89" i="3"/>
  <c r="Y88" i="3"/>
  <c r="X88" i="3"/>
  <c r="W88" i="3"/>
  <c r="V88" i="3"/>
  <c r="U88" i="3"/>
  <c r="T88" i="3"/>
  <c r="S88" i="3"/>
  <c r="N88" i="3"/>
  <c r="AI87" i="3"/>
  <c r="AI88" i="3" s="1"/>
  <c r="AI89" i="3" s="1"/>
  <c r="AH87" i="3"/>
  <c r="AJ87" i="3" s="1"/>
  <c r="AG87" i="3"/>
  <c r="AG88" i="3" s="1"/>
  <c r="AG89" i="3" s="1"/>
  <c r="AF87" i="3"/>
  <c r="AF88" i="3" s="1"/>
  <c r="AF89" i="3" s="1"/>
  <c r="AE87" i="3"/>
  <c r="AI86" i="3"/>
  <c r="AH86" i="3"/>
  <c r="AM86" i="3" s="1"/>
  <c r="AG86" i="3"/>
  <c r="AF86" i="3"/>
  <c r="AE86" i="3"/>
  <c r="AC86" i="3"/>
  <c r="AC87" i="3" s="1"/>
  <c r="AC88" i="3" s="1"/>
  <c r="AC89" i="3" s="1"/>
  <c r="O85" i="3"/>
  <c r="N85" i="3"/>
  <c r="O84" i="3"/>
  <c r="N84" i="3"/>
  <c r="AI83" i="3"/>
  <c r="AI84" i="3" s="1"/>
  <c r="AI85" i="3" s="1"/>
  <c r="AH83" i="3"/>
  <c r="AG83" i="3"/>
  <c r="AG84" i="3" s="1"/>
  <c r="AG85" i="3" s="1"/>
  <c r="AF83" i="3"/>
  <c r="AF84" i="3" s="1"/>
  <c r="AF85" i="3" s="1"/>
  <c r="AE83" i="3"/>
  <c r="Y83" i="3"/>
  <c r="X83" i="3"/>
  <c r="W83" i="3"/>
  <c r="V83" i="3"/>
  <c r="U83" i="3"/>
  <c r="T83" i="3"/>
  <c r="S83" i="3"/>
  <c r="AI82" i="3"/>
  <c r="AH82" i="3"/>
  <c r="AG82" i="3"/>
  <c r="AF82" i="3"/>
  <c r="AE82" i="3"/>
  <c r="AC82" i="3"/>
  <c r="AC83" i="3" s="1"/>
  <c r="AC84" i="3" s="1"/>
  <c r="AC85" i="3" s="1"/>
  <c r="O81" i="3"/>
  <c r="N81" i="3"/>
  <c r="O80" i="3"/>
  <c r="N80" i="3"/>
  <c r="AI79" i="3"/>
  <c r="AH79" i="3"/>
  <c r="AG79" i="3"/>
  <c r="AG80" i="3" s="1"/>
  <c r="AG81" i="3" s="1"/>
  <c r="AF79" i="3"/>
  <c r="AF80" i="3" s="1"/>
  <c r="AF81" i="3" s="1"/>
  <c r="AE79" i="3"/>
  <c r="Y79" i="3"/>
  <c r="X79" i="3"/>
  <c r="W79" i="3"/>
  <c r="V79" i="3"/>
  <c r="U79" i="3"/>
  <c r="T79" i="3"/>
  <c r="S79" i="3"/>
  <c r="AI78" i="3"/>
  <c r="AH78" i="3"/>
  <c r="AJ78" i="3" s="1"/>
  <c r="AG78" i="3"/>
  <c r="AF78" i="3"/>
  <c r="AE78" i="3"/>
  <c r="AC78" i="3"/>
  <c r="AC79" i="3" s="1"/>
  <c r="AC80" i="3" s="1"/>
  <c r="AC81" i="3" s="1"/>
  <c r="Y77" i="3"/>
  <c r="X77" i="3"/>
  <c r="W77" i="3"/>
  <c r="V77" i="3"/>
  <c r="U77" i="3"/>
  <c r="T77" i="3"/>
  <c r="S77" i="3"/>
  <c r="N77" i="3"/>
  <c r="Y76" i="3"/>
  <c r="X76" i="3"/>
  <c r="W76" i="3"/>
  <c r="V76" i="3"/>
  <c r="U76" i="3"/>
  <c r="T76" i="3"/>
  <c r="S76" i="3"/>
  <c r="N76" i="3"/>
  <c r="AI75" i="3"/>
  <c r="AI76" i="3" s="1"/>
  <c r="AI77" i="3" s="1"/>
  <c r="AH75" i="3"/>
  <c r="AG75" i="3"/>
  <c r="AG76" i="3" s="1"/>
  <c r="AG77" i="3" s="1"/>
  <c r="AF75" i="3"/>
  <c r="AF76" i="3" s="1"/>
  <c r="AF77" i="3" s="1"/>
  <c r="AE75" i="3"/>
  <c r="AI74" i="3"/>
  <c r="AH74" i="3"/>
  <c r="AK74" i="3" s="1"/>
  <c r="AG74" i="3"/>
  <c r="AF74" i="3"/>
  <c r="AE74" i="3"/>
  <c r="AC74" i="3"/>
  <c r="AC75" i="3" s="1"/>
  <c r="AC76" i="3" s="1"/>
  <c r="AC77" i="3" s="1"/>
  <c r="O73" i="3"/>
  <c r="N73" i="3"/>
  <c r="O72" i="3"/>
  <c r="N72" i="3"/>
  <c r="AI71" i="3"/>
  <c r="AI72" i="3" s="1"/>
  <c r="AI73" i="3" s="1"/>
  <c r="AH71" i="3"/>
  <c r="AH72" i="3" s="1"/>
  <c r="AJ72" i="3" s="1"/>
  <c r="AG71" i="3"/>
  <c r="AG72" i="3" s="1"/>
  <c r="AG73" i="3" s="1"/>
  <c r="AF71" i="3"/>
  <c r="AF72" i="3" s="1"/>
  <c r="AF73" i="3" s="1"/>
  <c r="AE71" i="3"/>
  <c r="Y71" i="3"/>
  <c r="X71" i="3"/>
  <c r="W71" i="3"/>
  <c r="V71" i="3"/>
  <c r="U71" i="3"/>
  <c r="T71" i="3"/>
  <c r="S71" i="3"/>
  <c r="AI70" i="3"/>
  <c r="AH70" i="3"/>
  <c r="AJ70" i="3" s="1"/>
  <c r="AG70" i="3"/>
  <c r="AF70" i="3"/>
  <c r="AE70" i="3"/>
  <c r="AC70" i="3"/>
  <c r="AC71" i="3" s="1"/>
  <c r="AC72" i="3" s="1"/>
  <c r="AC73" i="3" s="1"/>
  <c r="O69" i="3"/>
  <c r="N69" i="3"/>
  <c r="O68" i="3"/>
  <c r="N68" i="3"/>
  <c r="AI67" i="3"/>
  <c r="AI68" i="3" s="1"/>
  <c r="AI69" i="3" s="1"/>
  <c r="AH67" i="3"/>
  <c r="AH68" i="3" s="1"/>
  <c r="AG67" i="3"/>
  <c r="AG68" i="3" s="1"/>
  <c r="AG69" i="3" s="1"/>
  <c r="AF67" i="3"/>
  <c r="AF68" i="3" s="1"/>
  <c r="AF69" i="3" s="1"/>
  <c r="AE67" i="3"/>
  <c r="Y67" i="3"/>
  <c r="X67" i="3"/>
  <c r="W67" i="3"/>
  <c r="V67" i="3"/>
  <c r="U67" i="3"/>
  <c r="T67" i="3"/>
  <c r="S67" i="3"/>
  <c r="AI66" i="3"/>
  <c r="AH66" i="3"/>
  <c r="AK66" i="3" s="1"/>
  <c r="AG66" i="3"/>
  <c r="AF66" i="3"/>
  <c r="AE66" i="3"/>
  <c r="AC66" i="3"/>
  <c r="AC67" i="3" s="1"/>
  <c r="AC68" i="3" s="1"/>
  <c r="AC69" i="3" s="1"/>
  <c r="Y65" i="3"/>
  <c r="X65" i="3"/>
  <c r="W65" i="3"/>
  <c r="V65" i="3"/>
  <c r="U65" i="3"/>
  <c r="T65" i="3"/>
  <c r="S65" i="3"/>
  <c r="N65" i="3"/>
  <c r="Y64" i="3"/>
  <c r="X64" i="3"/>
  <c r="W64" i="3"/>
  <c r="V64" i="3"/>
  <c r="U64" i="3"/>
  <c r="T64" i="3"/>
  <c r="S64" i="3"/>
  <c r="N64" i="3"/>
  <c r="AI63" i="3"/>
  <c r="AI64" i="3" s="1"/>
  <c r="AI65" i="3" s="1"/>
  <c r="AH63" i="3"/>
  <c r="AG63" i="3"/>
  <c r="AG64" i="3" s="1"/>
  <c r="AG65" i="3" s="1"/>
  <c r="AF63" i="3"/>
  <c r="AF64" i="3" s="1"/>
  <c r="AF65" i="3" s="1"/>
  <c r="AE63" i="3"/>
  <c r="AI62" i="3"/>
  <c r="AH62" i="3"/>
  <c r="AJ62" i="3" s="1"/>
  <c r="AG62" i="3"/>
  <c r="AF62" i="3"/>
  <c r="AE62" i="3"/>
  <c r="AC62" i="3"/>
  <c r="AC63" i="3" s="1"/>
  <c r="AC64" i="3" s="1"/>
  <c r="AC65" i="3" s="1"/>
  <c r="O61" i="3"/>
  <c r="N61" i="3"/>
  <c r="O60" i="3"/>
  <c r="N60" i="3"/>
  <c r="AI59" i="3"/>
  <c r="AI60" i="3" s="1"/>
  <c r="AI61" i="3" s="1"/>
  <c r="AH59" i="3"/>
  <c r="AJ59" i="3" s="1"/>
  <c r="AG59" i="3"/>
  <c r="AG60" i="3" s="1"/>
  <c r="AG61" i="3" s="1"/>
  <c r="AF59" i="3"/>
  <c r="AF60" i="3" s="1"/>
  <c r="AF61" i="3" s="1"/>
  <c r="AE59" i="3"/>
  <c r="Y59" i="3"/>
  <c r="X59" i="3"/>
  <c r="W59" i="3"/>
  <c r="V59" i="3"/>
  <c r="U59" i="3"/>
  <c r="T59" i="3"/>
  <c r="S59" i="3"/>
  <c r="AI58" i="3"/>
  <c r="AH58" i="3"/>
  <c r="AL58" i="3" s="1"/>
  <c r="AG58" i="3"/>
  <c r="AF58" i="3"/>
  <c r="AE58" i="3"/>
  <c r="AC58" i="3"/>
  <c r="AC59" i="3" s="1"/>
  <c r="AC60" i="3" s="1"/>
  <c r="AC61" i="3" s="1"/>
  <c r="O57" i="3"/>
  <c r="N57" i="3"/>
  <c r="O56" i="3"/>
  <c r="N56" i="3"/>
  <c r="AI55" i="3"/>
  <c r="AH55" i="3"/>
  <c r="AG55" i="3"/>
  <c r="AG56" i="3" s="1"/>
  <c r="AG57" i="3" s="1"/>
  <c r="AF55" i="3"/>
  <c r="AF56" i="3" s="1"/>
  <c r="AF57" i="3" s="1"/>
  <c r="AE55" i="3"/>
  <c r="Y55" i="3"/>
  <c r="X55" i="3"/>
  <c r="W55" i="3"/>
  <c r="V55" i="3"/>
  <c r="U55" i="3"/>
  <c r="T55" i="3"/>
  <c r="S55" i="3"/>
  <c r="AI54" i="3"/>
  <c r="AH54" i="3"/>
  <c r="AM54" i="3" s="1"/>
  <c r="AG54" i="3"/>
  <c r="AF54" i="3"/>
  <c r="AE54" i="3"/>
  <c r="AD54" i="3" s="1"/>
  <c r="AC54" i="3"/>
  <c r="AC55" i="3" s="1"/>
  <c r="AC56" i="3" s="1"/>
  <c r="AC57" i="3" s="1"/>
  <c r="Y53" i="3"/>
  <c r="X53" i="3"/>
  <c r="W53" i="3"/>
  <c r="V53" i="3"/>
  <c r="U53" i="3"/>
  <c r="T53" i="3"/>
  <c r="S53" i="3"/>
  <c r="N53" i="3"/>
  <c r="Y52" i="3"/>
  <c r="X52" i="3"/>
  <c r="W52" i="3"/>
  <c r="V52" i="3"/>
  <c r="U52" i="3"/>
  <c r="T52" i="3"/>
  <c r="S52" i="3"/>
  <c r="AI51" i="3"/>
  <c r="AI52" i="3" s="1"/>
  <c r="AI53" i="3" s="1"/>
  <c r="AH51" i="3"/>
  <c r="AG51" i="3"/>
  <c r="AG52" i="3" s="1"/>
  <c r="AG53" i="3" s="1"/>
  <c r="AF51" i="3"/>
  <c r="AF52" i="3" s="1"/>
  <c r="AF53" i="3" s="1"/>
  <c r="AE51" i="3"/>
  <c r="AI50" i="3"/>
  <c r="AH50" i="3"/>
  <c r="AJ50" i="3" s="1"/>
  <c r="AG50" i="3"/>
  <c r="AF50" i="3"/>
  <c r="AE50" i="3"/>
  <c r="AC50" i="3"/>
  <c r="AC51" i="3" s="1"/>
  <c r="AC52" i="3" s="1"/>
  <c r="AC53" i="3" s="1"/>
  <c r="O49" i="3"/>
  <c r="N49" i="3"/>
  <c r="O48" i="3"/>
  <c r="N48" i="3"/>
  <c r="AI47" i="3"/>
  <c r="AI48" i="3" s="1"/>
  <c r="AI49" i="3" s="1"/>
  <c r="AH47" i="3"/>
  <c r="AH48" i="3" s="1"/>
  <c r="AH49" i="3" s="1"/>
  <c r="AG47" i="3"/>
  <c r="AG48" i="3" s="1"/>
  <c r="AG49" i="3" s="1"/>
  <c r="AF47" i="3"/>
  <c r="AF48" i="3" s="1"/>
  <c r="AF49" i="3" s="1"/>
  <c r="AE47" i="3"/>
  <c r="Y47" i="3"/>
  <c r="X47" i="3"/>
  <c r="W47" i="3"/>
  <c r="V47" i="3"/>
  <c r="U47" i="3"/>
  <c r="T47" i="3"/>
  <c r="S47" i="3"/>
  <c r="AI46" i="3"/>
  <c r="AH46" i="3"/>
  <c r="AL46" i="3" s="1"/>
  <c r="AG46" i="3"/>
  <c r="AF46" i="3"/>
  <c r="AE46" i="3"/>
  <c r="AD46" i="3" s="1"/>
  <c r="AC46" i="3"/>
  <c r="AC47" i="3" s="1"/>
  <c r="AC48" i="3" s="1"/>
  <c r="AC49" i="3" s="1"/>
  <c r="O45" i="3"/>
  <c r="N45" i="3"/>
  <c r="O44" i="3"/>
  <c r="N44" i="3"/>
  <c r="AI43" i="3"/>
  <c r="AH43" i="3"/>
  <c r="AJ43" i="3" s="1"/>
  <c r="AG43" i="3"/>
  <c r="AG44" i="3" s="1"/>
  <c r="AG45" i="3" s="1"/>
  <c r="AF43" i="3"/>
  <c r="AF44" i="3" s="1"/>
  <c r="AF45" i="3" s="1"/>
  <c r="AE43" i="3"/>
  <c r="Y43" i="3"/>
  <c r="X43" i="3"/>
  <c r="W43" i="3"/>
  <c r="V43" i="3"/>
  <c r="U43" i="3"/>
  <c r="T43" i="3"/>
  <c r="S43" i="3"/>
  <c r="AI42" i="3"/>
  <c r="AH42" i="3"/>
  <c r="AJ42" i="3" s="1"/>
  <c r="AG42" i="3"/>
  <c r="AF42" i="3"/>
  <c r="AE42" i="3"/>
  <c r="AD42" i="3" s="1"/>
  <c r="AC42" i="3"/>
  <c r="AC43" i="3" s="1"/>
  <c r="AC44" i="3" s="1"/>
  <c r="AC45" i="3" s="1"/>
  <c r="Y41" i="3"/>
  <c r="X41" i="3"/>
  <c r="W41" i="3"/>
  <c r="V41" i="3"/>
  <c r="U41" i="3"/>
  <c r="T41" i="3"/>
  <c r="S41" i="3"/>
  <c r="N41" i="3"/>
  <c r="Y40" i="3"/>
  <c r="X40" i="3"/>
  <c r="W40" i="3"/>
  <c r="V40" i="3"/>
  <c r="U40" i="3"/>
  <c r="T40" i="3"/>
  <c r="S40" i="3"/>
  <c r="AI39" i="3"/>
  <c r="AI40" i="3" s="1"/>
  <c r="AI41" i="3" s="1"/>
  <c r="AH39" i="3"/>
  <c r="AG39" i="3"/>
  <c r="AG40" i="3" s="1"/>
  <c r="AG41" i="3" s="1"/>
  <c r="AF39" i="3"/>
  <c r="AF40" i="3" s="1"/>
  <c r="AF41" i="3" s="1"/>
  <c r="AE39" i="3"/>
  <c r="AI38" i="3"/>
  <c r="AH38" i="3"/>
  <c r="AM38" i="3" s="1"/>
  <c r="AG38" i="3"/>
  <c r="AF38" i="3"/>
  <c r="AE38" i="3"/>
  <c r="AC38" i="3"/>
  <c r="AC39" i="3" s="1"/>
  <c r="AC40" i="3" s="1"/>
  <c r="AC41" i="3" s="1"/>
  <c r="O37" i="3"/>
  <c r="N37" i="3"/>
  <c r="O36" i="3"/>
  <c r="N36" i="3"/>
  <c r="AI35" i="3"/>
  <c r="AH35" i="3"/>
  <c r="AJ35" i="3" s="1"/>
  <c r="AG35" i="3"/>
  <c r="AG36" i="3" s="1"/>
  <c r="AG37" i="3" s="1"/>
  <c r="AF35" i="3"/>
  <c r="AF36" i="3" s="1"/>
  <c r="AF37" i="3" s="1"/>
  <c r="AE35" i="3"/>
  <c r="Y35" i="3"/>
  <c r="X35" i="3"/>
  <c r="W35" i="3"/>
  <c r="V35" i="3"/>
  <c r="U35" i="3"/>
  <c r="T35" i="3"/>
  <c r="S35" i="3"/>
  <c r="AI34" i="3"/>
  <c r="AH34" i="3"/>
  <c r="AJ34" i="3" s="1"/>
  <c r="AG34" i="3"/>
  <c r="AF34" i="3"/>
  <c r="AE34" i="3"/>
  <c r="AD34" i="3" s="1"/>
  <c r="AC34" i="3"/>
  <c r="AC35" i="3" s="1"/>
  <c r="AC36" i="3" s="1"/>
  <c r="AC37" i="3" s="1"/>
  <c r="O33" i="3"/>
  <c r="N33" i="3"/>
  <c r="O32" i="3"/>
  <c r="N32" i="3"/>
  <c r="AI31" i="3"/>
  <c r="AI32" i="3" s="1"/>
  <c r="AI33" i="3" s="1"/>
  <c r="AH31" i="3"/>
  <c r="AH32" i="3" s="1"/>
  <c r="AG31" i="3"/>
  <c r="AG32" i="3" s="1"/>
  <c r="AG33" i="3" s="1"/>
  <c r="AF31" i="3"/>
  <c r="AF32" i="3" s="1"/>
  <c r="AF33" i="3" s="1"/>
  <c r="AE31" i="3"/>
  <c r="Y31" i="3"/>
  <c r="X31" i="3"/>
  <c r="W31" i="3"/>
  <c r="V31" i="3"/>
  <c r="U31" i="3"/>
  <c r="T31" i="3"/>
  <c r="S31" i="3"/>
  <c r="AI30" i="3"/>
  <c r="AH30" i="3"/>
  <c r="AM30" i="3" s="1"/>
  <c r="AG30" i="3"/>
  <c r="AF30" i="3"/>
  <c r="AE30" i="3"/>
  <c r="AC30" i="3"/>
  <c r="AC31" i="3" s="1"/>
  <c r="AC32" i="3" s="1"/>
  <c r="AC33" i="3" s="1"/>
  <c r="Y29" i="3"/>
  <c r="X29" i="3"/>
  <c r="W29" i="3"/>
  <c r="V29" i="3"/>
  <c r="U29" i="3"/>
  <c r="T29" i="3"/>
  <c r="S29" i="3"/>
  <c r="Y28" i="3"/>
  <c r="X28" i="3"/>
  <c r="W28" i="3"/>
  <c r="V28" i="3"/>
  <c r="U28" i="3"/>
  <c r="T28" i="3"/>
  <c r="S28" i="3"/>
  <c r="N28" i="3"/>
  <c r="AI27" i="3"/>
  <c r="AH27" i="3"/>
  <c r="AJ27" i="3" s="1"/>
  <c r="AG27" i="3"/>
  <c r="AG28" i="3" s="1"/>
  <c r="AG29" i="3" s="1"/>
  <c r="AF27" i="3"/>
  <c r="AF28" i="3" s="1"/>
  <c r="AF29" i="3" s="1"/>
  <c r="AE27" i="3"/>
  <c r="AI26" i="3"/>
  <c r="AH26" i="3"/>
  <c r="AJ26" i="3" s="1"/>
  <c r="AG26" i="3"/>
  <c r="AF26" i="3"/>
  <c r="AE26" i="3"/>
  <c r="AC26" i="3"/>
  <c r="AC27" i="3" s="1"/>
  <c r="AC28" i="3" s="1"/>
  <c r="AC29" i="3" s="1"/>
  <c r="O25" i="3"/>
  <c r="N25" i="3"/>
  <c r="O24" i="3"/>
  <c r="N24" i="3"/>
  <c r="AI23" i="3"/>
  <c r="AH23" i="3"/>
  <c r="AH24" i="3" s="1"/>
  <c r="AG23" i="3"/>
  <c r="AG24" i="3" s="1"/>
  <c r="AG25" i="3" s="1"/>
  <c r="AF23" i="3"/>
  <c r="AF24" i="3" s="1"/>
  <c r="AF25" i="3" s="1"/>
  <c r="AE23" i="3"/>
  <c r="Y23" i="3"/>
  <c r="X23" i="3"/>
  <c r="W23" i="3"/>
  <c r="V23" i="3"/>
  <c r="U23" i="3"/>
  <c r="T23" i="3"/>
  <c r="S23" i="3"/>
  <c r="AI22" i="3"/>
  <c r="AH22" i="3"/>
  <c r="AM22" i="3" s="1"/>
  <c r="AG22" i="3"/>
  <c r="AF22" i="3"/>
  <c r="AE22" i="3"/>
  <c r="AC22" i="3"/>
  <c r="AC23" i="3" s="1"/>
  <c r="AC24" i="3" s="1"/>
  <c r="AC25" i="3" s="1"/>
  <c r="O21" i="3"/>
  <c r="N21" i="3"/>
  <c r="Q901" i="3"/>
  <c r="O20" i="3"/>
  <c r="N20" i="3"/>
  <c r="AI19" i="3"/>
  <c r="AI20" i="3" s="1"/>
  <c r="AI21" i="3" s="1"/>
  <c r="AH19" i="3"/>
  <c r="AG19" i="3"/>
  <c r="AG20" i="3" s="1"/>
  <c r="AG21" i="3" s="1"/>
  <c r="AF19" i="3"/>
  <c r="AF20" i="3" s="1"/>
  <c r="AF21" i="3" s="1"/>
  <c r="AE19" i="3"/>
  <c r="Y19" i="3"/>
  <c r="X19" i="3"/>
  <c r="W19" i="3"/>
  <c r="V19" i="3"/>
  <c r="U19" i="3"/>
  <c r="T19" i="3"/>
  <c r="S19" i="3"/>
  <c r="AI18" i="3"/>
  <c r="AH18" i="3"/>
  <c r="AL18" i="3" s="1"/>
  <c r="AG18" i="3"/>
  <c r="AF18" i="3"/>
  <c r="AE18" i="3"/>
  <c r="AC18" i="3"/>
  <c r="AC19" i="3" s="1"/>
  <c r="AC20" i="3" s="1"/>
  <c r="AC21" i="3" s="1"/>
  <c r="Y17" i="3"/>
  <c r="X17" i="3"/>
  <c r="W17" i="3"/>
  <c r="V17" i="3"/>
  <c r="U17" i="3"/>
  <c r="T17" i="3"/>
  <c r="S17" i="3"/>
  <c r="N17" i="3"/>
  <c r="Y16" i="3"/>
  <c r="X16" i="3"/>
  <c r="W16" i="3"/>
  <c r="V16" i="3"/>
  <c r="U16" i="3"/>
  <c r="T16" i="3"/>
  <c r="S16" i="3"/>
  <c r="AI15" i="3"/>
  <c r="AI16" i="3" s="1"/>
  <c r="AI17" i="3" s="1"/>
  <c r="AH15" i="3"/>
  <c r="AH16" i="3" s="1"/>
  <c r="AG15" i="3"/>
  <c r="AG16" i="3" s="1"/>
  <c r="AG17" i="3" s="1"/>
  <c r="AF15" i="3"/>
  <c r="AF16" i="3" s="1"/>
  <c r="AF17" i="3" s="1"/>
  <c r="AE15" i="3"/>
  <c r="AI14" i="3"/>
  <c r="AH14" i="3"/>
  <c r="AK14" i="3" s="1"/>
  <c r="AG14" i="3"/>
  <c r="AF14" i="3"/>
  <c r="AE14" i="3"/>
  <c r="AC14" i="3"/>
  <c r="AC15" i="3" s="1"/>
  <c r="AC16" i="3" s="1"/>
  <c r="AC17" i="3" s="1"/>
  <c r="O13" i="3"/>
  <c r="N13" i="3"/>
  <c r="O12" i="3"/>
  <c r="N12" i="3"/>
  <c r="AI11" i="3"/>
  <c r="AI12" i="3" s="1"/>
  <c r="AI13" i="3" s="1"/>
  <c r="AH11" i="3"/>
  <c r="AH12" i="3" s="1"/>
  <c r="AH13" i="3" s="1"/>
  <c r="AG11" i="3"/>
  <c r="AG12" i="3" s="1"/>
  <c r="AG13" i="3" s="1"/>
  <c r="AF11" i="3"/>
  <c r="AF12" i="3" s="1"/>
  <c r="AF13" i="3" s="1"/>
  <c r="AE11" i="3"/>
  <c r="Y11" i="3"/>
  <c r="X11" i="3"/>
  <c r="W11" i="3"/>
  <c r="V11" i="3"/>
  <c r="U11" i="3"/>
  <c r="T11" i="3"/>
  <c r="S11" i="3"/>
  <c r="AI10" i="3"/>
  <c r="AH10" i="3"/>
  <c r="AL10" i="3" s="1"/>
  <c r="AG10" i="3"/>
  <c r="AF10" i="3"/>
  <c r="AE10" i="3"/>
  <c r="AC10" i="3"/>
  <c r="AC11" i="3" s="1"/>
  <c r="AC12" i="3" s="1"/>
  <c r="AC13" i="3" s="1"/>
  <c r="O24" i="2"/>
  <c r="N24" i="2"/>
  <c r="M24" i="2"/>
  <c r="K24" i="2"/>
  <c r="J24" i="2"/>
  <c r="I24" i="2"/>
  <c r="P23" i="2"/>
  <c r="L23" i="2"/>
  <c r="P22" i="2"/>
  <c r="L22" i="2"/>
  <c r="P21" i="2"/>
  <c r="L21" i="2"/>
  <c r="P20" i="2"/>
  <c r="L20" i="2"/>
  <c r="P19" i="2"/>
  <c r="L19" i="2"/>
  <c r="L24" i="2" l="1"/>
  <c r="P24" i="2"/>
  <c r="AK727" i="3"/>
  <c r="AL727" i="3"/>
  <c r="AM727" i="3"/>
  <c r="AU727" i="3"/>
  <c r="AT727" i="3"/>
  <c r="AV727" i="3"/>
  <c r="AS727" i="3"/>
  <c r="AR727" i="3"/>
  <c r="AD727" i="3"/>
  <c r="AE723" i="3"/>
  <c r="AQ727" i="3"/>
  <c r="AP727" i="3"/>
  <c r="AN727" i="3"/>
  <c r="AO727" i="3"/>
  <c r="AZ727" i="3"/>
  <c r="AY727" i="3"/>
  <c r="AX727" i="3"/>
  <c r="AW727" i="3"/>
  <c r="N191" i="3"/>
  <c r="U6" i="7"/>
  <c r="U21" i="7"/>
  <c r="U23" i="7"/>
  <c r="U38" i="7"/>
  <c r="U40" i="7"/>
  <c r="U57" i="7"/>
  <c r="U74" i="7"/>
  <c r="U76" i="7"/>
  <c r="U8" i="7"/>
  <c r="U25" i="7"/>
  <c r="U42" i="7"/>
  <c r="U59" i="7"/>
  <c r="U61" i="7"/>
  <c r="U78" i="7"/>
  <c r="U95" i="7"/>
  <c r="U114" i="7"/>
  <c r="U116" i="7"/>
  <c r="U10" i="7"/>
  <c r="U16" i="7"/>
  <c r="U33" i="7"/>
  <c r="U50" i="7"/>
  <c r="U52" i="7"/>
  <c r="U69" i="7"/>
  <c r="U86" i="7"/>
  <c r="U103" i="7"/>
  <c r="U105" i="7"/>
  <c r="U132" i="7"/>
  <c r="U144" i="7"/>
  <c r="U156" i="7"/>
  <c r="U168" i="7"/>
  <c r="U27" i="7"/>
  <c r="U44" i="7"/>
  <c r="U46" i="7"/>
  <c r="U63" i="7"/>
  <c r="U80" i="7"/>
  <c r="U82" i="7"/>
  <c r="U97" i="7"/>
  <c r="U99" i="7"/>
  <c r="U130" i="7"/>
  <c r="U142" i="7"/>
  <c r="U154" i="7"/>
  <c r="U166" i="7"/>
  <c r="U178" i="7"/>
  <c r="U22" i="7"/>
  <c r="U39" i="7"/>
  <c r="U56" i="7"/>
  <c r="U75" i="7"/>
  <c r="U92" i="7"/>
  <c r="U109" i="7"/>
  <c r="U91" i="7"/>
  <c r="U93" i="7"/>
  <c r="U110" i="7"/>
  <c r="U121" i="7"/>
  <c r="U128" i="7"/>
  <c r="U140" i="7"/>
  <c r="U152" i="7"/>
  <c r="U164" i="7"/>
  <c r="U176" i="7"/>
  <c r="U119" i="7"/>
  <c r="U123" i="7"/>
  <c r="U135" i="7"/>
  <c r="U147" i="7"/>
  <c r="U159" i="7"/>
  <c r="U171" i="7"/>
  <c r="U12" i="7"/>
  <c r="U14" i="7"/>
  <c r="U29" i="7"/>
  <c r="U31" i="7"/>
  <c r="U48" i="7"/>
  <c r="U65" i="7"/>
  <c r="U67" i="7"/>
  <c r="U84" i="7"/>
  <c r="U101" i="7"/>
  <c r="U118" i="7"/>
  <c r="U125" i="7"/>
  <c r="U137" i="7"/>
  <c r="U149" i="7"/>
  <c r="U161" i="7"/>
  <c r="U173" i="7"/>
  <c r="U18" i="7"/>
  <c r="U20" i="7"/>
  <c r="U35" i="7"/>
  <c r="U37" i="7"/>
  <c r="U54" i="7"/>
  <c r="U71" i="7"/>
  <c r="U73" i="7"/>
  <c r="U88" i="7"/>
  <c r="U90" i="7"/>
  <c r="U107" i="7"/>
  <c r="U120" i="7"/>
  <c r="U127" i="7"/>
  <c r="U139" i="7"/>
  <c r="U151" i="7"/>
  <c r="U163" i="7"/>
  <c r="U175" i="7"/>
  <c r="U58" i="7"/>
  <c r="U112" i="7"/>
  <c r="U134" i="7"/>
  <c r="U146" i="7"/>
  <c r="U158" i="7"/>
  <c r="U170" i="7"/>
  <c r="U7" i="7"/>
  <c r="U9" i="7"/>
  <c r="U24" i="7"/>
  <c r="U41" i="7"/>
  <c r="U43" i="7"/>
  <c r="U60" i="7"/>
  <c r="U77" i="7"/>
  <c r="U79" i="7"/>
  <c r="U94" i="7"/>
  <c r="U96" i="7"/>
  <c r="U115" i="7"/>
  <c r="U129" i="7"/>
  <c r="U141" i="7"/>
  <c r="U153" i="7"/>
  <c r="U165" i="7"/>
  <c r="U177" i="7"/>
  <c r="U11" i="7"/>
  <c r="U26" i="7"/>
  <c r="U28" i="7"/>
  <c r="U45" i="7"/>
  <c r="U62" i="7"/>
  <c r="U64" i="7"/>
  <c r="U81" i="7"/>
  <c r="U98" i="7"/>
  <c r="U117" i="7"/>
  <c r="U136" i="7"/>
  <c r="U148" i="7"/>
  <c r="U160" i="7"/>
  <c r="U172" i="7"/>
  <c r="U13" i="7"/>
  <c r="U30" i="7"/>
  <c r="U47" i="7"/>
  <c r="U49" i="7"/>
  <c r="U66" i="7"/>
  <c r="U83" i="7"/>
  <c r="U85" i="7"/>
  <c r="U100" i="7"/>
  <c r="U102" i="7"/>
  <c r="U131" i="7"/>
  <c r="U143" i="7"/>
  <c r="U155" i="7"/>
  <c r="U167" i="7"/>
  <c r="U179" i="7"/>
  <c r="U15" i="7"/>
  <c r="U17" i="7"/>
  <c r="U32" i="7"/>
  <c r="U34" i="7"/>
  <c r="U51" i="7"/>
  <c r="U68" i="7"/>
  <c r="U70" i="7"/>
  <c r="U87" i="7"/>
  <c r="U104" i="7"/>
  <c r="U126" i="7"/>
  <c r="U138" i="7"/>
  <c r="U150" i="7"/>
  <c r="U162" i="7"/>
  <c r="U174" i="7"/>
  <c r="U19" i="7"/>
  <c r="U36" i="7"/>
  <c r="U53" i="7"/>
  <c r="U55" i="7"/>
  <c r="U72" i="7"/>
  <c r="U89" i="7"/>
  <c r="U106" i="7"/>
  <c r="U108" i="7"/>
  <c r="U124" i="7"/>
  <c r="U133" i="7"/>
  <c r="U145" i="7"/>
  <c r="U157" i="7"/>
  <c r="U169" i="7"/>
  <c r="K68" i="3"/>
  <c r="I11" i="3"/>
  <c r="I19" i="3"/>
  <c r="I15" i="3" s="1"/>
  <c r="I551" i="3"/>
  <c r="I791" i="3"/>
  <c r="I835" i="3"/>
  <c r="I831" i="3" s="1"/>
  <c r="I95" i="3"/>
  <c r="I343" i="3"/>
  <c r="I339" i="3" s="1"/>
  <c r="I739" i="3"/>
  <c r="I735" i="3" s="1"/>
  <c r="I103" i="3"/>
  <c r="I99" i="3" s="1"/>
  <c r="I199" i="3"/>
  <c r="I195" i="3" s="1"/>
  <c r="I335" i="3"/>
  <c r="I503" i="3"/>
  <c r="I643" i="3"/>
  <c r="I639" i="3" s="1"/>
  <c r="I875" i="3"/>
  <c r="I883" i="3"/>
  <c r="I879" i="3" s="1"/>
  <c r="I275" i="3"/>
  <c r="I347" i="3"/>
  <c r="I355" i="3"/>
  <c r="I351" i="3" s="1"/>
  <c r="I107" i="3"/>
  <c r="I115" i="3"/>
  <c r="I111" i="3" s="1"/>
  <c r="I191" i="3"/>
  <c r="I283" i="3"/>
  <c r="I279" i="3" s="1"/>
  <c r="I419" i="3"/>
  <c r="I427" i="3"/>
  <c r="I423" i="3" s="1"/>
  <c r="I511" i="3"/>
  <c r="I507" i="3" s="1"/>
  <c r="I635" i="3"/>
  <c r="I799" i="3"/>
  <c r="I795" i="3" s="1"/>
  <c r="I827" i="3"/>
  <c r="I559" i="3"/>
  <c r="I555" i="3" s="1"/>
  <c r="I623" i="3"/>
  <c r="I631" i="3"/>
  <c r="I627" i="3" s="1"/>
  <c r="I731" i="3"/>
  <c r="I611" i="3"/>
  <c r="I779" i="3"/>
  <c r="I787" i="3"/>
  <c r="I783" i="3" s="1"/>
  <c r="I863" i="3"/>
  <c r="I83" i="3"/>
  <c r="I263" i="3"/>
  <c r="I91" i="3"/>
  <c r="I87" i="3" s="1"/>
  <c r="I323" i="3"/>
  <c r="I59" i="3"/>
  <c r="I79" i="3"/>
  <c r="I75" i="3" s="1"/>
  <c r="I175" i="3"/>
  <c r="I171" i="3" s="1"/>
  <c r="I239" i="3"/>
  <c r="I331" i="3"/>
  <c r="I327" i="3" s="1"/>
  <c r="I455" i="3"/>
  <c r="I463" i="3"/>
  <c r="I459" i="3" s="1"/>
  <c r="I619" i="3"/>
  <c r="I615" i="3" s="1"/>
  <c r="I691" i="3"/>
  <c r="I687" i="3" s="1"/>
  <c r="I187" i="3"/>
  <c r="I183" i="3" s="1"/>
  <c r="I67" i="3"/>
  <c r="I63" i="3" s="1"/>
  <c r="I247" i="3"/>
  <c r="I243" i="3" s="1"/>
  <c r="I383" i="3"/>
  <c r="I391" i="3"/>
  <c r="I387" i="3" s="1"/>
  <c r="I607" i="3"/>
  <c r="I603" i="3" s="1"/>
  <c r="I683" i="3"/>
  <c r="I179" i="3"/>
  <c r="I271" i="3"/>
  <c r="I267" i="3" s="1"/>
  <c r="I71" i="3"/>
  <c r="I167" i="3"/>
  <c r="I47" i="3"/>
  <c r="I55" i="3"/>
  <c r="I51" i="3" s="1"/>
  <c r="I143" i="3"/>
  <c r="I151" i="3"/>
  <c r="I147" i="3" s="1"/>
  <c r="I235" i="3"/>
  <c r="I231" i="3" s="1"/>
  <c r="I527" i="3"/>
  <c r="I535" i="3"/>
  <c r="I531" i="3" s="1"/>
  <c r="I599" i="3"/>
  <c r="I823" i="3"/>
  <c r="I819" i="3" s="1"/>
  <c r="I871" i="3"/>
  <c r="I867" i="3" s="1"/>
  <c r="I227" i="3"/>
  <c r="I443" i="3"/>
  <c r="I479" i="3"/>
  <c r="I851" i="3"/>
  <c r="I587" i="3"/>
  <c r="I815" i="3"/>
  <c r="I35" i="3"/>
  <c r="I43" i="3"/>
  <c r="I39" i="3" s="1"/>
  <c r="I131" i="3"/>
  <c r="I215" i="3"/>
  <c r="I371" i="3"/>
  <c r="I379" i="3"/>
  <c r="I375" i="3" s="1"/>
  <c r="I451" i="3"/>
  <c r="I447" i="3" s="1"/>
  <c r="I595" i="3"/>
  <c r="I591" i="3" s="1"/>
  <c r="I487" i="3"/>
  <c r="I483" i="3" s="1"/>
  <c r="I139" i="3"/>
  <c r="I135" i="3" s="1"/>
  <c r="I223" i="3"/>
  <c r="I219" i="3" s="1"/>
  <c r="I287" i="3"/>
  <c r="I359" i="3"/>
  <c r="I431" i="3"/>
  <c r="I439" i="3"/>
  <c r="I435" i="3" s="1"/>
  <c r="I575" i="3"/>
  <c r="I583" i="3"/>
  <c r="I579" i="3" s="1"/>
  <c r="I659" i="3"/>
  <c r="I667" i="3"/>
  <c r="I663" i="3" s="1"/>
  <c r="I671" i="3"/>
  <c r="I679" i="3"/>
  <c r="I675" i="3" s="1"/>
  <c r="I755" i="3"/>
  <c r="I763" i="3"/>
  <c r="I759" i="3" s="1"/>
  <c r="I23" i="3"/>
  <c r="I31" i="3"/>
  <c r="I27" i="3" s="1"/>
  <c r="I119" i="3"/>
  <c r="I127" i="3"/>
  <c r="I123" i="3" s="1"/>
  <c r="I203" i="3"/>
  <c r="I211" i="3"/>
  <c r="I207" i="3" s="1"/>
  <c r="I295" i="3"/>
  <c r="I291" i="3" s="1"/>
  <c r="I367" i="3"/>
  <c r="I363" i="3" s="1"/>
  <c r="I743" i="3"/>
  <c r="I751" i="3"/>
  <c r="I747" i="3" s="1"/>
  <c r="I839" i="3"/>
  <c r="I847" i="3"/>
  <c r="I843" i="3" s="1"/>
  <c r="I859" i="3"/>
  <c r="I855" i="3" s="1"/>
  <c r="N115" i="3"/>
  <c r="N119" i="3"/>
  <c r="O2" i="7"/>
  <c r="N19" i="3"/>
  <c r="N67" i="3"/>
  <c r="N211" i="3"/>
  <c r="N871" i="3"/>
  <c r="K32" i="3"/>
  <c r="K45" i="3"/>
  <c r="K56" i="3"/>
  <c r="N4" i="7"/>
  <c r="N2" i="7"/>
  <c r="N3" i="7"/>
  <c r="N917" i="3"/>
  <c r="T735" i="3"/>
  <c r="AU735" i="3" s="1"/>
  <c r="U795" i="3"/>
  <c r="AV795" i="3" s="1"/>
  <c r="K33" i="3"/>
  <c r="K44" i="3"/>
  <c r="K57" i="3"/>
  <c r="P2" i="7"/>
  <c r="Q4" i="7"/>
  <c r="BB194" i="3"/>
  <c r="AB858" i="3"/>
  <c r="BB190" i="3"/>
  <c r="BB826" i="3"/>
  <c r="BB294" i="3"/>
  <c r="BB46" i="3"/>
  <c r="BB54" i="3"/>
  <c r="BB186" i="3"/>
  <c r="AB270" i="3"/>
  <c r="BB458" i="3"/>
  <c r="BB382" i="3"/>
  <c r="BB606" i="3"/>
  <c r="BB42" i="3"/>
  <c r="AB98" i="3"/>
  <c r="AB202" i="3"/>
  <c r="BB742" i="3"/>
  <c r="AB286" i="3"/>
  <c r="BB438" i="3"/>
  <c r="BB34" i="3"/>
  <c r="N71" i="3"/>
  <c r="N123" i="3"/>
  <c r="N327" i="3"/>
  <c r="N107" i="3"/>
  <c r="N167" i="3"/>
  <c r="N203" i="3"/>
  <c r="N359" i="3"/>
  <c r="N455" i="3"/>
  <c r="N479" i="3"/>
  <c r="N671" i="3"/>
  <c r="N863" i="3"/>
  <c r="N31" i="3"/>
  <c r="N79" i="3"/>
  <c r="N127" i="3"/>
  <c r="N187" i="3"/>
  <c r="N223" i="3"/>
  <c r="N271" i="3"/>
  <c r="N331" i="3"/>
  <c r="N379" i="3"/>
  <c r="N427" i="3"/>
  <c r="N535" i="3"/>
  <c r="N631" i="3"/>
  <c r="N691" i="3"/>
  <c r="W879" i="3"/>
  <c r="N23" i="3"/>
  <c r="N179" i="3"/>
  <c r="N323" i="3"/>
  <c r="N419" i="3"/>
  <c r="K873" i="3"/>
  <c r="N55" i="3"/>
  <c r="N151" i="3"/>
  <c r="N199" i="3"/>
  <c r="N247" i="3"/>
  <c r="N355" i="3"/>
  <c r="N451" i="3"/>
  <c r="N511" i="3"/>
  <c r="N607" i="3"/>
  <c r="N667" i="3"/>
  <c r="N751" i="3"/>
  <c r="N799" i="3"/>
  <c r="N859" i="3"/>
  <c r="K128" i="3"/>
  <c r="K584" i="3"/>
  <c r="K333" i="3"/>
  <c r="V855" i="3"/>
  <c r="K132" i="3"/>
  <c r="S867" i="3"/>
  <c r="X879" i="3"/>
  <c r="S3" i="7"/>
  <c r="T3" i="7"/>
  <c r="T2" i="7"/>
  <c r="R4" i="7"/>
  <c r="S4" i="7"/>
  <c r="T4" i="7"/>
  <c r="O3" i="7"/>
  <c r="Q2" i="7"/>
  <c r="Q3" i="7"/>
  <c r="P4" i="7"/>
  <c r="N283" i="3"/>
  <c r="K61" i="3"/>
  <c r="W759" i="3"/>
  <c r="AX759" i="3" s="1"/>
  <c r="K240" i="3"/>
  <c r="X555" i="3"/>
  <c r="AY555" i="3" s="1"/>
  <c r="S615" i="3"/>
  <c r="AT615" i="3" s="1"/>
  <c r="U339" i="3"/>
  <c r="AV339" i="3" s="1"/>
  <c r="W183" i="3"/>
  <c r="AX183" i="3" s="1"/>
  <c r="X195" i="3"/>
  <c r="AY195" i="3" s="1"/>
  <c r="X75" i="3"/>
  <c r="AY75" i="3" s="1"/>
  <c r="X183" i="3"/>
  <c r="AY183" i="3" s="1"/>
  <c r="S135" i="3"/>
  <c r="AT135" i="3" s="1"/>
  <c r="V747" i="3"/>
  <c r="AW747" i="3" s="1"/>
  <c r="T111" i="3"/>
  <c r="AU111" i="3" s="1"/>
  <c r="X579" i="3"/>
  <c r="AY579" i="3" s="1"/>
  <c r="T219" i="3"/>
  <c r="AU219" i="3" s="1"/>
  <c r="V591" i="3"/>
  <c r="AW591" i="3" s="1"/>
  <c r="K296" i="3"/>
  <c r="V759" i="3"/>
  <c r="AW759" i="3" s="1"/>
  <c r="K816" i="3"/>
  <c r="Y855" i="3"/>
  <c r="S99" i="3"/>
  <c r="AT99" i="3" s="1"/>
  <c r="V615" i="3"/>
  <c r="AW615" i="3" s="1"/>
  <c r="X627" i="3"/>
  <c r="AY627" i="3" s="1"/>
  <c r="S675" i="3"/>
  <c r="AT675" i="3" s="1"/>
  <c r="U687" i="3"/>
  <c r="AV687" i="3" s="1"/>
  <c r="X795" i="3"/>
  <c r="AY795" i="3" s="1"/>
  <c r="S243" i="3"/>
  <c r="AT243" i="3" s="1"/>
  <c r="V603" i="3"/>
  <c r="AW603" i="3" s="1"/>
  <c r="W615" i="3"/>
  <c r="AX615" i="3" s="1"/>
  <c r="K661" i="3"/>
  <c r="K669" i="3"/>
  <c r="V687" i="3"/>
  <c r="AW687" i="3" s="1"/>
  <c r="V531" i="3"/>
  <c r="AW531" i="3" s="1"/>
  <c r="U591" i="3"/>
  <c r="AV591" i="3" s="1"/>
  <c r="W603" i="3"/>
  <c r="AX603" i="3" s="1"/>
  <c r="X615" i="3"/>
  <c r="AY615" i="3" s="1"/>
  <c r="U219" i="3"/>
  <c r="AV219" i="3" s="1"/>
  <c r="S231" i="3"/>
  <c r="AT231" i="3" s="1"/>
  <c r="Y579" i="3"/>
  <c r="AZ579" i="3" s="1"/>
  <c r="X603" i="3"/>
  <c r="AY603" i="3" s="1"/>
  <c r="X663" i="3"/>
  <c r="AY663" i="3" s="1"/>
  <c r="Y603" i="3"/>
  <c r="AZ603" i="3" s="1"/>
  <c r="S375" i="3"/>
  <c r="AT375" i="3" s="1"/>
  <c r="N95" i="3"/>
  <c r="N287" i="3"/>
  <c r="V27" i="3"/>
  <c r="AW27" i="3" s="1"/>
  <c r="T459" i="3"/>
  <c r="AU459" i="3" s="1"/>
  <c r="K692" i="3"/>
  <c r="K837" i="3"/>
  <c r="K97" i="3"/>
  <c r="K121" i="3"/>
  <c r="N463" i="3"/>
  <c r="Y195" i="3"/>
  <c r="AZ195" i="3" s="1"/>
  <c r="V483" i="3"/>
  <c r="AW483" i="3" s="1"/>
  <c r="O107" i="3"/>
  <c r="N755" i="3"/>
  <c r="K13" i="3"/>
  <c r="S39" i="3"/>
  <c r="AT39" i="3" s="1"/>
  <c r="K744" i="3"/>
  <c r="V579" i="3"/>
  <c r="AW579" i="3" s="1"/>
  <c r="O844" i="3"/>
  <c r="K844" i="3" s="1"/>
  <c r="W459" i="3"/>
  <c r="AX459" i="3" s="1"/>
  <c r="V555" i="3"/>
  <c r="AW555" i="3" s="1"/>
  <c r="W579" i="3"/>
  <c r="AX579" i="3" s="1"/>
  <c r="S843" i="3"/>
  <c r="AT843" i="3" s="1"/>
  <c r="T747" i="3"/>
  <c r="AU747" i="3" s="1"/>
  <c r="S819" i="3"/>
  <c r="AT819" i="3" s="1"/>
  <c r="S555" i="3"/>
  <c r="AT555" i="3" s="1"/>
  <c r="Y27" i="3"/>
  <c r="AZ27" i="3" s="1"/>
  <c r="W339" i="3"/>
  <c r="AX339" i="3" s="1"/>
  <c r="K360" i="3"/>
  <c r="S387" i="3"/>
  <c r="AT387" i="3" s="1"/>
  <c r="Y507" i="3"/>
  <c r="AZ507" i="3" s="1"/>
  <c r="T555" i="3"/>
  <c r="AU555" i="3" s="1"/>
  <c r="Y675" i="3"/>
  <c r="AZ675" i="3" s="1"/>
  <c r="T867" i="3"/>
  <c r="K885" i="3"/>
  <c r="N559" i="3"/>
  <c r="N83" i="3"/>
  <c r="N275" i="3"/>
  <c r="N587" i="3"/>
  <c r="U867" i="3"/>
  <c r="V183" i="3"/>
  <c r="T267" i="3"/>
  <c r="AU267" i="3" s="1"/>
  <c r="W531" i="3"/>
  <c r="AX531" i="3" s="1"/>
  <c r="K801" i="3"/>
  <c r="U87" i="3"/>
  <c r="AV87" i="3" s="1"/>
  <c r="Y291" i="3"/>
  <c r="AZ291" i="3" s="1"/>
  <c r="X843" i="3"/>
  <c r="AY843" i="3" s="1"/>
  <c r="X855" i="3"/>
  <c r="N619" i="3"/>
  <c r="N763" i="3"/>
  <c r="N551" i="3"/>
  <c r="N599" i="3"/>
  <c r="N659" i="3"/>
  <c r="T387" i="3"/>
  <c r="AU387" i="3" s="1"/>
  <c r="S111" i="3"/>
  <c r="AT111" i="3" s="1"/>
  <c r="W123" i="3"/>
  <c r="AX123" i="3" s="1"/>
  <c r="W75" i="3"/>
  <c r="AX75" i="3" s="1"/>
  <c r="S267" i="3"/>
  <c r="AT267" i="3" s="1"/>
  <c r="W627" i="3"/>
  <c r="AX627" i="3" s="1"/>
  <c r="S687" i="3"/>
  <c r="AT687" i="3" s="1"/>
  <c r="N263" i="3"/>
  <c r="N371" i="3"/>
  <c r="N575" i="3"/>
  <c r="N623" i="3"/>
  <c r="N683" i="3"/>
  <c r="N827" i="3"/>
  <c r="N875" i="3"/>
  <c r="N291" i="3"/>
  <c r="K668" i="3"/>
  <c r="V663" i="3"/>
  <c r="AW663" i="3" s="1"/>
  <c r="Y879" i="3"/>
  <c r="S63" i="3"/>
  <c r="AT63" i="3" s="1"/>
  <c r="K69" i="3"/>
  <c r="U171" i="3"/>
  <c r="AV171" i="3" s="1"/>
  <c r="K193" i="3"/>
  <c r="U243" i="3"/>
  <c r="AV243" i="3" s="1"/>
  <c r="U279" i="3"/>
  <c r="AV279" i="3" s="1"/>
  <c r="V387" i="3"/>
  <c r="AW387" i="3" s="1"/>
  <c r="V423" i="3"/>
  <c r="AW423" i="3" s="1"/>
  <c r="X435" i="3"/>
  <c r="AY435" i="3" s="1"/>
  <c r="S459" i="3"/>
  <c r="AT459" i="3" s="1"/>
  <c r="Y591" i="3"/>
  <c r="AZ591" i="3" s="1"/>
  <c r="O833" i="3"/>
  <c r="K833" i="3" s="1"/>
  <c r="V867" i="3"/>
  <c r="N487" i="3"/>
  <c r="X423" i="3"/>
  <c r="AY423" i="3" s="1"/>
  <c r="S447" i="3"/>
  <c r="AT447" i="3" s="1"/>
  <c r="T531" i="3"/>
  <c r="AU531" i="3" s="1"/>
  <c r="K745" i="3"/>
  <c r="K829" i="3"/>
  <c r="U531" i="3"/>
  <c r="AV531" i="3" s="1"/>
  <c r="K625" i="3"/>
  <c r="S639" i="3"/>
  <c r="AT639" i="3" s="1"/>
  <c r="Y783" i="3"/>
  <c r="AZ783" i="3" s="1"/>
  <c r="V795" i="3"/>
  <c r="AW795" i="3" s="1"/>
  <c r="Y819" i="3"/>
  <c r="AZ819" i="3" s="1"/>
  <c r="Y843" i="3"/>
  <c r="AZ843" i="3" s="1"/>
  <c r="V279" i="3"/>
  <c r="AW279" i="3" s="1"/>
  <c r="Y435" i="3"/>
  <c r="AZ435" i="3" s="1"/>
  <c r="U15" i="3"/>
  <c r="AV15" i="3" s="1"/>
  <c r="S123" i="3"/>
  <c r="AT123" i="3" s="1"/>
  <c r="V147" i="3"/>
  <c r="AW147" i="3" s="1"/>
  <c r="W15" i="3"/>
  <c r="AX15" i="3" s="1"/>
  <c r="X831" i="3"/>
  <c r="AY831" i="3" s="1"/>
  <c r="U63" i="3"/>
  <c r="AV63" i="3" s="1"/>
  <c r="T183" i="3"/>
  <c r="AU183" i="3" s="1"/>
  <c r="V51" i="3"/>
  <c r="AW51" i="3" s="1"/>
  <c r="V63" i="3"/>
  <c r="AW63" i="3" s="1"/>
  <c r="X279" i="3"/>
  <c r="AY279" i="3" s="1"/>
  <c r="U39" i="3"/>
  <c r="AV39" i="3" s="1"/>
  <c r="T123" i="3"/>
  <c r="AU123" i="3" s="1"/>
  <c r="X459" i="3"/>
  <c r="AY459" i="3" s="1"/>
  <c r="U507" i="3"/>
  <c r="AV507" i="3" s="1"/>
  <c r="U747" i="3"/>
  <c r="AV747" i="3" s="1"/>
  <c r="T819" i="3"/>
  <c r="AU819" i="3" s="1"/>
  <c r="T63" i="3"/>
  <c r="AU63" i="3" s="1"/>
  <c r="S219" i="3"/>
  <c r="AT219" i="3" s="1"/>
  <c r="V243" i="3"/>
  <c r="AW243" i="3" s="1"/>
  <c r="U351" i="3"/>
  <c r="AV351" i="3" s="1"/>
  <c r="Y135" i="3"/>
  <c r="AZ135" i="3" s="1"/>
  <c r="U579" i="3"/>
  <c r="AV579" i="3" s="1"/>
  <c r="W39" i="3"/>
  <c r="AX39" i="3" s="1"/>
  <c r="V123" i="3"/>
  <c r="AW123" i="3" s="1"/>
  <c r="T327" i="3"/>
  <c r="AU327" i="3" s="1"/>
  <c r="W447" i="3"/>
  <c r="AX447" i="3" s="1"/>
  <c r="Y459" i="3"/>
  <c r="AZ459" i="3" s="1"/>
  <c r="V639" i="3"/>
  <c r="AW639" i="3" s="1"/>
  <c r="Y795" i="3"/>
  <c r="AZ795" i="3" s="1"/>
  <c r="V831" i="3"/>
  <c r="AW831" i="3" s="1"/>
  <c r="T879" i="3"/>
  <c r="O11" i="3"/>
  <c r="T231" i="3"/>
  <c r="AU231" i="3" s="1"/>
  <c r="U51" i="3"/>
  <c r="AV51" i="3" s="1"/>
  <c r="V75" i="3"/>
  <c r="AW75" i="3" s="1"/>
  <c r="X267" i="3"/>
  <c r="AY267" i="3" s="1"/>
  <c r="O575" i="3"/>
  <c r="U735" i="3"/>
  <c r="AV735" i="3" s="1"/>
  <c r="X15" i="3"/>
  <c r="AY15" i="3" s="1"/>
  <c r="V39" i="3"/>
  <c r="AW39" i="3" s="1"/>
  <c r="U639" i="3"/>
  <c r="AV639" i="3" s="1"/>
  <c r="W27" i="3"/>
  <c r="AX27" i="3" s="1"/>
  <c r="X39" i="3"/>
  <c r="AY39" i="3" s="1"/>
  <c r="Y87" i="3"/>
  <c r="AZ87" i="3" s="1"/>
  <c r="O101" i="3"/>
  <c r="K101" i="3" s="1"/>
  <c r="X111" i="3"/>
  <c r="AY111" i="3" s="1"/>
  <c r="Y183" i="3"/>
  <c r="AZ183" i="3" s="1"/>
  <c r="U423" i="3"/>
  <c r="AV423" i="3" s="1"/>
  <c r="X447" i="3"/>
  <c r="AY447" i="3" s="1"/>
  <c r="Y531" i="3"/>
  <c r="AZ531" i="3" s="1"/>
  <c r="U615" i="3"/>
  <c r="AV615" i="3" s="1"/>
  <c r="V627" i="3"/>
  <c r="AW627" i="3" s="1"/>
  <c r="W639" i="3"/>
  <c r="AX639" i="3" s="1"/>
  <c r="W687" i="3"/>
  <c r="AX687" i="3" s="1"/>
  <c r="S735" i="3"/>
  <c r="AT735" i="3" s="1"/>
  <c r="X783" i="3"/>
  <c r="AY783" i="3" s="1"/>
  <c r="S795" i="3"/>
  <c r="AT795" i="3" s="1"/>
  <c r="V819" i="3"/>
  <c r="AW819" i="3" s="1"/>
  <c r="U879" i="3"/>
  <c r="N43" i="3"/>
  <c r="N91" i="3"/>
  <c r="N343" i="3"/>
  <c r="N595" i="3"/>
  <c r="N643" i="3"/>
  <c r="O115" i="3"/>
  <c r="O323" i="3"/>
  <c r="O55" i="3"/>
  <c r="O131" i="3"/>
  <c r="O607" i="3"/>
  <c r="O791" i="3"/>
  <c r="N35" i="3"/>
  <c r="N815" i="3"/>
  <c r="N87" i="3"/>
  <c r="N279" i="3"/>
  <c r="N139" i="3"/>
  <c r="N235" i="3"/>
  <c r="N391" i="3"/>
  <c r="N787" i="3"/>
  <c r="N823" i="3"/>
  <c r="N131" i="3"/>
  <c r="N431" i="3"/>
  <c r="N635" i="3"/>
  <c r="N47" i="3"/>
  <c r="N143" i="3"/>
  <c r="N239" i="3"/>
  <c r="N347" i="3"/>
  <c r="N443" i="3"/>
  <c r="N503" i="3"/>
  <c r="N743" i="3"/>
  <c r="N791" i="3"/>
  <c r="N851" i="3"/>
  <c r="N227" i="3"/>
  <c r="N731" i="3"/>
  <c r="N507" i="3"/>
  <c r="K205" i="3"/>
  <c r="K20" i="3"/>
  <c r="K85" i="3"/>
  <c r="S75" i="3"/>
  <c r="AT75" i="3" s="1"/>
  <c r="U207" i="3"/>
  <c r="AV207" i="3" s="1"/>
  <c r="T351" i="3"/>
  <c r="AU351" i="3" s="1"/>
  <c r="V507" i="3"/>
  <c r="AW507" i="3" s="1"/>
  <c r="U555" i="3"/>
  <c r="AV555" i="3" s="1"/>
  <c r="U675" i="3"/>
  <c r="AV675" i="3" s="1"/>
  <c r="U759" i="3"/>
  <c r="AV759" i="3" s="1"/>
  <c r="Y51" i="3"/>
  <c r="AZ51" i="3" s="1"/>
  <c r="T147" i="3"/>
  <c r="AU147" i="3" s="1"/>
  <c r="V207" i="3"/>
  <c r="AW207" i="3" s="1"/>
  <c r="V219" i="3"/>
  <c r="AW219" i="3" s="1"/>
  <c r="V231" i="3"/>
  <c r="AW231" i="3" s="1"/>
  <c r="U327" i="3"/>
  <c r="AV327" i="3" s="1"/>
  <c r="T363" i="3"/>
  <c r="AU363" i="3" s="1"/>
  <c r="T375" i="3"/>
  <c r="AU375" i="3" s="1"/>
  <c r="K432" i="3"/>
  <c r="K440" i="3"/>
  <c r="Y483" i="3"/>
  <c r="AZ483" i="3" s="1"/>
  <c r="W507" i="3"/>
  <c r="AX507" i="3" s="1"/>
  <c r="S579" i="3"/>
  <c r="AT579" i="3" s="1"/>
  <c r="Y627" i="3"/>
  <c r="AZ627" i="3" s="1"/>
  <c r="W663" i="3"/>
  <c r="AX663" i="3" s="1"/>
  <c r="W747" i="3"/>
  <c r="AX747" i="3" s="1"/>
  <c r="O751" i="3"/>
  <c r="S783" i="3"/>
  <c r="AT783" i="3" s="1"/>
  <c r="T831" i="3"/>
  <c r="AU831" i="3" s="1"/>
  <c r="S879" i="3"/>
  <c r="S171" i="3"/>
  <c r="AT171" i="3" s="1"/>
  <c r="K21" i="3"/>
  <c r="W63" i="3"/>
  <c r="AX63" i="3" s="1"/>
  <c r="S87" i="3"/>
  <c r="AT87" i="3" s="1"/>
  <c r="T171" i="3"/>
  <c r="AU171" i="3" s="1"/>
  <c r="V195" i="3"/>
  <c r="AW195" i="3" s="1"/>
  <c r="W219" i="3"/>
  <c r="AX219" i="3" s="1"/>
  <c r="T243" i="3"/>
  <c r="AU243" i="3" s="1"/>
  <c r="V327" i="3"/>
  <c r="AW327" i="3" s="1"/>
  <c r="V339" i="3"/>
  <c r="AW339" i="3" s="1"/>
  <c r="V351" i="3"/>
  <c r="AW351" i="3" s="1"/>
  <c r="U363" i="3"/>
  <c r="AV363" i="3" s="1"/>
  <c r="U375" i="3"/>
  <c r="AV375" i="3" s="1"/>
  <c r="X507" i="3"/>
  <c r="AY507" i="3" s="1"/>
  <c r="X531" i="3"/>
  <c r="AY531" i="3" s="1"/>
  <c r="W555" i="3"/>
  <c r="AX555" i="3" s="1"/>
  <c r="Y639" i="3"/>
  <c r="AZ639" i="3" s="1"/>
  <c r="X687" i="3"/>
  <c r="AY687" i="3" s="1"/>
  <c r="V735" i="3"/>
  <c r="AW735" i="3" s="1"/>
  <c r="X747" i="3"/>
  <c r="AY747" i="3" s="1"/>
  <c r="U831" i="3"/>
  <c r="AV831" i="3" s="1"/>
  <c r="T843" i="3"/>
  <c r="AU843" i="3" s="1"/>
  <c r="X207" i="3"/>
  <c r="AY207" i="3" s="1"/>
  <c r="X219" i="3"/>
  <c r="AY219" i="3" s="1"/>
  <c r="W327" i="3"/>
  <c r="AX327" i="3" s="1"/>
  <c r="V363" i="3"/>
  <c r="AW363" i="3" s="1"/>
  <c r="U387" i="3"/>
  <c r="AV387" i="3" s="1"/>
  <c r="T591" i="3"/>
  <c r="AU591" i="3" s="1"/>
  <c r="Y663" i="3"/>
  <c r="AZ663" i="3" s="1"/>
  <c r="Y747" i="3"/>
  <c r="AZ747" i="3" s="1"/>
  <c r="T855" i="3"/>
  <c r="Y39" i="3"/>
  <c r="AZ39" i="3" s="1"/>
  <c r="X51" i="3"/>
  <c r="AY51" i="3" s="1"/>
  <c r="S15" i="3"/>
  <c r="AT15" i="3" s="1"/>
  <c r="T75" i="3"/>
  <c r="AU75" i="3" s="1"/>
  <c r="X63" i="3"/>
  <c r="AY63" i="3" s="1"/>
  <c r="O119" i="3"/>
  <c r="Y123" i="3"/>
  <c r="AZ123" i="3" s="1"/>
  <c r="W147" i="3"/>
  <c r="AX147" i="3" s="1"/>
  <c r="V171" i="3"/>
  <c r="AW171" i="3" s="1"/>
  <c r="Y207" i="3"/>
  <c r="AZ207" i="3" s="1"/>
  <c r="Y219" i="3"/>
  <c r="AZ219" i="3" s="1"/>
  <c r="Y231" i="3"/>
  <c r="AZ231" i="3" s="1"/>
  <c r="V267" i="3"/>
  <c r="AW267" i="3" s="1"/>
  <c r="T291" i="3"/>
  <c r="AU291" i="3" s="1"/>
  <c r="X327" i="3"/>
  <c r="AY327" i="3" s="1"/>
  <c r="X339" i="3"/>
  <c r="AY339" i="3" s="1"/>
  <c r="X351" i="3"/>
  <c r="AY351" i="3" s="1"/>
  <c r="W363" i="3"/>
  <c r="AX363" i="3" s="1"/>
  <c r="S435" i="3"/>
  <c r="AT435" i="3" s="1"/>
  <c r="U483" i="3"/>
  <c r="AV483" i="3" s="1"/>
  <c r="K608" i="3"/>
  <c r="K660" i="3"/>
  <c r="Y759" i="3"/>
  <c r="AZ759" i="3" s="1"/>
  <c r="V783" i="3"/>
  <c r="AW783" i="3" s="1"/>
  <c r="T795" i="3"/>
  <c r="AU795" i="3" s="1"/>
  <c r="X867" i="3"/>
  <c r="V879" i="3"/>
  <c r="Y111" i="3"/>
  <c r="AZ111" i="3" s="1"/>
  <c r="X123" i="3"/>
  <c r="AY123" i="3" s="1"/>
  <c r="Y63" i="3"/>
  <c r="AZ63" i="3" s="1"/>
  <c r="U99" i="3"/>
  <c r="AV99" i="3" s="1"/>
  <c r="O113" i="3"/>
  <c r="K113" i="3" s="1"/>
  <c r="W243" i="3"/>
  <c r="AX243" i="3" s="1"/>
  <c r="Y327" i="3"/>
  <c r="AZ327" i="3" s="1"/>
  <c r="Y339" i="3"/>
  <c r="AZ339" i="3" s="1"/>
  <c r="Y351" i="3"/>
  <c r="AZ351" i="3" s="1"/>
  <c r="X375" i="3"/>
  <c r="AY375" i="3" s="1"/>
  <c r="W387" i="3"/>
  <c r="AX387" i="3" s="1"/>
  <c r="Y867" i="3"/>
  <c r="O127" i="3"/>
  <c r="T87" i="3"/>
  <c r="AU87" i="3" s="1"/>
  <c r="T99" i="3"/>
  <c r="AU99" i="3" s="1"/>
  <c r="X147" i="3"/>
  <c r="AY147" i="3" s="1"/>
  <c r="W171" i="3"/>
  <c r="AX171" i="3" s="1"/>
  <c r="W99" i="3"/>
  <c r="AX99" i="3" s="1"/>
  <c r="X135" i="3"/>
  <c r="AY135" i="3" s="1"/>
  <c r="Y147" i="3"/>
  <c r="AZ147" i="3" s="1"/>
  <c r="X171" i="3"/>
  <c r="AY171" i="3" s="1"/>
  <c r="O221" i="3"/>
  <c r="K221" i="3" s="1"/>
  <c r="S279" i="3"/>
  <c r="AT279" i="3" s="1"/>
  <c r="K324" i="3"/>
  <c r="X387" i="3"/>
  <c r="AY387" i="3" s="1"/>
  <c r="T423" i="3"/>
  <c r="AU423" i="3" s="1"/>
  <c r="U459" i="3"/>
  <c r="AV459" i="3" s="1"/>
  <c r="W483" i="3"/>
  <c r="AX483" i="3" s="1"/>
  <c r="T603" i="3"/>
  <c r="AU603" i="3" s="1"/>
  <c r="W819" i="3"/>
  <c r="Y831" i="3"/>
  <c r="AZ831" i="3" s="1"/>
  <c r="S27" i="3"/>
  <c r="AT27" i="3" s="1"/>
  <c r="T27" i="3"/>
  <c r="AU27" i="3" s="1"/>
  <c r="V99" i="3"/>
  <c r="AW99" i="3" s="1"/>
  <c r="O35" i="3"/>
  <c r="O47" i="3"/>
  <c r="Y75" i="3"/>
  <c r="AZ75" i="3" s="1"/>
  <c r="T39" i="3"/>
  <c r="AU39" i="3" s="1"/>
  <c r="X99" i="3"/>
  <c r="AY99" i="3" s="1"/>
  <c r="Y171" i="3"/>
  <c r="AZ171" i="3" s="1"/>
  <c r="U183" i="3"/>
  <c r="AV183" i="3" s="1"/>
  <c r="Y243" i="3"/>
  <c r="AZ243" i="3" s="1"/>
  <c r="U267" i="3"/>
  <c r="AV267" i="3" s="1"/>
  <c r="Y387" i="3"/>
  <c r="AZ387" i="3" s="1"/>
  <c r="U447" i="3"/>
  <c r="AV447" i="3" s="1"/>
  <c r="V459" i="3"/>
  <c r="AW459" i="3" s="1"/>
  <c r="X591" i="3"/>
  <c r="AY591" i="3" s="1"/>
  <c r="T615" i="3"/>
  <c r="AU615" i="3" s="1"/>
  <c r="W795" i="3"/>
  <c r="AX795" i="3" s="1"/>
  <c r="K285" i="3"/>
  <c r="K609" i="3"/>
  <c r="K684" i="3"/>
  <c r="K732" i="3"/>
  <c r="K228" i="3"/>
  <c r="K537" i="3"/>
  <c r="K685" i="3"/>
  <c r="K73" i="3"/>
  <c r="K180" i="3"/>
  <c r="K588" i="3"/>
  <c r="K841" i="3"/>
  <c r="K81" i="3"/>
  <c r="K393" i="3"/>
  <c r="K585" i="3"/>
  <c r="K600" i="3"/>
  <c r="K93" i="3"/>
  <c r="K265" i="3"/>
  <c r="K288" i="3"/>
  <c r="K597" i="3"/>
  <c r="K852" i="3"/>
  <c r="K48" i="3"/>
  <c r="K433" i="3"/>
  <c r="K445" i="3"/>
  <c r="K465" i="3"/>
  <c r="K613" i="3"/>
  <c r="K36" i="3"/>
  <c r="K145" i="3"/>
  <c r="K248" i="3"/>
  <c r="K372" i="3"/>
  <c r="K680" i="3"/>
  <c r="K756" i="3"/>
  <c r="K849" i="3"/>
  <c r="K80" i="3"/>
  <c r="K860" i="3"/>
  <c r="K84" i="3"/>
  <c r="K169" i="3"/>
  <c r="K188" i="3"/>
  <c r="K373" i="3"/>
  <c r="K489" i="3"/>
  <c r="K681" i="3"/>
  <c r="K828" i="3"/>
  <c r="K877" i="3"/>
  <c r="K241" i="3"/>
  <c r="K264" i="3"/>
  <c r="K528" i="3"/>
  <c r="K168" i="3"/>
  <c r="K553" i="3"/>
  <c r="K624" i="3"/>
  <c r="K633" i="3"/>
  <c r="K733" i="3"/>
  <c r="K780" i="3"/>
  <c r="K793" i="3"/>
  <c r="K25" i="3"/>
  <c r="K96" i="3"/>
  <c r="K153" i="3"/>
  <c r="K189" i="3"/>
  <c r="K192" i="3"/>
  <c r="K325" i="3"/>
  <c r="K356" i="3"/>
  <c r="K369" i="3"/>
  <c r="K420" i="3"/>
  <c r="K444" i="3"/>
  <c r="K596" i="3"/>
  <c r="K612" i="3"/>
  <c r="K621" i="3"/>
  <c r="K637" i="3"/>
  <c r="K764" i="3"/>
  <c r="K216" i="3"/>
  <c r="K225" i="3"/>
  <c r="K276" i="3"/>
  <c r="K529" i="3"/>
  <c r="K576" i="3"/>
  <c r="K589" i="3"/>
  <c r="K753" i="3"/>
  <c r="K289" i="3"/>
  <c r="K348" i="3"/>
  <c r="K141" i="3"/>
  <c r="K213" i="3"/>
  <c r="K217" i="3"/>
  <c r="K277" i="3"/>
  <c r="K384" i="3"/>
  <c r="K456" i="3"/>
  <c r="K560" i="3"/>
  <c r="K577" i="3"/>
  <c r="K672" i="3"/>
  <c r="K825" i="3"/>
  <c r="K840" i="3"/>
  <c r="K865" i="3"/>
  <c r="K872" i="3"/>
  <c r="K108" i="3"/>
  <c r="K385" i="3"/>
  <c r="K429" i="3"/>
  <c r="K457" i="3"/>
  <c r="K504" i="3"/>
  <c r="K645" i="3"/>
  <c r="K673" i="3"/>
  <c r="K12" i="3"/>
  <c r="K37" i="3"/>
  <c r="K49" i="3"/>
  <c r="K117" i="3"/>
  <c r="K120" i="3"/>
  <c r="K129" i="3"/>
  <c r="K177" i="3"/>
  <c r="K201" i="3"/>
  <c r="K204" i="3"/>
  <c r="K24" i="3"/>
  <c r="K92" i="3"/>
  <c r="K109" i="3"/>
  <c r="K181" i="3"/>
  <c r="K237" i="3"/>
  <c r="K368" i="3"/>
  <c r="K620" i="3"/>
  <c r="K636" i="3"/>
  <c r="K693" i="3"/>
  <c r="K861" i="3"/>
  <c r="K601" i="3"/>
  <c r="K792" i="3"/>
  <c r="K817" i="3"/>
  <c r="K133" i="3"/>
  <c r="K361" i="3"/>
  <c r="K505" i="3"/>
  <c r="N847" i="3"/>
  <c r="K116" i="3"/>
  <c r="N739" i="3"/>
  <c r="N583" i="3"/>
  <c r="N797" i="3"/>
  <c r="N664" i="3"/>
  <c r="N175" i="3"/>
  <c r="K336" i="3"/>
  <c r="K481" i="3"/>
  <c r="N821" i="3"/>
  <c r="N439" i="3"/>
  <c r="N883" i="3"/>
  <c r="N295" i="3"/>
  <c r="N855" i="3"/>
  <c r="N785" i="3"/>
  <c r="N605" i="3"/>
  <c r="AO783" i="3"/>
  <c r="N679" i="3"/>
  <c r="N689" i="3"/>
  <c r="N881" i="3"/>
  <c r="K632" i="3"/>
  <c r="K788" i="3"/>
  <c r="K144" i="3"/>
  <c r="K357" i="3"/>
  <c r="K480" i="3"/>
  <c r="K344" i="3"/>
  <c r="K421" i="3"/>
  <c r="K72" i="3"/>
  <c r="K781" i="3"/>
  <c r="K236" i="3"/>
  <c r="K381" i="3"/>
  <c r="K337" i="3"/>
  <c r="K345" i="3"/>
  <c r="K864" i="3"/>
  <c r="K884" i="3"/>
  <c r="K349" i="3"/>
  <c r="K741" i="3"/>
  <c r="S183" i="3"/>
  <c r="AT183" i="3" s="1"/>
  <c r="O263" i="3"/>
  <c r="O29" i="3"/>
  <c r="AS243" i="3"/>
  <c r="O347" i="3"/>
  <c r="V87" i="3"/>
  <c r="AW87" i="3" s="1"/>
  <c r="O184" i="3"/>
  <c r="K184" i="3" s="1"/>
  <c r="O677" i="3"/>
  <c r="K677" i="3" s="1"/>
  <c r="W87" i="3"/>
  <c r="AX87" i="3" s="1"/>
  <c r="W51" i="3"/>
  <c r="AX51" i="3" s="1"/>
  <c r="W195" i="3"/>
  <c r="AX195" i="3" s="1"/>
  <c r="T279" i="3"/>
  <c r="AU279" i="3" s="1"/>
  <c r="X291" i="3"/>
  <c r="AY291" i="3" s="1"/>
  <c r="W435" i="3"/>
  <c r="AX435" i="3" s="1"/>
  <c r="U123" i="3"/>
  <c r="AV123" i="3" s="1"/>
  <c r="X27" i="3"/>
  <c r="AY27" i="3" s="1"/>
  <c r="O187" i="3"/>
  <c r="AR135" i="3"/>
  <c r="O335" i="3"/>
  <c r="S339" i="3"/>
  <c r="AT339" i="3" s="1"/>
  <c r="T339" i="3"/>
  <c r="AU339" i="3" s="1"/>
  <c r="S351" i="3"/>
  <c r="AT351" i="3" s="1"/>
  <c r="O353" i="3"/>
  <c r="K353" i="3" s="1"/>
  <c r="W423" i="3"/>
  <c r="AX423" i="3" s="1"/>
  <c r="AS447" i="3"/>
  <c r="X483" i="3"/>
  <c r="AY483" i="3" s="1"/>
  <c r="U819" i="3"/>
  <c r="AV819" i="3" s="1"/>
  <c r="O851" i="3"/>
  <c r="O17" i="3"/>
  <c r="K17" i="3" s="1"/>
  <c r="X87" i="3"/>
  <c r="AY87" i="3" s="1"/>
  <c r="S207" i="3"/>
  <c r="AT207" i="3" s="1"/>
  <c r="W267" i="3"/>
  <c r="AX267" i="3" s="1"/>
  <c r="W279" i="3"/>
  <c r="AX279" i="3" s="1"/>
  <c r="S363" i="3"/>
  <c r="AT363" i="3" s="1"/>
  <c r="Y423" i="3"/>
  <c r="AZ423" i="3" s="1"/>
  <c r="T447" i="3"/>
  <c r="AU447" i="3" s="1"/>
  <c r="O599" i="3"/>
  <c r="X639" i="3"/>
  <c r="AY639" i="3" s="1"/>
  <c r="S663" i="3"/>
  <c r="AT663" i="3" s="1"/>
  <c r="T675" i="3"/>
  <c r="AU675" i="3" s="1"/>
  <c r="T759" i="3"/>
  <c r="AU759" i="3" s="1"/>
  <c r="X819" i="3"/>
  <c r="AY819" i="3" s="1"/>
  <c r="AZ827" i="3"/>
  <c r="S831" i="3"/>
  <c r="AT831" i="3" s="1"/>
  <c r="Y615" i="3"/>
  <c r="AZ615" i="3" s="1"/>
  <c r="U135" i="3"/>
  <c r="AV135" i="3" s="1"/>
  <c r="T207" i="3"/>
  <c r="AU207" i="3" s="1"/>
  <c r="AR507" i="3"/>
  <c r="O611" i="3"/>
  <c r="O23" i="3"/>
  <c r="O65" i="3"/>
  <c r="K65" i="3" s="1"/>
  <c r="W231" i="3"/>
  <c r="AX231" i="3" s="1"/>
  <c r="Y279" i="3"/>
  <c r="AZ279" i="3" s="1"/>
  <c r="W351" i="3"/>
  <c r="AX351" i="3" s="1"/>
  <c r="O367" i="3"/>
  <c r="V447" i="3"/>
  <c r="AW447" i="3" s="1"/>
  <c r="U663" i="3"/>
  <c r="AV663" i="3" s="1"/>
  <c r="V675" i="3"/>
  <c r="AW675" i="3" s="1"/>
  <c r="O827" i="3"/>
  <c r="W831" i="3"/>
  <c r="AX831" i="3" s="1"/>
  <c r="O40" i="3"/>
  <c r="Y267" i="3"/>
  <c r="AZ267" i="3" s="1"/>
  <c r="S327" i="3"/>
  <c r="AT327" i="3" s="1"/>
  <c r="O461" i="3"/>
  <c r="K461" i="3" s="1"/>
  <c r="O593" i="3"/>
  <c r="K593" i="3" s="1"/>
  <c r="O671" i="3"/>
  <c r="W675" i="3"/>
  <c r="AX675" i="3" s="1"/>
  <c r="S855" i="3"/>
  <c r="O59" i="3"/>
  <c r="W135" i="3"/>
  <c r="AX135" i="3" s="1"/>
  <c r="O268" i="3"/>
  <c r="X363" i="3"/>
  <c r="AY363" i="3" s="1"/>
  <c r="O419" i="3"/>
  <c r="Y447" i="3"/>
  <c r="AZ447" i="3" s="1"/>
  <c r="T507" i="3"/>
  <c r="AU507" i="3" s="1"/>
  <c r="O533" i="3"/>
  <c r="O617" i="3"/>
  <c r="K617" i="3" s="1"/>
  <c r="O641" i="3"/>
  <c r="O749" i="3"/>
  <c r="K749" i="3" s="1"/>
  <c r="S603" i="3"/>
  <c r="AT603" i="3" s="1"/>
  <c r="S627" i="3"/>
  <c r="AT627" i="3" s="1"/>
  <c r="O659" i="3"/>
  <c r="O41" i="3"/>
  <c r="K41" i="3" s="1"/>
  <c r="AS39" i="3"/>
  <c r="O76" i="3"/>
  <c r="K76" i="3" s="1"/>
  <c r="S147" i="3"/>
  <c r="AT147" i="3" s="1"/>
  <c r="O191" i="3"/>
  <c r="K191" i="3" s="1"/>
  <c r="AN191" i="3" s="1"/>
  <c r="T435" i="3"/>
  <c r="AU435" i="3" s="1"/>
  <c r="S483" i="3"/>
  <c r="AT483" i="3" s="1"/>
  <c r="T627" i="3"/>
  <c r="AU627" i="3" s="1"/>
  <c r="Y687" i="3"/>
  <c r="AZ687" i="3" s="1"/>
  <c r="Y735" i="3"/>
  <c r="AZ735" i="3" s="1"/>
  <c r="W843" i="3"/>
  <c r="AX843" i="3" s="1"/>
  <c r="O28" i="3"/>
  <c r="K28" i="3" s="1"/>
  <c r="O77" i="3"/>
  <c r="K77" i="3" s="1"/>
  <c r="AS195" i="3"/>
  <c r="S291" i="3"/>
  <c r="AT291" i="3" s="1"/>
  <c r="U27" i="3"/>
  <c r="AV27" i="3" s="1"/>
  <c r="U75" i="3"/>
  <c r="AV75" i="3" s="1"/>
  <c r="V111" i="3"/>
  <c r="AW111" i="3" s="1"/>
  <c r="U147" i="3"/>
  <c r="AV147" i="3" s="1"/>
  <c r="S195" i="3"/>
  <c r="AT195" i="3" s="1"/>
  <c r="V291" i="3"/>
  <c r="AW291" i="3" s="1"/>
  <c r="T483" i="3"/>
  <c r="AU483" i="3" s="1"/>
  <c r="O551" i="3"/>
  <c r="U603" i="3"/>
  <c r="AV603" i="3" s="1"/>
  <c r="U627" i="3"/>
  <c r="AV627" i="3" s="1"/>
  <c r="S747" i="3"/>
  <c r="AT747" i="3" s="1"/>
  <c r="O821" i="3"/>
  <c r="AQ831" i="3"/>
  <c r="O64" i="3"/>
  <c r="K64" i="3" s="1"/>
  <c r="O71" i="3"/>
  <c r="O247" i="3"/>
  <c r="O67" i="3"/>
  <c r="O143" i="3"/>
  <c r="T51" i="3"/>
  <c r="AU51" i="3" s="1"/>
  <c r="O19" i="3"/>
  <c r="Y15" i="3"/>
  <c r="AZ15" i="3" s="1"/>
  <c r="O31" i="3"/>
  <c r="O43" i="3"/>
  <c r="O79" i="3"/>
  <c r="Y99" i="3"/>
  <c r="AZ99" i="3" s="1"/>
  <c r="AR99" i="3"/>
  <c r="W111" i="3"/>
  <c r="AX111" i="3" s="1"/>
  <c r="U111" i="3"/>
  <c r="AV111" i="3" s="1"/>
  <c r="O185" i="3"/>
  <c r="K185" i="3" s="1"/>
  <c r="T195" i="3"/>
  <c r="AU195" i="3" s="1"/>
  <c r="O223" i="3"/>
  <c r="U291" i="3"/>
  <c r="AV291" i="3" s="1"/>
  <c r="AR339" i="3"/>
  <c r="O559" i="3"/>
  <c r="W591" i="3"/>
  <c r="AX591" i="3" s="1"/>
  <c r="T639" i="3"/>
  <c r="W855" i="3"/>
  <c r="S2" i="7"/>
  <c r="AR831" i="3"/>
  <c r="AP454" i="3"/>
  <c r="AZ35" i="3"/>
  <c r="AH733" i="3"/>
  <c r="AJ733" i="3" s="1"/>
  <c r="AZ175" i="3"/>
  <c r="AX214" i="3"/>
  <c r="AR106" i="3"/>
  <c r="AR331" i="3"/>
  <c r="AX178" i="3"/>
  <c r="AL426" i="3"/>
  <c r="AR122" i="3"/>
  <c r="AO58" i="3"/>
  <c r="AU103" i="3"/>
  <c r="AT422" i="3"/>
  <c r="AW559" i="3"/>
  <c r="AS582" i="3"/>
  <c r="AR90" i="3"/>
  <c r="AJ150" i="3"/>
  <c r="AJ206" i="3"/>
  <c r="AV238" i="3"/>
  <c r="AX794" i="3"/>
  <c r="AD799" i="3"/>
  <c r="AZ198" i="3"/>
  <c r="AH284" i="3"/>
  <c r="AH285" i="3" s="1"/>
  <c r="AZ366" i="3"/>
  <c r="AO743" i="3"/>
  <c r="AS167" i="3"/>
  <c r="AL638" i="3"/>
  <c r="AX194" i="3"/>
  <c r="AW59" i="3"/>
  <c r="AW215" i="3"/>
  <c r="AX47" i="3"/>
  <c r="AX618" i="3"/>
  <c r="AV46" i="3"/>
  <c r="AP110" i="3"/>
  <c r="AK639" i="3"/>
  <c r="AU790" i="3"/>
  <c r="AK630" i="3"/>
  <c r="AN206" i="3"/>
  <c r="AR846" i="3"/>
  <c r="AS46" i="3"/>
  <c r="AS287" i="3"/>
  <c r="AR735" i="3"/>
  <c r="AK26" i="3"/>
  <c r="AJ391" i="3"/>
  <c r="AW583" i="3"/>
  <c r="AH664" i="3"/>
  <c r="AJ664" i="3" s="1"/>
  <c r="AW342" i="3"/>
  <c r="AY358" i="3"/>
  <c r="AY362" i="3"/>
  <c r="AU443" i="3"/>
  <c r="R1" i="7"/>
  <c r="N1" i="7"/>
  <c r="S1" i="7"/>
  <c r="AT210" i="3"/>
  <c r="AS606" i="3"/>
  <c r="AQ574" i="3"/>
  <c r="AN174" i="3"/>
  <c r="AV462" i="3"/>
  <c r="AZ606" i="3"/>
  <c r="AR746" i="3"/>
  <c r="AJ639" i="3"/>
  <c r="AM746" i="3"/>
  <c r="AO438" i="3"/>
  <c r="AO343" i="3"/>
  <c r="AW659" i="3"/>
  <c r="R3" i="7"/>
  <c r="AP54" i="3"/>
  <c r="AP63" i="3"/>
  <c r="AR114" i="3"/>
  <c r="AD122" i="3"/>
  <c r="AX10" i="3"/>
  <c r="AQ55" i="3"/>
  <c r="AX167" i="3"/>
  <c r="AT450" i="3"/>
  <c r="AT598" i="3"/>
  <c r="AJ607" i="3"/>
  <c r="AR634" i="3"/>
  <c r="AM46" i="3"/>
  <c r="AP347" i="3"/>
  <c r="AY595" i="3"/>
  <c r="AY631" i="3"/>
  <c r="AU762" i="3"/>
  <c r="AT86" i="3"/>
  <c r="AS142" i="3"/>
  <c r="AJ186" i="3"/>
  <c r="AL358" i="3"/>
  <c r="AD435" i="3"/>
  <c r="AS439" i="3"/>
  <c r="AO555" i="3"/>
  <c r="AJ606" i="3"/>
  <c r="AK86" i="3"/>
  <c r="AL270" i="3"/>
  <c r="AM342" i="3"/>
  <c r="AW358" i="3"/>
  <c r="AY430" i="3"/>
  <c r="AK606" i="3"/>
  <c r="AV239" i="3"/>
  <c r="AQ386" i="3"/>
  <c r="AP426" i="3"/>
  <c r="AP535" i="3"/>
  <c r="AZ731" i="3"/>
  <c r="AK762" i="3"/>
  <c r="AZ218" i="3"/>
  <c r="AW222" i="3"/>
  <c r="AZ274" i="3"/>
  <c r="AJ507" i="3"/>
  <c r="AP603" i="3"/>
  <c r="AP666" i="3"/>
  <c r="AZ734" i="3"/>
  <c r="AY854" i="3"/>
  <c r="AP130" i="3"/>
  <c r="AK167" i="3"/>
  <c r="AO323" i="3"/>
  <c r="AJ422" i="3"/>
  <c r="AR582" i="3"/>
  <c r="AT622" i="3"/>
  <c r="AJ754" i="3"/>
  <c r="AD763" i="3"/>
  <c r="AO78" i="3"/>
  <c r="AO146" i="3"/>
  <c r="AM167" i="3"/>
  <c r="AV206" i="3"/>
  <c r="AR266" i="3"/>
  <c r="AJ375" i="3"/>
  <c r="AX455" i="3"/>
  <c r="AK215" i="3"/>
  <c r="AD598" i="3"/>
  <c r="AW46" i="3"/>
  <c r="AJ290" i="3"/>
  <c r="AK422" i="3"/>
  <c r="AP503" i="3"/>
  <c r="AJ590" i="3"/>
  <c r="AJ599" i="3"/>
  <c r="AJ679" i="3"/>
  <c r="AX882" i="3"/>
  <c r="AV34" i="3"/>
  <c r="AZ86" i="3"/>
  <c r="AR171" i="3"/>
  <c r="AZ263" i="3"/>
  <c r="AY323" i="3"/>
  <c r="AP327" i="3"/>
  <c r="AX371" i="3"/>
  <c r="AO374" i="3"/>
  <c r="AL422" i="3"/>
  <c r="AR578" i="3"/>
  <c r="AJ587" i="3"/>
  <c r="AL590" i="3"/>
  <c r="AR630" i="3"/>
  <c r="AH644" i="3"/>
  <c r="AJ644" i="3" s="1"/>
  <c r="AO683" i="3"/>
  <c r="AV690" i="3"/>
  <c r="AV835" i="3"/>
  <c r="AT366" i="3"/>
  <c r="AX23" i="3"/>
  <c r="AV35" i="3"/>
  <c r="AZ50" i="3"/>
  <c r="AP62" i="3"/>
  <c r="AZ98" i="3"/>
  <c r="AY107" i="3"/>
  <c r="AO166" i="3"/>
  <c r="AS331" i="3"/>
  <c r="AD371" i="3"/>
  <c r="AJ371" i="3"/>
  <c r="AW383" i="3"/>
  <c r="AW390" i="3"/>
  <c r="AM434" i="3"/>
  <c r="AO559" i="3"/>
  <c r="AS578" i="3"/>
  <c r="AJ634" i="3"/>
  <c r="AN674" i="3"/>
  <c r="AJ690" i="3"/>
  <c r="AJ731" i="3"/>
  <c r="AH848" i="3"/>
  <c r="AJ848" i="3" s="1"/>
  <c r="AX858" i="3"/>
  <c r="AJ66" i="3"/>
  <c r="AQ102" i="3"/>
  <c r="AU126" i="3"/>
  <c r="AY167" i="3"/>
  <c r="AP190" i="3"/>
  <c r="AQ226" i="3"/>
  <c r="AX331" i="3"/>
  <c r="AY334" i="3"/>
  <c r="AT362" i="3"/>
  <c r="AB382" i="3"/>
  <c r="AS450" i="3"/>
  <c r="AN598" i="3"/>
  <c r="AU731" i="3"/>
  <c r="AN10" i="3"/>
  <c r="AP30" i="3"/>
  <c r="AZ43" i="3"/>
  <c r="AP59" i="3"/>
  <c r="AR134" i="3"/>
  <c r="AN190" i="3"/>
  <c r="AZ278" i="3"/>
  <c r="AV342" i="3"/>
  <c r="AX426" i="3"/>
  <c r="AY530" i="3"/>
  <c r="AT551" i="3"/>
  <c r="AY574" i="3"/>
  <c r="AQ582" i="3"/>
  <c r="AP583" i="3"/>
  <c r="AO598" i="3"/>
  <c r="AJ687" i="3"/>
  <c r="AM742" i="3"/>
  <c r="AQ846" i="3"/>
  <c r="AR115" i="3"/>
  <c r="AO190" i="3"/>
  <c r="AY206" i="3"/>
  <c r="AP243" i="3"/>
  <c r="AR246" i="3"/>
  <c r="AP286" i="3"/>
  <c r="AO418" i="3"/>
  <c r="AS463" i="3"/>
  <c r="AU598" i="3"/>
  <c r="AM734" i="3"/>
  <c r="AJ799" i="3"/>
  <c r="AY10" i="3"/>
  <c r="AV14" i="3"/>
  <c r="AZ10" i="3"/>
  <c r="AU118" i="3"/>
  <c r="AY179" i="3"/>
  <c r="AQ322" i="3"/>
  <c r="AZ330" i="3"/>
  <c r="AP418" i="3"/>
  <c r="AR446" i="3"/>
  <c r="AT683" i="3"/>
  <c r="AW734" i="3"/>
  <c r="AK799" i="3"/>
  <c r="AW835" i="3"/>
  <c r="AD886" i="3"/>
  <c r="BB886" i="3" s="1"/>
  <c r="AP22" i="3"/>
  <c r="AO35" i="3"/>
  <c r="AK62" i="3"/>
  <c r="AU91" i="3"/>
  <c r="AY262" i="3"/>
  <c r="AT290" i="3"/>
  <c r="AY331" i="3"/>
  <c r="AL355" i="3"/>
  <c r="AK390" i="3"/>
  <c r="AW443" i="3"/>
  <c r="AJ454" i="3"/>
  <c r="AS459" i="3"/>
  <c r="AR503" i="3"/>
  <c r="AN586" i="3"/>
  <c r="AR590" i="3"/>
  <c r="AV602" i="3"/>
  <c r="AS614" i="3"/>
  <c r="AV622" i="3"/>
  <c r="AO630" i="3"/>
  <c r="AP675" i="3"/>
  <c r="AO691" i="3"/>
  <c r="AJ762" i="3"/>
  <c r="AU882" i="3"/>
  <c r="BB418" i="3"/>
  <c r="AB418" i="3"/>
  <c r="AW427" i="3"/>
  <c r="AP427" i="3"/>
  <c r="AM614" i="3"/>
  <c r="AK614" i="3"/>
  <c r="AJ614" i="3"/>
  <c r="AK70" i="3"/>
  <c r="AJ95" i="3"/>
  <c r="AV103" i="3"/>
  <c r="AM107" i="3"/>
  <c r="AZ130" i="3"/>
  <c r="AK146" i="3"/>
  <c r="AR166" i="3"/>
  <c r="AV227" i="3"/>
  <c r="AZ227" i="3"/>
  <c r="AL282" i="3"/>
  <c r="AS334" i="3"/>
  <c r="AS359" i="3"/>
  <c r="AR418" i="3"/>
  <c r="AU427" i="3"/>
  <c r="AJ575" i="3"/>
  <c r="AH576" i="3"/>
  <c r="AH577" i="3" s="1"/>
  <c r="AI784" i="3"/>
  <c r="AI785" i="3" s="1"/>
  <c r="AP783" i="3"/>
  <c r="AK67" i="3"/>
  <c r="AD455" i="3"/>
  <c r="AH784" i="3"/>
  <c r="AJ784" i="3" s="1"/>
  <c r="AK783" i="3"/>
  <c r="AJ783" i="3"/>
  <c r="AK862" i="3"/>
  <c r="AJ862" i="3"/>
  <c r="AK882" i="3"/>
  <c r="AM882" i="3"/>
  <c r="AL882" i="3"/>
  <c r="AK34" i="3"/>
  <c r="AO11" i="3"/>
  <c r="AD14" i="3"/>
  <c r="AL34" i="3"/>
  <c r="AJ38" i="3"/>
  <c r="AS42" i="3"/>
  <c r="AU46" i="3"/>
  <c r="AX46" i="3"/>
  <c r="AM70" i="3"/>
  <c r="AK78" i="3"/>
  <c r="AW83" i="3"/>
  <c r="AW103" i="3"/>
  <c r="AX127" i="3"/>
  <c r="AU166" i="3"/>
  <c r="AZ167" i="3"/>
  <c r="AO198" i="3"/>
  <c r="AR234" i="3"/>
  <c r="AK238" i="3"/>
  <c r="AR243" i="3"/>
  <c r="AO354" i="3"/>
  <c r="AJ362" i="3"/>
  <c r="AQ366" i="3"/>
  <c r="AT371" i="3"/>
  <c r="AT419" i="3"/>
  <c r="AQ422" i="3"/>
  <c r="AZ422" i="3"/>
  <c r="AU422" i="3"/>
  <c r="AQ434" i="3"/>
  <c r="AV434" i="3"/>
  <c r="AM438" i="3"/>
  <c r="AH624" i="3"/>
  <c r="AJ624" i="3" s="1"/>
  <c r="AJ623" i="3"/>
  <c r="AJ750" i="3"/>
  <c r="AM750" i="3"/>
  <c r="AL750" i="3"/>
  <c r="AK750" i="3"/>
  <c r="AL862" i="3"/>
  <c r="AR34" i="3"/>
  <c r="AX103" i="3"/>
  <c r="AM862" i="3"/>
  <c r="AU98" i="3"/>
  <c r="AR142" i="3"/>
  <c r="AX166" i="3"/>
  <c r="AL186" i="3"/>
  <c r="AD195" i="3"/>
  <c r="AL206" i="3"/>
  <c r="AS226" i="3"/>
  <c r="AY227" i="3"/>
  <c r="AM238" i="3"/>
  <c r="AN330" i="3"/>
  <c r="AQ347" i="3"/>
  <c r="AM358" i="3"/>
  <c r="AH360" i="3"/>
  <c r="AJ360" i="3" s="1"/>
  <c r="AQ362" i="3"/>
  <c r="AO426" i="3"/>
  <c r="AR442" i="3"/>
  <c r="AQ442" i="3"/>
  <c r="AV443" i="3"/>
  <c r="AP450" i="3"/>
  <c r="AG484" i="3"/>
  <c r="AG485" i="3" s="1"/>
  <c r="AH528" i="3"/>
  <c r="AJ528" i="3" s="1"/>
  <c r="AJ527" i="3"/>
  <c r="AM666" i="3"/>
  <c r="AL666" i="3"/>
  <c r="AD758" i="3"/>
  <c r="AP758" i="3"/>
  <c r="AH883" i="3"/>
  <c r="AM883" i="3" s="1"/>
  <c r="AO227" i="3"/>
  <c r="AK63" i="3"/>
  <c r="AY43" i="3"/>
  <c r="AM62" i="3"/>
  <c r="AJ63" i="3"/>
  <c r="AM98" i="3"/>
  <c r="AY103" i="3"/>
  <c r="AJ115" i="3"/>
  <c r="AZ119" i="3"/>
  <c r="AT134" i="3"/>
  <c r="AJ135" i="3"/>
  <c r="AT142" i="3"/>
  <c r="AY166" i="3"/>
  <c r="AT179" i="3"/>
  <c r="AM186" i="3"/>
  <c r="AV203" i="3"/>
  <c r="AM206" i="3"/>
  <c r="AV226" i="3"/>
  <c r="AU238" i="3"/>
  <c r="AV323" i="3"/>
  <c r="AS330" i="3"/>
  <c r="AJ338" i="3"/>
  <c r="AU347" i="3"/>
  <c r="AR358" i="3"/>
  <c r="AM382" i="3"/>
  <c r="AJ382" i="3"/>
  <c r="AH384" i="3"/>
  <c r="AH385" i="3" s="1"/>
  <c r="AH484" i="3"/>
  <c r="AJ484" i="3" s="1"/>
  <c r="AK483" i="3"/>
  <c r="AJ483" i="3"/>
  <c r="AH504" i="3"/>
  <c r="AH505" i="3" s="1"/>
  <c r="AJ505" i="3" s="1"/>
  <c r="AK503" i="3"/>
  <c r="AY606" i="3"/>
  <c r="AW606" i="3"/>
  <c r="AV606" i="3"/>
  <c r="AX227" i="3"/>
  <c r="AH276" i="3"/>
  <c r="AJ276" i="3" s="1"/>
  <c r="AJ275" i="3"/>
  <c r="AY623" i="3"/>
  <c r="AQ623" i="3"/>
  <c r="AM874" i="3"/>
  <c r="AL874" i="3"/>
  <c r="AK874" i="3"/>
  <c r="AP98" i="3"/>
  <c r="AV142" i="3"/>
  <c r="AW323" i="3"/>
  <c r="AT330" i="3"/>
  <c r="AK343" i="3"/>
  <c r="AS418" i="3"/>
  <c r="AU418" i="3"/>
  <c r="AT418" i="3"/>
  <c r="AT426" i="3"/>
  <c r="AX482" i="3"/>
  <c r="AW482" i="3"/>
  <c r="AK731" i="3"/>
  <c r="AH592" i="3"/>
  <c r="AH593" i="3" s="1"/>
  <c r="AJ591" i="3"/>
  <c r="AB626" i="3"/>
  <c r="BB626" i="3"/>
  <c r="AY274" i="3"/>
  <c r="AT274" i="3"/>
  <c r="AL362" i="3"/>
  <c r="AN62" i="3"/>
  <c r="AQ62" i="3"/>
  <c r="AT67" i="3"/>
  <c r="AQ74" i="3"/>
  <c r="AV107" i="3"/>
  <c r="AZ127" i="3"/>
  <c r="AY130" i="3"/>
  <c r="AK175" i="3"/>
  <c r="AO195" i="3"/>
  <c r="AO222" i="3"/>
  <c r="AP227" i="3"/>
  <c r="AW227" i="3"/>
  <c r="AQ234" i="3"/>
  <c r="AN246" i="3"/>
  <c r="AQ263" i="3"/>
  <c r="AL266" i="3"/>
  <c r="AK266" i="3"/>
  <c r="AK290" i="3"/>
  <c r="AD355" i="3"/>
  <c r="AJ424" i="3"/>
  <c r="AI624" i="3"/>
  <c r="AI625" i="3" s="1"/>
  <c r="AR659" i="3"/>
  <c r="AI660" i="3"/>
  <c r="AI661" i="3" s="1"/>
  <c r="AW662" i="3"/>
  <c r="AV662" i="3"/>
  <c r="AY791" i="3"/>
  <c r="AX791" i="3"/>
  <c r="AS834" i="3"/>
  <c r="AY834" i="3"/>
  <c r="AP14" i="3"/>
  <c r="AS26" i="3"/>
  <c r="AM18" i="3"/>
  <c r="AL30" i="3"/>
  <c r="AS34" i="3"/>
  <c r="AP42" i="3"/>
  <c r="AO46" i="3"/>
  <c r="AU55" i="3"/>
  <c r="AP58" i="3"/>
  <c r="AT62" i="3"/>
  <c r="AH64" i="3"/>
  <c r="AH65" i="3" s="1"/>
  <c r="AJ65" i="3" s="1"/>
  <c r="AX70" i="3"/>
  <c r="AX86" i="3"/>
  <c r="AT95" i="3"/>
  <c r="AD143" i="3"/>
  <c r="AP146" i="3"/>
  <c r="AL151" i="3"/>
  <c r="AT166" i="3"/>
  <c r="AI196" i="3"/>
  <c r="AI197" i="3" s="1"/>
  <c r="AW206" i="3"/>
  <c r="AO218" i="3"/>
  <c r="AX222" i="3"/>
  <c r="AV234" i="3"/>
  <c r="AO242" i="3"/>
  <c r="AK243" i="3"/>
  <c r="AO246" i="3"/>
  <c r="AN274" i="3"/>
  <c r="AV290" i="3"/>
  <c r="AT295" i="3"/>
  <c r="AX295" i="3"/>
  <c r="AM322" i="3"/>
  <c r="AK322" i="3"/>
  <c r="AK331" i="3"/>
  <c r="AT334" i="3"/>
  <c r="AD359" i="3"/>
  <c r="AS371" i="3"/>
  <c r="AD383" i="3"/>
  <c r="AS390" i="3"/>
  <c r="AU419" i="3"/>
  <c r="AV430" i="3"/>
  <c r="AD430" i="3"/>
  <c r="AS434" i="3"/>
  <c r="AH748" i="3"/>
  <c r="AH749" i="3" s="1"/>
  <c r="AJ749" i="3" s="1"/>
  <c r="AJ747" i="3"/>
  <c r="AD279" i="3"/>
  <c r="AL238" i="3"/>
  <c r="AY330" i="3"/>
  <c r="AV750" i="3"/>
  <c r="AX750" i="3"/>
  <c r="AU750" i="3"/>
  <c r="AS750" i="3"/>
  <c r="AY18" i="3"/>
  <c r="AL22" i="3"/>
  <c r="AW14" i="3"/>
  <c r="AS31" i="3"/>
  <c r="AP38" i="3"/>
  <c r="AT42" i="3"/>
  <c r="AP46" i="3"/>
  <c r="AP50" i="3"/>
  <c r="AW58" i="3"/>
  <c r="AW78" i="3"/>
  <c r="AR79" i="3"/>
  <c r="AZ82" i="3"/>
  <c r="AO90" i="3"/>
  <c r="AO103" i="3"/>
  <c r="AS111" i="3"/>
  <c r="AJ126" i="3"/>
  <c r="AV143" i="3"/>
  <c r="AR170" i="3"/>
  <c r="AP202" i="3"/>
  <c r="AR227" i="3"/>
  <c r="AR238" i="3"/>
  <c r="AM266" i="3"/>
  <c r="AO274" i="3"/>
  <c r="AK342" i="3"/>
  <c r="AT346" i="3"/>
  <c r="AX362" i="3"/>
  <c r="AS362" i="3"/>
  <c r="AD387" i="3"/>
  <c r="AH432" i="3"/>
  <c r="AH433" i="3" s="1"/>
  <c r="AT434" i="3"/>
  <c r="AH448" i="3"/>
  <c r="AJ448" i="3" s="1"/>
  <c r="AP463" i="3"/>
  <c r="AV594" i="3"/>
  <c r="AT594" i="3"/>
  <c r="AQ594" i="3"/>
  <c r="AW686" i="3"/>
  <c r="AV686" i="3"/>
  <c r="AH636" i="3"/>
  <c r="AH637" i="3" s="1"/>
  <c r="AJ637" i="3" s="1"/>
  <c r="AJ635" i="3"/>
  <c r="AV166" i="3"/>
  <c r="AS230" i="3"/>
  <c r="AJ22" i="3"/>
  <c r="AO42" i="3"/>
  <c r="AR14" i="3"/>
  <c r="AZ14" i="3"/>
  <c r="AV42" i="3"/>
  <c r="AR46" i="3"/>
  <c r="AS50" i="3"/>
  <c r="AZ59" i="3"/>
  <c r="AT66" i="3"/>
  <c r="AL107" i="3"/>
  <c r="AY110" i="3"/>
  <c r="AN118" i="3"/>
  <c r="AM126" i="3"/>
  <c r="AM178" i="3"/>
  <c r="AU194" i="3"/>
  <c r="AW203" i="3"/>
  <c r="AU206" i="3"/>
  <c r="AZ206" i="3"/>
  <c r="AX215" i="3"/>
  <c r="AD226" i="3"/>
  <c r="AP247" i="3"/>
  <c r="AS266" i="3"/>
  <c r="AJ270" i="3"/>
  <c r="AK270" i="3"/>
  <c r="AP274" i="3"/>
  <c r="AN322" i="3"/>
  <c r="AD330" i="3"/>
  <c r="AL342" i="3"/>
  <c r="AP358" i="3"/>
  <c r="AS358" i="3"/>
  <c r="AZ386" i="3"/>
  <c r="AS422" i="3"/>
  <c r="AS426" i="3"/>
  <c r="AD426" i="3"/>
  <c r="AY434" i="3"/>
  <c r="AQ615" i="3"/>
  <c r="AD658" i="3"/>
  <c r="AX658" i="3"/>
  <c r="AN658" i="3"/>
  <c r="AX679" i="3"/>
  <c r="AV679" i="3"/>
  <c r="BB750" i="3"/>
  <c r="AB750" i="3"/>
  <c r="AO866" i="3"/>
  <c r="AS343" i="3"/>
  <c r="AZ355" i="3"/>
  <c r="AQ438" i="3"/>
  <c r="AY446" i="3"/>
  <c r="AZ586" i="3"/>
  <c r="AM590" i="3"/>
  <c r="AP598" i="3"/>
  <c r="AQ670" i="3"/>
  <c r="AL682" i="3"/>
  <c r="AK690" i="3"/>
  <c r="AJ742" i="3"/>
  <c r="AT791" i="3"/>
  <c r="AY818" i="3"/>
  <c r="AV870" i="3"/>
  <c r="AU575" i="3"/>
  <c r="AS590" i="3"/>
  <c r="AS598" i="3"/>
  <c r="AT666" i="3"/>
  <c r="AS675" i="3"/>
  <c r="AM682" i="3"/>
  <c r="AR691" i="3"/>
  <c r="AD739" i="3"/>
  <c r="AK742" i="3"/>
  <c r="AD747" i="3"/>
  <c r="AD831" i="3"/>
  <c r="AU630" i="3"/>
  <c r="AT582" i="3"/>
  <c r="AX630" i="3"/>
  <c r="AO634" i="3"/>
  <c r="AM638" i="3"/>
  <c r="AQ671" i="3"/>
  <c r="AR683" i="3"/>
  <c r="AY731" i="3"/>
  <c r="AP734" i="3"/>
  <c r="AL762" i="3"/>
  <c r="AY814" i="3"/>
  <c r="AR827" i="3"/>
  <c r="AQ854" i="3"/>
  <c r="AU482" i="3"/>
  <c r="AZ530" i="3"/>
  <c r="AN574" i="3"/>
  <c r="AW582" i="3"/>
  <c r="AD595" i="3"/>
  <c r="AV595" i="3"/>
  <c r="AD603" i="3"/>
  <c r="AY630" i="3"/>
  <c r="AZ634" i="3"/>
  <c r="AU739" i="3"/>
  <c r="AP743" i="3"/>
  <c r="AV827" i="3"/>
  <c r="AX835" i="3"/>
  <c r="AT271" i="3"/>
  <c r="AX374" i="3"/>
  <c r="AY419" i="3"/>
  <c r="AU438" i="3"/>
  <c r="AY439" i="3"/>
  <c r="AS442" i="3"/>
  <c r="AK530" i="3"/>
  <c r="AX578" i="3"/>
  <c r="AX582" i="3"/>
  <c r="AK622" i="3"/>
  <c r="AZ630" i="3"/>
  <c r="AV642" i="3"/>
  <c r="AP683" i="3"/>
  <c r="AZ691" i="3"/>
  <c r="AV730" i="3"/>
  <c r="AS742" i="3"/>
  <c r="AJ751" i="3"/>
  <c r="AN762" i="3"/>
  <c r="AZ791" i="3"/>
  <c r="AS831" i="3"/>
  <c r="AY835" i="3"/>
  <c r="AH844" i="3"/>
  <c r="AJ844" i="3" s="1"/>
  <c r="AW530" i="3"/>
  <c r="AJ550" i="3"/>
  <c r="AL558" i="3"/>
  <c r="AI560" i="3"/>
  <c r="AI561" i="3" s="1"/>
  <c r="AD583" i="3"/>
  <c r="AU606" i="3"/>
  <c r="AM622" i="3"/>
  <c r="AZ658" i="3"/>
  <c r="AO666" i="3"/>
  <c r="AQ683" i="3"/>
  <c r="AV790" i="3"/>
  <c r="AD819" i="3"/>
  <c r="AQ826" i="3"/>
  <c r="AR843" i="3"/>
  <c r="AS846" i="3"/>
  <c r="AP507" i="3"/>
  <c r="AD618" i="3"/>
  <c r="AN622" i="3"/>
  <c r="AS683" i="3"/>
  <c r="AP831" i="3"/>
  <c r="AD147" i="3"/>
  <c r="AH101" i="3"/>
  <c r="AJ101" i="3" s="1"/>
  <c r="AJ100" i="3"/>
  <c r="AW151" i="3"/>
  <c r="AD175" i="3"/>
  <c r="AV211" i="3"/>
  <c r="AM218" i="3"/>
  <c r="AJ218" i="3"/>
  <c r="AP335" i="3"/>
  <c r="AI336" i="3"/>
  <c r="AI337" i="3" s="1"/>
  <c r="AZ335" i="3"/>
  <c r="AM366" i="3"/>
  <c r="AL366" i="3"/>
  <c r="BB782" i="3"/>
  <c r="AB782" i="3"/>
  <c r="AO26" i="3"/>
  <c r="AD19" i="3"/>
  <c r="AP26" i="3"/>
  <c r="AW42" i="3"/>
  <c r="AV50" i="3"/>
  <c r="AX58" i="3"/>
  <c r="AY59" i="3"/>
  <c r="AX59" i="3"/>
  <c r="AZ67" i="3"/>
  <c r="AZ70" i="3"/>
  <c r="AU83" i="3"/>
  <c r="AV95" i="3"/>
  <c r="AR98" i="3"/>
  <c r="AV106" i="3"/>
  <c r="AR107" i="3"/>
  <c r="AU110" i="3"/>
  <c r="AP122" i="3"/>
  <c r="AN126" i="3"/>
  <c r="AU130" i="3"/>
  <c r="AV134" i="3"/>
  <c r="AR139" i="3"/>
  <c r="AL146" i="3"/>
  <c r="AS174" i="3"/>
  <c r="AD174" i="3"/>
  <c r="AY178" i="3"/>
  <c r="AX179" i="3"/>
  <c r="AH228" i="3"/>
  <c r="AJ228" i="3" s="1"/>
  <c r="AK227" i="3"/>
  <c r="AM246" i="3"/>
  <c r="AL246" i="3"/>
  <c r="AK246" i="3"/>
  <c r="AJ246" i="3"/>
  <c r="AY138" i="3"/>
  <c r="AZ138" i="3"/>
  <c r="AS14" i="3"/>
  <c r="AT14" i="3"/>
  <c r="AX18" i="3"/>
  <c r="AO19" i="3"/>
  <c r="AR26" i="3"/>
  <c r="AM27" i="3"/>
  <c r="AO34" i="3"/>
  <c r="AX42" i="3"/>
  <c r="AY46" i="3"/>
  <c r="AK50" i="3"/>
  <c r="AZ58" i="3"/>
  <c r="AR66" i="3"/>
  <c r="AP71" i="3"/>
  <c r="AZ79" i="3"/>
  <c r="AJ94" i="3"/>
  <c r="AW95" i="3"/>
  <c r="AX98" i="3"/>
  <c r="AG104" i="3"/>
  <c r="AG105" i="3" s="1"/>
  <c r="AO107" i="3"/>
  <c r="AW107" i="3"/>
  <c r="AN110" i="3"/>
  <c r="AK115" i="3"/>
  <c r="AH116" i="3"/>
  <c r="AH117" i="3" s="1"/>
  <c r="AJ118" i="3"/>
  <c r="AX119" i="3"/>
  <c r="AI120" i="3"/>
  <c r="AI121" i="3" s="1"/>
  <c r="AQ122" i="3"/>
  <c r="AV126" i="3"/>
  <c r="AO127" i="3"/>
  <c r="AN130" i="3"/>
  <c r="AO135" i="3"/>
  <c r="AK135" i="3"/>
  <c r="AS139" i="3"/>
  <c r="AM146" i="3"/>
  <c r="AH168" i="3"/>
  <c r="AJ168" i="3" s="1"/>
  <c r="AK178" i="3"/>
  <c r="AW187" i="3"/>
  <c r="AZ187" i="3"/>
  <c r="AO187" i="3"/>
  <c r="AR190" i="3"/>
  <c r="AP195" i="3"/>
  <c r="AT202" i="3"/>
  <c r="AQ202" i="3"/>
  <c r="AT203" i="3"/>
  <c r="AU214" i="3"/>
  <c r="AY215" i="3"/>
  <c r="AN218" i="3"/>
  <c r="AD379" i="3"/>
  <c r="AC380" i="3"/>
  <c r="AC381" i="3" s="1"/>
  <c r="AY70" i="3"/>
  <c r="AK11" i="3"/>
  <c r="AS23" i="3"/>
  <c r="AD26" i="3"/>
  <c r="AT26" i="3"/>
  <c r="AJ30" i="3"/>
  <c r="AP34" i="3"/>
  <c r="AY35" i="3"/>
  <c r="AJ46" i="3"/>
  <c r="AZ46" i="3"/>
  <c r="AL50" i="3"/>
  <c r="AR51" i="3"/>
  <c r="AU54" i="3"/>
  <c r="AZ55" i="3"/>
  <c r="AO59" i="3"/>
  <c r="AJ86" i="3"/>
  <c r="AR91" i="3"/>
  <c r="AX95" i="3"/>
  <c r="AW98" i="3"/>
  <c r="AY98" i="3"/>
  <c r="AJ103" i="3"/>
  <c r="AX107" i="3"/>
  <c r="AO110" i="3"/>
  <c r="AK118" i="3"/>
  <c r="AW126" i="3"/>
  <c r="AY127" i="3"/>
  <c r="AO130" i="3"/>
  <c r="AU142" i="3"/>
  <c r="AJ143" i="3"/>
  <c r="AN146" i="3"/>
  <c r="AH152" i="3"/>
  <c r="AH153" i="3" s="1"/>
  <c r="AJ153" i="3" s="1"/>
  <c r="AP166" i="3"/>
  <c r="AH176" i="3"/>
  <c r="AL178" i="3"/>
  <c r="AB190" i="3"/>
  <c r="AZ190" i="3"/>
  <c r="AY198" i="3"/>
  <c r="AD198" i="3"/>
  <c r="AR198" i="3"/>
  <c r="AP198" i="3"/>
  <c r="AW230" i="3"/>
  <c r="AI288" i="3"/>
  <c r="AI289" i="3" s="1"/>
  <c r="AX287" i="3"/>
  <c r="AT287" i="3"/>
  <c r="AH292" i="3"/>
  <c r="AK291" i="3"/>
  <c r="AJ291" i="3"/>
  <c r="AW379" i="3"/>
  <c r="AT379" i="3"/>
  <c r="AK103" i="3"/>
  <c r="AL118" i="3"/>
  <c r="AX126" i="3"/>
  <c r="AU138" i="3"/>
  <c r="AK143" i="3"/>
  <c r="AH240" i="3"/>
  <c r="AJ239" i="3"/>
  <c r="AY282" i="3"/>
  <c r="AV282" i="3"/>
  <c r="AD282" i="3"/>
  <c r="AT282" i="3"/>
  <c r="AS282" i="3"/>
  <c r="AP282" i="3"/>
  <c r="AO282" i="3"/>
  <c r="AN282" i="3"/>
  <c r="AU391" i="3"/>
  <c r="AP391" i="3"/>
  <c r="AO391" i="3"/>
  <c r="AZ391" i="3"/>
  <c r="AD391" i="3"/>
  <c r="AW391" i="3"/>
  <c r="AV391" i="3"/>
  <c r="AK391" i="3"/>
  <c r="AY95" i="3"/>
  <c r="AP11" i="3"/>
  <c r="AQ14" i="3"/>
  <c r="AX14" i="3"/>
  <c r="AW26" i="3"/>
  <c r="AT34" i="3"/>
  <c r="AR35" i="3"/>
  <c r="AU42" i="3"/>
  <c r="AV43" i="3"/>
  <c r="AN46" i="3"/>
  <c r="AQ50" i="3"/>
  <c r="AL62" i="3"/>
  <c r="AU74" i="3"/>
  <c r="AN82" i="3"/>
  <c r="AL86" i="3"/>
  <c r="AL87" i="3"/>
  <c r="AT90" i="3"/>
  <c r="AR110" i="3"/>
  <c r="AR111" i="3"/>
  <c r="AT114" i="3"/>
  <c r="AZ126" i="3"/>
  <c r="AR130" i="3"/>
  <c r="AN138" i="3"/>
  <c r="AD146" i="3"/>
  <c r="AL167" i="3"/>
  <c r="AW174" i="3"/>
  <c r="AT182" i="3"/>
  <c r="AK187" i="3"/>
  <c r="AP210" i="3"/>
  <c r="AX270" i="3"/>
  <c r="AK42" i="3"/>
  <c r="AJ58" i="3"/>
  <c r="AI80" i="3"/>
  <c r="AI81" i="3" s="1"/>
  <c r="AQ82" i="3"/>
  <c r="AO87" i="3"/>
  <c r="AZ110" i="3"/>
  <c r="AO115" i="3"/>
  <c r="AW115" i="3"/>
  <c r="AO138" i="3"/>
  <c r="AV146" i="3"/>
  <c r="AS146" i="3"/>
  <c r="AR146" i="3"/>
  <c r="AJ174" i="3"/>
  <c r="AJ175" i="3"/>
  <c r="AM183" i="3"/>
  <c r="AM198" i="3"/>
  <c r="AJ198" i="3"/>
  <c r="AW211" i="3"/>
  <c r="AS211" i="3"/>
  <c r="AJ230" i="3"/>
  <c r="AK230" i="3"/>
  <c r="AY270" i="3"/>
  <c r="AR275" i="3"/>
  <c r="AQ275" i="3"/>
  <c r="AP19" i="3"/>
  <c r="AW34" i="3"/>
  <c r="AL42" i="3"/>
  <c r="AM43" i="3"/>
  <c r="AU50" i="3"/>
  <c r="AK58" i="3"/>
  <c r="AL59" i="3"/>
  <c r="AN70" i="3"/>
  <c r="AQ79" i="3"/>
  <c r="AT82" i="3"/>
  <c r="AX115" i="3"/>
  <c r="AV118" i="3"/>
  <c r="AO119" i="3"/>
  <c r="AP138" i="3"/>
  <c r="AW146" i="3"/>
  <c r="AK174" i="3"/>
  <c r="AR183" i="3"/>
  <c r="AP187" i="3"/>
  <c r="AJ195" i="3"/>
  <c r="AH196" i="3"/>
  <c r="AJ215" i="3"/>
  <c r="AH216" i="3"/>
  <c r="AH217" i="3" s="1"/>
  <c r="AJ217" i="3" s="1"/>
  <c r="AK222" i="3"/>
  <c r="AM222" i="3"/>
  <c r="AJ222" i="3"/>
  <c r="AK286" i="3"/>
  <c r="AM286" i="3"/>
  <c r="AL286" i="3"/>
  <c r="AJ286" i="3"/>
  <c r="AB370" i="3"/>
  <c r="BB370" i="3"/>
  <c r="AK15" i="3"/>
  <c r="AN18" i="3"/>
  <c r="AT23" i="3"/>
  <c r="AU26" i="3"/>
  <c r="AX34" i="3"/>
  <c r="AD50" i="3"/>
  <c r="AW50" i="3"/>
  <c r="AJ51" i="3"/>
  <c r="AM58" i="3"/>
  <c r="AV59" i="3"/>
  <c r="AO70" i="3"/>
  <c r="AU95" i="3"/>
  <c r="AL98" i="3"/>
  <c r="AD110" i="3"/>
  <c r="AV115" i="3"/>
  <c r="AY115" i="3"/>
  <c r="AW118" i="3"/>
  <c r="AY119" i="3"/>
  <c r="AD130" i="3"/>
  <c r="AR138" i="3"/>
  <c r="AX146" i="3"/>
  <c r="AQ170" i="3"/>
  <c r="AM174" i="3"/>
  <c r="AS183" i="3"/>
  <c r="AX187" i="3"/>
  <c r="AN198" i="3"/>
  <c r="BB202" i="3"/>
  <c r="AD215" i="3"/>
  <c r="AC216" i="3"/>
  <c r="AC217" i="3" s="1"/>
  <c r="AK294" i="3"/>
  <c r="AM294" i="3"/>
  <c r="AL294" i="3"/>
  <c r="AJ294" i="3"/>
  <c r="AT335" i="3"/>
  <c r="AS370" i="3"/>
  <c r="AX370" i="3"/>
  <c r="AV370" i="3"/>
  <c r="AT370" i="3"/>
  <c r="AR370" i="3"/>
  <c r="AQ370" i="3"/>
  <c r="AP370" i="3"/>
  <c r="AH436" i="3"/>
  <c r="AJ435" i="3"/>
  <c r="AV26" i="3"/>
  <c r="AJ15" i="3"/>
  <c r="AX50" i="3"/>
  <c r="AK59" i="3"/>
  <c r="AS91" i="3"/>
  <c r="AT102" i="3"/>
  <c r="AX118" i="3"/>
  <c r="AY146" i="3"/>
  <c r="AD178" i="3"/>
  <c r="AW178" i="3"/>
  <c r="AY187" i="3"/>
  <c r="AK195" i="3"/>
  <c r="AR203" i="3"/>
  <c r="AS203" i="3"/>
  <c r="AS214" i="3"/>
  <c r="AD214" i="3"/>
  <c r="AT214" i="3"/>
  <c r="AY218" i="3"/>
  <c r="AR218" i="3"/>
  <c r="AS270" i="3"/>
  <c r="AQ270" i="3"/>
  <c r="AP270" i="3"/>
  <c r="AB326" i="3"/>
  <c r="BB326" i="3"/>
  <c r="AM10" i="3"/>
  <c r="AX26" i="3"/>
  <c r="AQ70" i="3"/>
  <c r="AN14" i="3"/>
  <c r="AZ18" i="3"/>
  <c r="AL26" i="3"/>
  <c r="AL38" i="3"/>
  <c r="AR42" i="3"/>
  <c r="AO43" i="3"/>
  <c r="AT46" i="3"/>
  <c r="AY50" i="3"/>
  <c r="AS58" i="3"/>
  <c r="AS59" i="3"/>
  <c r="AD62" i="3"/>
  <c r="AX62" i="3"/>
  <c r="AT70" i="3"/>
  <c r="AL78" i="3"/>
  <c r="AS86" i="3"/>
  <c r="AT91" i="3"/>
  <c r="AK95" i="3"/>
  <c r="AN98" i="3"/>
  <c r="AU102" i="3"/>
  <c r="AT103" i="3"/>
  <c r="AK107" i="3"/>
  <c r="AH108" i="3"/>
  <c r="AZ118" i="3"/>
  <c r="AK126" i="3"/>
  <c r="AQ143" i="3"/>
  <c r="AZ146" i="3"/>
  <c r="AQ166" i="3"/>
  <c r="AS166" i="3"/>
  <c r="AO167" i="3"/>
  <c r="AR174" i="3"/>
  <c r="AD183" i="3"/>
  <c r="AC184" i="3"/>
  <c r="AC185" i="3" s="1"/>
  <c r="AT194" i="3"/>
  <c r="AS215" i="3"/>
  <c r="AJ262" i="3"/>
  <c r="AM262" i="3"/>
  <c r="AL262" i="3"/>
  <c r="AK262" i="3"/>
  <c r="BB278" i="3"/>
  <c r="AB278" i="3"/>
  <c r="AX282" i="3"/>
  <c r="AD11" i="3"/>
  <c r="AN26" i="3"/>
  <c r="AT31" i="3"/>
  <c r="AU34" i="3"/>
  <c r="AR43" i="3"/>
  <c r="AO47" i="3"/>
  <c r="AH52" i="3"/>
  <c r="AT58" i="3"/>
  <c r="AU59" i="3"/>
  <c r="AJ67" i="3"/>
  <c r="AM78" i="3"/>
  <c r="AO98" i="3"/>
  <c r="AD138" i="3"/>
  <c r="AQ142" i="3"/>
  <c r="AY142" i="3"/>
  <c r="AK170" i="3"/>
  <c r="AM170" i="3"/>
  <c r="AV174" i="3"/>
  <c r="AB186" i="3"/>
  <c r="AJ190" i="3"/>
  <c r="AT211" i="3"/>
  <c r="AL234" i="3"/>
  <c r="AM234" i="3"/>
  <c r="AJ234" i="3"/>
  <c r="AZ282" i="3"/>
  <c r="AQ290" i="3"/>
  <c r="AS290" i="3"/>
  <c r="AD290" i="3"/>
  <c r="AR290" i="3"/>
  <c r="AP290" i="3"/>
  <c r="AO290" i="3"/>
  <c r="AN290" i="3"/>
  <c r="AZ290" i="3"/>
  <c r="AY290" i="3"/>
  <c r="AX290" i="3"/>
  <c r="AW290" i="3"/>
  <c r="AC752" i="3"/>
  <c r="AC753" i="3" s="1"/>
  <c r="AD751" i="3"/>
  <c r="AY222" i="3"/>
  <c r="AN238" i="3"/>
  <c r="AY271" i="3"/>
  <c r="AV283" i="3"/>
  <c r="AO322" i="3"/>
  <c r="AX323" i="3"/>
  <c r="AZ323" i="3"/>
  <c r="AP326" i="3"/>
  <c r="AQ335" i="3"/>
  <c r="AQ346" i="3"/>
  <c r="AI356" i="3"/>
  <c r="AI357" i="3" s="1"/>
  <c r="AP374" i="3"/>
  <c r="AL386" i="3"/>
  <c r="AM386" i="3"/>
  <c r="AG624" i="3"/>
  <c r="AG625" i="3" s="1"/>
  <c r="AZ222" i="3"/>
  <c r="AD231" i="3"/>
  <c r="AO238" i="3"/>
  <c r="AR239" i="3"/>
  <c r="AP246" i="3"/>
  <c r="AU246" i="3"/>
  <c r="AP271" i="3"/>
  <c r="AU278" i="3"/>
  <c r="AP322" i="3"/>
  <c r="AX330" i="3"/>
  <c r="AZ331" i="3"/>
  <c r="AN334" i="3"/>
  <c r="AS335" i="3"/>
  <c r="AH340" i="3"/>
  <c r="AH341" i="3" s="1"/>
  <c r="AK339" i="3"/>
  <c r="AS342" i="3"/>
  <c r="AL351" i="3"/>
  <c r="AN358" i="3"/>
  <c r="AZ362" i="3"/>
  <c r="AH373" i="3"/>
  <c r="AJ373" i="3" s="1"/>
  <c r="AR374" i="3"/>
  <c r="AQ619" i="3"/>
  <c r="AX619" i="3"/>
  <c r="AS619" i="3"/>
  <c r="AX175" i="3"/>
  <c r="AX206" i="3"/>
  <c r="AU239" i="3"/>
  <c r="AD243" i="3"/>
  <c r="AW246" i="3"/>
  <c r="AJ266" i="3"/>
  <c r="AI272" i="3"/>
  <c r="AI273" i="3" s="1"/>
  <c r="AY278" i="3"/>
  <c r="AU290" i="3"/>
  <c r="AR291" i="3"/>
  <c r="AR322" i="3"/>
  <c r="AO334" i="3"/>
  <c r="AK338" i="3"/>
  <c r="AL338" i="3"/>
  <c r="AY343" i="3"/>
  <c r="AK359" i="3"/>
  <c r="AO366" i="3"/>
  <c r="AW374" i="3"/>
  <c r="AH380" i="3"/>
  <c r="AJ379" i="3"/>
  <c r="AR383" i="3"/>
  <c r="AJ386" i="3"/>
  <c r="AY238" i="3"/>
  <c r="AS238" i="3"/>
  <c r="AU270" i="3"/>
  <c r="AD322" i="3"/>
  <c r="AS322" i="3"/>
  <c r="AH332" i="3"/>
  <c r="AJ332" i="3" s="1"/>
  <c r="AL346" i="3"/>
  <c r="AK346" i="3"/>
  <c r="AM350" i="3"/>
  <c r="AL350" i="3"/>
  <c r="AK350" i="3"/>
  <c r="AD374" i="3"/>
  <c r="AU378" i="3"/>
  <c r="AR378" i="3"/>
  <c r="AD378" i="3"/>
  <c r="AU379" i="3"/>
  <c r="AI384" i="3"/>
  <c r="AI385" i="3" s="1"/>
  <c r="AT322" i="3"/>
  <c r="AU374" i="3"/>
  <c r="AZ374" i="3"/>
  <c r="AY374" i="3"/>
  <c r="AV374" i="3"/>
  <c r="AS374" i="3"/>
  <c r="AN374" i="3"/>
  <c r="AR390" i="3"/>
  <c r="AV390" i="3"/>
  <c r="AT390" i="3"/>
  <c r="AY390" i="3"/>
  <c r="AD390" i="3"/>
  <c r="AX390" i="3"/>
  <c r="AT227" i="3"/>
  <c r="AW238" i="3"/>
  <c r="AS263" i="3"/>
  <c r="AO266" i="3"/>
  <c r="AO271" i="3"/>
  <c r="AV322" i="3"/>
  <c r="AJ323" i="3"/>
  <c r="AJ324" i="3"/>
  <c r="AU326" i="3"/>
  <c r="AW334" i="3"/>
  <c r="AU342" i="3"/>
  <c r="AN342" i="3"/>
  <c r="AJ346" i="3"/>
  <c r="AJ350" i="3"/>
  <c r="AM355" i="3"/>
  <c r="AU366" i="3"/>
  <c r="AT431" i="3"/>
  <c r="AU134" i="3"/>
  <c r="AY175" i="3"/>
  <c r="AY190" i="3"/>
  <c r="AS194" i="3"/>
  <c r="AP215" i="3"/>
  <c r="AV215" i="3"/>
  <c r="AQ230" i="3"/>
  <c r="AZ238" i="3"/>
  <c r="AQ266" i="3"/>
  <c r="AJ267" i="3"/>
  <c r="AV271" i="3"/>
  <c r="AS271" i="3"/>
  <c r="AS274" i="3"/>
  <c r="AH280" i="3"/>
  <c r="AH281" i="3" s="1"/>
  <c r="AJ281" i="3" s="1"/>
  <c r="AQ283" i="3"/>
  <c r="AR287" i="3"/>
  <c r="AW322" i="3"/>
  <c r="AK323" i="3"/>
  <c r="AV326" i="3"/>
  <c r="AJ330" i="3"/>
  <c r="AJ331" i="3"/>
  <c r="AH344" i="3"/>
  <c r="AH345" i="3" s="1"/>
  <c r="AJ345" i="3" s="1"/>
  <c r="AM346" i="3"/>
  <c r="AX347" i="3"/>
  <c r="AL354" i="3"/>
  <c r="AJ354" i="3"/>
  <c r="AS355" i="3"/>
  <c r="AV358" i="3"/>
  <c r="AZ358" i="3"/>
  <c r="AT358" i="3"/>
  <c r="AD358" i="3"/>
  <c r="AX358" i="3"/>
  <c r="AP383" i="3"/>
  <c r="AX322" i="3"/>
  <c r="AK330" i="3"/>
  <c r="AS339" i="3"/>
  <c r="AO346" i="3"/>
  <c r="AK374" i="3"/>
  <c r="AJ374" i="3"/>
  <c r="AX379" i="3"/>
  <c r="AV383" i="3"/>
  <c r="AD187" i="3"/>
  <c r="AR215" i="3"/>
  <c r="AS227" i="3"/>
  <c r="AU230" i="3"/>
  <c r="AW266" i="3"/>
  <c r="AX271" i="3"/>
  <c r="AD274" i="3"/>
  <c r="AV274" i="3"/>
  <c r="AS295" i="3"/>
  <c r="AU322" i="3"/>
  <c r="AY322" i="3"/>
  <c r="AR323" i="3"/>
  <c r="AL330" i="3"/>
  <c r="AP331" i="3"/>
  <c r="AU334" i="3"/>
  <c r="AZ347" i="3"/>
  <c r="AM354" i="3"/>
  <c r="AN362" i="3"/>
  <c r="AR366" i="3"/>
  <c r="AN366" i="3"/>
  <c r="AC372" i="3"/>
  <c r="AC373" i="3" s="1"/>
  <c r="AX383" i="3"/>
  <c r="AR391" i="3"/>
  <c r="AC464" i="3"/>
  <c r="AC465" i="3" s="1"/>
  <c r="AD463" i="3"/>
  <c r="AN222" i="3"/>
  <c r="AO234" i="3"/>
  <c r="AX274" i="3"/>
  <c r="AS291" i="3"/>
  <c r="AJ322" i="3"/>
  <c r="AZ322" i="3"/>
  <c r="AS323" i="3"/>
  <c r="AD347" i="3"/>
  <c r="AL374" i="3"/>
  <c r="AQ378" i="3"/>
  <c r="AY383" i="3"/>
  <c r="AN386" i="3"/>
  <c r="AY386" i="3"/>
  <c r="AD386" i="3"/>
  <c r="AR386" i="3"/>
  <c r="AP386" i="3"/>
  <c r="AO386" i="3"/>
  <c r="AI432" i="3"/>
  <c r="AI433" i="3" s="1"/>
  <c r="AU431" i="3"/>
  <c r="AP431" i="3"/>
  <c r="AM431" i="3"/>
  <c r="AJ583" i="3"/>
  <c r="AH584" i="3"/>
  <c r="AJ584" i="3" s="1"/>
  <c r="AY438" i="3"/>
  <c r="AD447" i="3"/>
  <c r="AR511" i="3"/>
  <c r="AK511" i="3"/>
  <c r="AD611" i="3"/>
  <c r="AC612" i="3"/>
  <c r="AC613" i="3" s="1"/>
  <c r="AZ786" i="3"/>
  <c r="AO786" i="3"/>
  <c r="AN786" i="3"/>
  <c r="AD786" i="3"/>
  <c r="AK383" i="3"/>
  <c r="AR426" i="3"/>
  <c r="AU434" i="3"/>
  <c r="AL446" i="3"/>
  <c r="AJ446" i="3"/>
  <c r="AH532" i="3"/>
  <c r="AH533" i="3" s="1"/>
  <c r="AJ533" i="3" s="1"/>
  <c r="AK531" i="3"/>
  <c r="AD591" i="3"/>
  <c r="AU610" i="3"/>
  <c r="AD610" i="3"/>
  <c r="AT610" i="3"/>
  <c r="AR610" i="3"/>
  <c r="AR614" i="3"/>
  <c r="AV458" i="3"/>
  <c r="AO458" i="3"/>
  <c r="AP506" i="3"/>
  <c r="AU506" i="3"/>
  <c r="AT506" i="3"/>
  <c r="AQ506" i="3"/>
  <c r="AB510" i="3"/>
  <c r="BB510" i="3"/>
  <c r="AK603" i="3"/>
  <c r="AH604" i="3"/>
  <c r="AJ604" i="3" s="1"/>
  <c r="AW426" i="3"/>
  <c r="AW434" i="3"/>
  <c r="AT442" i="3"/>
  <c r="AP443" i="3"/>
  <c r="AK446" i="3"/>
  <c r="AD459" i="3"/>
  <c r="AY503" i="3"/>
  <c r="AK507" i="3"/>
  <c r="AP510" i="3"/>
  <c r="AO510" i="3"/>
  <c r="AN510" i="3"/>
  <c r="AX530" i="3"/>
  <c r="AJ531" i="3"/>
  <c r="AY550" i="3"/>
  <c r="AZ550" i="3"/>
  <c r="AD550" i="3"/>
  <c r="AW550" i="3"/>
  <c r="AV550" i="3"/>
  <c r="AN550" i="3"/>
  <c r="AK554" i="3"/>
  <c r="AL554" i="3"/>
  <c r="AH560" i="3"/>
  <c r="AK559" i="3"/>
  <c r="AJ559" i="3"/>
  <c r="AH464" i="3"/>
  <c r="AH465" i="3" s="1"/>
  <c r="AK463" i="3"/>
  <c r="AK535" i="3"/>
  <c r="AH580" i="3"/>
  <c r="AH581" i="3" s="1"/>
  <c r="AJ581" i="3" s="1"/>
  <c r="AJ579" i="3"/>
  <c r="AD619" i="3"/>
  <c r="AW343" i="3"/>
  <c r="AZ383" i="3"/>
  <c r="AW422" i="3"/>
  <c r="AJ423" i="3"/>
  <c r="AY426" i="3"/>
  <c r="AQ430" i="3"/>
  <c r="AP435" i="3"/>
  <c r="AJ438" i="3"/>
  <c r="AT439" i="3"/>
  <c r="AR439" i="3"/>
  <c r="AN446" i="3"/>
  <c r="AR455" i="3"/>
  <c r="AW455" i="3"/>
  <c r="AJ458" i="3"/>
  <c r="AL458" i="3"/>
  <c r="AM462" i="3"/>
  <c r="AK462" i="3"/>
  <c r="AR482" i="3"/>
  <c r="AS511" i="3"/>
  <c r="AM554" i="3"/>
  <c r="AI592" i="3"/>
  <c r="AI593" i="3" s="1"/>
  <c r="AR627" i="3"/>
  <c r="AV379" i="3"/>
  <c r="AP390" i="3"/>
  <c r="AX422" i="3"/>
  <c r="AJ426" i="3"/>
  <c r="AZ426" i="3"/>
  <c r="AI428" i="3"/>
  <c r="AI429" i="3" s="1"/>
  <c r="AK434" i="3"/>
  <c r="AV446" i="3"/>
  <c r="AW454" i="3"/>
  <c r="AJ455" i="3"/>
  <c r="AH456" i="3"/>
  <c r="AH457" i="3" s="1"/>
  <c r="AJ457" i="3" s="1"/>
  <c r="AJ463" i="3"/>
  <c r="AL510" i="3"/>
  <c r="AM510" i="3"/>
  <c r="AK510" i="3"/>
  <c r="AJ510" i="3"/>
  <c r="AT511" i="3"/>
  <c r="AK555" i="3"/>
  <c r="AX586" i="3"/>
  <c r="AQ586" i="3"/>
  <c r="AP586" i="3"/>
  <c r="AT614" i="3"/>
  <c r="AP614" i="3"/>
  <c r="AD614" i="3"/>
  <c r="AO614" i="3"/>
  <c r="AN614" i="3"/>
  <c r="AZ614" i="3"/>
  <c r="AY614" i="3"/>
  <c r="AX614" i="3"/>
  <c r="AW614" i="3"/>
  <c r="AV614" i="3"/>
  <c r="AU383" i="3"/>
  <c r="AM419" i="3"/>
  <c r="AK426" i="3"/>
  <c r="AL434" i="3"/>
  <c r="AR435" i="3"/>
  <c r="AN438" i="3"/>
  <c r="AW446" i="3"/>
  <c r="AK455" i="3"/>
  <c r="AU511" i="3"/>
  <c r="AX754" i="3"/>
  <c r="AO754" i="3"/>
  <c r="AN754" i="3"/>
  <c r="AZ754" i="3"/>
  <c r="AS435" i="3"/>
  <c r="AX446" i="3"/>
  <c r="AY450" i="3"/>
  <c r="AR450" i="3"/>
  <c r="AK454" i="3"/>
  <c r="AM458" i="3"/>
  <c r="AS462" i="3"/>
  <c r="AV463" i="3"/>
  <c r="AO507" i="3"/>
  <c r="AQ510" i="3"/>
  <c r="AW511" i="3"/>
  <c r="AQ530" i="3"/>
  <c r="AU530" i="3"/>
  <c r="AD530" i="3"/>
  <c r="AT530" i="3"/>
  <c r="AS530" i="3"/>
  <c r="AN530" i="3"/>
  <c r="AM574" i="3"/>
  <c r="AL574" i="3"/>
  <c r="AK574" i="3"/>
  <c r="AJ574" i="3"/>
  <c r="AR586" i="3"/>
  <c r="AX391" i="3"/>
  <c r="AS419" i="3"/>
  <c r="AS423" i="3"/>
  <c r="AO434" i="3"/>
  <c r="AP438" i="3"/>
  <c r="AO442" i="3"/>
  <c r="AS443" i="3"/>
  <c r="AD446" i="3"/>
  <c r="AP458" i="3"/>
  <c r="AP459" i="3"/>
  <c r="AU462" i="3"/>
  <c r="AW463" i="3"/>
  <c r="AW510" i="3"/>
  <c r="AY534" i="3"/>
  <c r="AT534" i="3"/>
  <c r="AR534" i="3"/>
  <c r="AQ534" i="3"/>
  <c r="AO534" i="3"/>
  <c r="AK558" i="3"/>
  <c r="AJ558" i="3"/>
  <c r="AX559" i="3"/>
  <c r="AS586" i="3"/>
  <c r="AQ590" i="3"/>
  <c r="AZ590" i="3"/>
  <c r="AY590" i="3"/>
  <c r="AX590" i="3"/>
  <c r="AW590" i="3"/>
  <c r="AV590" i="3"/>
  <c r="AT590" i="3"/>
  <c r="AO590" i="3"/>
  <c r="AN590" i="3"/>
  <c r="AQ602" i="3"/>
  <c r="AU602" i="3"/>
  <c r="AS602" i="3"/>
  <c r="AR602" i="3"/>
  <c r="AP602" i="3"/>
  <c r="AG616" i="3"/>
  <c r="AG617" i="3" s="1"/>
  <c r="AM615" i="3"/>
  <c r="AU358" i="3"/>
  <c r="AY391" i="3"/>
  <c r="AN418" i="3"/>
  <c r="AP422" i="3"/>
  <c r="AN426" i="3"/>
  <c r="AL431" i="3"/>
  <c r="AP434" i="3"/>
  <c r="AP442" i="3"/>
  <c r="AT443" i="3"/>
  <c r="AS446" i="3"/>
  <c r="AZ446" i="3"/>
  <c r="AP455" i="3"/>
  <c r="AV455" i="3"/>
  <c r="AY458" i="3"/>
  <c r="AY463" i="3"/>
  <c r="AZ510" i="3"/>
  <c r="AV558" i="3"/>
  <c r="AS558" i="3"/>
  <c r="AR558" i="3"/>
  <c r="AD587" i="3"/>
  <c r="AT678" i="3"/>
  <c r="AS678" i="3"/>
  <c r="AI780" i="3"/>
  <c r="AI781" i="3" s="1"/>
  <c r="AS779" i="3"/>
  <c r="AR779" i="3"/>
  <c r="AS830" i="3"/>
  <c r="AZ830" i="3"/>
  <c r="AP830" i="3"/>
  <c r="AO830" i="3"/>
  <c r="AN830" i="3"/>
  <c r="AK850" i="3"/>
  <c r="AM850" i="3"/>
  <c r="AL850" i="3"/>
  <c r="AJ850" i="3"/>
  <c r="AF863" i="3"/>
  <c r="AF864" i="3" s="1"/>
  <c r="AF865" i="3" s="1"/>
  <c r="AF868" i="3"/>
  <c r="AF869" i="3" s="1"/>
  <c r="AZ574" i="3"/>
  <c r="AK615" i="3"/>
  <c r="AO622" i="3"/>
  <c r="AK623" i="3"/>
  <c r="AK686" i="3"/>
  <c r="AJ686" i="3"/>
  <c r="AO730" i="3"/>
  <c r="AU751" i="3"/>
  <c r="AX751" i="3"/>
  <c r="AV751" i="3"/>
  <c r="AP751" i="3"/>
  <c r="AO751" i="3"/>
  <c r="AK779" i="3"/>
  <c r="AB826" i="3"/>
  <c r="AK827" i="3"/>
  <c r="AJ827" i="3"/>
  <c r="AH828" i="3"/>
  <c r="AP850" i="3"/>
  <c r="AO850" i="3"/>
  <c r="AL858" i="3"/>
  <c r="AK858" i="3"/>
  <c r="AH879" i="3"/>
  <c r="AJ879" i="3" s="1"/>
  <c r="AM878" i="3"/>
  <c r="AV582" i="3"/>
  <c r="AP594" i="3"/>
  <c r="AR598" i="3"/>
  <c r="AX606" i="3"/>
  <c r="AD622" i="3"/>
  <c r="AR622" i="3"/>
  <c r="AY763" i="3"/>
  <c r="AR763" i="3"/>
  <c r="AQ763" i="3"/>
  <c r="AP763" i="3"/>
  <c r="AB778" i="3"/>
  <c r="BB778" i="3"/>
  <c r="AQ779" i="3"/>
  <c r="AU799" i="3"/>
  <c r="AU614" i="3"/>
  <c r="AS622" i="3"/>
  <c r="AQ662" i="3"/>
  <c r="AR662" i="3"/>
  <c r="AK739" i="3"/>
  <c r="AU815" i="3"/>
  <c r="AT815" i="3"/>
  <c r="AR815" i="3"/>
  <c r="AQ815" i="3"/>
  <c r="AP815" i="3"/>
  <c r="AQ842" i="3"/>
  <c r="AY842" i="3"/>
  <c r="AX842" i="3"/>
  <c r="AW842" i="3"/>
  <c r="AV635" i="3"/>
  <c r="AU635" i="3"/>
  <c r="AQ635" i="3"/>
  <c r="AV739" i="3"/>
  <c r="AR739" i="3"/>
  <c r="AR755" i="3"/>
  <c r="AQ755" i="3"/>
  <c r="AO755" i="3"/>
  <c r="AD759" i="3"/>
  <c r="AC760" i="3"/>
  <c r="AC761" i="3" s="1"/>
  <c r="AM834" i="3"/>
  <c r="AL834" i="3"/>
  <c r="AK834" i="3"/>
  <c r="AJ834" i="3"/>
  <c r="AG863" i="3"/>
  <c r="AG864" i="3" s="1"/>
  <c r="AG865" i="3" s="1"/>
  <c r="AG868" i="3"/>
  <c r="AG869" i="3" s="1"/>
  <c r="AL530" i="3"/>
  <c r="AK550" i="3"/>
  <c r="AZ551" i="3"/>
  <c r="AS555" i="3"/>
  <c r="AY559" i="3"/>
  <c r="AY578" i="3"/>
  <c r="AY582" i="3"/>
  <c r="AY583" i="3"/>
  <c r="AU594" i="3"/>
  <c r="AX598" i="3"/>
  <c r="AL602" i="3"/>
  <c r="AL606" i="3"/>
  <c r="AW622" i="3"/>
  <c r="AK659" i="3"/>
  <c r="AK678" i="3"/>
  <c r="AL690" i="3"/>
  <c r="AR759" i="3"/>
  <c r="AW834" i="3"/>
  <c r="AN834" i="3"/>
  <c r="AD847" i="3"/>
  <c r="AM866" i="3"/>
  <c r="AL866" i="3"/>
  <c r="AM530" i="3"/>
  <c r="AM550" i="3"/>
  <c r="AO551" i="3"/>
  <c r="AZ582" i="3"/>
  <c r="AD586" i="3"/>
  <c r="AY586" i="3"/>
  <c r="AW594" i="3"/>
  <c r="AW598" i="3"/>
  <c r="AY598" i="3"/>
  <c r="AM602" i="3"/>
  <c r="AL614" i="3"/>
  <c r="AT618" i="3"/>
  <c r="AW619" i="3"/>
  <c r="AX622" i="3"/>
  <c r="AR623" i="3"/>
  <c r="AD627" i="3"/>
  <c r="AC628" i="3"/>
  <c r="AC629" i="3" s="1"/>
  <c r="AM642" i="3"/>
  <c r="AK642" i="3"/>
  <c r="AP659" i="3"/>
  <c r="AL662" i="3"/>
  <c r="AK662" i="3"/>
  <c r="AJ662" i="3"/>
  <c r="AK671" i="3"/>
  <c r="AJ671" i="3"/>
  <c r="AY742" i="3"/>
  <c r="AV742" i="3"/>
  <c r="AR778" i="3"/>
  <c r="AQ778" i="3"/>
  <c r="AP778" i="3"/>
  <c r="AO778" i="3"/>
  <c r="AK790" i="3"/>
  <c r="AJ790" i="3"/>
  <c r="AV834" i="3"/>
  <c r="AH840" i="3"/>
  <c r="AM870" i="3"/>
  <c r="AL870" i="3"/>
  <c r="AK870" i="3"/>
  <c r="AJ870" i="3"/>
  <c r="AL506" i="3"/>
  <c r="AP551" i="3"/>
  <c r="AP555" i="3"/>
  <c r="AJ582" i="3"/>
  <c r="AX594" i="3"/>
  <c r="AJ598" i="3"/>
  <c r="AZ598" i="3"/>
  <c r="AB606" i="3"/>
  <c r="AN606" i="3"/>
  <c r="AU622" i="3"/>
  <c r="AY622" i="3"/>
  <c r="AK631" i="3"/>
  <c r="AJ631" i="3"/>
  <c r="AQ642" i="3"/>
  <c r="AX642" i="3"/>
  <c r="AV659" i="3"/>
  <c r="AQ674" i="3"/>
  <c r="AD674" i="3"/>
  <c r="AX674" i="3"/>
  <c r="AO674" i="3"/>
  <c r="AY751" i="3"/>
  <c r="AP754" i="3"/>
  <c r="AL818" i="3"/>
  <c r="AM818" i="3"/>
  <c r="AK818" i="3"/>
  <c r="AJ818" i="3"/>
  <c r="AP870" i="3"/>
  <c r="AI871" i="3"/>
  <c r="AI872" i="3" s="1"/>
  <c r="AI873" i="3" s="1"/>
  <c r="AJ503" i="3"/>
  <c r="AS551" i="3"/>
  <c r="AR559" i="3"/>
  <c r="AR575" i="3"/>
  <c r="AK582" i="3"/>
  <c r="AK598" i="3"/>
  <c r="AO606" i="3"/>
  <c r="AU618" i="3"/>
  <c r="AJ622" i="3"/>
  <c r="AZ622" i="3"/>
  <c r="AJ630" i="3"/>
  <c r="AJ642" i="3"/>
  <c r="AQ658" i="3"/>
  <c r="AS662" i="3"/>
  <c r="AW730" i="3"/>
  <c r="AH740" i="3"/>
  <c r="AJ740" i="3" s="1"/>
  <c r="AZ751" i="3"/>
  <c r="AR787" i="3"/>
  <c r="AV818" i="3"/>
  <c r="AO818" i="3"/>
  <c r="AZ834" i="3"/>
  <c r="AJ839" i="3"/>
  <c r="AX870" i="3"/>
  <c r="AU535" i="3"/>
  <c r="AN582" i="3"/>
  <c r="AL598" i="3"/>
  <c r="AP606" i="3"/>
  <c r="AH616" i="3"/>
  <c r="AL634" i="3"/>
  <c r="AM634" i="3"/>
  <c r="AT642" i="3"/>
  <c r="AT662" i="3"/>
  <c r="AH744" i="3"/>
  <c r="AH745" i="3" s="1"/>
  <c r="AJ745" i="3" s="1"/>
  <c r="AR782" i="3"/>
  <c r="AY782" i="3"/>
  <c r="AX782" i="3"/>
  <c r="AW782" i="3"/>
  <c r="AV782" i="3"/>
  <c r="AT782" i="3"/>
  <c r="AW798" i="3"/>
  <c r="AV798" i="3"/>
  <c r="AU798" i="3"/>
  <c r="AT798" i="3"/>
  <c r="AR798" i="3"/>
  <c r="AR850" i="3"/>
  <c r="AS455" i="3"/>
  <c r="AY455" i="3"/>
  <c r="AX463" i="3"/>
  <c r="AO574" i="3"/>
  <c r="AO582" i="3"/>
  <c r="AT606" i="3"/>
  <c r="AR606" i="3"/>
  <c r="AL630" i="3"/>
  <c r="AU662" i="3"/>
  <c r="AK674" i="3"/>
  <c r="AM674" i="3"/>
  <c r="AL674" i="3"/>
  <c r="AI680" i="3"/>
  <c r="AI681" i="3" s="1"/>
  <c r="AW679" i="3"/>
  <c r="AQ686" i="3"/>
  <c r="AU686" i="3"/>
  <c r="AT686" i="3"/>
  <c r="AS686" i="3"/>
  <c r="AR686" i="3"/>
  <c r="AI744" i="3"/>
  <c r="AI745" i="3" s="1"/>
  <c r="AM754" i="3"/>
  <c r="AL754" i="3"/>
  <c r="AU758" i="3"/>
  <c r="AT758" i="3"/>
  <c r="AS758" i="3"/>
  <c r="AR758" i="3"/>
  <c r="AJ760" i="3"/>
  <c r="AH761" i="3"/>
  <c r="AJ761" i="3" s="1"/>
  <c r="AD791" i="3"/>
  <c r="AC792" i="3"/>
  <c r="AC793" i="3" s="1"/>
  <c r="AX838" i="3"/>
  <c r="AQ838" i="3"/>
  <c r="AH871" i="3"/>
  <c r="AI828" i="3"/>
  <c r="AI829" i="3" s="1"/>
  <c r="AQ830" i="3"/>
  <c r="AP835" i="3"/>
  <c r="AY638" i="3"/>
  <c r="AS639" i="3"/>
  <c r="AY658" i="3"/>
  <c r="AQ659" i="3"/>
  <c r="AT739" i="3"/>
  <c r="AB742" i="3"/>
  <c r="AN742" i="3"/>
  <c r="AO762" i="3"/>
  <c r="AU782" i="3"/>
  <c r="AD783" i="3"/>
  <c r="AJ822" i="3"/>
  <c r="AW838" i="3"/>
  <c r="AD854" i="3"/>
  <c r="AN630" i="3"/>
  <c r="AN634" i="3"/>
  <c r="AN642" i="3"/>
  <c r="AU679" i="3"/>
  <c r="AR750" i="3"/>
  <c r="AW750" i="3"/>
  <c r="AJ759" i="3"/>
  <c r="AD762" i="3"/>
  <c r="AP762" i="3"/>
  <c r="AR790" i="3"/>
  <c r="AO827" i="3"/>
  <c r="AR835" i="3"/>
  <c r="AH836" i="3"/>
  <c r="AH837" i="3" s="1"/>
  <c r="AJ837" i="3" s="1"/>
  <c r="AN858" i="3"/>
  <c r="AS866" i="3"/>
  <c r="AP735" i="3"/>
  <c r="AV762" i="3"/>
  <c r="AS790" i="3"/>
  <c r="AU791" i="3"/>
  <c r="AT858" i="3"/>
  <c r="AU866" i="3"/>
  <c r="AD630" i="3"/>
  <c r="AP634" i="3"/>
  <c r="AU642" i="3"/>
  <c r="AN662" i="3"/>
  <c r="AQ691" i="3"/>
  <c r="AU734" i="3"/>
  <c r="AS735" i="3"/>
  <c r="AX739" i="3"/>
  <c r="AR742" i="3"/>
  <c r="AW742" i="3"/>
  <c r="AY750" i="3"/>
  <c r="AD754" i="3"/>
  <c r="AX762" i="3"/>
  <c r="AT790" i="3"/>
  <c r="AJ791" i="3"/>
  <c r="AH792" i="3"/>
  <c r="AH793" i="3" s="1"/>
  <c r="AJ793" i="3" s="1"/>
  <c r="AL794" i="3"/>
  <c r="AW818" i="3"/>
  <c r="AJ826" i="3"/>
  <c r="AY827" i="3"/>
  <c r="AO834" i="3"/>
  <c r="AJ835" i="3"/>
  <c r="AL846" i="3"/>
  <c r="AV866" i="3"/>
  <c r="AQ870" i="3"/>
  <c r="AS627" i="3"/>
  <c r="AT630" i="3"/>
  <c r="AS630" i="3"/>
  <c r="AD634" i="3"/>
  <c r="AP658" i="3"/>
  <c r="AJ734" i="3"/>
  <c r="AY739" i="3"/>
  <c r="AY746" i="3"/>
  <c r="AU754" i="3"/>
  <c r="AV754" i="3"/>
  <c r="AO758" i="3"/>
  <c r="AY762" i="3"/>
  <c r="AN778" i="3"/>
  <c r="AM794" i="3"/>
  <c r="AQ798" i="3"/>
  <c r="AC800" i="3"/>
  <c r="AC801" i="3" s="1"/>
  <c r="AK814" i="3"/>
  <c r="AD818" i="3"/>
  <c r="AK831" i="3"/>
  <c r="AD834" i="3"/>
  <c r="AK835" i="3"/>
  <c r="AM846" i="3"/>
  <c r="AD870" i="3"/>
  <c r="AR870" i="3"/>
  <c r="AV630" i="3"/>
  <c r="AY634" i="3"/>
  <c r="AS634" i="3"/>
  <c r="AQ639" i="3"/>
  <c r="AY682" i="3"/>
  <c r="AD731" i="3"/>
  <c r="AK734" i="3"/>
  <c r="AZ762" i="3"/>
  <c r="AM814" i="3"/>
  <c r="AP827" i="3"/>
  <c r="AQ834" i="3"/>
  <c r="AT834" i="3"/>
  <c r="AN846" i="3"/>
  <c r="AN850" i="3"/>
  <c r="AF851" i="3"/>
  <c r="AF852" i="3" s="1"/>
  <c r="AF853" i="3" s="1"/>
  <c r="AU870" i="3"/>
  <c r="AJ882" i="3"/>
  <c r="AC887" i="3"/>
  <c r="AC888" i="3" s="1"/>
  <c r="AD888" i="3" s="1"/>
  <c r="AW630" i="3"/>
  <c r="AV634" i="3"/>
  <c r="AR642" i="3"/>
  <c r="AY642" i="3"/>
  <c r="AR675" i="3"/>
  <c r="AT679" i="3"/>
  <c r="AC740" i="3"/>
  <c r="AC741" i="3" s="1"/>
  <c r="AY754" i="3"/>
  <c r="AQ790" i="3"/>
  <c r="AW790" i="3"/>
  <c r="AW791" i="3"/>
  <c r="AR814" i="3"/>
  <c r="AU834" i="3"/>
  <c r="AO846" i="3"/>
  <c r="AG851" i="3"/>
  <c r="AG852" i="3" s="1"/>
  <c r="AG853" i="3" s="1"/>
  <c r="AW866" i="3"/>
  <c r="AJ32" i="3"/>
  <c r="AH33" i="3"/>
  <c r="N27" i="3"/>
  <c r="AO27" i="3"/>
  <c r="AB182" i="3"/>
  <c r="BB182" i="3"/>
  <c r="AJ13" i="3"/>
  <c r="AR27" i="3"/>
  <c r="N39" i="3"/>
  <c r="AM35" i="3"/>
  <c r="AR63" i="3"/>
  <c r="AJ16" i="3"/>
  <c r="AH17" i="3"/>
  <c r="AJ24" i="3"/>
  <c r="AH25" i="3"/>
  <c r="S898" i="3"/>
  <c r="S906" i="3" s="1"/>
  <c r="S888" i="3"/>
  <c r="AT888" i="3" s="1"/>
  <c r="AQ22" i="3"/>
  <c r="AS94" i="3"/>
  <c r="AR94" i="3"/>
  <c r="AO94" i="3"/>
  <c r="AZ94" i="3"/>
  <c r="AN94" i="3"/>
  <c r="AW94" i="3"/>
  <c r="AB150" i="3"/>
  <c r="BB150" i="3"/>
  <c r="AR75" i="3"/>
  <c r="AP75" i="3"/>
  <c r="AD75" i="3"/>
  <c r="AO75" i="3"/>
  <c r="AJ96" i="3"/>
  <c r="AP131" i="3"/>
  <c r="AD131" i="3"/>
  <c r="AO131" i="3"/>
  <c r="AZ131" i="3"/>
  <c r="AY131" i="3"/>
  <c r="AX131" i="3"/>
  <c r="AW131" i="3"/>
  <c r="AV131" i="3"/>
  <c r="AU131" i="3"/>
  <c r="AT131" i="3"/>
  <c r="AZ150" i="3"/>
  <c r="AN150" i="3"/>
  <c r="AO150" i="3"/>
  <c r="AY150" i="3"/>
  <c r="AX150" i="3"/>
  <c r="AW150" i="3"/>
  <c r="AV150" i="3"/>
  <c r="AU150" i="3"/>
  <c r="AT150" i="3"/>
  <c r="AS150" i="3"/>
  <c r="AK247" i="3"/>
  <c r="AJ247" i="3"/>
  <c r="AH248" i="3"/>
  <c r="AO10" i="3"/>
  <c r="S908" i="3"/>
  <c r="S919" i="3" s="1"/>
  <c r="S892" i="3"/>
  <c r="AR11" i="3"/>
  <c r="AJ12" i="3"/>
  <c r="AU14" i="3"/>
  <c r="U898" i="3"/>
  <c r="U906" i="3" s="1"/>
  <c r="U888" i="3"/>
  <c r="AV888" i="3" s="1"/>
  <c r="AO18" i="3"/>
  <c r="S900" i="3"/>
  <c r="AR19" i="3"/>
  <c r="AH20" i="3"/>
  <c r="AS22" i="3"/>
  <c r="AJ23" i="3"/>
  <c r="AV23" i="3"/>
  <c r="AM26" i="3"/>
  <c r="AY26" i="3"/>
  <c r="AD27" i="3"/>
  <c r="AP27" i="3"/>
  <c r="AH28" i="3"/>
  <c r="AS30" i="3"/>
  <c r="AJ31" i="3"/>
  <c r="AV31" i="3"/>
  <c r="AM34" i="3"/>
  <c r="AY34" i="3"/>
  <c r="AD35" i="3"/>
  <c r="AP35" i="3"/>
  <c r="AH36" i="3"/>
  <c r="AS38" i="3"/>
  <c r="AJ39" i="3"/>
  <c r="AM42" i="3"/>
  <c r="AY42" i="3"/>
  <c r="AD43" i="3"/>
  <c r="AP43" i="3"/>
  <c r="AH44" i="3"/>
  <c r="AK46" i="3"/>
  <c r="AP47" i="3"/>
  <c r="AJ48" i="3"/>
  <c r="AM50" i="3"/>
  <c r="N52" i="3"/>
  <c r="AR54" i="3"/>
  <c r="AJ55" i="3"/>
  <c r="AW55" i="3"/>
  <c r="AU58" i="3"/>
  <c r="N59" i="3"/>
  <c r="AM59" i="3"/>
  <c r="AO62" i="3"/>
  <c r="AN66" i="3"/>
  <c r="AV70" i="3"/>
  <c r="AU70" i="3"/>
  <c r="AS70" i="3"/>
  <c r="AR70" i="3"/>
  <c r="AP70" i="3"/>
  <c r="AD70" i="3"/>
  <c r="AW70" i="3"/>
  <c r="AT79" i="3"/>
  <c r="AM82" i="3"/>
  <c r="AL82" i="3"/>
  <c r="AK82" i="3"/>
  <c r="AJ82" i="3"/>
  <c r="AW91" i="3"/>
  <c r="AS102" i="3"/>
  <c r="AR102" i="3"/>
  <c r="AO102" i="3"/>
  <c r="AZ102" i="3"/>
  <c r="AN102" i="3"/>
  <c r="AX102" i="3"/>
  <c r="AW102" i="3"/>
  <c r="AJ132" i="3"/>
  <c r="O136" i="3"/>
  <c r="K136" i="3" s="1"/>
  <c r="AQ135" i="3"/>
  <c r="O137" i="3"/>
  <c r="K137" i="3" s="1"/>
  <c r="AM142" i="3"/>
  <c r="AL142" i="3"/>
  <c r="AK142" i="3"/>
  <c r="AJ142" i="3"/>
  <c r="O167" i="3"/>
  <c r="AP167" i="3"/>
  <c r="AP186" i="3"/>
  <c r="AZ186" i="3"/>
  <c r="AN186" i="3"/>
  <c r="AY186" i="3"/>
  <c r="AX186" i="3"/>
  <c r="AW186" i="3"/>
  <c r="AV186" i="3"/>
  <c r="AU186" i="3"/>
  <c r="AH193" i="3"/>
  <c r="O199" i="3"/>
  <c r="O200" i="3"/>
  <c r="K200" i="3" s="1"/>
  <c r="AH204" i="3"/>
  <c r="AJ203" i="3"/>
  <c r="AK203" i="3"/>
  <c r="AM74" i="3"/>
  <c r="AL74" i="3"/>
  <c r="AJ74" i="3"/>
  <c r="AM210" i="3"/>
  <c r="AL210" i="3"/>
  <c r="AK210" i="3"/>
  <c r="AJ210" i="3"/>
  <c r="AU31" i="3"/>
  <c r="N40" i="3"/>
  <c r="AZ71" i="3"/>
  <c r="AM102" i="3"/>
  <c r="AL102" i="3"/>
  <c r="AK102" i="3"/>
  <c r="AQ123" i="3"/>
  <c r="AM147" i="3"/>
  <c r="AD10" i="3"/>
  <c r="AP10" i="3"/>
  <c r="T908" i="3"/>
  <c r="T919" i="3" s="1"/>
  <c r="T892" i="3"/>
  <c r="AS11" i="3"/>
  <c r="N909" i="3"/>
  <c r="N920" i="3" s="1"/>
  <c r="N893" i="3"/>
  <c r="AJ14" i="3"/>
  <c r="N15" i="3"/>
  <c r="V898" i="3"/>
  <c r="V906" i="3" s="1"/>
  <c r="V888" i="3"/>
  <c r="AW888" i="3" s="1"/>
  <c r="AD18" i="3"/>
  <c r="AP18" i="3"/>
  <c r="T900" i="3"/>
  <c r="AS19" i="3"/>
  <c r="N901" i="3"/>
  <c r="AT22" i="3"/>
  <c r="AK23" i="3"/>
  <c r="AW23" i="3"/>
  <c r="AZ26" i="3"/>
  <c r="AQ27" i="3"/>
  <c r="AI28" i="3"/>
  <c r="AI29" i="3" s="1"/>
  <c r="N29" i="3"/>
  <c r="AT30" i="3"/>
  <c r="AK31" i="3"/>
  <c r="AW31" i="3"/>
  <c r="AB34" i="3"/>
  <c r="AN34" i="3"/>
  <c r="AZ34" i="3"/>
  <c r="AQ35" i="3"/>
  <c r="AI36" i="3"/>
  <c r="AI37" i="3" s="1"/>
  <c r="AT38" i="3"/>
  <c r="AK39" i="3"/>
  <c r="AB42" i="3"/>
  <c r="AN42" i="3"/>
  <c r="AZ42" i="3"/>
  <c r="AQ43" i="3"/>
  <c r="AI44" i="3"/>
  <c r="AI45" i="3" s="1"/>
  <c r="AD47" i="3"/>
  <c r="AQ47" i="3"/>
  <c r="AN50" i="3"/>
  <c r="O52" i="3"/>
  <c r="AS54" i="3"/>
  <c r="AK55" i="3"/>
  <c r="AY55" i="3"/>
  <c r="AV58" i="3"/>
  <c r="AH60" i="3"/>
  <c r="AQ66" i="3"/>
  <c r="AJ71" i="3"/>
  <c r="AN74" i="3"/>
  <c r="AN78" i="3"/>
  <c r="AD79" i="3"/>
  <c r="AQ83" i="3"/>
  <c r="AP83" i="3"/>
  <c r="AD83" i="3"/>
  <c r="AO83" i="3"/>
  <c r="AZ83" i="3"/>
  <c r="AY83" i="3"/>
  <c r="AX83" i="3"/>
  <c r="AV83" i="3"/>
  <c r="AD90" i="3"/>
  <c r="AT94" i="3"/>
  <c r="AJ102" i="3"/>
  <c r="AM106" i="3"/>
  <c r="AL106" i="3"/>
  <c r="AK106" i="3"/>
  <c r="AJ136" i="3"/>
  <c r="O151" i="3"/>
  <c r="AU151" i="3"/>
  <c r="AT151" i="3"/>
  <c r="AI152" i="3"/>
  <c r="AI153" i="3" s="1"/>
  <c r="AP151" i="3"/>
  <c r="AO151" i="3"/>
  <c r="AZ151" i="3"/>
  <c r="AM151" i="3"/>
  <c r="AY151" i="3"/>
  <c r="AS182" i="3"/>
  <c r="AI192" i="3"/>
  <c r="AI193" i="3" s="1"/>
  <c r="AU191" i="3"/>
  <c r="AR191" i="3"/>
  <c r="AQ191" i="3"/>
  <c r="AW71" i="3"/>
  <c r="AZ215" i="3"/>
  <c r="AQ11" i="3"/>
  <c r="N902" i="3"/>
  <c r="AR22" i="3"/>
  <c r="AQ54" i="3"/>
  <c r="AH76" i="3"/>
  <c r="AY79" i="3"/>
  <c r="AX79" i="3"/>
  <c r="AW79" i="3"/>
  <c r="AV79" i="3"/>
  <c r="AU79" i="3"/>
  <c r="AS79" i="3"/>
  <c r="AV22" i="3"/>
  <c r="AY23" i="3"/>
  <c r="AS27" i="3"/>
  <c r="AV30" i="3"/>
  <c r="AY31" i="3"/>
  <c r="AS35" i="3"/>
  <c r="AV38" i="3"/>
  <c r="AS43" i="3"/>
  <c r="AB46" i="3"/>
  <c r="AS47" i="3"/>
  <c r="AV54" i="3"/>
  <c r="AH56" i="3"/>
  <c r="AD59" i="3"/>
  <c r="AV62" i="3"/>
  <c r="AU62" i="3"/>
  <c r="AR62" i="3"/>
  <c r="AQ63" i="3"/>
  <c r="AS66" i="3"/>
  <c r="AQ67" i="3"/>
  <c r="AK71" i="3"/>
  <c r="AR74" i="3"/>
  <c r="AS75" i="3"/>
  <c r="AQ78" i="3"/>
  <c r="AO82" i="3"/>
  <c r="AM87" i="3"/>
  <c r="O89" i="3"/>
  <c r="K89" i="3" s="1"/>
  <c r="AV94" i="3"/>
  <c r="AH97" i="3"/>
  <c r="AJ106" i="3"/>
  <c r="AS114" i="3"/>
  <c r="AO114" i="3"/>
  <c r="AZ114" i="3"/>
  <c r="AN114" i="3"/>
  <c r="AY114" i="3"/>
  <c r="AX114" i="3"/>
  <c r="AW114" i="3"/>
  <c r="AR123" i="3"/>
  <c r="AI124" i="3"/>
  <c r="AI125" i="3" s="1"/>
  <c r="AP123" i="3"/>
  <c r="AJ129" i="3"/>
  <c r="O139" i="3"/>
  <c r="AT143" i="3"/>
  <c r="AS143" i="3"/>
  <c r="AR143" i="3"/>
  <c r="AI144" i="3"/>
  <c r="AI145" i="3" s="1"/>
  <c r="AP143" i="3"/>
  <c r="AO143" i="3"/>
  <c r="AZ143" i="3"/>
  <c r="AY143" i="3"/>
  <c r="AX143" i="3"/>
  <c r="AK151" i="3"/>
  <c r="AP170" i="3"/>
  <c r="AV182" i="3"/>
  <c r="AC188" i="3"/>
  <c r="AC189" i="3" s="1"/>
  <c r="AS151" i="3"/>
  <c r="AT11" i="3"/>
  <c r="AU30" i="3"/>
  <c r="AH133" i="3"/>
  <c r="AR10" i="3"/>
  <c r="V908" i="3"/>
  <c r="V919" i="3" s="1"/>
  <c r="V892" i="3"/>
  <c r="AU11" i="3"/>
  <c r="AL14" i="3"/>
  <c r="AQ15" i="3"/>
  <c r="AO15" i="3"/>
  <c r="T897" i="3"/>
  <c r="T905" i="3" s="1"/>
  <c r="T887" i="3"/>
  <c r="AU887" i="3" s="1"/>
  <c r="X898" i="3"/>
  <c r="X906" i="3" s="1"/>
  <c r="X888" i="3"/>
  <c r="AY888" i="3" s="1"/>
  <c r="AR18" i="3"/>
  <c r="V900" i="3"/>
  <c r="AU19" i="3"/>
  <c r="AS10" i="3"/>
  <c r="W908" i="3"/>
  <c r="W919" i="3" s="1"/>
  <c r="W892" i="3"/>
  <c r="AJ11" i="3"/>
  <c r="AV11" i="3"/>
  <c r="AM14" i="3"/>
  <c r="AY14" i="3"/>
  <c r="AD15" i="3"/>
  <c r="AP15" i="3"/>
  <c r="U897" i="3"/>
  <c r="U905" i="3" s="1"/>
  <c r="U887" i="3"/>
  <c r="AV887" i="3" s="1"/>
  <c r="M898" i="3"/>
  <c r="M906" i="3" s="1"/>
  <c r="M888" i="3"/>
  <c r="AP888" i="3" s="1"/>
  <c r="Y898" i="3"/>
  <c r="Y906" i="3" s="1"/>
  <c r="Y888" i="3"/>
  <c r="AZ888" i="3" s="1"/>
  <c r="AS18" i="3"/>
  <c r="W900" i="3"/>
  <c r="AJ19" i="3"/>
  <c r="AV19" i="3"/>
  <c r="R901" i="3"/>
  <c r="AK22" i="3"/>
  <c r="AW22" i="3"/>
  <c r="AZ23" i="3"/>
  <c r="AQ26" i="3"/>
  <c r="AK30" i="3"/>
  <c r="AW30" i="3"/>
  <c r="AZ31" i="3"/>
  <c r="AQ34" i="3"/>
  <c r="AT35" i="3"/>
  <c r="AK38" i="3"/>
  <c r="AW38" i="3"/>
  <c r="AQ42" i="3"/>
  <c r="AT43" i="3"/>
  <c r="AT47" i="3"/>
  <c r="AO50" i="3"/>
  <c r="AR50" i="3"/>
  <c r="AK51" i="3"/>
  <c r="AJ54" i="3"/>
  <c r="AW54" i="3"/>
  <c r="AO55" i="3"/>
  <c r="AI56" i="3"/>
  <c r="AI57" i="3" s="1"/>
  <c r="AY58" i="3"/>
  <c r="AR59" i="3"/>
  <c r="AQ59" i="3"/>
  <c r="K60" i="3"/>
  <c r="AS62" i="3"/>
  <c r="AD63" i="3"/>
  <c r="AS74" i="3"/>
  <c r="AJ75" i="3"/>
  <c r="AP82" i="3"/>
  <c r="AH84" i="3"/>
  <c r="AJ83" i="3"/>
  <c r="O91" i="3"/>
  <c r="AX94" i="3"/>
  <c r="N99" i="3"/>
  <c r="N100" i="3"/>
  <c r="AV102" i="3"/>
  <c r="AT106" i="3"/>
  <c r="AS123" i="3"/>
  <c r="AQ131" i="3"/>
  <c r="N135" i="3"/>
  <c r="T135" i="3"/>
  <c r="AU135" i="3" s="1"/>
  <c r="AP139" i="3"/>
  <c r="AD139" i="3"/>
  <c r="AO139" i="3"/>
  <c r="AZ139" i="3"/>
  <c r="AY139" i="3"/>
  <c r="AX139" i="3"/>
  <c r="AW139" i="3"/>
  <c r="AV139" i="3"/>
  <c r="AU139" i="3"/>
  <c r="AT139" i="3"/>
  <c r="AH141" i="3"/>
  <c r="AV151" i="3"/>
  <c r="AP178" i="3"/>
  <c r="AQ38" i="3"/>
  <c r="AQ19" i="3"/>
  <c r="AR38" i="3"/>
  <c r="U908" i="3"/>
  <c r="U919" i="3" s="1"/>
  <c r="U892" i="3"/>
  <c r="AR47" i="3"/>
  <c r="AK19" i="3"/>
  <c r="AW19" i="3"/>
  <c r="AX22" i="3"/>
  <c r="AO23" i="3"/>
  <c r="AX30" i="3"/>
  <c r="AO31" i="3"/>
  <c r="AU35" i="3"/>
  <c r="AX38" i="3"/>
  <c r="AO39" i="3"/>
  <c r="AU43" i="3"/>
  <c r="AU47" i="3"/>
  <c r="AJ49" i="3"/>
  <c r="S51" i="3"/>
  <c r="AK54" i="3"/>
  <c r="AX54" i="3"/>
  <c r="AP55" i="3"/>
  <c r="AS63" i="3"/>
  <c r="AP66" i="3"/>
  <c r="AD66" i="3"/>
  <c r="AO66" i="3"/>
  <c r="AY66" i="3"/>
  <c r="AX66" i="3"/>
  <c r="AU66" i="3"/>
  <c r="AS67" i="3"/>
  <c r="AR67" i="3"/>
  <c r="AP67" i="3"/>
  <c r="AD67" i="3"/>
  <c r="AO67" i="3"/>
  <c r="AU67" i="3"/>
  <c r="AO71" i="3"/>
  <c r="AT74" i="3"/>
  <c r="AK75" i="3"/>
  <c r="AV78" i="3"/>
  <c r="AU78" i="3"/>
  <c r="AT78" i="3"/>
  <c r="AS78" i="3"/>
  <c r="AR78" i="3"/>
  <c r="AP78" i="3"/>
  <c r="AD78" i="3"/>
  <c r="AX78" i="3"/>
  <c r="AK79" i="3"/>
  <c r="AJ79" i="3"/>
  <c r="AH80" i="3"/>
  <c r="O83" i="3"/>
  <c r="AM90" i="3"/>
  <c r="AL90" i="3"/>
  <c r="AK90" i="3"/>
  <c r="AJ90" i="3"/>
  <c r="AH92" i="3"/>
  <c r="AJ91" i="3"/>
  <c r="AO95" i="3"/>
  <c r="AU106" i="3"/>
  <c r="N111" i="3"/>
  <c r="N112" i="3"/>
  <c r="AR131" i="3"/>
  <c r="AP147" i="3"/>
  <c r="AP150" i="3"/>
  <c r="O173" i="3"/>
  <c r="K173" i="3" s="1"/>
  <c r="AB230" i="3"/>
  <c r="BB230" i="3"/>
  <c r="O235" i="3"/>
  <c r="Q892" i="3"/>
  <c r="Q908" i="3"/>
  <c r="Q919" i="3" s="1"/>
  <c r="AV55" i="3"/>
  <c r="AQ10" i="3"/>
  <c r="AT19" i="3"/>
  <c r="AU22" i="3"/>
  <c r="AU94" i="3"/>
  <c r="X243" i="3"/>
  <c r="O245" i="3"/>
  <c r="K245" i="3" s="1"/>
  <c r="V897" i="3"/>
  <c r="V905" i="3" s="1"/>
  <c r="V887" i="3"/>
  <c r="AW887" i="3" s="1"/>
  <c r="AT18" i="3"/>
  <c r="X900" i="3"/>
  <c r="AU10" i="3"/>
  <c r="M908" i="3"/>
  <c r="M919" i="3" s="1"/>
  <c r="M892" i="3"/>
  <c r="Y908" i="3"/>
  <c r="Y919" i="3" s="1"/>
  <c r="Y892" i="3"/>
  <c r="AX11" i="3"/>
  <c r="AO14" i="3"/>
  <c r="W897" i="3"/>
  <c r="W905" i="3" s="1"/>
  <c r="W887" i="3"/>
  <c r="AX887" i="3" s="1"/>
  <c r="AU18" i="3"/>
  <c r="M900" i="3"/>
  <c r="Y900" i="3"/>
  <c r="AX19" i="3"/>
  <c r="AY22" i="3"/>
  <c r="AD23" i="3"/>
  <c r="AP23" i="3"/>
  <c r="AY30" i="3"/>
  <c r="AD31" i="3"/>
  <c r="AP31" i="3"/>
  <c r="AY38" i="3"/>
  <c r="AD39" i="3"/>
  <c r="AP39" i="3"/>
  <c r="AH40" i="3"/>
  <c r="AQ46" i="3"/>
  <c r="AV47" i="3"/>
  <c r="AT50" i="3"/>
  <c r="AL54" i="3"/>
  <c r="AY54" i="3"/>
  <c r="AD55" i="3"/>
  <c r="AN58" i="3"/>
  <c r="AT59" i="3"/>
  <c r="AW62" i="3"/>
  <c r="AV66" i="3"/>
  <c r="AV67" i="3"/>
  <c r="AL70" i="3"/>
  <c r="AY78" i="3"/>
  <c r="AR82" i="3"/>
  <c r="AK83" i="3"/>
  <c r="AN86" i="3"/>
  <c r="AQ94" i="3"/>
  <c r="AP99" i="3"/>
  <c r="AD99" i="3"/>
  <c r="AO99" i="3"/>
  <c r="AU114" i="3"/>
  <c r="AD123" i="3"/>
  <c r="AC124" i="3"/>
  <c r="AC125" i="3" s="1"/>
  <c r="O125" i="3"/>
  <c r="K125" i="3" s="1"/>
  <c r="AS131" i="3"/>
  <c r="V135" i="3"/>
  <c r="AW135" i="3" s="1"/>
  <c r="AJ140" i="3"/>
  <c r="AU143" i="3"/>
  <c r="AQ147" i="3"/>
  <c r="O149" i="3"/>
  <c r="K149" i="3" s="1"/>
  <c r="AQ150" i="3"/>
  <c r="AX151" i="3"/>
  <c r="AW179" i="3"/>
  <c r="AV179" i="3"/>
  <c r="AU179" i="3"/>
  <c r="AR179" i="3"/>
  <c r="AS179" i="3"/>
  <c r="AD179" i="3"/>
  <c r="AQ179" i="3"/>
  <c r="AP179" i="3"/>
  <c r="AO179" i="3"/>
  <c r="AZ179" i="3"/>
  <c r="AJ180" i="3"/>
  <c r="AH181" i="3"/>
  <c r="O197" i="3"/>
  <c r="K197" i="3" s="1"/>
  <c r="AY71" i="3"/>
  <c r="AX71" i="3"/>
  <c r="AV71" i="3"/>
  <c r="AU71" i="3"/>
  <c r="AS71" i="3"/>
  <c r="AH113" i="3"/>
  <c r="R908" i="3"/>
  <c r="R919" i="3" s="1"/>
  <c r="R892" i="3"/>
  <c r="T888" i="3"/>
  <c r="AU888" i="3" s="1"/>
  <c r="T898" i="3"/>
  <c r="T906" i="3" s="1"/>
  <c r="AU23" i="3"/>
  <c r="AR30" i="3"/>
  <c r="O909" i="3"/>
  <c r="O920" i="3" s="1"/>
  <c r="O893" i="3"/>
  <c r="U900" i="3"/>
  <c r="AX31" i="3"/>
  <c r="BB98" i="3"/>
  <c r="AS106" i="3"/>
  <c r="AO106" i="3"/>
  <c r="AZ106" i="3"/>
  <c r="AN106" i="3"/>
  <c r="AY106" i="3"/>
  <c r="AX106" i="3"/>
  <c r="AW106" i="3"/>
  <c r="AM114" i="3"/>
  <c r="AL114" i="3"/>
  <c r="AK114" i="3"/>
  <c r="AM202" i="3"/>
  <c r="AL202" i="3"/>
  <c r="AK202" i="3"/>
  <c r="AJ202" i="3"/>
  <c r="AW11" i="3"/>
  <c r="AJ10" i="3"/>
  <c r="AY11" i="3"/>
  <c r="X887" i="3"/>
  <c r="AY887" i="3" s="1"/>
  <c r="X897" i="3"/>
  <c r="X905" i="3" s="1"/>
  <c r="AY19" i="3"/>
  <c r="AN22" i="3"/>
  <c r="AZ22" i="3"/>
  <c r="AQ23" i="3"/>
  <c r="AI24" i="3"/>
  <c r="AI25" i="3" s="1"/>
  <c r="AK27" i="3"/>
  <c r="AN30" i="3"/>
  <c r="AZ30" i="3"/>
  <c r="AQ31" i="3"/>
  <c r="AK35" i="3"/>
  <c r="AW35" i="3"/>
  <c r="AN38" i="3"/>
  <c r="AZ38" i="3"/>
  <c r="AQ39" i="3"/>
  <c r="AK43" i="3"/>
  <c r="AW43" i="3"/>
  <c r="AJ47" i="3"/>
  <c r="AW47" i="3"/>
  <c r="O53" i="3"/>
  <c r="K53" i="3" s="1"/>
  <c r="AZ54" i="3"/>
  <c r="AX55" i="3"/>
  <c r="AR55" i="3"/>
  <c r="AW66" i="3"/>
  <c r="AW67" i="3"/>
  <c r="AQ71" i="3"/>
  <c r="AP74" i="3"/>
  <c r="AD74" i="3"/>
  <c r="AO74" i="3"/>
  <c r="AY74" i="3"/>
  <c r="AX74" i="3"/>
  <c r="AV74" i="3"/>
  <c r="AW74" i="3"/>
  <c r="AZ78" i="3"/>
  <c r="AR83" i="3"/>
  <c r="AU86" i="3"/>
  <c r="AK91" i="3"/>
  <c r="N103" i="3"/>
  <c r="AZ107" i="3"/>
  <c r="AP111" i="3"/>
  <c r="AD111" i="3"/>
  <c r="AO111" i="3"/>
  <c r="AV114" i="3"/>
  <c r="AR147" i="3"/>
  <c r="AR150" i="3"/>
  <c r="AB166" i="3"/>
  <c r="BB166" i="3"/>
  <c r="AB170" i="3"/>
  <c r="BB170" i="3"/>
  <c r="AZ182" i="3"/>
  <c r="AN182" i="3"/>
  <c r="AY182" i="3"/>
  <c r="AX182" i="3"/>
  <c r="AW182" i="3"/>
  <c r="AU182" i="3"/>
  <c r="AR182" i="3"/>
  <c r="AQ182" i="3"/>
  <c r="AP182" i="3"/>
  <c r="AO182" i="3"/>
  <c r="AB210" i="3"/>
  <c r="BB210" i="3"/>
  <c r="O239" i="3"/>
  <c r="AZ239" i="3"/>
  <c r="AQ30" i="3"/>
  <c r="R900" i="3"/>
  <c r="AS51" i="3"/>
  <c r="S887" i="3"/>
  <c r="AT887" i="3" s="1"/>
  <c r="S897" i="3"/>
  <c r="S905" i="3" s="1"/>
  <c r="W898" i="3"/>
  <c r="W906" i="3" s="1"/>
  <c r="W888" i="3"/>
  <c r="AX888" i="3" s="1"/>
  <c r="AQ18" i="3"/>
  <c r="AT54" i="3"/>
  <c r="AZ90" i="3"/>
  <c r="AN90" i="3"/>
  <c r="AY90" i="3"/>
  <c r="AX90" i="3"/>
  <c r="AW90" i="3"/>
  <c r="AV90" i="3"/>
  <c r="AU90" i="3"/>
  <c r="AS90" i="3"/>
  <c r="AT10" i="3"/>
  <c r="X908" i="3"/>
  <c r="X919" i="3" s="1"/>
  <c r="X892" i="3"/>
  <c r="AV10" i="3"/>
  <c r="N11" i="3"/>
  <c r="T15" i="3"/>
  <c r="AU15" i="3" s="1"/>
  <c r="AS15" i="3"/>
  <c r="L887" i="3"/>
  <c r="AO887" i="3" s="1"/>
  <c r="L897" i="3"/>
  <c r="L905" i="3" s="1"/>
  <c r="AJ18" i="3"/>
  <c r="AV18" i="3"/>
  <c r="AK10" i="3"/>
  <c r="AW10" i="3"/>
  <c r="AZ11" i="3"/>
  <c r="M897" i="3"/>
  <c r="M905" i="3" s="1"/>
  <c r="M887" i="3"/>
  <c r="AP887" i="3" s="1"/>
  <c r="Y887" i="3"/>
  <c r="AZ887" i="3" s="1"/>
  <c r="Y897" i="3"/>
  <c r="Y905" i="3" s="1"/>
  <c r="Q898" i="3"/>
  <c r="Q906" i="3" s="1"/>
  <c r="Q888" i="3"/>
  <c r="AR888" i="3" s="1"/>
  <c r="AK18" i="3"/>
  <c r="AW18" i="3"/>
  <c r="AZ19" i="3"/>
  <c r="AO22" i="3"/>
  <c r="AR23" i="3"/>
  <c r="AL27" i="3"/>
  <c r="AO30" i="3"/>
  <c r="AR31" i="3"/>
  <c r="AL35" i="3"/>
  <c r="AX35" i="3"/>
  <c r="AO38" i="3"/>
  <c r="AR39" i="3"/>
  <c r="AL43" i="3"/>
  <c r="AX43" i="3"/>
  <c r="AK47" i="3"/>
  <c r="AY47" i="3"/>
  <c r="AO51" i="3"/>
  <c r="AB54" i="3"/>
  <c r="AN54" i="3"/>
  <c r="AS55" i="3"/>
  <c r="AD58" i="3"/>
  <c r="AQ58" i="3"/>
  <c r="AY62" i="3"/>
  <c r="AM66" i="3"/>
  <c r="AL66" i="3"/>
  <c r="AZ66" i="3"/>
  <c r="AJ68" i="3"/>
  <c r="AX67" i="3"/>
  <c r="AH69" i="3"/>
  <c r="AR71" i="3"/>
  <c r="AZ74" i="3"/>
  <c r="AQ75" i="3"/>
  <c r="AO79" i="3"/>
  <c r="AD82" i="3"/>
  <c r="AS83" i="3"/>
  <c r="AV86" i="3"/>
  <c r="AP90" i="3"/>
  <c r="O95" i="3"/>
  <c r="O104" i="3"/>
  <c r="K104" i="3" s="1"/>
  <c r="K105" i="3"/>
  <c r="AZ115" i="3"/>
  <c r="AO122" i="3"/>
  <c r="AZ122" i="3"/>
  <c r="AN122" i="3"/>
  <c r="AY122" i="3"/>
  <c r="AX122" i="3"/>
  <c r="AW122" i="3"/>
  <c r="AV122" i="3"/>
  <c r="AU122" i="3"/>
  <c r="AT122" i="3"/>
  <c r="AS122" i="3"/>
  <c r="AM134" i="3"/>
  <c r="AL134" i="3"/>
  <c r="AK134" i="3"/>
  <c r="AW143" i="3"/>
  <c r="AW170" i="3"/>
  <c r="AU170" i="3"/>
  <c r="AO170" i="3"/>
  <c r="AN170" i="3"/>
  <c r="AZ170" i="3"/>
  <c r="AY170" i="3"/>
  <c r="AX170" i="3"/>
  <c r="AV170" i="3"/>
  <c r="AT170" i="3"/>
  <c r="AS170" i="3"/>
  <c r="AV178" i="3"/>
  <c r="AQ178" i="3"/>
  <c r="AN178" i="3"/>
  <c r="AZ178" i="3"/>
  <c r="O179" i="3"/>
  <c r="AH221" i="3"/>
  <c r="AJ220" i="3"/>
  <c r="AQ51" i="3"/>
  <c r="N147" i="3"/>
  <c r="N148" i="3"/>
  <c r="AU38" i="3"/>
  <c r="AH124" i="3"/>
  <c r="AK123" i="3"/>
  <c r="AJ123" i="3"/>
  <c r="P908" i="3"/>
  <c r="P919" i="3" s="1"/>
  <c r="P892" i="3"/>
  <c r="V15" i="3"/>
  <c r="N16" i="3"/>
  <c r="R898" i="3"/>
  <c r="R906" i="3" s="1"/>
  <c r="R888" i="3"/>
  <c r="AS888" i="3" s="1"/>
  <c r="AD22" i="3"/>
  <c r="AD30" i="3"/>
  <c r="AD38" i="3"/>
  <c r="AZ47" i="3"/>
  <c r="AD51" i="3"/>
  <c r="AP51" i="3"/>
  <c r="AO54" i="3"/>
  <c r="AT55" i="3"/>
  <c r="AR58" i="3"/>
  <c r="AZ62" i="3"/>
  <c r="AY67" i="3"/>
  <c r="AD71" i="3"/>
  <c r="AT71" i="3"/>
  <c r="AH73" i="3"/>
  <c r="AP79" i="3"/>
  <c r="AY82" i="3"/>
  <c r="AX82" i="3"/>
  <c r="AW82" i="3"/>
  <c r="AV82" i="3"/>
  <c r="AU82" i="3"/>
  <c r="AS82" i="3"/>
  <c r="AT83" i="3"/>
  <c r="AW86" i="3"/>
  <c r="AK87" i="3"/>
  <c r="AS87" i="3"/>
  <c r="AR87" i="3"/>
  <c r="AP87" i="3"/>
  <c r="AD87" i="3"/>
  <c r="AQ90" i="3"/>
  <c r="AM94" i="3"/>
  <c r="AK94" i="3"/>
  <c r="AJ104" i="3"/>
  <c r="AH105" i="3"/>
  <c r="N124" i="3"/>
  <c r="AS134" i="3"/>
  <c r="AO134" i="3"/>
  <c r="AZ134" i="3"/>
  <c r="AN134" i="3"/>
  <c r="AX134" i="3"/>
  <c r="AW134" i="3"/>
  <c r="AH137" i="3"/>
  <c r="AQ139" i="3"/>
  <c r="AD151" i="3"/>
  <c r="AC152" i="3"/>
  <c r="AC153" i="3" s="1"/>
  <c r="O152" i="3"/>
  <c r="K152" i="3" s="1"/>
  <c r="AI176" i="3"/>
  <c r="AI177" i="3" s="1"/>
  <c r="AW175" i="3"/>
  <c r="AV175" i="3"/>
  <c r="AU175" i="3"/>
  <c r="AP175" i="3"/>
  <c r="AO175" i="3"/>
  <c r="AI220" i="3"/>
  <c r="AI221" i="3" s="1"/>
  <c r="AR219" i="3"/>
  <c r="AY86" i="3"/>
  <c r="AH88" i="3"/>
  <c r="AV91" i="3"/>
  <c r="AZ95" i="3"/>
  <c r="AQ98" i="3"/>
  <c r="AZ103" i="3"/>
  <c r="AQ110" i="3"/>
  <c r="AY118" i="3"/>
  <c r="AD119" i="3"/>
  <c r="AP119" i="3"/>
  <c r="AH120" i="3"/>
  <c r="O124" i="3"/>
  <c r="AY126" i="3"/>
  <c r="AD127" i="3"/>
  <c r="AP127" i="3"/>
  <c r="AQ130" i="3"/>
  <c r="AQ138" i="3"/>
  <c r="O140" i="3"/>
  <c r="K140" i="3" s="1"/>
  <c r="AH145" i="3"/>
  <c r="AD171" i="3"/>
  <c r="AP171" i="3"/>
  <c r="AK179" i="3"/>
  <c r="AJ179" i="3"/>
  <c r="N195" i="3"/>
  <c r="U195" i="3"/>
  <c r="AV195" i="3" s="1"/>
  <c r="AP199" i="3"/>
  <c r="AD199" i="3"/>
  <c r="AO199" i="3"/>
  <c r="AZ199" i="3"/>
  <c r="AY199" i="3"/>
  <c r="AX199" i="3"/>
  <c r="AW199" i="3"/>
  <c r="AV199" i="3"/>
  <c r="AT199" i="3"/>
  <c r="AS199" i="3"/>
  <c r="O203" i="3"/>
  <c r="O209" i="3"/>
  <c r="K209" i="3" s="1"/>
  <c r="AQ210" i="3"/>
  <c r="K212" i="3"/>
  <c r="N215" i="3"/>
  <c r="AZ223" i="3"/>
  <c r="AQ223" i="3"/>
  <c r="AD223" i="3"/>
  <c r="AP223" i="3"/>
  <c r="AO223" i="3"/>
  <c r="AY223" i="3"/>
  <c r="AX223" i="3"/>
  <c r="AW223" i="3"/>
  <c r="AU223" i="3"/>
  <c r="AT223" i="3"/>
  <c r="AQ119" i="3"/>
  <c r="AQ127" i="3"/>
  <c r="AS171" i="3"/>
  <c r="AS207" i="3"/>
  <c r="AR207" i="3"/>
  <c r="AP207" i="3"/>
  <c r="AD207" i="3"/>
  <c r="AO207" i="3"/>
  <c r="AC228" i="3"/>
  <c r="AC229" i="3" s="1"/>
  <c r="AD227" i="3"/>
  <c r="AX235" i="3"/>
  <c r="AW235" i="3"/>
  <c r="AS235" i="3"/>
  <c r="AO235" i="3"/>
  <c r="AZ235" i="3"/>
  <c r="AY235" i="3"/>
  <c r="AV235" i="3"/>
  <c r="AT235" i="3"/>
  <c r="AD235" i="3"/>
  <c r="AR235" i="3"/>
  <c r="P901" i="3"/>
  <c r="AO86" i="3"/>
  <c r="AX91" i="3"/>
  <c r="AY94" i="3"/>
  <c r="AD95" i="3"/>
  <c r="AP95" i="3"/>
  <c r="AS98" i="3"/>
  <c r="AJ99" i="3"/>
  <c r="AY102" i="3"/>
  <c r="O103" i="3"/>
  <c r="AD103" i="3"/>
  <c r="AP103" i="3"/>
  <c r="AD107" i="3"/>
  <c r="AP107" i="3"/>
  <c r="AS110" i="3"/>
  <c r="AJ111" i="3"/>
  <c r="O112" i="3"/>
  <c r="AD115" i="3"/>
  <c r="AP115" i="3"/>
  <c r="AO118" i="3"/>
  <c r="AR119" i="3"/>
  <c r="AO126" i="3"/>
  <c r="AR127" i="3"/>
  <c r="AS130" i="3"/>
  <c r="AJ131" i="3"/>
  <c r="AY134" i="3"/>
  <c r="AD135" i="3"/>
  <c r="AP135" i="3"/>
  <c r="AS138" i="3"/>
  <c r="AJ139" i="3"/>
  <c r="AW142" i="3"/>
  <c r="AQ146" i="3"/>
  <c r="AK147" i="3"/>
  <c r="AW166" i="3"/>
  <c r="AD167" i="3"/>
  <c r="AQ174" i="3"/>
  <c r="AT174" i="3"/>
  <c r="AM182" i="3"/>
  <c r="AL182" i="3"/>
  <c r="AK182" i="3"/>
  <c r="AQ183" i="3"/>
  <c r="AH201" i="3"/>
  <c r="AJ200" i="3"/>
  <c r="O208" i="3"/>
  <c r="O215" i="3"/>
  <c r="AD86" i="3"/>
  <c r="AP86" i="3"/>
  <c r="AY91" i="3"/>
  <c r="AQ95" i="3"/>
  <c r="AI96" i="3"/>
  <c r="AI97" i="3" s="1"/>
  <c r="AT98" i="3"/>
  <c r="AK99" i="3"/>
  <c r="AQ103" i="3"/>
  <c r="AQ107" i="3"/>
  <c r="AT110" i="3"/>
  <c r="AK111" i="3"/>
  <c r="AQ115" i="3"/>
  <c r="AD118" i="3"/>
  <c r="AP118" i="3"/>
  <c r="AS119" i="3"/>
  <c r="AJ122" i="3"/>
  <c r="AD126" i="3"/>
  <c r="AP126" i="3"/>
  <c r="AS127" i="3"/>
  <c r="AJ128" i="3"/>
  <c r="AT130" i="3"/>
  <c r="AK131" i="3"/>
  <c r="AT138" i="3"/>
  <c r="AK139" i="3"/>
  <c r="AX142" i="3"/>
  <c r="AJ166" i="3"/>
  <c r="AT167" i="3"/>
  <c r="AR167" i="3"/>
  <c r="AQ167" i="3"/>
  <c r="AU174" i="3"/>
  <c r="K176" i="3"/>
  <c r="AR211" i="3"/>
  <c r="AH225" i="3"/>
  <c r="O227" i="3"/>
  <c r="AR231" i="3"/>
  <c r="AP231" i="3"/>
  <c r="AO231" i="3"/>
  <c r="AB294" i="3"/>
  <c r="N341" i="3"/>
  <c r="AQ86" i="3"/>
  <c r="AZ91" i="3"/>
  <c r="AR95" i="3"/>
  <c r="AR103" i="3"/>
  <c r="AQ118" i="3"/>
  <c r="AT119" i="3"/>
  <c r="AK122" i="3"/>
  <c r="AQ126" i="3"/>
  <c r="AT127" i="3"/>
  <c r="AK166" i="3"/>
  <c r="AH172" i="3"/>
  <c r="AJ236" i="3"/>
  <c r="AH237" i="3"/>
  <c r="AK242" i="3"/>
  <c r="AJ242" i="3"/>
  <c r="AM242" i="3"/>
  <c r="AL242" i="3"/>
  <c r="AK271" i="3"/>
  <c r="AH272" i="3"/>
  <c r="AJ271" i="3"/>
  <c r="AR86" i="3"/>
  <c r="AO91" i="3"/>
  <c r="AD94" i="3"/>
  <c r="AP94" i="3"/>
  <c r="AS95" i="3"/>
  <c r="AJ98" i="3"/>
  <c r="AV98" i="3"/>
  <c r="AD102" i="3"/>
  <c r="AP102" i="3"/>
  <c r="AS103" i="3"/>
  <c r="AD106" i="3"/>
  <c r="AP106" i="3"/>
  <c r="AS107" i="3"/>
  <c r="AJ110" i="3"/>
  <c r="AV110" i="3"/>
  <c r="AD114" i="3"/>
  <c r="AP114" i="3"/>
  <c r="AS115" i="3"/>
  <c r="AR118" i="3"/>
  <c r="AU119" i="3"/>
  <c r="AL122" i="3"/>
  <c r="AO123" i="3"/>
  <c r="AR126" i="3"/>
  <c r="AU127" i="3"/>
  <c r="AJ130" i="3"/>
  <c r="AV130" i="3"/>
  <c r="AD134" i="3"/>
  <c r="AP134" i="3"/>
  <c r="AS135" i="3"/>
  <c r="AJ138" i="3"/>
  <c r="AV138" i="3"/>
  <c r="AN142" i="3"/>
  <c r="AZ142" i="3"/>
  <c r="AT146" i="3"/>
  <c r="AL147" i="3"/>
  <c r="AK150" i="3"/>
  <c r="AR151" i="3"/>
  <c r="AQ151" i="3"/>
  <c r="AL166" i="3"/>
  <c r="AZ166" i="3"/>
  <c r="AU167" i="3"/>
  <c r="AL170" i="3"/>
  <c r="AT175" i="3"/>
  <c r="AS175" i="3"/>
  <c r="AR175" i="3"/>
  <c r="N183" i="3"/>
  <c r="AH184" i="3"/>
  <c r="AL183" i="3"/>
  <c r="AT186" i="3"/>
  <c r="AC196" i="3"/>
  <c r="AC197" i="3" s="1"/>
  <c r="AQ199" i="3"/>
  <c r="N219" i="3"/>
  <c r="AR223" i="3"/>
  <c r="AR226" i="3"/>
  <c r="AZ226" i="3"/>
  <c r="AN226" i="3"/>
  <c r="AP226" i="3"/>
  <c r="AO226" i="3"/>
  <c r="AY226" i="3"/>
  <c r="AX226" i="3"/>
  <c r="AW226" i="3"/>
  <c r="AU226" i="3"/>
  <c r="AT226" i="3"/>
  <c r="U231" i="3"/>
  <c r="AX242" i="3"/>
  <c r="AU242" i="3"/>
  <c r="AT242" i="3"/>
  <c r="AQ242" i="3"/>
  <c r="AQ262" i="3"/>
  <c r="AZ262" i="3"/>
  <c r="AD91" i="3"/>
  <c r="AP91" i="3"/>
  <c r="AI104" i="3"/>
  <c r="AI105" i="3" s="1"/>
  <c r="P902" i="3"/>
  <c r="AQ106" i="3"/>
  <c r="AT107" i="3"/>
  <c r="AK110" i="3"/>
  <c r="AW110" i="3"/>
  <c r="AQ114" i="3"/>
  <c r="AT115" i="3"/>
  <c r="AS118" i="3"/>
  <c r="AJ119" i="3"/>
  <c r="AV119" i="3"/>
  <c r="AS126" i="3"/>
  <c r="AJ127" i="3"/>
  <c r="AV127" i="3"/>
  <c r="AK130" i="3"/>
  <c r="AW130" i="3"/>
  <c r="AQ134" i="3"/>
  <c r="AK138" i="3"/>
  <c r="AW138" i="3"/>
  <c r="AO142" i="3"/>
  <c r="AJ144" i="3"/>
  <c r="AU146" i="3"/>
  <c r="AH148" i="3"/>
  <c r="AL150" i="3"/>
  <c r="AV167" i="3"/>
  <c r="AJ171" i="3"/>
  <c r="AP174" i="3"/>
  <c r="AO174" i="3"/>
  <c r="AX174" i="3"/>
  <c r="AI184" i="3"/>
  <c r="AI185" i="3" s="1"/>
  <c r="AP183" i="3"/>
  <c r="AM194" i="3"/>
  <c r="AK194" i="3"/>
  <c r="AJ194" i="3"/>
  <c r="AR199" i="3"/>
  <c r="AO210" i="3"/>
  <c r="AZ210" i="3"/>
  <c r="AN210" i="3"/>
  <c r="AY210" i="3"/>
  <c r="AX210" i="3"/>
  <c r="AW210" i="3"/>
  <c r="AV210" i="3"/>
  <c r="AU210" i="3"/>
  <c r="AS210" i="3"/>
  <c r="AR210" i="3"/>
  <c r="AH212" i="3"/>
  <c r="AJ211" i="3"/>
  <c r="AM214" i="3"/>
  <c r="AK214" i="3"/>
  <c r="AJ214" i="3"/>
  <c r="AS223" i="3"/>
  <c r="AK231" i="3"/>
  <c r="AJ231" i="3"/>
  <c r="AH232" i="3"/>
  <c r="AP235" i="3"/>
  <c r="AU107" i="3"/>
  <c r="AL110" i="3"/>
  <c r="AX110" i="3"/>
  <c r="AU115" i="3"/>
  <c r="AT118" i="3"/>
  <c r="AK119" i="3"/>
  <c r="AW119" i="3"/>
  <c r="AT126" i="3"/>
  <c r="AK127" i="3"/>
  <c r="AW127" i="3"/>
  <c r="AL130" i="3"/>
  <c r="AX130" i="3"/>
  <c r="AL138" i="3"/>
  <c r="AX138" i="3"/>
  <c r="AD142" i="3"/>
  <c r="AP142" i="3"/>
  <c r="AN166" i="3"/>
  <c r="AW167" i="3"/>
  <c r="AK171" i="3"/>
  <c r="AY174" i="3"/>
  <c r="AT178" i="3"/>
  <c r="AS178" i="3"/>
  <c r="AR178" i="3"/>
  <c r="AO178" i="3"/>
  <c r="AU178" i="3"/>
  <c r="AP191" i="3"/>
  <c r="AD191" i="3"/>
  <c r="AO191" i="3"/>
  <c r="AZ191" i="3"/>
  <c r="AY191" i="3"/>
  <c r="AX191" i="3"/>
  <c r="AW191" i="3"/>
  <c r="AV191" i="3"/>
  <c r="AT191" i="3"/>
  <c r="AS191" i="3"/>
  <c r="AR194" i="3"/>
  <c r="AP194" i="3"/>
  <c r="AO194" i="3"/>
  <c r="AZ194" i="3"/>
  <c r="AN194" i="3"/>
  <c r="AY194" i="3"/>
  <c r="AW194" i="3"/>
  <c r="AV194" i="3"/>
  <c r="AU199" i="3"/>
  <c r="W207" i="3"/>
  <c r="AO211" i="3"/>
  <c r="AP214" i="3"/>
  <c r="AO214" i="3"/>
  <c r="AZ214" i="3"/>
  <c r="AN214" i="3"/>
  <c r="AY214" i="3"/>
  <c r="AW214" i="3"/>
  <c r="AV214" i="3"/>
  <c r="AP219" i="3"/>
  <c r="AD219" i="3"/>
  <c r="AO219" i="3"/>
  <c r="AS219" i="3"/>
  <c r="AV223" i="3"/>
  <c r="AQ235" i="3"/>
  <c r="AO338" i="3"/>
  <c r="AP338" i="3"/>
  <c r="AN338" i="3"/>
  <c r="AZ338" i="3"/>
  <c r="AY338" i="3"/>
  <c r="AX338" i="3"/>
  <c r="AW338" i="3"/>
  <c r="AU338" i="3"/>
  <c r="AT338" i="3"/>
  <c r="AS338" i="3"/>
  <c r="AD338" i="3"/>
  <c r="AV338" i="3"/>
  <c r="AR338" i="3"/>
  <c r="AQ338" i="3"/>
  <c r="AZ174" i="3"/>
  <c r="AK183" i="3"/>
  <c r="AL194" i="3"/>
  <c r="AR195" i="3"/>
  <c r="AO202" i="3"/>
  <c r="AZ202" i="3"/>
  <c r="AN202" i="3"/>
  <c r="AY202" i="3"/>
  <c r="AX202" i="3"/>
  <c r="AW202" i="3"/>
  <c r="AV202" i="3"/>
  <c r="AU202" i="3"/>
  <c r="AS202" i="3"/>
  <c r="AR202" i="3"/>
  <c r="AQ207" i="3"/>
  <c r="AK211" i="3"/>
  <c r="AL214" i="3"/>
  <c r="AO215" i="3"/>
  <c r="K224" i="3"/>
  <c r="AM226" i="3"/>
  <c r="AL226" i="3"/>
  <c r="AK226" i="3"/>
  <c r="AJ226" i="3"/>
  <c r="AS231" i="3"/>
  <c r="X231" i="3"/>
  <c r="AY231" i="3" s="1"/>
  <c r="AU235" i="3"/>
  <c r="AU203" i="3"/>
  <c r="AU211" i="3"/>
  <c r="AD218" i="3"/>
  <c r="AP218" i="3"/>
  <c r="AO230" i="3"/>
  <c r="AV230" i="3"/>
  <c r="AR230" i="3"/>
  <c r="AT230" i="3"/>
  <c r="AJ243" i="3"/>
  <c r="AH244" i="3"/>
  <c r="AH269" i="3"/>
  <c r="AJ268" i="3"/>
  <c r="AR295" i="3"/>
  <c r="AD331" i="3"/>
  <c r="AC332" i="3"/>
  <c r="AC333" i="3" s="1"/>
  <c r="AQ190" i="3"/>
  <c r="AQ198" i="3"/>
  <c r="AQ218" i="3"/>
  <c r="AU234" i="3"/>
  <c r="AT234" i="3"/>
  <c r="AP234" i="3"/>
  <c r="AD234" i="3"/>
  <c r="AX234" i="3"/>
  <c r="AS234" i="3"/>
  <c r="AP239" i="3"/>
  <c r="AD239" i="3"/>
  <c r="AO239" i="3"/>
  <c r="AY239" i="3"/>
  <c r="AW239" i="3"/>
  <c r="AT239" i="3"/>
  <c r="AS239" i="3"/>
  <c r="AX239" i="3"/>
  <c r="O244" i="3"/>
  <c r="K244" i="3" s="1"/>
  <c r="AQ187" i="3"/>
  <c r="AH189" i="3"/>
  <c r="AS190" i="3"/>
  <c r="AJ191" i="3"/>
  <c r="AS198" i="3"/>
  <c r="AJ199" i="3"/>
  <c r="AX203" i="3"/>
  <c r="AO206" i="3"/>
  <c r="AJ208" i="3"/>
  <c r="AX211" i="3"/>
  <c r="AS218" i="3"/>
  <c r="AJ219" i="3"/>
  <c r="AP222" i="3"/>
  <c r="AJ223" i="3"/>
  <c r="AX230" i="3"/>
  <c r="AW234" i="3"/>
  <c r="AU247" i="3"/>
  <c r="AO294" i="3"/>
  <c r="AZ294" i="3"/>
  <c r="AN294" i="3"/>
  <c r="AY294" i="3"/>
  <c r="AX294" i="3"/>
  <c r="AW294" i="3"/>
  <c r="AV294" i="3"/>
  <c r="AT294" i="3"/>
  <c r="AS294" i="3"/>
  <c r="AR294" i="3"/>
  <c r="AU294" i="3"/>
  <c r="AQ294" i="3"/>
  <c r="AP294" i="3"/>
  <c r="AH296" i="3"/>
  <c r="AK295" i="3"/>
  <c r="AJ295" i="3"/>
  <c r="AC324" i="3"/>
  <c r="AC325" i="3" s="1"/>
  <c r="AD323" i="3"/>
  <c r="AV350" i="3"/>
  <c r="AZ350" i="3"/>
  <c r="AX350" i="3"/>
  <c r="AO350" i="3"/>
  <c r="O359" i="3"/>
  <c r="AQ359" i="3"/>
  <c r="AO186" i="3"/>
  <c r="AR187" i="3"/>
  <c r="AT190" i="3"/>
  <c r="AK191" i="3"/>
  <c r="AB194" i="3"/>
  <c r="AT198" i="3"/>
  <c r="AK199" i="3"/>
  <c r="AY203" i="3"/>
  <c r="AD206" i="3"/>
  <c r="AP206" i="3"/>
  <c r="AY211" i="3"/>
  <c r="AQ215" i="3"/>
  <c r="AT218" i="3"/>
  <c r="AK219" i="3"/>
  <c r="AD222" i="3"/>
  <c r="AQ222" i="3"/>
  <c r="AK223" i="3"/>
  <c r="AQ227" i="3"/>
  <c r="AY230" i="3"/>
  <c r="N233" i="3"/>
  <c r="AY234" i="3"/>
  <c r="AV247" i="3"/>
  <c r="O297" i="3"/>
  <c r="K297" i="3" s="1"/>
  <c r="O293" i="3"/>
  <c r="K293" i="3" s="1"/>
  <c r="AS187" i="3"/>
  <c r="AU190" i="3"/>
  <c r="AU198" i="3"/>
  <c r="AZ203" i="3"/>
  <c r="AQ206" i="3"/>
  <c r="AZ211" i="3"/>
  <c r="AU218" i="3"/>
  <c r="AR222" i="3"/>
  <c r="AZ230" i="3"/>
  <c r="AZ234" i="3"/>
  <c r="AK235" i="3"/>
  <c r="AY247" i="3"/>
  <c r="AQ186" i="3"/>
  <c r="AT187" i="3"/>
  <c r="AV190" i="3"/>
  <c r="AV198" i="3"/>
  <c r="AO203" i="3"/>
  <c r="AR206" i="3"/>
  <c r="N208" i="3"/>
  <c r="O211" i="3"/>
  <c r="AV218" i="3"/>
  <c r="AS222" i="3"/>
  <c r="AL230" i="3"/>
  <c r="O233" i="3"/>
  <c r="AV246" i="3"/>
  <c r="AS246" i="3"/>
  <c r="AS262" i="3"/>
  <c r="AU286" i="3"/>
  <c r="AR186" i="3"/>
  <c r="AU187" i="3"/>
  <c r="AJ188" i="3"/>
  <c r="AK190" i="3"/>
  <c r="AW190" i="3"/>
  <c r="AQ194" i="3"/>
  <c r="AK198" i="3"/>
  <c r="AW198" i="3"/>
  <c r="AD203" i="3"/>
  <c r="AP203" i="3"/>
  <c r="AS206" i="3"/>
  <c r="AJ207" i="3"/>
  <c r="AD211" i="3"/>
  <c r="AP211" i="3"/>
  <c r="AQ214" i="3"/>
  <c r="AT215" i="3"/>
  <c r="AK218" i="3"/>
  <c r="AW218" i="3"/>
  <c r="AT222" i="3"/>
  <c r="AM230" i="3"/>
  <c r="AJ235" i="3"/>
  <c r="AS242" i="3"/>
  <c r="AR242" i="3"/>
  <c r="AP242" i="3"/>
  <c r="AD242" i="3"/>
  <c r="AZ242" i="3"/>
  <c r="AN242" i="3"/>
  <c r="AW242" i="3"/>
  <c r="AV242" i="3"/>
  <c r="AY242" i="3"/>
  <c r="AP275" i="3"/>
  <c r="AD275" i="3"/>
  <c r="AZ275" i="3"/>
  <c r="AY275" i="3"/>
  <c r="AX275" i="3"/>
  <c r="AU275" i="3"/>
  <c r="AT275" i="3"/>
  <c r="AS275" i="3"/>
  <c r="AO275" i="3"/>
  <c r="AK275" i="3"/>
  <c r="AW275" i="3"/>
  <c r="AV275" i="3"/>
  <c r="AH288" i="3"/>
  <c r="AK287" i="3"/>
  <c r="AJ287" i="3"/>
  <c r="AS186" i="3"/>
  <c r="AJ187" i="3"/>
  <c r="AV187" i="3"/>
  <c r="AL190" i="3"/>
  <c r="AX190" i="3"/>
  <c r="AL198" i="3"/>
  <c r="AX198" i="3"/>
  <c r="AQ203" i="3"/>
  <c r="AT206" i="3"/>
  <c r="AK207" i="3"/>
  <c r="AQ211" i="3"/>
  <c r="AR214" i="3"/>
  <c r="AU215" i="3"/>
  <c r="AL218" i="3"/>
  <c r="AX218" i="3"/>
  <c r="AU222" i="3"/>
  <c r="AU227" i="3"/>
  <c r="AN230" i="3"/>
  <c r="AQ247" i="3"/>
  <c r="K249" i="3"/>
  <c r="AJ325" i="3"/>
  <c r="AV222" i="3"/>
  <c r="AJ227" i="3"/>
  <c r="P910" i="3"/>
  <c r="P921" i="3" s="1"/>
  <c r="P894" i="3"/>
  <c r="O229" i="3"/>
  <c r="K229" i="3" s="1"/>
  <c r="AP230" i="3"/>
  <c r="N231" i="3"/>
  <c r="AN234" i="3"/>
  <c r="AQ239" i="3"/>
  <c r="AQ243" i="3"/>
  <c r="AK263" i="3"/>
  <c r="AH264" i="3"/>
  <c r="AJ263" i="3"/>
  <c r="K272" i="3"/>
  <c r="AS279" i="3"/>
  <c r="AR279" i="3"/>
  <c r="AO279" i="3"/>
  <c r="AM279" i="3"/>
  <c r="AP279" i="3"/>
  <c r="AL279" i="3"/>
  <c r="AK279" i="3"/>
  <c r="AD238" i="3"/>
  <c r="AP238" i="3"/>
  <c r="AD246" i="3"/>
  <c r="AW247" i="3"/>
  <c r="AD267" i="3"/>
  <c r="BB270" i="3"/>
  <c r="AM274" i="3"/>
  <c r="AK274" i="3"/>
  <c r="AJ274" i="3"/>
  <c r="AO283" i="3"/>
  <c r="AY335" i="3"/>
  <c r="O341" i="3"/>
  <c r="O343" i="3"/>
  <c r="AS354" i="3"/>
  <c r="AZ354" i="3"/>
  <c r="AN354" i="3"/>
  <c r="AX354" i="3"/>
  <c r="AY354" i="3"/>
  <c r="AW354" i="3"/>
  <c r="AV354" i="3"/>
  <c r="AU354" i="3"/>
  <c r="AR354" i="3"/>
  <c r="AD354" i="3"/>
  <c r="AQ354" i="3"/>
  <c r="AP354" i="3"/>
  <c r="AQ238" i="3"/>
  <c r="AX246" i="3"/>
  <c r="AQ246" i="3"/>
  <c r="AX247" i="3"/>
  <c r="AS267" i="3"/>
  <c r="AS278" i="3"/>
  <c r="AC292" i="3"/>
  <c r="AC293" i="3" s="1"/>
  <c r="AD291" i="3"/>
  <c r="AH328" i="3"/>
  <c r="AK327" i="3"/>
  <c r="AJ327" i="3"/>
  <c r="AD335" i="3"/>
  <c r="AC336" i="3"/>
  <c r="AC337" i="3" s="1"/>
  <c r="O340" i="3"/>
  <c r="K340" i="3" s="1"/>
  <c r="AO383" i="3"/>
  <c r="N383" i="3"/>
  <c r="AZ247" i="3"/>
  <c r="AN262" i="3"/>
  <c r="AO263" i="3"/>
  <c r="O275" i="3"/>
  <c r="AQ286" i="3"/>
  <c r="W291" i="3"/>
  <c r="AX291" i="3" s="1"/>
  <c r="AO335" i="3"/>
  <c r="N335" i="3"/>
  <c r="AC340" i="3"/>
  <c r="AC341" i="3" s="1"/>
  <c r="AD339" i="3"/>
  <c r="AM351" i="3"/>
  <c r="N376" i="3"/>
  <c r="P909" i="3"/>
  <c r="P920" i="3" s="1"/>
  <c r="P893" i="3"/>
  <c r="AT238" i="3"/>
  <c r="AK239" i="3"/>
  <c r="AI244" i="3"/>
  <c r="AI245" i="3" s="1"/>
  <c r="AT246" i="3"/>
  <c r="AP262" i="3"/>
  <c r="AP263" i="3"/>
  <c r="AR267" i="3"/>
  <c r="AK267" i="3"/>
  <c r="AL278" i="3"/>
  <c r="AK278" i="3"/>
  <c r="AJ278" i="3"/>
  <c r="O280" i="3"/>
  <c r="K280" i="3" s="1"/>
  <c r="O281" i="3"/>
  <c r="K281" i="3" s="1"/>
  <c r="AS363" i="3"/>
  <c r="AR363" i="3"/>
  <c r="AO363" i="3"/>
  <c r="AD363" i="3"/>
  <c r="AQ363" i="3"/>
  <c r="AP363" i="3"/>
  <c r="AI268" i="3"/>
  <c r="AI269" i="3" s="1"/>
  <c r="O269" i="3"/>
  <c r="K269" i="3" s="1"/>
  <c r="O273" i="3"/>
  <c r="K273" i="3" s="1"/>
  <c r="AP278" i="3"/>
  <c r="AW278" i="3"/>
  <c r="AV278" i="3"/>
  <c r="BB286" i="3"/>
  <c r="O332" i="3"/>
  <c r="K332" i="3" s="1"/>
  <c r="O331" i="3"/>
  <c r="AG336" i="3"/>
  <c r="AG337" i="3" s="1"/>
  <c r="AC344" i="3"/>
  <c r="AC345" i="3" s="1"/>
  <c r="AD343" i="3"/>
  <c r="AH348" i="3"/>
  <c r="AK347" i="3"/>
  <c r="AJ347" i="3"/>
  <c r="AI368" i="3"/>
  <c r="AI369" i="3" s="1"/>
  <c r="AU367" i="3"/>
  <c r="AO367" i="3"/>
  <c r="AR375" i="3"/>
  <c r="O380" i="3"/>
  <c r="K380" i="3" s="1"/>
  <c r="AD247" i="3"/>
  <c r="AD262" i="3"/>
  <c r="AD263" i="3"/>
  <c r="AP266" i="3"/>
  <c r="AD266" i="3"/>
  <c r="AZ266" i="3"/>
  <c r="AN266" i="3"/>
  <c r="AX266" i="3"/>
  <c r="AU266" i="3"/>
  <c r="AT266" i="3"/>
  <c r="AV266" i="3"/>
  <c r="O271" i="3"/>
  <c r="AD271" i="3"/>
  <c r="AP283" i="3"/>
  <c r="AD283" i="3"/>
  <c r="AZ283" i="3"/>
  <c r="AY283" i="3"/>
  <c r="AM283" i="3"/>
  <c r="AX283" i="3"/>
  <c r="AW283" i="3"/>
  <c r="AK283" i="3"/>
  <c r="AU283" i="3"/>
  <c r="AT283" i="3"/>
  <c r="AS283" i="3"/>
  <c r="AO286" i="3"/>
  <c r="AZ286" i="3"/>
  <c r="AN286" i="3"/>
  <c r="AY286" i="3"/>
  <c r="AX286" i="3"/>
  <c r="AW286" i="3"/>
  <c r="AV286" i="3"/>
  <c r="AT286" i="3"/>
  <c r="AS286" i="3"/>
  <c r="AR286" i="3"/>
  <c r="AO247" i="3"/>
  <c r="AR247" i="3"/>
  <c r="AV262" i="3"/>
  <c r="AT262" i="3"/>
  <c r="AR262" i="3"/>
  <c r="AO262" i="3"/>
  <c r="AU262" i="3"/>
  <c r="AY263" i="3"/>
  <c r="AW263" i="3"/>
  <c r="AU263" i="3"/>
  <c r="AR263" i="3"/>
  <c r="AT263" i="3"/>
  <c r="N267" i="3"/>
  <c r="AN278" i="3"/>
  <c r="AK326" i="3"/>
  <c r="AM326" i="3"/>
  <c r="AL326" i="3"/>
  <c r="AJ326" i="3"/>
  <c r="O329" i="3"/>
  <c r="K329" i="3" s="1"/>
  <c r="AR327" i="3"/>
  <c r="AG332" i="3"/>
  <c r="AG333" i="3" s="1"/>
  <c r="AQ350" i="3"/>
  <c r="AH441" i="3"/>
  <c r="AJ440" i="3"/>
  <c r="AX238" i="3"/>
  <c r="AY246" i="3"/>
  <c r="AS247" i="3"/>
  <c r="AW262" i="3"/>
  <c r="AV263" i="3"/>
  <c r="AY266" i="3"/>
  <c r="N268" i="3"/>
  <c r="AZ271" i="3"/>
  <c r="AR278" i="3"/>
  <c r="AS326" i="3"/>
  <c r="AQ326" i="3"/>
  <c r="AO326" i="3"/>
  <c r="AY326" i="3"/>
  <c r="AX326" i="3"/>
  <c r="AK335" i="3"/>
  <c r="AV346" i="3"/>
  <c r="AT354" i="3"/>
  <c r="AZ246" i="3"/>
  <c r="AT247" i="3"/>
  <c r="AX262" i="3"/>
  <c r="AX263" i="3"/>
  <c r="AP267" i="3"/>
  <c r="AV270" i="3"/>
  <c r="AT270" i="3"/>
  <c r="AR270" i="3"/>
  <c r="AO270" i="3"/>
  <c r="AZ270" i="3"/>
  <c r="AN270" i="3"/>
  <c r="AW270" i="3"/>
  <c r="AT278" i="3"/>
  <c r="AL283" i="3"/>
  <c r="AR283" i="3"/>
  <c r="O284" i="3"/>
  <c r="K284" i="3" s="1"/>
  <c r="O287" i="3"/>
  <c r="O292" i="3"/>
  <c r="K292" i="3" s="1"/>
  <c r="AN326" i="3"/>
  <c r="AD327" i="3"/>
  <c r="AW346" i="3"/>
  <c r="AU287" i="3"/>
  <c r="AL290" i="3"/>
  <c r="AO291" i="3"/>
  <c r="AU295" i="3"/>
  <c r="AL322" i="3"/>
  <c r="AO330" i="3"/>
  <c r="AU331" i="3"/>
  <c r="AD334" i="3"/>
  <c r="AP334" i="3"/>
  <c r="AU335" i="3"/>
  <c r="AL339" i="3"/>
  <c r="AX342" i="3"/>
  <c r="AP343" i="3"/>
  <c r="AY346" i="3"/>
  <c r="AO347" i="3"/>
  <c r="AR347" i="3"/>
  <c r="AO359" i="3"/>
  <c r="AM362" i="3"/>
  <c r="AQ271" i="3"/>
  <c r="AQ274" i="3"/>
  <c r="AQ282" i="3"/>
  <c r="AV287" i="3"/>
  <c r="AP291" i="3"/>
  <c r="AV295" i="3"/>
  <c r="AP323" i="3"/>
  <c r="AS327" i="3"/>
  <c r="AP330" i="3"/>
  <c r="AV331" i="3"/>
  <c r="AQ334" i="3"/>
  <c r="AV335" i="3"/>
  <c r="AP339" i="3"/>
  <c r="AM339" i="3"/>
  <c r="AY342" i="3"/>
  <c r="AI344" i="3"/>
  <c r="AI345" i="3" s="1"/>
  <c r="AZ346" i="3"/>
  <c r="AS347" i="3"/>
  <c r="AP355" i="3"/>
  <c r="AP359" i="3"/>
  <c r="AH364" i="3"/>
  <c r="AL363" i="3"/>
  <c r="O383" i="3"/>
  <c r="AM418" i="3"/>
  <c r="AL418" i="3"/>
  <c r="AK418" i="3"/>
  <c r="AJ418" i="3"/>
  <c r="AR271" i="3"/>
  <c r="AR274" i="3"/>
  <c r="AX278" i="3"/>
  <c r="AR282" i="3"/>
  <c r="AW287" i="3"/>
  <c r="AI292" i="3"/>
  <c r="AI293" i="3" s="1"/>
  <c r="AW295" i="3"/>
  <c r="AQ323" i="3"/>
  <c r="AI324" i="3"/>
  <c r="AI325" i="3" s="1"/>
  <c r="AZ326" i="3"/>
  <c r="AQ330" i="3"/>
  <c r="AR330" i="3"/>
  <c r="AW331" i="3"/>
  <c r="AR334" i="3"/>
  <c r="AJ335" i="3"/>
  <c r="AW335" i="3"/>
  <c r="AZ342" i="3"/>
  <c r="AX343" i="3"/>
  <c r="AR343" i="3"/>
  <c r="AN346" i="3"/>
  <c r="AT347" i="3"/>
  <c r="AN350" i="3"/>
  <c r="N352" i="3"/>
  <c r="AR355" i="3"/>
  <c r="O355" i="3"/>
  <c r="Y363" i="3"/>
  <c r="AZ363" i="3" s="1"/>
  <c r="AH377" i="3"/>
  <c r="AJ376" i="3"/>
  <c r="AO451" i="3"/>
  <c r="AY451" i="3"/>
  <c r="AX451" i="3"/>
  <c r="AT451" i="3"/>
  <c r="AW451" i="3"/>
  <c r="AV451" i="3"/>
  <c r="AU451" i="3"/>
  <c r="AS451" i="3"/>
  <c r="AI452" i="3"/>
  <c r="AI453" i="3" s="1"/>
  <c r="AY287" i="3"/>
  <c r="AY295" i="3"/>
  <c r="AO342" i="3"/>
  <c r="AT343" i="3"/>
  <c r="AP346" i="3"/>
  <c r="AV347" i="3"/>
  <c r="AP350" i="3"/>
  <c r="AV355" i="3"/>
  <c r="AT355" i="3"/>
  <c r="AY359" i="3"/>
  <c r="AM359" i="3"/>
  <c r="AX359" i="3"/>
  <c r="AL359" i="3"/>
  <c r="AT359" i="3"/>
  <c r="AR359" i="3"/>
  <c r="AU359" i="3"/>
  <c r="AK363" i="3"/>
  <c r="AY443" i="3"/>
  <c r="AO267" i="3"/>
  <c r="AU271" i="3"/>
  <c r="AU274" i="3"/>
  <c r="AO278" i="3"/>
  <c r="AU282" i="3"/>
  <c r="AZ287" i="3"/>
  <c r="AZ295" i="3"/>
  <c r="AT323" i="3"/>
  <c r="AU330" i="3"/>
  <c r="AV334" i="3"/>
  <c r="AH336" i="3"/>
  <c r="AD342" i="3"/>
  <c r="AP342" i="3"/>
  <c r="AL343" i="3"/>
  <c r="AU343" i="3"/>
  <c r="AD346" i="3"/>
  <c r="AW347" i="3"/>
  <c r="AD350" i="3"/>
  <c r="AP351" i="3"/>
  <c r="AD351" i="3"/>
  <c r="AS351" i="3"/>
  <c r="AR351" i="3"/>
  <c r="AU355" i="3"/>
  <c r="AV359" i="3"/>
  <c r="AP362" i="3"/>
  <c r="AD362" i="3"/>
  <c r="AO362" i="3"/>
  <c r="AW362" i="3"/>
  <c r="AU362" i="3"/>
  <c r="AR362" i="3"/>
  <c r="AV362" i="3"/>
  <c r="AM363" i="3"/>
  <c r="O364" i="3"/>
  <c r="K364" i="3" s="1"/>
  <c r="AM370" i="3"/>
  <c r="AK370" i="3"/>
  <c r="AJ370" i="3"/>
  <c r="AL370" i="3"/>
  <c r="AC428" i="3"/>
  <c r="AC429" i="3" s="1"/>
  <c r="AD427" i="3"/>
  <c r="AJ282" i="3"/>
  <c r="AO287" i="3"/>
  <c r="AO295" i="3"/>
  <c r="AU323" i="3"/>
  <c r="AV330" i="3"/>
  <c r="AJ334" i="3"/>
  <c r="AQ342" i="3"/>
  <c r="AV343" i="3"/>
  <c r="AX346" i="3"/>
  <c r="AR346" i="3"/>
  <c r="AY350" i="3"/>
  <c r="AT350" i="3"/>
  <c r="AR350" i="3"/>
  <c r="AS350" i="3"/>
  <c r="AW355" i="3"/>
  <c r="AW359" i="3"/>
  <c r="AS367" i="3"/>
  <c r="AM383" i="3"/>
  <c r="AL383" i="3"/>
  <c r="AO387" i="3"/>
  <c r="AQ387" i="3"/>
  <c r="AP387" i="3"/>
  <c r="AW271" i="3"/>
  <c r="AW274" i="3"/>
  <c r="AQ278" i="3"/>
  <c r="AK282" i="3"/>
  <c r="AW282" i="3"/>
  <c r="AD287" i="3"/>
  <c r="AP287" i="3"/>
  <c r="AD295" i="3"/>
  <c r="AP295" i="3"/>
  <c r="AW326" i="3"/>
  <c r="AR326" i="3"/>
  <c r="AW330" i="3"/>
  <c r="AO331" i="3"/>
  <c r="AK334" i="3"/>
  <c r="AX334" i="3"/>
  <c r="AR342" i="3"/>
  <c r="AS346" i="3"/>
  <c r="AY347" i="3"/>
  <c r="AU350" i="3"/>
  <c r="AX355" i="3"/>
  <c r="AZ359" i="3"/>
  <c r="AY379" i="3"/>
  <c r="AQ287" i="3"/>
  <c r="AQ295" i="3"/>
  <c r="AL334" i="3"/>
  <c r="AH352" i="3"/>
  <c r="AK351" i="3"/>
  <c r="AY355" i="3"/>
  <c r="O365" i="3"/>
  <c r="K365" i="3" s="1"/>
  <c r="O377" i="3"/>
  <c r="K377" i="3" s="1"/>
  <c r="AR382" i="3"/>
  <c r="AP382" i="3"/>
  <c r="AO382" i="3"/>
  <c r="AZ382" i="3"/>
  <c r="AN382" i="3"/>
  <c r="AW382" i="3"/>
  <c r="AV382" i="3"/>
  <c r="AU382" i="3"/>
  <c r="AT382" i="3"/>
  <c r="AS382" i="3"/>
  <c r="AY382" i="3"/>
  <c r="AX382" i="3"/>
  <c r="AG420" i="3"/>
  <c r="AG421" i="3" s="1"/>
  <c r="AT326" i="3"/>
  <c r="AO327" i="3"/>
  <c r="AT331" i="3"/>
  <c r="AQ331" i="3"/>
  <c r="AZ334" i="3"/>
  <c r="AX335" i="3"/>
  <c r="AR335" i="3"/>
  <c r="AT342" i="3"/>
  <c r="AM343" i="3"/>
  <c r="AZ343" i="3"/>
  <c r="AU346" i="3"/>
  <c r="AW350" i="3"/>
  <c r="AK354" i="3"/>
  <c r="AK355" i="3"/>
  <c r="AH356" i="3"/>
  <c r="AK358" i="3"/>
  <c r="AJ425" i="3"/>
  <c r="O424" i="3"/>
  <c r="AK367" i="3"/>
  <c r="AO371" i="3"/>
  <c r="AO378" i="3"/>
  <c r="AZ378" i="3"/>
  <c r="AN378" i="3"/>
  <c r="AY378" i="3"/>
  <c r="AX378" i="3"/>
  <c r="AW378" i="3"/>
  <c r="AV378" i="3"/>
  <c r="AK379" i="3"/>
  <c r="AB434" i="3"/>
  <c r="BB434" i="3"/>
  <c r="AO355" i="3"/>
  <c r="AO358" i="3"/>
  <c r="AP366" i="3"/>
  <c r="AP367" i="3"/>
  <c r="O371" i="3"/>
  <c r="AR371" i="3"/>
  <c r="AU371" i="3"/>
  <c r="AP375" i="3"/>
  <c r="AM378" i="3"/>
  <c r="AL378" i="3"/>
  <c r="AK378" i="3"/>
  <c r="AS379" i="3"/>
  <c r="AK382" i="3"/>
  <c r="N387" i="3"/>
  <c r="AL390" i="3"/>
  <c r="N423" i="3"/>
  <c r="O427" i="3"/>
  <c r="O437" i="3"/>
  <c r="K437" i="3" s="1"/>
  <c r="AQ367" i="3"/>
  <c r="AV371" i="3"/>
  <c r="AL382" i="3"/>
  <c r="AM390" i="3"/>
  <c r="S423" i="3"/>
  <c r="AT423" i="3" s="1"/>
  <c r="O425" i="3"/>
  <c r="K425" i="3" s="1"/>
  <c r="AQ355" i="3"/>
  <c r="AQ358" i="3"/>
  <c r="AD366" i="3"/>
  <c r="N367" i="3"/>
  <c r="AR367" i="3"/>
  <c r="AO370" i="3"/>
  <c r="AZ370" i="3"/>
  <c r="AN370" i="3"/>
  <c r="AY370" i="3"/>
  <c r="AW370" i="3"/>
  <c r="AU370" i="3"/>
  <c r="AW371" i="3"/>
  <c r="AD375" i="3"/>
  <c r="AM387" i="3"/>
  <c r="AL387" i="3"/>
  <c r="AK387" i="3"/>
  <c r="N388" i="3"/>
  <c r="AH388" i="3"/>
  <c r="AJ427" i="3"/>
  <c r="AH428" i="3"/>
  <c r="AK427" i="3"/>
  <c r="AK430" i="3"/>
  <c r="AL430" i="3"/>
  <c r="AM430" i="3"/>
  <c r="AJ430" i="3"/>
  <c r="AW366" i="3"/>
  <c r="AV366" i="3"/>
  <c r="AS366" i="3"/>
  <c r="AD367" i="3"/>
  <c r="AS375" i="3"/>
  <c r="AP378" i="3"/>
  <c r="AQ379" i="3"/>
  <c r="O389" i="3"/>
  <c r="K389" i="3" s="1"/>
  <c r="N424" i="3"/>
  <c r="AZ367" i="3"/>
  <c r="AY367" i="3"/>
  <c r="AV367" i="3"/>
  <c r="AT367" i="3"/>
  <c r="AI372" i="3"/>
  <c r="AI373" i="3" s="1"/>
  <c r="AP371" i="3"/>
  <c r="AZ371" i="3"/>
  <c r="AY371" i="3"/>
  <c r="V375" i="3"/>
  <c r="AW375" i="3" s="1"/>
  <c r="AZ419" i="3"/>
  <c r="N436" i="3"/>
  <c r="AC440" i="3"/>
  <c r="AC441" i="3" s="1"/>
  <c r="AD439" i="3"/>
  <c r="W375" i="3"/>
  <c r="AX375" i="3" s="1"/>
  <c r="O392" i="3"/>
  <c r="K392" i="3" s="1"/>
  <c r="AK366" i="3"/>
  <c r="AJ366" i="3"/>
  <c r="AX366" i="3"/>
  <c r="AW367" i="3"/>
  <c r="AK371" i="3"/>
  <c r="AS378" i="3"/>
  <c r="AQ382" i="3"/>
  <c r="AS387" i="3"/>
  <c r="O391" i="3"/>
  <c r="AD419" i="3"/>
  <c r="AC420" i="3"/>
  <c r="AC421" i="3" s="1"/>
  <c r="AY366" i="3"/>
  <c r="AJ367" i="3"/>
  <c r="AX367" i="3"/>
  <c r="AH368" i="3"/>
  <c r="Y375" i="3"/>
  <c r="AZ375" i="3" s="1"/>
  <c r="AT378" i="3"/>
  <c r="AR379" i="3"/>
  <c r="AP379" i="3"/>
  <c r="AO379" i="3"/>
  <c r="AZ379" i="3"/>
  <c r="AX386" i="3"/>
  <c r="AW386" i="3"/>
  <c r="AV386" i="3"/>
  <c r="AU386" i="3"/>
  <c r="AT386" i="3"/>
  <c r="AS386" i="3"/>
  <c r="AR431" i="3"/>
  <c r="AQ427" i="3"/>
  <c r="AR430" i="3"/>
  <c r="AZ455" i="3"/>
  <c r="AZ463" i="3"/>
  <c r="AU390" i="3"/>
  <c r="AW419" i="3"/>
  <c r="AO423" i="3"/>
  <c r="AV427" i="3"/>
  <c r="AR427" i="3"/>
  <c r="AW430" i="3"/>
  <c r="AX430" i="3"/>
  <c r="AS430" i="3"/>
  <c r="AQ431" i="3"/>
  <c r="O436" i="3"/>
  <c r="AC436" i="3"/>
  <c r="AC437" i="3" s="1"/>
  <c r="AQ418" i="3"/>
  <c r="AK419" i="3"/>
  <c r="AX419" i="3"/>
  <c r="AV422" i="3"/>
  <c r="AS427" i="3"/>
  <c r="O428" i="3"/>
  <c r="K428" i="3" s="1"/>
  <c r="AT430" i="3"/>
  <c r="AD431" i="3"/>
  <c r="AZ439" i="3"/>
  <c r="AW439" i="3"/>
  <c r="AV439" i="3"/>
  <c r="AU439" i="3"/>
  <c r="AO439" i="3"/>
  <c r="AX439" i="3"/>
  <c r="K441" i="3"/>
  <c r="AR447" i="3"/>
  <c r="AL447" i="3"/>
  <c r="AK447" i="3"/>
  <c r="AM447" i="3"/>
  <c r="AP447" i="3"/>
  <c r="AO447" i="3"/>
  <c r="AL419" i="3"/>
  <c r="AP423" i="3"/>
  <c r="AD423" i="3"/>
  <c r="AT427" i="3"/>
  <c r="AU430" i="3"/>
  <c r="O431" i="3"/>
  <c r="AZ431" i="3"/>
  <c r="AO431" i="3"/>
  <c r="AS431" i="3"/>
  <c r="AB438" i="3"/>
  <c r="AB450" i="3"/>
  <c r="BB450" i="3"/>
  <c r="AM451" i="3"/>
  <c r="AH420" i="3"/>
  <c r="AK439" i="3"/>
  <c r="AJ439" i="3"/>
  <c r="L910" i="3"/>
  <c r="L921" i="3" s="1"/>
  <c r="L894" i="3"/>
  <c r="L898" i="3"/>
  <c r="AQ374" i="3"/>
  <c r="AQ383" i="3"/>
  <c r="AN390" i="3"/>
  <c r="AZ390" i="3"/>
  <c r="AQ391" i="3"/>
  <c r="AH393" i="3"/>
  <c r="AV418" i="3"/>
  <c r="AO419" i="3"/>
  <c r="AI420" i="3"/>
  <c r="AI421" i="3" s="1"/>
  <c r="AN422" i="3"/>
  <c r="AQ426" i="3"/>
  <c r="AX427" i="3"/>
  <c r="AZ430" i="3"/>
  <c r="AV431" i="3"/>
  <c r="AW438" i="3"/>
  <c r="AT438" i="3"/>
  <c r="AS438" i="3"/>
  <c r="AR438" i="3"/>
  <c r="AX438" i="3"/>
  <c r="AV438" i="3"/>
  <c r="AO390" i="3"/>
  <c r="AW418" i="3"/>
  <c r="AP419" i="3"/>
  <c r="AO422" i="3"/>
  <c r="AY427" i="3"/>
  <c r="AW431" i="3"/>
  <c r="U435" i="3"/>
  <c r="AV435" i="3" s="1"/>
  <c r="AS383" i="3"/>
  <c r="AX418" i="3"/>
  <c r="AQ419" i="3"/>
  <c r="AR423" i="3"/>
  <c r="AZ427" i="3"/>
  <c r="AN430" i="3"/>
  <c r="AX431" i="3"/>
  <c r="V435" i="3"/>
  <c r="AW435" i="3" s="1"/>
  <c r="AZ438" i="3"/>
  <c r="AQ371" i="3"/>
  <c r="AT374" i="3"/>
  <c r="AK375" i="3"/>
  <c r="AT383" i="3"/>
  <c r="AK386" i="3"/>
  <c r="AQ390" i="3"/>
  <c r="AT391" i="3"/>
  <c r="AY418" i="3"/>
  <c r="AV419" i="3"/>
  <c r="AR419" i="3"/>
  <c r="AD422" i="3"/>
  <c r="AK423" i="3"/>
  <c r="AU426" i="3"/>
  <c r="AO430" i="3"/>
  <c r="AK431" i="3"/>
  <c r="AY431" i="3"/>
  <c r="AZ434" i="3"/>
  <c r="AN434" i="3"/>
  <c r="AR434" i="3"/>
  <c r="AX434" i="3"/>
  <c r="AK435" i="3"/>
  <c r="AP439" i="3"/>
  <c r="O439" i="3"/>
  <c r="AZ418" i="3"/>
  <c r="AY422" i="3"/>
  <c r="AR422" i="3"/>
  <c r="AV426" i="3"/>
  <c r="AO427" i="3"/>
  <c r="AP430" i="3"/>
  <c r="AQ439" i="3"/>
  <c r="N459" i="3"/>
  <c r="N460" i="3"/>
  <c r="AL438" i="3"/>
  <c r="AM442" i="3"/>
  <c r="AL442" i="3"/>
  <c r="AK442" i="3"/>
  <c r="AM443" i="3"/>
  <c r="O455" i="3"/>
  <c r="AB458" i="3"/>
  <c r="AY462" i="3"/>
  <c r="AX462" i="3"/>
  <c r="AW462" i="3"/>
  <c r="AT462" i="3"/>
  <c r="AR462" i="3"/>
  <c r="AQ459" i="3"/>
  <c r="AI488" i="3"/>
  <c r="AI489" i="3" s="1"/>
  <c r="AU487" i="3"/>
  <c r="AT487" i="3"/>
  <c r="AR487" i="3"/>
  <c r="AP451" i="3"/>
  <c r="O451" i="3"/>
  <c r="O452" i="3"/>
  <c r="K452" i="3" s="1"/>
  <c r="O449" i="3"/>
  <c r="K449" i="3" s="1"/>
  <c r="O453" i="3"/>
  <c r="K453" i="3" s="1"/>
  <c r="AR459" i="3"/>
  <c r="AR463" i="3"/>
  <c r="AX502" i="3"/>
  <c r="AW502" i="3"/>
  <c r="AN502" i="3"/>
  <c r="AZ502" i="3"/>
  <c r="AY502" i="3"/>
  <c r="AV502" i="3"/>
  <c r="AU502" i="3"/>
  <c r="AR502" i="3"/>
  <c r="AD502" i="3"/>
  <c r="AP502" i="3"/>
  <c r="AO502" i="3"/>
  <c r="AS502" i="3"/>
  <c r="AQ502" i="3"/>
  <c r="AT502" i="3"/>
  <c r="AH461" i="3"/>
  <c r="AX478" i="3"/>
  <c r="AW478" i="3"/>
  <c r="AV478" i="3"/>
  <c r="AU478" i="3"/>
  <c r="AT478" i="3"/>
  <c r="AS478" i="3"/>
  <c r="AP478" i="3"/>
  <c r="AD478" i="3"/>
  <c r="AY478" i="3"/>
  <c r="AQ478" i="3"/>
  <c r="AO478" i="3"/>
  <c r="AN478" i="3"/>
  <c r="AZ478" i="3"/>
  <c r="AR478" i="3"/>
  <c r="AR527" i="3"/>
  <c r="AQ527" i="3"/>
  <c r="AP527" i="3"/>
  <c r="AI528" i="3"/>
  <c r="AI529" i="3" s="1"/>
  <c r="AX527" i="3"/>
  <c r="AW527" i="3"/>
  <c r="AK527" i="3"/>
  <c r="O443" i="3"/>
  <c r="AM450" i="3"/>
  <c r="AL450" i="3"/>
  <c r="AK450" i="3"/>
  <c r="AJ450" i="3"/>
  <c r="AY454" i="3"/>
  <c r="AX454" i="3"/>
  <c r="AT454" i="3"/>
  <c r="AR454" i="3"/>
  <c r="AZ503" i="3"/>
  <c r="AX526" i="3"/>
  <c r="AW526" i="3"/>
  <c r="AV526" i="3"/>
  <c r="AP526" i="3"/>
  <c r="AD526" i="3"/>
  <c r="AR526" i="3"/>
  <c r="AQ526" i="3"/>
  <c r="AO526" i="3"/>
  <c r="AN526" i="3"/>
  <c r="AY526" i="3"/>
  <c r="AT526" i="3"/>
  <c r="AS526" i="3"/>
  <c r="AZ526" i="3"/>
  <c r="AU526" i="3"/>
  <c r="AK451" i="3"/>
  <c r="O580" i="3"/>
  <c r="AQ579" i="3"/>
  <c r="AD442" i="3"/>
  <c r="AH444" i="3"/>
  <c r="AL443" i="3"/>
  <c r="AP462" i="3"/>
  <c r="BB506" i="3"/>
  <c r="AB506" i="3"/>
  <c r="AY442" i="3"/>
  <c r="AX442" i="3"/>
  <c r="AW442" i="3"/>
  <c r="AU442" i="3"/>
  <c r="AZ442" i="3"/>
  <c r="AN442" i="3"/>
  <c r="AV442" i="3"/>
  <c r="AO443" i="3"/>
  <c r="AX443" i="3"/>
  <c r="AR443" i="3"/>
  <c r="AI444" i="3"/>
  <c r="AI445" i="3" s="1"/>
  <c r="AS454" i="3"/>
  <c r="AU454" i="3"/>
  <c r="AO479" i="3"/>
  <c r="AZ479" i="3"/>
  <c r="AY479" i="3"/>
  <c r="AX479" i="3"/>
  <c r="AW479" i="3"/>
  <c r="AV479" i="3"/>
  <c r="AS479" i="3"/>
  <c r="AP479" i="3"/>
  <c r="AD479" i="3"/>
  <c r="AR479" i="3"/>
  <c r="AQ479" i="3"/>
  <c r="AU479" i="3"/>
  <c r="AT479" i="3"/>
  <c r="L902" i="3"/>
  <c r="AK443" i="3"/>
  <c r="AV454" i="3"/>
  <c r="AK487" i="3"/>
  <c r="AJ487" i="3"/>
  <c r="AH488" i="3"/>
  <c r="AQ443" i="3"/>
  <c r="AT446" i="3"/>
  <c r="N447" i="3"/>
  <c r="AN450" i="3"/>
  <c r="AZ450" i="3"/>
  <c r="AQ454" i="3"/>
  <c r="AT455" i="3"/>
  <c r="AW458" i="3"/>
  <c r="AQ462" i="3"/>
  <c r="AT463" i="3"/>
  <c r="O464" i="3"/>
  <c r="K464" i="3" s="1"/>
  <c r="AU446" i="3"/>
  <c r="AO450" i="3"/>
  <c r="AH452" i="3"/>
  <c r="AU455" i="3"/>
  <c r="AX458" i="3"/>
  <c r="AU463" i="3"/>
  <c r="AO487" i="3"/>
  <c r="K513" i="3"/>
  <c r="AQ450" i="3"/>
  <c r="AN458" i="3"/>
  <c r="AZ458" i="3"/>
  <c r="AX486" i="3"/>
  <c r="AW486" i="3"/>
  <c r="AV486" i="3"/>
  <c r="AU486" i="3"/>
  <c r="AT486" i="3"/>
  <c r="AS486" i="3"/>
  <c r="AP486" i="3"/>
  <c r="AD486" i="3"/>
  <c r="AZ486" i="3"/>
  <c r="AN486" i="3"/>
  <c r="AY486" i="3"/>
  <c r="N533" i="3"/>
  <c r="AQ458" i="3"/>
  <c r="O509" i="3"/>
  <c r="K509" i="3" s="1"/>
  <c r="AJ509" i="3"/>
  <c r="AO446" i="3"/>
  <c r="AU450" i="3"/>
  <c r="AL451" i="3"/>
  <c r="AL454" i="3"/>
  <c r="AO455" i="3"/>
  <c r="AR458" i="3"/>
  <c r="AL462" i="3"/>
  <c r="O463" i="3"/>
  <c r="AO463" i="3"/>
  <c r="AD507" i="3"/>
  <c r="AP446" i="3"/>
  <c r="AV450" i="3"/>
  <c r="AS458" i="3"/>
  <c r="AJ459" i="3"/>
  <c r="O479" i="3"/>
  <c r="AK479" i="3"/>
  <c r="AJ479" i="3"/>
  <c r="AH480" i="3"/>
  <c r="AO486" i="3"/>
  <c r="O503" i="3"/>
  <c r="AZ443" i="3"/>
  <c r="AQ446" i="3"/>
  <c r="AW450" i="3"/>
  <c r="AZ451" i="3"/>
  <c r="AN454" i="3"/>
  <c r="AZ454" i="3"/>
  <c r="AQ455" i="3"/>
  <c r="AI456" i="3"/>
  <c r="AI457" i="3" s="1"/>
  <c r="AT458" i="3"/>
  <c r="AK459" i="3"/>
  <c r="AN462" i="3"/>
  <c r="AZ462" i="3"/>
  <c r="AM482" i="3"/>
  <c r="AJ482" i="3"/>
  <c r="N485" i="3"/>
  <c r="AQ486" i="3"/>
  <c r="AX450" i="3"/>
  <c r="AO454" i="3"/>
  <c r="AU458" i="3"/>
  <c r="AO462" i="3"/>
  <c r="AZ482" i="3"/>
  <c r="AN482" i="3"/>
  <c r="AV482" i="3"/>
  <c r="AT482" i="3"/>
  <c r="AS482" i="3"/>
  <c r="AR486" i="3"/>
  <c r="AD443" i="3"/>
  <c r="AD451" i="3"/>
  <c r="AD454" i="3"/>
  <c r="AD462" i="3"/>
  <c r="AK482" i="3"/>
  <c r="O488" i="3"/>
  <c r="K488" i="3" s="1"/>
  <c r="O485" i="3"/>
  <c r="AM478" i="3"/>
  <c r="AM486" i="3"/>
  <c r="AD487" i="3"/>
  <c r="AP487" i="3"/>
  <c r="AX503" i="3"/>
  <c r="AO506" i="3"/>
  <c r="O511" i="3"/>
  <c r="AT527" i="3"/>
  <c r="AI608" i="3"/>
  <c r="AI609" i="3" s="1"/>
  <c r="AR607" i="3"/>
  <c r="AQ607" i="3"/>
  <c r="AP607" i="3"/>
  <c r="AO607" i="3"/>
  <c r="AJ535" i="3"/>
  <c r="AH536" i="3"/>
  <c r="AS487" i="3"/>
  <c r="AR506" i="3"/>
  <c r="AZ506" i="3"/>
  <c r="AS506" i="3"/>
  <c r="AY482" i="3"/>
  <c r="AD483" i="3"/>
  <c r="AP483" i="3"/>
  <c r="AV487" i="3"/>
  <c r="AV506" i="3"/>
  <c r="AS507" i="3"/>
  <c r="AQ507" i="3"/>
  <c r="AO511" i="3"/>
  <c r="AP511" i="3"/>
  <c r="AZ511" i="3"/>
  <c r="AQ511" i="3"/>
  <c r="AD511" i="3"/>
  <c r="AV511" i="3"/>
  <c r="O535" i="3"/>
  <c r="O536" i="3"/>
  <c r="K536" i="3" s="1"/>
  <c r="AW487" i="3"/>
  <c r="AL502" i="3"/>
  <c r="AJ502" i="3"/>
  <c r="AO503" i="3"/>
  <c r="AQ503" i="3"/>
  <c r="AD503" i="3"/>
  <c r="AS503" i="3"/>
  <c r="AW506" i="3"/>
  <c r="O508" i="3"/>
  <c r="K508" i="3" s="1"/>
  <c r="AL526" i="3"/>
  <c r="AK526" i="3"/>
  <c r="AJ526" i="3"/>
  <c r="AM526" i="3"/>
  <c r="AI588" i="3"/>
  <c r="AI589" i="3" s="1"/>
  <c r="AW587" i="3"/>
  <c r="AV587" i="3"/>
  <c r="AU587" i="3"/>
  <c r="AT587" i="3"/>
  <c r="AO587" i="3"/>
  <c r="AK587" i="3"/>
  <c r="AO482" i="3"/>
  <c r="AR483" i="3"/>
  <c r="AX487" i="3"/>
  <c r="AT503" i="3"/>
  <c r="AJ506" i="3"/>
  <c r="AX506" i="3"/>
  <c r="AX511" i="3"/>
  <c r="AS579" i="3"/>
  <c r="AD579" i="3"/>
  <c r="AP579" i="3"/>
  <c r="AO579" i="3"/>
  <c r="AK579" i="3"/>
  <c r="T579" i="3"/>
  <c r="AU579" i="3" s="1"/>
  <c r="AJ478" i="3"/>
  <c r="AD482" i="3"/>
  <c r="AP482" i="3"/>
  <c r="AS483" i="3"/>
  <c r="AJ486" i="3"/>
  <c r="AY487" i="3"/>
  <c r="AK502" i="3"/>
  <c r="AU503" i="3"/>
  <c r="AK506" i="3"/>
  <c r="AY506" i="3"/>
  <c r="AJ508" i="3"/>
  <c r="AX510" i="3"/>
  <c r="AU510" i="3"/>
  <c r="AT510" i="3"/>
  <c r="AS510" i="3"/>
  <c r="AV510" i="3"/>
  <c r="AR510" i="3"/>
  <c r="AH512" i="3"/>
  <c r="AY511" i="3"/>
  <c r="AJ553" i="3"/>
  <c r="AP587" i="3"/>
  <c r="AW599" i="3"/>
  <c r="AT599" i="3"/>
  <c r="AP599" i="3"/>
  <c r="AO599" i="3"/>
  <c r="AZ599" i="3"/>
  <c r="AY599" i="3"/>
  <c r="AU599" i="3"/>
  <c r="AS599" i="3"/>
  <c r="AR599" i="3"/>
  <c r="AQ599" i="3"/>
  <c r="AD599" i="3"/>
  <c r="AX599" i="3"/>
  <c r="AV599" i="3"/>
  <c r="AK478" i="3"/>
  <c r="AQ482" i="3"/>
  <c r="AK486" i="3"/>
  <c r="AZ487" i="3"/>
  <c r="AM502" i="3"/>
  <c r="AV503" i="3"/>
  <c r="S507" i="3"/>
  <c r="AS587" i="3"/>
  <c r="AW503" i="3"/>
  <c r="AN506" i="3"/>
  <c r="AY510" i="3"/>
  <c r="AJ511" i="3"/>
  <c r="O512" i="3"/>
  <c r="K512" i="3" s="1"/>
  <c r="AU554" i="3"/>
  <c r="AX554" i="3"/>
  <c r="AW554" i="3"/>
  <c r="AV554" i="3"/>
  <c r="AT554" i="3"/>
  <c r="AS554" i="3"/>
  <c r="AR554" i="3"/>
  <c r="AO554" i="3"/>
  <c r="AN554" i="3"/>
  <c r="AY554" i="3"/>
  <c r="AQ554" i="3"/>
  <c r="AP554" i="3"/>
  <c r="AD554" i="3"/>
  <c r="AZ554" i="3"/>
  <c r="N579" i="3"/>
  <c r="O581" i="3"/>
  <c r="K581" i="3" s="1"/>
  <c r="S531" i="3"/>
  <c r="AT531" i="3" s="1"/>
  <c r="AN534" i="3"/>
  <c r="S591" i="3"/>
  <c r="AT591" i="3" s="1"/>
  <c r="O592" i="3"/>
  <c r="K592" i="3" s="1"/>
  <c r="AB602" i="3"/>
  <c r="BB602" i="3"/>
  <c r="AJ552" i="3"/>
  <c r="O556" i="3"/>
  <c r="K556" i="3" s="1"/>
  <c r="AR579" i="3"/>
  <c r="O583" i="3"/>
  <c r="AC608" i="3"/>
  <c r="AC609" i="3" s="1"/>
  <c r="AD607" i="3"/>
  <c r="AJ658" i="3"/>
  <c r="AL658" i="3"/>
  <c r="AK658" i="3"/>
  <c r="AM658" i="3"/>
  <c r="O561" i="3"/>
  <c r="K561" i="3" s="1"/>
  <c r="O557" i="3"/>
  <c r="K557" i="3" s="1"/>
  <c r="AK586" i="3"/>
  <c r="AJ586" i="3"/>
  <c r="AL586" i="3"/>
  <c r="AZ595" i="3"/>
  <c r="AX534" i="3"/>
  <c r="AW534" i="3"/>
  <c r="AV534" i="3"/>
  <c r="AU534" i="3"/>
  <c r="AS534" i="3"/>
  <c r="AP534" i="3"/>
  <c r="AD534" i="3"/>
  <c r="AZ534" i="3"/>
  <c r="AR535" i="3"/>
  <c r="AO558" i="3"/>
  <c r="AQ558" i="3"/>
  <c r="AD558" i="3"/>
  <c r="AP558" i="3"/>
  <c r="AN558" i="3"/>
  <c r="AZ558" i="3"/>
  <c r="AY558" i="3"/>
  <c r="AX558" i="3"/>
  <c r="AU558" i="3"/>
  <c r="AT558" i="3"/>
  <c r="AW558" i="3"/>
  <c r="AY575" i="3"/>
  <c r="AB578" i="3"/>
  <c r="BB578" i="3"/>
  <c r="AQ611" i="3"/>
  <c r="AT535" i="3"/>
  <c r="AZ575" i="3"/>
  <c r="AM586" i="3"/>
  <c r="AJ621" i="3"/>
  <c r="O667" i="3"/>
  <c r="AQ667" i="3"/>
  <c r="N527" i="3"/>
  <c r="AD527" i="3"/>
  <c r="AP531" i="3"/>
  <c r="AO527" i="3"/>
  <c r="AZ527" i="3"/>
  <c r="AY527" i="3"/>
  <c r="AS527" i="3"/>
  <c r="AU527" i="3"/>
  <c r="AR530" i="3"/>
  <c r="AP530" i="3"/>
  <c r="AO530" i="3"/>
  <c r="AD531" i="3"/>
  <c r="AL534" i="3"/>
  <c r="AK534" i="3"/>
  <c r="AJ534" i="3"/>
  <c r="AD535" i="3"/>
  <c r="AW535" i="3"/>
  <c r="AC552" i="3"/>
  <c r="AC553" i="3" s="1"/>
  <c r="AD551" i="3"/>
  <c r="AQ583" i="3"/>
  <c r="AM730" i="3"/>
  <c r="AK730" i="3"/>
  <c r="AJ730" i="3"/>
  <c r="AL730" i="3"/>
  <c r="O527" i="3"/>
  <c r="AV527" i="3"/>
  <c r="AS531" i="3"/>
  <c r="AR531" i="3"/>
  <c r="AO535" i="3"/>
  <c r="AZ535" i="3"/>
  <c r="AY535" i="3"/>
  <c r="AX535" i="3"/>
  <c r="AV535" i="3"/>
  <c r="AS535" i="3"/>
  <c r="AQ550" i="3"/>
  <c r="AP550" i="3"/>
  <c r="AX550" i="3"/>
  <c r="AT575" i="3"/>
  <c r="AS575" i="3"/>
  <c r="AX575" i="3"/>
  <c r="AQ575" i="3"/>
  <c r="AD575" i="3"/>
  <c r="AP575" i="3"/>
  <c r="AO575" i="3"/>
  <c r="AK575" i="3"/>
  <c r="AW575" i="3"/>
  <c r="AV575" i="3"/>
  <c r="AK578" i="3"/>
  <c r="AJ578" i="3"/>
  <c r="AM578" i="3"/>
  <c r="AL578" i="3"/>
  <c r="AM594" i="3"/>
  <c r="AL594" i="3"/>
  <c r="AK594" i="3"/>
  <c r="AJ594" i="3"/>
  <c r="O604" i="3"/>
  <c r="AL555" i="3"/>
  <c r="AW578" i="3"/>
  <c r="AV578" i="3"/>
  <c r="AO578" i="3"/>
  <c r="AT578" i="3"/>
  <c r="AT583" i="3"/>
  <c r="AS583" i="3"/>
  <c r="AR583" i="3"/>
  <c r="AX583" i="3"/>
  <c r="AU583" i="3"/>
  <c r="AS643" i="3"/>
  <c r="AR643" i="3"/>
  <c r="AZ643" i="3"/>
  <c r="AY643" i="3"/>
  <c r="AX643" i="3"/>
  <c r="AW643" i="3"/>
  <c r="AV643" i="3"/>
  <c r="AU643" i="3"/>
  <c r="AP643" i="3"/>
  <c r="AD643" i="3"/>
  <c r="AO643" i="3"/>
  <c r="AT643" i="3"/>
  <c r="AQ643" i="3"/>
  <c r="AM643" i="3"/>
  <c r="AV530" i="3"/>
  <c r="AR551" i="3"/>
  <c r="AQ551" i="3"/>
  <c r="K552" i="3"/>
  <c r="AZ559" i="3"/>
  <c r="AU578" i="3"/>
  <c r="AV583" i="3"/>
  <c r="O595" i="3"/>
  <c r="AK607" i="3"/>
  <c r="AV787" i="3"/>
  <c r="AU551" i="3"/>
  <c r="AM555" i="3"/>
  <c r="AH556" i="3"/>
  <c r="AD559" i="3"/>
  <c r="AP559" i="3"/>
  <c r="AP574" i="3"/>
  <c r="AD574" i="3"/>
  <c r="AU574" i="3"/>
  <c r="AR574" i="3"/>
  <c r="AZ578" i="3"/>
  <c r="AL582" i="3"/>
  <c r="AZ583" i="3"/>
  <c r="AH596" i="3"/>
  <c r="AK595" i="3"/>
  <c r="AJ595" i="3"/>
  <c r="AM626" i="3"/>
  <c r="AL626" i="3"/>
  <c r="AK626" i="3"/>
  <c r="AJ626" i="3"/>
  <c r="AG628" i="3"/>
  <c r="AG629" i="3" s="1"/>
  <c r="AK627" i="3"/>
  <c r="N641" i="3"/>
  <c r="AV551" i="3"/>
  <c r="AQ559" i="3"/>
  <c r="AS574" i="3"/>
  <c r="AH589" i="3"/>
  <c r="AJ588" i="3"/>
  <c r="AI596" i="3"/>
  <c r="AI597" i="3" s="1"/>
  <c r="AT595" i="3"/>
  <c r="AS595" i="3"/>
  <c r="AR595" i="3"/>
  <c r="AP595" i="3"/>
  <c r="AX595" i="3"/>
  <c r="AW595" i="3"/>
  <c r="AK599" i="3"/>
  <c r="AT626" i="3"/>
  <c r="AP626" i="3"/>
  <c r="AJ628" i="3"/>
  <c r="AH629" i="3"/>
  <c r="AO550" i="3"/>
  <c r="AR550" i="3"/>
  <c r="AJ551" i="3"/>
  <c r="AW551" i="3"/>
  <c r="N555" i="3"/>
  <c r="AS559" i="3"/>
  <c r="AT574" i="3"/>
  <c r="AK583" i="3"/>
  <c r="O587" i="3"/>
  <c r="AZ587" i="3"/>
  <c r="AC596" i="3"/>
  <c r="AC597" i="3" s="1"/>
  <c r="AR611" i="3"/>
  <c r="AI612" i="3"/>
  <c r="AI613" i="3" s="1"/>
  <c r="AP611" i="3"/>
  <c r="AZ611" i="3"/>
  <c r="AY611" i="3"/>
  <c r="AV611" i="3"/>
  <c r="AW611" i="3"/>
  <c r="AU611" i="3"/>
  <c r="AT611" i="3"/>
  <c r="AS611" i="3"/>
  <c r="AO611" i="3"/>
  <c r="AC620" i="3"/>
  <c r="AC621" i="3" s="1"/>
  <c r="AU626" i="3"/>
  <c r="O691" i="3"/>
  <c r="AS550" i="3"/>
  <c r="AK551" i="3"/>
  <c r="AX551" i="3"/>
  <c r="AT559" i="3"/>
  <c r="AV574" i="3"/>
  <c r="AN578" i="3"/>
  <c r="AB594" i="3"/>
  <c r="BB594" i="3"/>
  <c r="AK611" i="3"/>
  <c r="AT550" i="3"/>
  <c r="AY551" i="3"/>
  <c r="AJ554" i="3"/>
  <c r="AD555" i="3"/>
  <c r="AU559" i="3"/>
  <c r="AW574" i="3"/>
  <c r="AP578" i="3"/>
  <c r="N580" i="3"/>
  <c r="AW586" i="3"/>
  <c r="AV586" i="3"/>
  <c r="AU586" i="3"/>
  <c r="AO586" i="3"/>
  <c r="AT586" i="3"/>
  <c r="AO595" i="3"/>
  <c r="N604" i="3"/>
  <c r="AX611" i="3"/>
  <c r="AU550" i="3"/>
  <c r="AR555" i="3"/>
  <c r="Y555" i="3"/>
  <c r="AZ555" i="3" s="1"/>
  <c r="AV559" i="3"/>
  <c r="AX574" i="3"/>
  <c r="AQ578" i="3"/>
  <c r="AO583" i="3"/>
  <c r="AP591" i="3"/>
  <c r="AS591" i="3"/>
  <c r="AU595" i="3"/>
  <c r="AX610" i="3"/>
  <c r="AP610" i="3"/>
  <c r="N628" i="3"/>
  <c r="N627" i="3"/>
  <c r="AQ587" i="3"/>
  <c r="AK591" i="3"/>
  <c r="AZ594" i="3"/>
  <c r="AN594" i="3"/>
  <c r="AR594" i="3"/>
  <c r="O628" i="3"/>
  <c r="BB638" i="3"/>
  <c r="AB638" i="3"/>
  <c r="O643" i="3"/>
  <c r="AS663" i="3"/>
  <c r="AR663" i="3"/>
  <c r="AO663" i="3"/>
  <c r="AD663" i="3"/>
  <c r="AP663" i="3"/>
  <c r="AM663" i="3"/>
  <c r="AL663" i="3"/>
  <c r="AK663" i="3"/>
  <c r="O664" i="3"/>
  <c r="AU582" i="3"/>
  <c r="AR587" i="3"/>
  <c r="AU590" i="3"/>
  <c r="AS594" i="3"/>
  <c r="AQ610" i="3"/>
  <c r="AH612" i="3"/>
  <c r="AJ611" i="3"/>
  <c r="AO618" i="3"/>
  <c r="AX631" i="3"/>
  <c r="AW631" i="3"/>
  <c r="AV631" i="3"/>
  <c r="AU631" i="3"/>
  <c r="AT631" i="3"/>
  <c r="AS631" i="3"/>
  <c r="AP631" i="3"/>
  <c r="AD631" i="3"/>
  <c r="AO631" i="3"/>
  <c r="AZ631" i="3"/>
  <c r="AU638" i="3"/>
  <c r="AX638" i="3"/>
  <c r="AW638" i="3"/>
  <c r="AV638" i="3"/>
  <c r="AT638" i="3"/>
  <c r="AS638" i="3"/>
  <c r="AR638" i="3"/>
  <c r="AO638" i="3"/>
  <c r="AN638" i="3"/>
  <c r="AZ638" i="3"/>
  <c r="AL643" i="3"/>
  <c r="AZ667" i="3"/>
  <c r="AY667" i="3"/>
  <c r="AX667" i="3"/>
  <c r="AV667" i="3"/>
  <c r="AU667" i="3"/>
  <c r="AP667" i="3"/>
  <c r="AO667" i="3"/>
  <c r="AK667" i="3"/>
  <c r="AT667" i="3"/>
  <c r="AD667" i="3"/>
  <c r="AS667" i="3"/>
  <c r="AR667" i="3"/>
  <c r="O679" i="3"/>
  <c r="AW739" i="3"/>
  <c r="N747" i="3"/>
  <c r="N748" i="3"/>
  <c r="AO591" i="3"/>
  <c r="AO602" i="3"/>
  <c r="AZ602" i="3"/>
  <c r="AN602" i="3"/>
  <c r="AW602" i="3"/>
  <c r="AT602" i="3"/>
  <c r="AS603" i="3"/>
  <c r="AM618" i="3"/>
  <c r="AK618" i="3"/>
  <c r="AJ618" i="3"/>
  <c r="O619" i="3"/>
  <c r="O631" i="3"/>
  <c r="AP635" i="3"/>
  <c r="AD635" i="3"/>
  <c r="AO635" i="3"/>
  <c r="AZ635" i="3"/>
  <c r="AY635" i="3"/>
  <c r="AX635" i="3"/>
  <c r="AW635" i="3"/>
  <c r="AT635" i="3"/>
  <c r="AS635" i="3"/>
  <c r="AR635" i="3"/>
  <c r="N640" i="3"/>
  <c r="T663" i="3"/>
  <c r="AU663" i="3" s="1"/>
  <c r="AQ675" i="3"/>
  <c r="AD683" i="3"/>
  <c r="AH693" i="3"/>
  <c r="AJ692" i="3"/>
  <c r="AQ591" i="3"/>
  <c r="AH601" i="3"/>
  <c r="AO610" i="3"/>
  <c r="AZ610" i="3"/>
  <c r="AN610" i="3"/>
  <c r="AY610" i="3"/>
  <c r="AW610" i="3"/>
  <c r="AV610" i="3"/>
  <c r="AS610" i="3"/>
  <c r="AR615" i="3"/>
  <c r="O616" i="3"/>
  <c r="K616" i="3" s="1"/>
  <c r="AJ620" i="3"/>
  <c r="AJ632" i="3"/>
  <c r="AH633" i="3"/>
  <c r="AY670" i="3"/>
  <c r="AU670" i="3"/>
  <c r="AT670" i="3"/>
  <c r="AS670" i="3"/>
  <c r="AR670" i="3"/>
  <c r="AN670" i="3"/>
  <c r="AZ670" i="3"/>
  <c r="AW670" i="3"/>
  <c r="AW682" i="3"/>
  <c r="AV682" i="3"/>
  <c r="AU682" i="3"/>
  <c r="AT682" i="3"/>
  <c r="AS682" i="3"/>
  <c r="AR682" i="3"/>
  <c r="AX682" i="3"/>
  <c r="AD682" i="3"/>
  <c r="AQ682" i="3"/>
  <c r="AP682" i="3"/>
  <c r="AO682" i="3"/>
  <c r="AN682" i="3"/>
  <c r="AZ682" i="3"/>
  <c r="AX587" i="3"/>
  <c r="AR591" i="3"/>
  <c r="AY594" i="3"/>
  <c r="AQ595" i="3"/>
  <c r="AX602" i="3"/>
  <c r="AR603" i="3"/>
  <c r="AI604" i="3"/>
  <c r="AI605" i="3" s="1"/>
  <c r="AX607" i="3"/>
  <c r="AW607" i="3"/>
  <c r="AV607" i="3"/>
  <c r="AT607" i="3"/>
  <c r="AS607" i="3"/>
  <c r="AU607" i="3"/>
  <c r="AI616" i="3"/>
  <c r="AI617" i="3" s="1"/>
  <c r="AP618" i="3"/>
  <c r="AR619" i="3"/>
  <c r="AI620" i="3"/>
  <c r="AI621" i="3" s="1"/>
  <c r="AP619" i="3"/>
  <c r="AO619" i="3"/>
  <c r="AZ619" i="3"/>
  <c r="AY619" i="3"/>
  <c r="AV619" i="3"/>
  <c r="AU619" i="3"/>
  <c r="AT619" i="3"/>
  <c r="AO626" i="3"/>
  <c r="O640" i="3"/>
  <c r="AW667" i="3"/>
  <c r="O743" i="3"/>
  <c r="AD582" i="3"/>
  <c r="AP582" i="3"/>
  <c r="AY587" i="3"/>
  <c r="AD590" i="3"/>
  <c r="AP590" i="3"/>
  <c r="AV598" i="3"/>
  <c r="AJ600" i="3"/>
  <c r="AY602" i="3"/>
  <c r="AJ603" i="3"/>
  <c r="AY607" i="3"/>
  <c r="AH609" i="3"/>
  <c r="AL615" i="3"/>
  <c r="AS615" i="3"/>
  <c r="AP615" i="3"/>
  <c r="AD615" i="3"/>
  <c r="AR618" i="3"/>
  <c r="AK619" i="3"/>
  <c r="AX623" i="3"/>
  <c r="AW623" i="3"/>
  <c r="AV623" i="3"/>
  <c r="AU623" i="3"/>
  <c r="AT623" i="3"/>
  <c r="AS623" i="3"/>
  <c r="AP623" i="3"/>
  <c r="AD623" i="3"/>
  <c r="AO623" i="3"/>
  <c r="AZ623" i="3"/>
  <c r="O629" i="3"/>
  <c r="K629" i="3" s="1"/>
  <c r="AQ631" i="3"/>
  <c r="O635" i="3"/>
  <c r="AP638" i="3"/>
  <c r="O665" i="3"/>
  <c r="K665" i="3" s="1"/>
  <c r="AV670" i="3"/>
  <c r="AY671" i="3"/>
  <c r="AX671" i="3"/>
  <c r="AO594" i="3"/>
  <c r="AJ602" i="3"/>
  <c r="O605" i="3"/>
  <c r="AZ607" i="3"/>
  <c r="AM610" i="3"/>
  <c r="AK610" i="3"/>
  <c r="AJ610" i="3"/>
  <c r="N611" i="3"/>
  <c r="O623" i="3"/>
  <c r="AR631" i="3"/>
  <c r="AQ638" i="3"/>
  <c r="AP639" i="3"/>
  <c r="AS659" i="3"/>
  <c r="AZ678" i="3"/>
  <c r="AN678" i="3"/>
  <c r="AY678" i="3"/>
  <c r="AW678" i="3"/>
  <c r="AV678" i="3"/>
  <c r="AU678" i="3"/>
  <c r="AR678" i="3"/>
  <c r="AQ618" i="3"/>
  <c r="AQ626" i="3"/>
  <c r="AH669" i="3"/>
  <c r="AK675" i="3"/>
  <c r="AJ675" i="3"/>
  <c r="N676" i="3"/>
  <c r="AH685" i="3"/>
  <c r="AI688" i="3"/>
  <c r="AI689" i="3" s="1"/>
  <c r="O760" i="3"/>
  <c r="X759" i="3"/>
  <c r="AY759" i="3" s="1"/>
  <c r="N795" i="3"/>
  <c r="N796" i="3"/>
  <c r="AR626" i="3"/>
  <c r="AM659" i="3"/>
  <c r="AL659" i="3"/>
  <c r="AZ671" i="3"/>
  <c r="AH676" i="3"/>
  <c r="AJ689" i="3"/>
  <c r="AM743" i="3"/>
  <c r="AL743" i="3"/>
  <c r="AS618" i="3"/>
  <c r="AJ619" i="3"/>
  <c r="AS626" i="3"/>
  <c r="AJ627" i="3"/>
  <c r="AQ634" i="3"/>
  <c r="AW642" i="3"/>
  <c r="K644" i="3"/>
  <c r="AN666" i="3"/>
  <c r="AJ668" i="3"/>
  <c r="AM670" i="3"/>
  <c r="AL670" i="3"/>
  <c r="O676" i="3"/>
  <c r="AJ684" i="3"/>
  <c r="AK687" i="3"/>
  <c r="O688" i="3"/>
  <c r="K688" i="3" s="1"/>
  <c r="AZ738" i="3"/>
  <c r="AN738" i="3"/>
  <c r="AY738" i="3"/>
  <c r="AX738" i="3"/>
  <c r="AW738" i="3"/>
  <c r="AP738" i="3"/>
  <c r="AD738" i="3"/>
  <c r="AU738" i="3"/>
  <c r="AT738" i="3"/>
  <c r="AS738" i="3"/>
  <c r="AR738" i="3"/>
  <c r="AQ738" i="3"/>
  <c r="AO738" i="3"/>
  <c r="N759" i="3"/>
  <c r="N760" i="3"/>
  <c r="AM782" i="3"/>
  <c r="AL782" i="3"/>
  <c r="AK782" i="3"/>
  <c r="AJ782" i="3"/>
  <c r="AV618" i="3"/>
  <c r="AP622" i="3"/>
  <c r="AV626" i="3"/>
  <c r="AP630" i="3"/>
  <c r="AT634" i="3"/>
  <c r="AK635" i="3"/>
  <c r="AL642" i="3"/>
  <c r="AZ642" i="3"/>
  <c r="AO658" i="3"/>
  <c r="AO659" i="3"/>
  <c r="AY662" i="3"/>
  <c r="AQ666" i="3"/>
  <c r="AK670" i="3"/>
  <c r="AP674" i="3"/>
  <c r="AY679" i="3"/>
  <c r="O737" i="3"/>
  <c r="AJ764" i="3"/>
  <c r="AH765" i="3"/>
  <c r="N819" i="3"/>
  <c r="N820" i="3"/>
  <c r="AQ598" i="3"/>
  <c r="AQ606" i="3"/>
  <c r="AQ614" i="3"/>
  <c r="AW618" i="3"/>
  <c r="AQ622" i="3"/>
  <c r="AW626" i="3"/>
  <c r="AQ630" i="3"/>
  <c r="AU634" i="3"/>
  <c r="AH640" i="3"/>
  <c r="AZ662" i="3"/>
  <c r="AD666" i="3"/>
  <c r="AJ667" i="3"/>
  <c r="AZ679" i="3"/>
  <c r="O683" i="3"/>
  <c r="AZ683" i="3"/>
  <c r="AY683" i="3"/>
  <c r="AX683" i="3"/>
  <c r="AW683" i="3"/>
  <c r="AV683" i="3"/>
  <c r="AU683" i="3"/>
  <c r="T687" i="3"/>
  <c r="AU687" i="3" s="1"/>
  <c r="O689" i="3"/>
  <c r="AQ690" i="3"/>
  <c r="AW794" i="3"/>
  <c r="AV794" i="3"/>
  <c r="AU794" i="3"/>
  <c r="AT794" i="3"/>
  <c r="AS794" i="3"/>
  <c r="AR794" i="3"/>
  <c r="AY794" i="3"/>
  <c r="AQ794" i="3"/>
  <c r="AP794" i="3"/>
  <c r="AO794" i="3"/>
  <c r="AN794" i="3"/>
  <c r="AD794" i="3"/>
  <c r="AZ794" i="3"/>
  <c r="AX626" i="3"/>
  <c r="AW666" i="3"/>
  <c r="AV666" i="3"/>
  <c r="AU666" i="3"/>
  <c r="AS666" i="3"/>
  <c r="AR666" i="3"/>
  <c r="AX666" i="3"/>
  <c r="AQ678" i="3"/>
  <c r="AS690" i="3"/>
  <c r="AC732" i="3"/>
  <c r="AC733" i="3" s="1"/>
  <c r="S759" i="3"/>
  <c r="AT759" i="3" s="1"/>
  <c r="AY618" i="3"/>
  <c r="AY626" i="3"/>
  <c r="AP627" i="3"/>
  <c r="AW634" i="3"/>
  <c r="AV658" i="3"/>
  <c r="AU658" i="3"/>
  <c r="AR658" i="3"/>
  <c r="AS658" i="3"/>
  <c r="AY666" i="3"/>
  <c r="AU671" i="3"/>
  <c r="AW674" i="3"/>
  <c r="AV674" i="3"/>
  <c r="AU674" i="3"/>
  <c r="AT674" i="3"/>
  <c r="AS674" i="3"/>
  <c r="AR674" i="3"/>
  <c r="AY674" i="3"/>
  <c r="AD675" i="3"/>
  <c r="O731" i="3"/>
  <c r="AV738" i="3"/>
  <c r="O739" i="3"/>
  <c r="O740" i="3"/>
  <c r="K740" i="3" s="1"/>
  <c r="AQ743" i="3"/>
  <c r="AN618" i="3"/>
  <c r="AZ618" i="3"/>
  <c r="AN626" i="3"/>
  <c r="AZ626" i="3"/>
  <c r="AI628" i="3"/>
  <c r="AI629" i="3" s="1"/>
  <c r="AX634" i="3"/>
  <c r="AJ638" i="3"/>
  <c r="AD639" i="3"/>
  <c r="AK643" i="3"/>
  <c r="AT658" i="3"/>
  <c r="AD659" i="3"/>
  <c r="AM662" i="3"/>
  <c r="AZ666" i="3"/>
  <c r="AT671" i="3"/>
  <c r="AS671" i="3"/>
  <c r="AR671" i="3"/>
  <c r="AP671" i="3"/>
  <c r="AD671" i="3"/>
  <c r="AO671" i="3"/>
  <c r="AV671" i="3"/>
  <c r="AZ674" i="3"/>
  <c r="AK679" i="3"/>
  <c r="AK683" i="3"/>
  <c r="AJ683" i="3"/>
  <c r="AM686" i="3"/>
  <c r="AL686" i="3"/>
  <c r="N687" i="3"/>
  <c r="AT690" i="3"/>
  <c r="AP690" i="3"/>
  <c r="AD690" i="3"/>
  <c r="AO690" i="3"/>
  <c r="AN690" i="3"/>
  <c r="AZ690" i="3"/>
  <c r="AY690" i="3"/>
  <c r="AX690" i="3"/>
  <c r="AU690" i="3"/>
  <c r="AR690" i="3"/>
  <c r="AW690" i="3"/>
  <c r="AP691" i="3"/>
  <c r="AQ739" i="3"/>
  <c r="AD755" i="3"/>
  <c r="AR639" i="3"/>
  <c r="AP642" i="3"/>
  <c r="AD642" i="3"/>
  <c r="AO642" i="3"/>
  <c r="AS642" i="3"/>
  <c r="AW658" i="3"/>
  <c r="AZ659" i="3"/>
  <c r="AY659" i="3"/>
  <c r="AX659" i="3"/>
  <c r="AU659" i="3"/>
  <c r="AT659" i="3"/>
  <c r="AH660" i="3"/>
  <c r="AK666" i="3"/>
  <c r="AJ666" i="3"/>
  <c r="AW671" i="3"/>
  <c r="X675" i="3"/>
  <c r="AY675" i="3" s="1"/>
  <c r="AM678" i="3"/>
  <c r="AL678" i="3"/>
  <c r="AZ686" i="3"/>
  <c r="AN686" i="3"/>
  <c r="AY686" i="3"/>
  <c r="AW731" i="3"/>
  <c r="N737" i="3"/>
  <c r="AX730" i="3"/>
  <c r="AV731" i="3"/>
  <c r="AX734" i="3"/>
  <c r="N736" i="3"/>
  <c r="AS746" i="3"/>
  <c r="AJ753" i="3"/>
  <c r="O761" i="3"/>
  <c r="K761" i="3" s="1"/>
  <c r="AY734" i="3"/>
  <c r="AD746" i="3"/>
  <c r="AI732" i="3"/>
  <c r="AI733" i="3" s="1"/>
  <c r="AP731" i="3"/>
  <c r="AS731" i="3"/>
  <c r="AX731" i="3"/>
  <c r="AM738" i="3"/>
  <c r="AL738" i="3"/>
  <c r="AK738" i="3"/>
  <c r="AX746" i="3"/>
  <c r="AW746" i="3"/>
  <c r="AV746" i="3"/>
  <c r="AU746" i="3"/>
  <c r="AT746" i="3"/>
  <c r="AZ746" i="3"/>
  <c r="AN746" i="3"/>
  <c r="AO747" i="3"/>
  <c r="K757" i="3"/>
  <c r="O797" i="3"/>
  <c r="AX662" i="3"/>
  <c r="AX670" i="3"/>
  <c r="AX678" i="3"/>
  <c r="AO679" i="3"/>
  <c r="AX686" i="3"/>
  <c r="AO687" i="3"/>
  <c r="AD691" i="3"/>
  <c r="AQ730" i="3"/>
  <c r="AD735" i="3"/>
  <c r="AU742" i="3"/>
  <c r="AD743" i="3"/>
  <c r="AK747" i="3"/>
  <c r="AP755" i="3"/>
  <c r="AH757" i="3"/>
  <c r="AG760" i="3"/>
  <c r="AG761" i="3" s="1"/>
  <c r="AD679" i="3"/>
  <c r="AP679" i="3"/>
  <c r="AD687" i="3"/>
  <c r="AP687" i="3"/>
  <c r="AW691" i="3"/>
  <c r="AV691" i="3"/>
  <c r="AS691" i="3"/>
  <c r="AR730" i="3"/>
  <c r="AN734" i="3"/>
  <c r="AU743" i="3"/>
  <c r="AT743" i="3"/>
  <c r="AS743" i="3"/>
  <c r="AR743" i="3"/>
  <c r="AW743" i="3"/>
  <c r="AK743" i="3"/>
  <c r="AV743" i="3"/>
  <c r="AI748" i="3"/>
  <c r="AI749" i="3" s="1"/>
  <c r="AQ679" i="3"/>
  <c r="AT691" i="3"/>
  <c r="AS730" i="3"/>
  <c r="AO734" i="3"/>
  <c r="AX743" i="3"/>
  <c r="AI760" i="3"/>
  <c r="AI761" i="3" s="1"/>
  <c r="AP759" i="3"/>
  <c r="AO759" i="3"/>
  <c r="AJ800" i="3"/>
  <c r="AH801" i="3"/>
  <c r="AO662" i="3"/>
  <c r="AO670" i="3"/>
  <c r="AJ672" i="3"/>
  <c r="AO678" i="3"/>
  <c r="AR679" i="3"/>
  <c r="AJ680" i="3"/>
  <c r="AO686" i="3"/>
  <c r="AR687" i="3"/>
  <c r="AJ688" i="3"/>
  <c r="AU691" i="3"/>
  <c r="AZ730" i="3"/>
  <c r="AN730" i="3"/>
  <c r="AY730" i="3"/>
  <c r="AP730" i="3"/>
  <c r="AD730" i="3"/>
  <c r="AT730" i="3"/>
  <c r="AO731" i="3"/>
  <c r="AD734" i="3"/>
  <c r="W735" i="3"/>
  <c r="AX735" i="3" s="1"/>
  <c r="AH737" i="3"/>
  <c r="AP739" i="3"/>
  <c r="AO739" i="3"/>
  <c r="AZ739" i="3"/>
  <c r="AI740" i="3"/>
  <c r="AI741" i="3" s="1"/>
  <c r="AS739" i="3"/>
  <c r="AX742" i="3"/>
  <c r="AY743" i="3"/>
  <c r="AO746" i="3"/>
  <c r="AP747" i="3"/>
  <c r="AP750" i="3"/>
  <c r="AO750" i="3"/>
  <c r="AZ750" i="3"/>
  <c r="AN750" i="3"/>
  <c r="AY755" i="3"/>
  <c r="AQ759" i="3"/>
  <c r="O763" i="3"/>
  <c r="AX763" i="3"/>
  <c r="AW763" i="3"/>
  <c r="AV763" i="3"/>
  <c r="AU763" i="3"/>
  <c r="AT763" i="3"/>
  <c r="AS763" i="3"/>
  <c r="AO763" i="3"/>
  <c r="AZ763" i="3"/>
  <c r="N779" i="3"/>
  <c r="AP787" i="3"/>
  <c r="AD787" i="3"/>
  <c r="AO787" i="3"/>
  <c r="AZ787" i="3"/>
  <c r="AY787" i="3"/>
  <c r="AX787" i="3"/>
  <c r="AW787" i="3"/>
  <c r="AU787" i="3"/>
  <c r="AT787" i="3"/>
  <c r="AS787" i="3"/>
  <c r="AD662" i="3"/>
  <c r="AP662" i="3"/>
  <c r="AD670" i="3"/>
  <c r="AP670" i="3"/>
  <c r="AJ674" i="3"/>
  <c r="AD678" i="3"/>
  <c r="AP678" i="3"/>
  <c r="AS679" i="3"/>
  <c r="AJ682" i="3"/>
  <c r="AD686" i="3"/>
  <c r="AP686" i="3"/>
  <c r="AS687" i="3"/>
  <c r="AK691" i="3"/>
  <c r="AJ691" i="3"/>
  <c r="AX691" i="3"/>
  <c r="AU730" i="3"/>
  <c r="AR731" i="3"/>
  <c r="AT734" i="3"/>
  <c r="AS734" i="3"/>
  <c r="AR734" i="3"/>
  <c r="AV734" i="3"/>
  <c r="AQ734" i="3"/>
  <c r="AK735" i="3"/>
  <c r="X735" i="3"/>
  <c r="AY735" i="3" s="1"/>
  <c r="AJ739" i="3"/>
  <c r="AZ743" i="3"/>
  <c r="AP746" i="3"/>
  <c r="AS747" i="3"/>
  <c r="O752" i="3"/>
  <c r="K752" i="3" s="1"/>
  <c r="O755" i="3"/>
  <c r="AM758" i="3"/>
  <c r="AL758" i="3"/>
  <c r="AK758" i="3"/>
  <c r="AJ758" i="3"/>
  <c r="AK759" i="3"/>
  <c r="AY691" i="3"/>
  <c r="AQ731" i="3"/>
  <c r="AT731" i="3"/>
  <c r="AP742" i="3"/>
  <c r="AO742" i="3"/>
  <c r="AT742" i="3"/>
  <c r="AZ742" i="3"/>
  <c r="AQ746" i="3"/>
  <c r="AX755" i="3"/>
  <c r="AW755" i="3"/>
  <c r="AV755" i="3"/>
  <c r="AU755" i="3"/>
  <c r="AT755" i="3"/>
  <c r="AS755" i="3"/>
  <c r="AZ755" i="3"/>
  <c r="AY758" i="3"/>
  <c r="AX758" i="3"/>
  <c r="AW758" i="3"/>
  <c r="AV758" i="3"/>
  <c r="AS759" i="3"/>
  <c r="K765" i="3"/>
  <c r="AT750" i="3"/>
  <c r="AK751" i="3"/>
  <c r="AW751" i="3"/>
  <c r="AW754" i="3"/>
  <c r="AQ758" i="3"/>
  <c r="AW762" i="3"/>
  <c r="W783" i="3"/>
  <c r="AX783" i="3" s="1"/>
  <c r="AY786" i="3"/>
  <c r="AX786" i="3"/>
  <c r="AW786" i="3"/>
  <c r="AV786" i="3"/>
  <c r="AU786" i="3"/>
  <c r="AT786" i="3"/>
  <c r="O785" i="3"/>
  <c r="AI800" i="3"/>
  <c r="AI801" i="3" s="1"/>
  <c r="AP799" i="3"/>
  <c r="AO799" i="3"/>
  <c r="AV799" i="3"/>
  <c r="O800" i="3"/>
  <c r="K800" i="3" s="1"/>
  <c r="AU822" i="3"/>
  <c r="AP822" i="3"/>
  <c r="AN822" i="3"/>
  <c r="AZ822" i="3"/>
  <c r="AY822" i="3"/>
  <c r="AX822" i="3"/>
  <c r="AW822" i="3"/>
  <c r="AL830" i="3"/>
  <c r="AK830" i="3"/>
  <c r="AJ830" i="3"/>
  <c r="AM830" i="3"/>
  <c r="AR795" i="3"/>
  <c r="AP795" i="3"/>
  <c r="AD795" i="3"/>
  <c r="AY778" i="3"/>
  <c r="AX778" i="3"/>
  <c r="AW778" i="3"/>
  <c r="AS778" i="3"/>
  <c r="AP779" i="3"/>
  <c r="AD779" i="3"/>
  <c r="AO779" i="3"/>
  <c r="AZ779" i="3"/>
  <c r="AT779" i="3"/>
  <c r="AS782" i="3"/>
  <c r="AP782" i="3"/>
  <c r="AO782" i="3"/>
  <c r="AZ782" i="3"/>
  <c r="O784" i="3"/>
  <c r="K784" i="3" s="1"/>
  <c r="AK795" i="3"/>
  <c r="AJ795" i="3"/>
  <c r="AH796" i="3"/>
  <c r="AQ751" i="3"/>
  <c r="AQ754" i="3"/>
  <c r="AQ762" i="3"/>
  <c r="AT778" i="3"/>
  <c r="AU779" i="3"/>
  <c r="AI792" i="3"/>
  <c r="AI793" i="3" s="1"/>
  <c r="AP791" i="3"/>
  <c r="AO791" i="3"/>
  <c r="AV791" i="3"/>
  <c r="AR751" i="3"/>
  <c r="AR754" i="3"/>
  <c r="AR762" i="3"/>
  <c r="AU778" i="3"/>
  <c r="O779" i="3"/>
  <c r="AV779" i="3"/>
  <c r="AS783" i="3"/>
  <c r="AR783" i="3"/>
  <c r="AP786" i="3"/>
  <c r="AK787" i="3"/>
  <c r="AM798" i="3"/>
  <c r="AL798" i="3"/>
  <c r="AW799" i="3"/>
  <c r="AJ746" i="3"/>
  <c r="AS751" i="3"/>
  <c r="AS754" i="3"/>
  <c r="AJ755" i="3"/>
  <c r="AS762" i="3"/>
  <c r="AJ763" i="3"/>
  <c r="AL778" i="3"/>
  <c r="AK778" i="3"/>
  <c r="AV778" i="3"/>
  <c r="AW779" i="3"/>
  <c r="AJ780" i="3"/>
  <c r="AH781" i="3"/>
  <c r="AQ786" i="3"/>
  <c r="AK791" i="3"/>
  <c r="AY798" i="3"/>
  <c r="AX798" i="3"/>
  <c r="AS798" i="3"/>
  <c r="AT799" i="3"/>
  <c r="AX799" i="3"/>
  <c r="AQ822" i="3"/>
  <c r="AJ735" i="3"/>
  <c r="AQ742" i="3"/>
  <c r="AK746" i="3"/>
  <c r="AQ750" i="3"/>
  <c r="AT751" i="3"/>
  <c r="AJ752" i="3"/>
  <c r="AT754" i="3"/>
  <c r="AK755" i="3"/>
  <c r="AN758" i="3"/>
  <c r="AZ758" i="3"/>
  <c r="AT762" i="3"/>
  <c r="AK763" i="3"/>
  <c r="AZ778" i="3"/>
  <c r="AX779" i="3"/>
  <c r="T783" i="3"/>
  <c r="AU783" i="3" s="1"/>
  <c r="AR786" i="3"/>
  <c r="AJ787" i="3"/>
  <c r="AM790" i="3"/>
  <c r="AL790" i="3"/>
  <c r="AY799" i="3"/>
  <c r="AH820" i="3"/>
  <c r="AK819" i="3"/>
  <c r="AJ819" i="3"/>
  <c r="AJ778" i="3"/>
  <c r="AJ779" i="3"/>
  <c r="AY779" i="3"/>
  <c r="AN782" i="3"/>
  <c r="AQ783" i="3"/>
  <c r="U783" i="3"/>
  <c r="AV783" i="3" s="1"/>
  <c r="AS786" i="3"/>
  <c r="AH788" i="3"/>
  <c r="K789" i="3"/>
  <c r="AZ790" i="3"/>
  <c r="AN790" i="3"/>
  <c r="AY790" i="3"/>
  <c r="AX790" i="3"/>
  <c r="AS795" i="3"/>
  <c r="AK798" i="3"/>
  <c r="AZ799" i="3"/>
  <c r="AV823" i="3"/>
  <c r="AU823" i="3"/>
  <c r="AR823" i="3"/>
  <c r="AQ823" i="3"/>
  <c r="AD823" i="3"/>
  <c r="AP823" i="3"/>
  <c r="AO823" i="3"/>
  <c r="AY823" i="3"/>
  <c r="AX823" i="3"/>
  <c r="AX814" i="3"/>
  <c r="AW814" i="3"/>
  <c r="AV814" i="3"/>
  <c r="AU814" i="3"/>
  <c r="AT814" i="3"/>
  <c r="AS814" i="3"/>
  <c r="AP814" i="3"/>
  <c r="AD814" i="3"/>
  <c r="AZ814" i="3"/>
  <c r="AO819" i="3"/>
  <c r="AP819" i="3"/>
  <c r="O823" i="3"/>
  <c r="O820" i="3"/>
  <c r="AD835" i="3"/>
  <c r="AC836" i="3"/>
  <c r="AC837" i="3" s="1"/>
  <c r="AD815" i="3"/>
  <c r="AL822" i="3"/>
  <c r="AK823" i="3"/>
  <c r="AO815" i="3"/>
  <c r="AZ815" i="3"/>
  <c r="AY815" i="3"/>
  <c r="AX815" i="3"/>
  <c r="AW815" i="3"/>
  <c r="AV815" i="3"/>
  <c r="AS815" i="3"/>
  <c r="AT818" i="3"/>
  <c r="AS818" i="3"/>
  <c r="AQ818" i="3"/>
  <c r="AP818" i="3"/>
  <c r="AZ818" i="3"/>
  <c r="AQ819" i="3"/>
  <c r="AM822" i="3"/>
  <c r="AS823" i="3"/>
  <c r="AJ786" i="3"/>
  <c r="AQ791" i="3"/>
  <c r="AN798" i="3"/>
  <c r="AZ798" i="3"/>
  <c r="AQ799" i="3"/>
  <c r="AR819" i="3"/>
  <c r="AT823" i="3"/>
  <c r="AQ782" i="3"/>
  <c r="AK786" i="3"/>
  <c r="AO790" i="3"/>
  <c r="AR791" i="3"/>
  <c r="AO798" i="3"/>
  <c r="AN814" i="3"/>
  <c r="O815" i="3"/>
  <c r="AS819" i="3"/>
  <c r="AW823" i="3"/>
  <c r="AL786" i="3"/>
  <c r="AD790" i="3"/>
  <c r="AP790" i="3"/>
  <c r="AS791" i="3"/>
  <c r="AJ794" i="3"/>
  <c r="AD798" i="3"/>
  <c r="AP798" i="3"/>
  <c r="AS799" i="3"/>
  <c r="AO814" i="3"/>
  <c r="AK815" i="3"/>
  <c r="AJ815" i="3"/>
  <c r="AZ823" i="3"/>
  <c r="AQ814" i="3"/>
  <c r="AH817" i="3"/>
  <c r="AN818" i="3"/>
  <c r="AC828" i="3"/>
  <c r="AC829" i="3" s="1"/>
  <c r="AD827" i="3"/>
  <c r="AJ823" i="3"/>
  <c r="AH824" i="3"/>
  <c r="AP826" i="3"/>
  <c r="AO826" i="3"/>
  <c r="AN826" i="3"/>
  <c r="AZ826" i="3"/>
  <c r="AY826" i="3"/>
  <c r="AX826" i="3"/>
  <c r="AU826" i="3"/>
  <c r="AT826" i="3"/>
  <c r="AS826" i="3"/>
  <c r="AQ843" i="3"/>
  <c r="AR826" i="3"/>
  <c r="AV826" i="3"/>
  <c r="AS862" i="3"/>
  <c r="AN862" i="3"/>
  <c r="AX862" i="3"/>
  <c r="AW862" i="3"/>
  <c r="AV862" i="3"/>
  <c r="AU862" i="3"/>
  <c r="AR862" i="3"/>
  <c r="AP862" i="3"/>
  <c r="AY862" i="3"/>
  <c r="AO862" i="3"/>
  <c r="AX818" i="3"/>
  <c r="AR818" i="3"/>
  <c r="AD822" i="3"/>
  <c r="AW826" i="3"/>
  <c r="AZ835" i="3"/>
  <c r="AG880" i="3"/>
  <c r="AG881" i="3" s="1"/>
  <c r="AG875" i="3"/>
  <c r="AG876" i="3" s="1"/>
  <c r="AG877" i="3" s="1"/>
  <c r="O881" i="3"/>
  <c r="AJ814" i="3"/>
  <c r="AS822" i="3"/>
  <c r="AR822" i="3"/>
  <c r="AO822" i="3"/>
  <c r="AT822" i="3"/>
  <c r="K824" i="3"/>
  <c r="O832" i="3"/>
  <c r="K832" i="3" s="1"/>
  <c r="AO835" i="3"/>
  <c r="N835" i="3"/>
  <c r="AZ839" i="3"/>
  <c r="AY839" i="3"/>
  <c r="AX839" i="3"/>
  <c r="AW839" i="3"/>
  <c r="AV839" i="3"/>
  <c r="AU839" i="3"/>
  <c r="AT839" i="3"/>
  <c r="AO839" i="3"/>
  <c r="AK839" i="3"/>
  <c r="AS839" i="3"/>
  <c r="AD839" i="3"/>
  <c r="AR839" i="3"/>
  <c r="AQ839" i="3"/>
  <c r="AP839" i="3"/>
  <c r="AM842" i="3"/>
  <c r="AL842" i="3"/>
  <c r="AK842" i="3"/>
  <c r="AJ842" i="3"/>
  <c r="AU818" i="3"/>
  <c r="AV822" i="3"/>
  <c r="AH833" i="3"/>
  <c r="AJ832" i="3"/>
  <c r="O835" i="3"/>
  <c r="O839" i="3"/>
  <c r="AJ838" i="3"/>
  <c r="AM838" i="3"/>
  <c r="AL838" i="3"/>
  <c r="N845" i="3"/>
  <c r="AV847" i="3"/>
  <c r="AT847" i="3"/>
  <c r="AP847" i="3"/>
  <c r="AO847" i="3"/>
  <c r="AM847" i="3"/>
  <c r="AL847" i="3"/>
  <c r="AK847" i="3"/>
  <c r="AZ847" i="3"/>
  <c r="AY847" i="3"/>
  <c r="AS847" i="3"/>
  <c r="AV878" i="3"/>
  <c r="AP878" i="3"/>
  <c r="AX878" i="3"/>
  <c r="AY878" i="3"/>
  <c r="AR878" i="3"/>
  <c r="AT878" i="3"/>
  <c r="AD878" i="3"/>
  <c r="AQ878" i="3"/>
  <c r="AO878" i="3"/>
  <c r="AZ878" i="3"/>
  <c r="AW878" i="3"/>
  <c r="AU878" i="3"/>
  <c r="O856" i="3"/>
  <c r="K856" i="3" s="1"/>
  <c r="O869" i="3"/>
  <c r="K869" i="3" s="1"/>
  <c r="AK826" i="3"/>
  <c r="AO831" i="3"/>
  <c r="AR838" i="3"/>
  <c r="AR842" i="3"/>
  <c r="AO842" i="3"/>
  <c r="AN842" i="3"/>
  <c r="AZ842" i="3"/>
  <c r="AU842" i="3"/>
  <c r="AL826" i="3"/>
  <c r="AU827" i="3"/>
  <c r="AT827" i="3"/>
  <c r="AS827" i="3"/>
  <c r="AQ827" i="3"/>
  <c r="AR830" i="3"/>
  <c r="AT838" i="3"/>
  <c r="O845" i="3"/>
  <c r="AD830" i="3"/>
  <c r="AU838" i="3"/>
  <c r="AR847" i="3"/>
  <c r="AX830" i="3"/>
  <c r="AW830" i="3"/>
  <c r="AV830" i="3"/>
  <c r="AT830" i="3"/>
  <c r="AS842" i="3"/>
  <c r="AU847" i="3"/>
  <c r="AI859" i="3"/>
  <c r="AI860" i="3" s="1"/>
  <c r="AI861" i="3" s="1"/>
  <c r="AW858" i="3"/>
  <c r="AU858" i="3"/>
  <c r="AS858" i="3"/>
  <c r="AQ858" i="3"/>
  <c r="AO858" i="3"/>
  <c r="AY858" i="3"/>
  <c r="AN878" i="3"/>
  <c r="AW827" i="3"/>
  <c r="AU830" i="3"/>
  <c r="AU835" i="3"/>
  <c r="AT835" i="3"/>
  <c r="AS835" i="3"/>
  <c r="AQ835" i="3"/>
  <c r="O836" i="3"/>
  <c r="K836" i="3" s="1"/>
  <c r="AD838" i="3"/>
  <c r="AT842" i="3"/>
  <c r="U843" i="3"/>
  <c r="AV843" i="3" s="1"/>
  <c r="AD846" i="3"/>
  <c r="AW847" i="3"/>
  <c r="K853" i="3"/>
  <c r="O868" i="3"/>
  <c r="K868" i="3" s="1"/>
  <c r="AS878" i="3"/>
  <c r="AX827" i="3"/>
  <c r="AY830" i="3"/>
  <c r="AJ831" i="3"/>
  <c r="AR834" i="3"/>
  <c r="AP834" i="3"/>
  <c r="AX834" i="3"/>
  <c r="AV838" i="3"/>
  <c r="AP838" i="3"/>
  <c r="AO838" i="3"/>
  <c r="AN838" i="3"/>
  <c r="AZ838" i="3"/>
  <c r="AY838" i="3"/>
  <c r="AS838" i="3"/>
  <c r="AV842" i="3"/>
  <c r="AS843" i="3"/>
  <c r="AM843" i="3"/>
  <c r="AL843" i="3"/>
  <c r="AK843" i="3"/>
  <c r="AP843" i="3"/>
  <c r="AD843" i="3"/>
  <c r="V843" i="3"/>
  <c r="AW843" i="3" s="1"/>
  <c r="AW846" i="3"/>
  <c r="AV846" i="3"/>
  <c r="AT846" i="3"/>
  <c r="AZ846" i="3"/>
  <c r="AY846" i="3"/>
  <c r="AX846" i="3"/>
  <c r="AU846" i="3"/>
  <c r="AP846" i="3"/>
  <c r="AX847" i="3"/>
  <c r="AX854" i="3"/>
  <c r="AZ854" i="3"/>
  <c r="AW854" i="3"/>
  <c r="AI855" i="3"/>
  <c r="AV854" i="3"/>
  <c r="AU854" i="3"/>
  <c r="AT854" i="3"/>
  <c r="AS854" i="3"/>
  <c r="AR854" i="3"/>
  <c r="AP854" i="3"/>
  <c r="AN854" i="3"/>
  <c r="N839" i="3"/>
  <c r="AP882" i="3"/>
  <c r="AD882" i="3"/>
  <c r="AV882" i="3"/>
  <c r="AQ882" i="3"/>
  <c r="AW882" i="3"/>
  <c r="AT882" i="3"/>
  <c r="AO882" i="3"/>
  <c r="AE883" i="3"/>
  <c r="AE884" i="3" s="1"/>
  <c r="AR882" i="3"/>
  <c r="AY882" i="3"/>
  <c r="AS882" i="3"/>
  <c r="AN882" i="3"/>
  <c r="AZ882" i="3"/>
  <c r="AI863" i="3"/>
  <c r="AI864" i="3" s="1"/>
  <c r="AI865" i="3" s="1"/>
  <c r="AW850" i="3"/>
  <c r="AU850" i="3"/>
  <c r="AT850" i="3"/>
  <c r="AS850" i="3"/>
  <c r="AQ850" i="3"/>
  <c r="AD850" i="3"/>
  <c r="AV850" i="3"/>
  <c r="AW874" i="3"/>
  <c r="AS874" i="3"/>
  <c r="AR874" i="3"/>
  <c r="AP874" i="3"/>
  <c r="AO874" i="3"/>
  <c r="AX850" i="3"/>
  <c r="BB858" i="3"/>
  <c r="O863" i="3"/>
  <c r="N880" i="3"/>
  <c r="AY850" i="3"/>
  <c r="O857" i="3"/>
  <c r="K857" i="3" s="1"/>
  <c r="AZ850" i="3"/>
  <c r="AV874" i="3"/>
  <c r="O848" i="3"/>
  <c r="K848" i="3" s="1"/>
  <c r="AQ847" i="3"/>
  <c r="O871" i="3"/>
  <c r="AY874" i="3"/>
  <c r="O875" i="3"/>
  <c r="AJ858" i="3"/>
  <c r="AM858" i="3"/>
  <c r="AH859" i="3"/>
  <c r="AZ866" i="3"/>
  <c r="AN866" i="3"/>
  <c r="AQ866" i="3"/>
  <c r="AD866" i="3"/>
  <c r="AT866" i="3"/>
  <c r="AR866" i="3"/>
  <c r="AP866" i="3"/>
  <c r="AY866" i="3"/>
  <c r="AX866" i="3"/>
  <c r="O880" i="3"/>
  <c r="AF880" i="3"/>
  <c r="BB862" i="3"/>
  <c r="AB862" i="3"/>
  <c r="AJ886" i="3"/>
  <c r="AK886" i="3"/>
  <c r="AM886" i="3"/>
  <c r="AL886" i="3"/>
  <c r="AH887" i="3"/>
  <c r="AH855" i="3"/>
  <c r="AL854" i="3"/>
  <c r="U855" i="3"/>
  <c r="O859" i="3"/>
  <c r="N879" i="3"/>
  <c r="AI880" i="3"/>
  <c r="AI881" i="3" s="1"/>
  <c r="AI875" i="3"/>
  <c r="AI876" i="3" s="1"/>
  <c r="AI877" i="3" s="1"/>
  <c r="AD842" i="3"/>
  <c r="AP842" i="3"/>
  <c r="AJ846" i="3"/>
  <c r="AJ854" i="3"/>
  <c r="AP858" i="3"/>
  <c r="AJ866" i="3"/>
  <c r="AH867" i="3"/>
  <c r="N867" i="3"/>
  <c r="AT870" i="3"/>
  <c r="AZ870" i="3"/>
  <c r="AN870" i="3"/>
  <c r="AO870" i="3"/>
  <c r="AY870" i="3"/>
  <c r="AW870" i="3"/>
  <c r="AS870" i="3"/>
  <c r="AK854" i="3"/>
  <c r="AK866" i="3"/>
  <c r="AZ874" i="3"/>
  <c r="AN874" i="3"/>
  <c r="AQ874" i="3"/>
  <c r="AD874" i="3"/>
  <c r="AT874" i="3"/>
  <c r="AU874" i="3"/>
  <c r="R2" i="7"/>
  <c r="AO854" i="3"/>
  <c r="AT862" i="3"/>
  <c r="AZ862" i="3"/>
  <c r="AQ862" i="3"/>
  <c r="W867" i="3"/>
  <c r="AX874" i="3"/>
  <c r="AZ858" i="3"/>
  <c r="AV858" i="3"/>
  <c r="AR858" i="3"/>
  <c r="AJ874" i="3"/>
  <c r="O883" i="3"/>
  <c r="AJ878" i="3"/>
  <c r="AK878" i="3"/>
  <c r="P1" i="7"/>
  <c r="Q1" i="7"/>
  <c r="O1" i="7"/>
  <c r="P3" i="7"/>
  <c r="O4" i="7"/>
  <c r="T122" i="7"/>
  <c r="T1" i="7" s="1"/>
  <c r="AM723" i="3" l="1"/>
  <c r="AK723" i="3"/>
  <c r="AL723" i="3"/>
  <c r="AO723" i="3"/>
  <c r="AZ723" i="3"/>
  <c r="AN723" i="3"/>
  <c r="AU723" i="3"/>
  <c r="AT723" i="3"/>
  <c r="AS723" i="3"/>
  <c r="AX723" i="3"/>
  <c r="AR723" i="3"/>
  <c r="AD723" i="3"/>
  <c r="AQ723" i="3"/>
  <c r="AP723" i="3"/>
  <c r="AY723" i="3"/>
  <c r="AW723" i="3"/>
  <c r="AV723" i="3"/>
  <c r="AE719" i="3"/>
  <c r="BB727" i="3"/>
  <c r="AB727" i="3"/>
  <c r="K664" i="3"/>
  <c r="K535" i="3"/>
  <c r="AN535" i="3" s="1"/>
  <c r="K823" i="3"/>
  <c r="AN823" i="3" s="1"/>
  <c r="K343" i="3"/>
  <c r="AN343" i="3" s="1"/>
  <c r="K19" i="3"/>
  <c r="AN19" i="3" s="1"/>
  <c r="K503" i="3"/>
  <c r="AN503" i="3" s="1"/>
  <c r="K575" i="3"/>
  <c r="AN575" i="3" s="1"/>
  <c r="U122" i="7"/>
  <c r="K67" i="3"/>
  <c r="AN67" i="3" s="1"/>
  <c r="K331" i="3"/>
  <c r="AN331" i="3" s="1"/>
  <c r="K533" i="3"/>
  <c r="K211" i="3"/>
  <c r="AN211" i="3" s="1"/>
  <c r="K355" i="3"/>
  <c r="AN355" i="3" s="1"/>
  <c r="K431" i="3"/>
  <c r="AN431" i="3" s="1"/>
  <c r="K167" i="3"/>
  <c r="AN167" i="3" s="1"/>
  <c r="K31" i="3"/>
  <c r="AN31" i="3" s="1"/>
  <c r="K667" i="3"/>
  <c r="AN667" i="3" s="1"/>
  <c r="K203" i="3"/>
  <c r="AN203" i="3" s="1"/>
  <c r="K797" i="3"/>
  <c r="K631" i="3"/>
  <c r="AN631" i="3" s="1"/>
  <c r="K119" i="3"/>
  <c r="AN119" i="3" s="1"/>
  <c r="K691" i="3"/>
  <c r="AN691" i="3" s="1"/>
  <c r="K115" i="3"/>
  <c r="AN115" i="3" s="1"/>
  <c r="K871" i="3"/>
  <c r="K815" i="3"/>
  <c r="AN815" i="3" s="1"/>
  <c r="K179" i="3"/>
  <c r="AN179" i="3" s="1"/>
  <c r="K755" i="3"/>
  <c r="AN755" i="3" s="1"/>
  <c r="K863" i="3"/>
  <c r="K79" i="3"/>
  <c r="AN79" i="3" s="1"/>
  <c r="K587" i="3"/>
  <c r="AN587" i="3" s="1"/>
  <c r="K71" i="3"/>
  <c r="AN71" i="3" s="1"/>
  <c r="K427" i="3"/>
  <c r="AN427" i="3" s="1"/>
  <c r="K559" i="3"/>
  <c r="AN559" i="3" s="1"/>
  <c r="K271" i="3"/>
  <c r="AN271" i="3" s="1"/>
  <c r="K463" i="3"/>
  <c r="AN463" i="3" s="1"/>
  <c r="K595" i="3"/>
  <c r="AN595" i="3" s="1"/>
  <c r="K359" i="3"/>
  <c r="AN359" i="3" s="1"/>
  <c r="K551" i="3"/>
  <c r="AN551" i="3" s="1"/>
  <c r="K23" i="3"/>
  <c r="AN23" i="3" s="1"/>
  <c r="K455" i="3"/>
  <c r="AN455" i="3" s="1"/>
  <c r="K107" i="3"/>
  <c r="AN107" i="3" s="1"/>
  <c r="K199" i="3"/>
  <c r="AN199" i="3" s="1"/>
  <c r="K223" i="3"/>
  <c r="AN223" i="3" s="1"/>
  <c r="BB731" i="3"/>
  <c r="AB634" i="3"/>
  <c r="BB455" i="3"/>
  <c r="BB799" i="3"/>
  <c r="BB322" i="3"/>
  <c r="BB583" i="3"/>
  <c r="AB426" i="3"/>
  <c r="AB762" i="3"/>
  <c r="AB587" i="3"/>
  <c r="AB786" i="3"/>
  <c r="AB391" i="3"/>
  <c r="AB371" i="3"/>
  <c r="BB143" i="3"/>
  <c r="BB347" i="3"/>
  <c r="AB658" i="3"/>
  <c r="BB359" i="3"/>
  <c r="AB122" i="3"/>
  <c r="AB739" i="3"/>
  <c r="BB598" i="3"/>
  <c r="BB358" i="3"/>
  <c r="BB130" i="3"/>
  <c r="AB870" i="3"/>
  <c r="BB214" i="3"/>
  <c r="BB215" i="3"/>
  <c r="BB50" i="3"/>
  <c r="AB847" i="3"/>
  <c r="BB791" i="3"/>
  <c r="BB611" i="3"/>
  <c r="AB618" i="3"/>
  <c r="AB226" i="3"/>
  <c r="AB754" i="3"/>
  <c r="BB619" i="3"/>
  <c r="AB595" i="3"/>
  <c r="AB758" i="3"/>
  <c r="AB763" i="3"/>
  <c r="AB383" i="3"/>
  <c r="AB355" i="3"/>
  <c r="BB854" i="3"/>
  <c r="BB379" i="3"/>
  <c r="AB430" i="3"/>
  <c r="AB610" i="3"/>
  <c r="BB290" i="3"/>
  <c r="AB19" i="3"/>
  <c r="AB11" i="3"/>
  <c r="BB14" i="3"/>
  <c r="BB26" i="3"/>
  <c r="K607" i="3"/>
  <c r="AN607" i="3" s="1"/>
  <c r="K479" i="3"/>
  <c r="AN479" i="3" s="1"/>
  <c r="K731" i="3"/>
  <c r="AN731" i="3" s="1"/>
  <c r="K623" i="3"/>
  <c r="AN623" i="3" s="1"/>
  <c r="K763" i="3"/>
  <c r="AN763" i="3" s="1"/>
  <c r="K91" i="3"/>
  <c r="AN91" i="3" s="1"/>
  <c r="K583" i="3"/>
  <c r="AN583" i="3" s="1"/>
  <c r="K151" i="3"/>
  <c r="AN151" i="3" s="1"/>
  <c r="K323" i="3"/>
  <c r="AN323" i="3" s="1"/>
  <c r="K187" i="3"/>
  <c r="AN187" i="3" s="1"/>
  <c r="K55" i="3"/>
  <c r="AN55" i="3" s="1"/>
  <c r="K751" i="3"/>
  <c r="AN751" i="3" s="1"/>
  <c r="K859" i="3"/>
  <c r="K127" i="3"/>
  <c r="AN127" i="3" s="1"/>
  <c r="K419" i="3"/>
  <c r="AN419" i="3" s="1"/>
  <c r="K671" i="3"/>
  <c r="AN671" i="3" s="1"/>
  <c r="K247" i="3"/>
  <c r="AN247" i="3" s="1"/>
  <c r="K511" i="3"/>
  <c r="AN511" i="3" s="1"/>
  <c r="K619" i="3"/>
  <c r="AN619" i="3" s="1"/>
  <c r="K451" i="3"/>
  <c r="AN451" i="3" s="1"/>
  <c r="O831" i="3"/>
  <c r="AM507" i="3"/>
  <c r="AL551" i="3"/>
  <c r="AM347" i="3"/>
  <c r="AL219" i="3"/>
  <c r="AM503" i="3"/>
  <c r="AM423" i="3"/>
  <c r="AL531" i="3"/>
  <c r="AM583" i="3"/>
  <c r="AM751" i="3"/>
  <c r="AM607" i="3"/>
  <c r="AL639" i="3"/>
  <c r="AM179" i="3"/>
  <c r="AL559" i="3"/>
  <c r="AL799" i="3"/>
  <c r="AM779" i="3"/>
  <c r="AM479" i="3"/>
  <c r="AL99" i="3"/>
  <c r="AL71" i="3"/>
  <c r="AM23" i="3"/>
  <c r="AM15" i="3"/>
  <c r="AM591" i="3"/>
  <c r="AL135" i="3"/>
  <c r="AM783" i="3"/>
  <c r="AL679" i="3"/>
  <c r="AL839" i="3"/>
  <c r="AM67" i="3"/>
  <c r="AM763" i="3"/>
  <c r="AL627" i="3"/>
  <c r="AL511" i="3"/>
  <c r="AM487" i="3"/>
  <c r="AL427" i="3"/>
  <c r="AM207" i="3"/>
  <c r="AM123" i="3"/>
  <c r="AM455" i="3"/>
  <c r="AM331" i="3"/>
  <c r="AM267" i="3"/>
  <c r="AM291" i="3"/>
  <c r="AL575" i="3"/>
  <c r="AM599" i="3"/>
  <c r="AM435" i="3"/>
  <c r="AM215" i="3"/>
  <c r="AL175" i="3"/>
  <c r="AL635" i="3"/>
  <c r="AM623" i="3"/>
  <c r="AL619" i="3"/>
  <c r="AL287" i="3"/>
  <c r="AM243" i="3"/>
  <c r="AM211" i="3"/>
  <c r="AL759" i="3"/>
  <c r="AL671" i="3"/>
  <c r="AM827" i="3"/>
  <c r="AM275" i="3"/>
  <c r="AL115" i="3"/>
  <c r="AL831" i="3"/>
  <c r="AM235" i="3"/>
  <c r="AM127" i="3"/>
  <c r="AL111" i="3"/>
  <c r="AL31" i="3"/>
  <c r="AM579" i="3"/>
  <c r="AM323" i="3"/>
  <c r="AM379" i="3"/>
  <c r="AM195" i="3"/>
  <c r="AM239" i="3"/>
  <c r="AL47" i="3"/>
  <c r="AM79" i="3"/>
  <c r="AM19" i="3"/>
  <c r="AM51" i="3"/>
  <c r="AL823" i="3"/>
  <c r="AL735" i="3"/>
  <c r="AL611" i="3"/>
  <c r="AM83" i="3"/>
  <c r="AM203" i="3"/>
  <c r="AM631" i="3"/>
  <c r="AM103" i="3"/>
  <c r="AM63" i="3"/>
  <c r="AL527" i="3"/>
  <c r="AL687" i="3"/>
  <c r="AM587" i="3"/>
  <c r="AL595" i="3"/>
  <c r="AM327" i="3"/>
  <c r="AL191" i="3"/>
  <c r="AM119" i="3"/>
  <c r="AM271" i="3"/>
  <c r="AL131" i="3"/>
  <c r="AL11" i="3"/>
  <c r="AM835" i="3"/>
  <c r="AL747" i="3"/>
  <c r="AM95" i="3"/>
  <c r="AM375" i="3"/>
  <c r="AL367" i="3"/>
  <c r="AM815" i="3"/>
  <c r="AM683" i="3"/>
  <c r="AL199" i="3"/>
  <c r="AL819" i="3"/>
  <c r="AL667" i="3"/>
  <c r="AM675" i="3"/>
  <c r="AM55" i="3"/>
  <c r="AM39" i="3"/>
  <c r="AL483" i="3"/>
  <c r="AL439" i="3"/>
  <c r="AL787" i="3"/>
  <c r="AM795" i="3"/>
  <c r="AL223" i="3"/>
  <c r="AM231" i="3"/>
  <c r="AM91" i="3"/>
  <c r="AM75" i="3"/>
  <c r="AM791" i="3"/>
  <c r="AL143" i="3"/>
  <c r="AM731" i="3"/>
  <c r="AM371" i="3"/>
  <c r="AM391" i="3"/>
  <c r="K635" i="3"/>
  <c r="AN635" i="3" s="1"/>
  <c r="K683" i="3"/>
  <c r="AN683" i="3" s="1"/>
  <c r="K95" i="3"/>
  <c r="AN95" i="3" s="1"/>
  <c r="K239" i="3"/>
  <c r="AN239" i="3" s="1"/>
  <c r="K851" i="3"/>
  <c r="K139" i="3"/>
  <c r="AN139" i="3" s="1"/>
  <c r="K743" i="3"/>
  <c r="AN743" i="3" s="1"/>
  <c r="K643" i="3"/>
  <c r="AN643" i="3" s="1"/>
  <c r="K641" i="3"/>
  <c r="O615" i="3"/>
  <c r="K287" i="3"/>
  <c r="AN287" i="3" s="1"/>
  <c r="K599" i="3"/>
  <c r="AN599" i="3" s="1"/>
  <c r="K371" i="3"/>
  <c r="AN371" i="3" s="1"/>
  <c r="K275" i="3"/>
  <c r="AN275" i="3" s="1"/>
  <c r="K131" i="3"/>
  <c r="AN131" i="3" s="1"/>
  <c r="K605" i="3"/>
  <c r="K263" i="3"/>
  <c r="AN263" i="3" s="1"/>
  <c r="K791" i="3"/>
  <c r="AN791" i="3" s="1"/>
  <c r="O879" i="3"/>
  <c r="K879" i="3" s="1"/>
  <c r="O183" i="3"/>
  <c r="K183" i="3" s="1"/>
  <c r="AN183" i="3" s="1"/>
  <c r="AW183" i="3"/>
  <c r="K227" i="3"/>
  <c r="AN227" i="3" s="1"/>
  <c r="O855" i="3"/>
  <c r="K855" i="3" s="1"/>
  <c r="K143" i="3"/>
  <c r="AN143" i="3" s="1"/>
  <c r="K443" i="3"/>
  <c r="AN443" i="3" s="1"/>
  <c r="K268" i="3"/>
  <c r="K875" i="3"/>
  <c r="O63" i="3"/>
  <c r="K659" i="3"/>
  <c r="AN659" i="3" s="1"/>
  <c r="K827" i="3"/>
  <c r="AN827" i="3" s="1"/>
  <c r="AH849" i="3"/>
  <c r="AJ849" i="3" s="1"/>
  <c r="AL587" i="3"/>
  <c r="AH361" i="3"/>
  <c r="AJ361" i="3" s="1"/>
  <c r="O819" i="3"/>
  <c r="K819" i="3" s="1"/>
  <c r="AN819" i="3" s="1"/>
  <c r="O663" i="3"/>
  <c r="K43" i="3"/>
  <c r="AN43" i="3" s="1"/>
  <c r="AJ384" i="3"/>
  <c r="K367" i="3"/>
  <c r="AN367" i="3" s="1"/>
  <c r="K235" i="3"/>
  <c r="AN235" i="3" s="1"/>
  <c r="AM575" i="3"/>
  <c r="K47" i="3"/>
  <c r="AN47" i="3" s="1"/>
  <c r="K611" i="3"/>
  <c r="AN611" i="3" s="1"/>
  <c r="AL623" i="3"/>
  <c r="K391" i="3"/>
  <c r="AN391" i="3" s="1"/>
  <c r="K347" i="3"/>
  <c r="AN347" i="3" s="1"/>
  <c r="AJ532" i="3"/>
  <c r="K35" i="3"/>
  <c r="AN35" i="3" s="1"/>
  <c r="K439" i="3"/>
  <c r="AN439" i="3" s="1"/>
  <c r="AJ576" i="3"/>
  <c r="O123" i="3"/>
  <c r="K123" i="3" s="1"/>
  <c r="AN123" i="3" s="1"/>
  <c r="AX819" i="3"/>
  <c r="BB819" i="3" s="1"/>
  <c r="O627" i="3"/>
  <c r="K627" i="3" s="1"/>
  <c r="AN627" i="3" s="1"/>
  <c r="O27" i="3"/>
  <c r="K27" i="3" s="1"/>
  <c r="AN27" i="3" s="1"/>
  <c r="K835" i="3"/>
  <c r="AN835" i="3" s="1"/>
  <c r="O243" i="3"/>
  <c r="O639" i="3"/>
  <c r="K580" i="3"/>
  <c r="O435" i="3"/>
  <c r="K40" i="3"/>
  <c r="AH625" i="3"/>
  <c r="AJ625" i="3" s="1"/>
  <c r="K29" i="3"/>
  <c r="BB618" i="3"/>
  <c r="AM799" i="3"/>
  <c r="K436" i="3"/>
  <c r="K883" i="3"/>
  <c r="K820" i="3"/>
  <c r="K59" i="3"/>
  <c r="AN59" i="3" s="1"/>
  <c r="K628" i="3"/>
  <c r="K821" i="3"/>
  <c r="K679" i="3"/>
  <c r="AN679" i="3" s="1"/>
  <c r="AB791" i="3"/>
  <c r="AJ592" i="3"/>
  <c r="AL599" i="3"/>
  <c r="K881" i="3"/>
  <c r="AM635" i="3"/>
  <c r="AH529" i="3"/>
  <c r="AJ529" i="3" s="1"/>
  <c r="AH785" i="3"/>
  <c r="AJ785" i="3" s="1"/>
  <c r="K739" i="3"/>
  <c r="AN739" i="3" s="1"/>
  <c r="K689" i="3"/>
  <c r="K785" i="3"/>
  <c r="BB758" i="3"/>
  <c r="AL579" i="3"/>
  <c r="BB587" i="3"/>
  <c r="AL291" i="3"/>
  <c r="BB391" i="3"/>
  <c r="N363" i="3"/>
  <c r="BB739" i="3"/>
  <c r="N783" i="3"/>
  <c r="N831" i="3"/>
  <c r="N51" i="3"/>
  <c r="N591" i="3"/>
  <c r="N663" i="3"/>
  <c r="N207" i="3"/>
  <c r="K902" i="3"/>
  <c r="K909" i="3"/>
  <c r="K920" i="3" s="1"/>
  <c r="L906" i="3"/>
  <c r="BB11" i="3"/>
  <c r="AJ744" i="3"/>
  <c r="AJ344" i="3"/>
  <c r="O603" i="3"/>
  <c r="AQ451" i="3"/>
  <c r="O423" i="3"/>
  <c r="K423" i="3" s="1"/>
  <c r="AN423" i="3" s="1"/>
  <c r="O51" i="3"/>
  <c r="AT51" i="3"/>
  <c r="BB51" i="3" s="1"/>
  <c r="AJ340" i="3"/>
  <c r="U896" i="3"/>
  <c r="U904" i="3" s="1"/>
  <c r="AL15" i="3"/>
  <c r="O111" i="3"/>
  <c r="K111" i="3" s="1"/>
  <c r="AN111" i="3" s="1"/>
  <c r="K124" i="3"/>
  <c r="O39" i="3"/>
  <c r="K39" i="3" s="1"/>
  <c r="AN39" i="3" s="1"/>
  <c r="BB430" i="3"/>
  <c r="AL423" i="3"/>
  <c r="O843" i="3"/>
  <c r="K335" i="3"/>
  <c r="AN335" i="3" s="1"/>
  <c r="O507" i="3"/>
  <c r="K507" i="3" s="1"/>
  <c r="AN507" i="3" s="1"/>
  <c r="AM671" i="3"/>
  <c r="O279" i="3"/>
  <c r="K279" i="3" s="1"/>
  <c r="AN279" i="3" s="1"/>
  <c r="O75" i="3"/>
  <c r="AU639" i="3"/>
  <c r="AQ663" i="3"/>
  <c r="AB663" i="3" s="1"/>
  <c r="AT507" i="3"/>
  <c r="AB507" i="3" s="1"/>
  <c r="AQ463" i="3"/>
  <c r="AY243" i="3"/>
  <c r="AL507" i="3"/>
  <c r="O339" i="3"/>
  <c r="K215" i="3"/>
  <c r="AN215" i="3" s="1"/>
  <c r="AL607" i="3"/>
  <c r="AH741" i="3"/>
  <c r="AJ741" i="3" s="1"/>
  <c r="BB122" i="3"/>
  <c r="AL631" i="3"/>
  <c r="AB799" i="3"/>
  <c r="AB14" i="3"/>
  <c r="AJ636" i="3"/>
  <c r="AL95" i="3"/>
  <c r="AM527" i="3"/>
  <c r="AH884" i="3"/>
  <c r="AM884" i="3" s="1"/>
  <c r="AH845" i="3"/>
  <c r="AJ845" i="3" s="1"/>
  <c r="AM639" i="3"/>
  <c r="AL391" i="3"/>
  <c r="AM175" i="3"/>
  <c r="AJ432" i="3"/>
  <c r="AL63" i="3"/>
  <c r="AJ748" i="3"/>
  <c r="BB595" i="3"/>
  <c r="AL883" i="3"/>
  <c r="AM143" i="3"/>
  <c r="BB754" i="3"/>
  <c r="AB619" i="3"/>
  <c r="AB854" i="3"/>
  <c r="AH449" i="3"/>
  <c r="AJ449" i="3" s="1"/>
  <c r="BB786" i="3"/>
  <c r="BB870" i="3"/>
  <c r="AL243" i="3"/>
  <c r="AJ504" i="3"/>
  <c r="BB762" i="3"/>
  <c r="AJ64" i="3"/>
  <c r="AH645" i="3"/>
  <c r="AJ645" i="3" s="1"/>
  <c r="AJ280" i="3"/>
  <c r="AL731" i="3"/>
  <c r="AB583" i="3"/>
  <c r="AL371" i="3"/>
  <c r="AL23" i="3"/>
  <c r="AL323" i="3"/>
  <c r="AL751" i="3"/>
  <c r="AL375" i="3"/>
  <c r="AL275" i="3"/>
  <c r="AB290" i="3"/>
  <c r="AJ284" i="3"/>
  <c r="AH169" i="3"/>
  <c r="AJ169" i="3" s="1"/>
  <c r="AJ792" i="3"/>
  <c r="AJ216" i="3"/>
  <c r="AJ116" i="3"/>
  <c r="AB143" i="3"/>
  <c r="AM759" i="3"/>
  <c r="AL215" i="3"/>
  <c r="BB19" i="3"/>
  <c r="AK883" i="3"/>
  <c r="BB610" i="3"/>
  <c r="AJ152" i="3"/>
  <c r="AM47" i="3"/>
  <c r="AL51" i="3"/>
  <c r="AH665" i="3"/>
  <c r="AJ665" i="3" s="1"/>
  <c r="AL195" i="3"/>
  <c r="AJ883" i="3"/>
  <c r="BB634" i="3"/>
  <c r="BB371" i="3"/>
  <c r="AB214" i="3"/>
  <c r="AL67" i="3"/>
  <c r="AM199" i="3"/>
  <c r="AD887" i="3"/>
  <c r="BB887" i="3" s="1"/>
  <c r="AM427" i="3"/>
  <c r="AL179" i="3"/>
  <c r="AM823" i="3"/>
  <c r="AM747" i="3"/>
  <c r="AH605" i="3"/>
  <c r="AJ605" i="3" s="1"/>
  <c r="AJ456" i="3"/>
  <c r="AH333" i="3"/>
  <c r="AJ333" i="3" s="1"/>
  <c r="AL331" i="3"/>
  <c r="AB359" i="3"/>
  <c r="BB658" i="3"/>
  <c r="AM559" i="3"/>
  <c r="AB598" i="3"/>
  <c r="AL267" i="3"/>
  <c r="BB763" i="3"/>
  <c r="AB731" i="3"/>
  <c r="AM687" i="3"/>
  <c r="AL479" i="3"/>
  <c r="AJ580" i="3"/>
  <c r="AM679" i="3"/>
  <c r="AM839" i="3"/>
  <c r="AM135" i="3"/>
  <c r="AH277" i="3"/>
  <c r="AJ277" i="3" s="1"/>
  <c r="BB355" i="3"/>
  <c r="AM71" i="3"/>
  <c r="AL455" i="3"/>
  <c r="AM115" i="3"/>
  <c r="AL271" i="3"/>
  <c r="AB455" i="3"/>
  <c r="BB426" i="3"/>
  <c r="BB226" i="3"/>
  <c r="AL591" i="3"/>
  <c r="AL815" i="3"/>
  <c r="AM99" i="3"/>
  <c r="AL763" i="3"/>
  <c r="AL239" i="3"/>
  <c r="AL827" i="3"/>
  <c r="AL683" i="3"/>
  <c r="AM551" i="3"/>
  <c r="AL435" i="3"/>
  <c r="AL103" i="3"/>
  <c r="BB330" i="3"/>
  <c r="AB330" i="3"/>
  <c r="AL783" i="3"/>
  <c r="AB759" i="3"/>
  <c r="AH485" i="3"/>
  <c r="AJ485" i="3" s="1"/>
  <c r="AL79" i="3"/>
  <c r="AM483" i="3"/>
  <c r="AM667" i="3"/>
  <c r="AM627" i="3"/>
  <c r="AB611" i="3"/>
  <c r="AL203" i="3"/>
  <c r="AL487" i="3"/>
  <c r="BB383" i="3"/>
  <c r="AB831" i="3"/>
  <c r="AM787" i="3"/>
  <c r="AM111" i="3"/>
  <c r="AB378" i="3"/>
  <c r="BB378" i="3"/>
  <c r="AH197" i="3"/>
  <c r="AJ197" i="3" s="1"/>
  <c r="AJ196" i="3"/>
  <c r="AH293" i="3"/>
  <c r="AJ293" i="3" s="1"/>
  <c r="AJ292" i="3"/>
  <c r="AL347" i="3"/>
  <c r="AL75" i="3"/>
  <c r="AL91" i="3"/>
  <c r="AL503" i="3"/>
  <c r="BB614" i="3"/>
  <c r="AB614" i="3"/>
  <c r="AL583" i="3"/>
  <c r="BB463" i="3"/>
  <c r="AB463" i="3"/>
  <c r="AJ52" i="3"/>
  <c r="AH53" i="3"/>
  <c r="AJ53" i="3" s="1"/>
  <c r="AL327" i="3"/>
  <c r="AL55" i="3"/>
  <c r="BB751" i="3"/>
  <c r="AB751" i="3"/>
  <c r="BB146" i="3"/>
  <c r="AB146" i="3"/>
  <c r="AM131" i="3"/>
  <c r="BB818" i="3"/>
  <c r="AB818" i="3"/>
  <c r="BB446" i="3"/>
  <c r="AB446" i="3"/>
  <c r="AB374" i="3"/>
  <c r="BB374" i="3"/>
  <c r="AK879" i="3"/>
  <c r="BB831" i="3"/>
  <c r="AB347" i="3"/>
  <c r="AL207" i="3"/>
  <c r="AM11" i="3"/>
  <c r="AL119" i="3"/>
  <c r="BB630" i="3"/>
  <c r="AB630" i="3"/>
  <c r="BB622" i="3"/>
  <c r="AB622" i="3"/>
  <c r="AM531" i="3"/>
  <c r="BB390" i="3"/>
  <c r="AB390" i="3"/>
  <c r="BB282" i="3"/>
  <c r="AB282" i="3"/>
  <c r="AH617" i="3"/>
  <c r="AJ617" i="3" s="1"/>
  <c r="AJ616" i="3"/>
  <c r="AB674" i="3"/>
  <c r="BB674" i="3"/>
  <c r="AM463" i="3"/>
  <c r="AL463" i="3"/>
  <c r="AJ176" i="3"/>
  <c r="AH177" i="3"/>
  <c r="AJ177" i="3" s="1"/>
  <c r="AM439" i="3"/>
  <c r="AH229" i="3"/>
  <c r="AJ229" i="3" s="1"/>
  <c r="AL19" i="3"/>
  <c r="BB586" i="3"/>
  <c r="AB586" i="3"/>
  <c r="AL379" i="3"/>
  <c r="BB138" i="3"/>
  <c r="AB138" i="3"/>
  <c r="AB175" i="3"/>
  <c r="BB175" i="3"/>
  <c r="AL879" i="3"/>
  <c r="AH880" i="3"/>
  <c r="AH875" i="3"/>
  <c r="AJ560" i="3"/>
  <c r="AH561" i="3"/>
  <c r="AJ561" i="3" s="1"/>
  <c r="AM879" i="3"/>
  <c r="AJ836" i="3"/>
  <c r="AM595" i="3"/>
  <c r="AH585" i="3"/>
  <c r="AJ585" i="3" s="1"/>
  <c r="AL235" i="3"/>
  <c r="AB130" i="3"/>
  <c r="AM31" i="3"/>
  <c r="AJ840" i="3"/>
  <c r="AH841" i="3"/>
  <c r="AJ841" i="3" s="1"/>
  <c r="BB386" i="3"/>
  <c r="AB386" i="3"/>
  <c r="AH381" i="3"/>
  <c r="AJ381" i="3" s="1"/>
  <c r="AJ380" i="3"/>
  <c r="BB110" i="3"/>
  <c r="AB110" i="3"/>
  <c r="BB174" i="3"/>
  <c r="AB174" i="3"/>
  <c r="AH437" i="3"/>
  <c r="AJ437" i="3" s="1"/>
  <c r="AJ436" i="3"/>
  <c r="AJ464" i="3"/>
  <c r="AB379" i="3"/>
  <c r="AB215" i="3"/>
  <c r="AB50" i="3"/>
  <c r="BB834" i="3"/>
  <c r="AB834" i="3"/>
  <c r="AK871" i="3"/>
  <c r="AH872" i="3"/>
  <c r="AM871" i="3"/>
  <c r="AL871" i="3"/>
  <c r="AJ871" i="3"/>
  <c r="AH829" i="3"/>
  <c r="AJ829" i="3" s="1"/>
  <c r="AJ828" i="3"/>
  <c r="AH109" i="3"/>
  <c r="AJ109" i="3" s="1"/>
  <c r="AJ108" i="3"/>
  <c r="AJ240" i="3"/>
  <c r="AH241" i="3"/>
  <c r="AJ241" i="3" s="1"/>
  <c r="BB198" i="3"/>
  <c r="AB198" i="3"/>
  <c r="AB26" i="3"/>
  <c r="AB62" i="3"/>
  <c r="BB62" i="3"/>
  <c r="BB178" i="3"/>
  <c r="AB178" i="3"/>
  <c r="BB847" i="3"/>
  <c r="AL795" i="3"/>
  <c r="AB322" i="3"/>
  <c r="AB358" i="3"/>
  <c r="AM223" i="3"/>
  <c r="AL835" i="3"/>
  <c r="AB550" i="3"/>
  <c r="BB550" i="3"/>
  <c r="BB274" i="3"/>
  <c r="AB274" i="3"/>
  <c r="AL791" i="3"/>
  <c r="BB187" i="3"/>
  <c r="AB187" i="3"/>
  <c r="AM735" i="3"/>
  <c r="BB530" i="3"/>
  <c r="AB530" i="3"/>
  <c r="AB783" i="3"/>
  <c r="BB783" i="3"/>
  <c r="BB888" i="3"/>
  <c r="AJ221" i="3"/>
  <c r="AW884" i="3"/>
  <c r="AU884" i="3"/>
  <c r="AP884" i="3"/>
  <c r="AE885" i="3"/>
  <c r="AT884" i="3"/>
  <c r="AR884" i="3"/>
  <c r="AN884" i="3"/>
  <c r="AZ884" i="3"/>
  <c r="AY884" i="3"/>
  <c r="AD884" i="3"/>
  <c r="AS884" i="3"/>
  <c r="AX884" i="3"/>
  <c r="AV884" i="3"/>
  <c r="AQ884" i="3"/>
  <c r="AO884" i="3"/>
  <c r="BB842" i="3"/>
  <c r="AB842" i="3"/>
  <c r="O787" i="3"/>
  <c r="K787" i="3" s="1"/>
  <c r="AN787" i="3" s="1"/>
  <c r="AM739" i="3"/>
  <c r="AL739" i="3"/>
  <c r="BB759" i="3"/>
  <c r="AM619" i="3"/>
  <c r="AJ577" i="3"/>
  <c r="N531" i="3"/>
  <c r="AO531" i="3"/>
  <c r="AM263" i="3"/>
  <c r="AL263" i="3"/>
  <c r="BB882" i="3"/>
  <c r="AB882" i="3"/>
  <c r="AJ269" i="3"/>
  <c r="AJ73" i="3"/>
  <c r="AK887" i="3"/>
  <c r="AH888" i="3"/>
  <c r="AM887" i="3"/>
  <c r="AL887" i="3"/>
  <c r="AJ887" i="3"/>
  <c r="AF881" i="3"/>
  <c r="AF1" i="3" s="1"/>
  <c r="AM831" i="3"/>
  <c r="AB830" i="3"/>
  <c r="BB830" i="3"/>
  <c r="AJ817" i="3"/>
  <c r="AR799" i="3"/>
  <c r="BB814" i="3"/>
  <c r="AB814" i="3"/>
  <c r="AH797" i="3"/>
  <c r="AJ796" i="3"/>
  <c r="O748" i="3"/>
  <c r="K748" i="3" s="1"/>
  <c r="AR747" i="3"/>
  <c r="BB662" i="3"/>
  <c r="AB662" i="3"/>
  <c r="BB787" i="3"/>
  <c r="AB787" i="3"/>
  <c r="AL675" i="3"/>
  <c r="BB551" i="3"/>
  <c r="AB551" i="3"/>
  <c r="BB554" i="3"/>
  <c r="AB554" i="3"/>
  <c r="AB503" i="3"/>
  <c r="BB503" i="3"/>
  <c r="K910" i="3"/>
  <c r="K921" i="3" s="1"/>
  <c r="N894" i="3"/>
  <c r="BB427" i="3"/>
  <c r="AB427" i="3"/>
  <c r="AB334" i="3"/>
  <c r="BB334" i="3"/>
  <c r="AM171" i="3"/>
  <c r="AL171" i="3"/>
  <c r="O892" i="3"/>
  <c r="N63" i="3"/>
  <c r="AO63" i="3"/>
  <c r="AB63" i="3" s="1"/>
  <c r="K901" i="3"/>
  <c r="Q897" i="3"/>
  <c r="Q905" i="3" s="1"/>
  <c r="Q887" i="3"/>
  <c r="O16" i="3"/>
  <c r="K16" i="3" s="1"/>
  <c r="BB686" i="3"/>
  <c r="AB686" i="3"/>
  <c r="BB679" i="3"/>
  <c r="AB679" i="3"/>
  <c r="AJ693" i="3"/>
  <c r="BB558" i="3"/>
  <c r="AB558" i="3"/>
  <c r="AB511" i="3"/>
  <c r="BB511" i="3"/>
  <c r="AO435" i="3"/>
  <c r="N435" i="3"/>
  <c r="AH389" i="3"/>
  <c r="AJ388" i="3"/>
  <c r="BB246" i="3"/>
  <c r="AB246" i="3"/>
  <c r="BB102" i="3"/>
  <c r="AB102" i="3"/>
  <c r="AJ237" i="3"/>
  <c r="BB74" i="3"/>
  <c r="AB74" i="3"/>
  <c r="O894" i="3"/>
  <c r="AJ17" i="3"/>
  <c r="S896" i="3"/>
  <c r="S904" i="3" s="1"/>
  <c r="AB479" i="3"/>
  <c r="BB479" i="3"/>
  <c r="AJ225" i="3"/>
  <c r="N615" i="3"/>
  <c r="AO615" i="3"/>
  <c r="AB615" i="3" s="1"/>
  <c r="BB242" i="3"/>
  <c r="AB242" i="3"/>
  <c r="AB822" i="3"/>
  <c r="BB822" i="3"/>
  <c r="AB835" i="3"/>
  <c r="BB835" i="3"/>
  <c r="AJ737" i="3"/>
  <c r="AO843" i="3"/>
  <c r="BB843" i="3" s="1"/>
  <c r="N843" i="3"/>
  <c r="AJ824" i="3"/>
  <c r="AH825" i="3"/>
  <c r="AH821" i="3"/>
  <c r="AJ820" i="3"/>
  <c r="O747" i="3"/>
  <c r="K747" i="3" s="1"/>
  <c r="AN747" i="3" s="1"/>
  <c r="AQ747" i="3"/>
  <c r="O736" i="3"/>
  <c r="K736" i="3" s="1"/>
  <c r="O675" i="3"/>
  <c r="O898" i="3"/>
  <c r="AJ593" i="3"/>
  <c r="BB454" i="3"/>
  <c r="AB454" i="3"/>
  <c r="Y896" i="3"/>
  <c r="Y904" i="3" s="1"/>
  <c r="BB275" i="3"/>
  <c r="AB275" i="3"/>
  <c r="BB222" i="3"/>
  <c r="AB222" i="3"/>
  <c r="AH273" i="3"/>
  <c r="AJ272" i="3"/>
  <c r="AL139" i="3"/>
  <c r="AM139" i="3"/>
  <c r="O267" i="3"/>
  <c r="K267" i="3" s="1"/>
  <c r="AN267" i="3" s="1"/>
  <c r="AQ267" i="3"/>
  <c r="AB267" i="3" s="1"/>
  <c r="AJ181" i="3"/>
  <c r="O910" i="3"/>
  <c r="O921" i="3" s="1"/>
  <c r="BB83" i="3"/>
  <c r="AB83" i="3"/>
  <c r="AB874" i="3"/>
  <c r="BB874" i="3"/>
  <c r="AJ36" i="3"/>
  <c r="AH37" i="3"/>
  <c r="AM819" i="3"/>
  <c r="BB850" i="3"/>
  <c r="AB850" i="3"/>
  <c r="BB798" i="3"/>
  <c r="AB798" i="3"/>
  <c r="AH789" i="3"/>
  <c r="AJ788" i="3"/>
  <c r="AB734" i="3"/>
  <c r="BB734" i="3"/>
  <c r="BB643" i="3"/>
  <c r="AB643" i="3"/>
  <c r="O555" i="3"/>
  <c r="K555" i="3" s="1"/>
  <c r="AN555" i="3" s="1"/>
  <c r="AQ555" i="3"/>
  <c r="BB555" i="3" s="1"/>
  <c r="AQ423" i="3"/>
  <c r="BB423" i="3" s="1"/>
  <c r="BB247" i="3"/>
  <c r="AB247" i="3"/>
  <c r="AJ348" i="3"/>
  <c r="AH349" i="3"/>
  <c r="BB115" i="3"/>
  <c r="AB115" i="3"/>
  <c r="K103" i="3"/>
  <c r="AN103" i="3" s="1"/>
  <c r="AH85" i="3"/>
  <c r="AJ84" i="3"/>
  <c r="AB659" i="3"/>
  <c r="BB659" i="3"/>
  <c r="AB743" i="3"/>
  <c r="BB743" i="3"/>
  <c r="N735" i="3"/>
  <c r="AO735" i="3"/>
  <c r="BB838" i="3"/>
  <c r="AB838" i="3"/>
  <c r="K845" i="3"/>
  <c r="AQ787" i="3"/>
  <c r="K880" i="3"/>
  <c r="K839" i="3"/>
  <c r="AN839" i="3" s="1"/>
  <c r="AO795" i="3"/>
  <c r="K737" i="3"/>
  <c r="AH661" i="3"/>
  <c r="AJ660" i="3"/>
  <c r="BB671" i="3"/>
  <c r="AB671" i="3"/>
  <c r="BB582" i="3"/>
  <c r="AB582" i="3"/>
  <c r="AJ633" i="3"/>
  <c r="AO603" i="3"/>
  <c r="N603" i="3"/>
  <c r="O460" i="3"/>
  <c r="K460" i="3" s="1"/>
  <c r="AM219" i="3"/>
  <c r="BB134" i="3"/>
  <c r="AB134" i="3"/>
  <c r="AJ201" i="3"/>
  <c r="O148" i="3"/>
  <c r="K148" i="3" s="1"/>
  <c r="AL779" i="3"/>
  <c r="AB738" i="3"/>
  <c r="BB738" i="3"/>
  <c r="P897" i="3"/>
  <c r="P905" i="3" s="1"/>
  <c r="O847" i="3"/>
  <c r="K847" i="3" s="1"/>
  <c r="AN847" i="3" s="1"/>
  <c r="AS883" i="3"/>
  <c r="AO883" i="3"/>
  <c r="AW883" i="3"/>
  <c r="AE879" i="3"/>
  <c r="AV883" i="3"/>
  <c r="AT883" i="3"/>
  <c r="AD883" i="3"/>
  <c r="AP883" i="3"/>
  <c r="AZ883" i="3"/>
  <c r="AX883" i="3"/>
  <c r="AU883" i="3"/>
  <c r="AR883" i="3"/>
  <c r="AQ883" i="3"/>
  <c r="AY883" i="3"/>
  <c r="AN883" i="3"/>
  <c r="AB823" i="3"/>
  <c r="BB823" i="3"/>
  <c r="AM755" i="3"/>
  <c r="AL755" i="3"/>
  <c r="BB678" i="3"/>
  <c r="AB678" i="3"/>
  <c r="AO627" i="3"/>
  <c r="AB666" i="3"/>
  <c r="BB666" i="3"/>
  <c r="K640" i="3"/>
  <c r="AB535" i="3"/>
  <c r="BB535" i="3"/>
  <c r="X886" i="3"/>
  <c r="AY886" i="3" s="1"/>
  <c r="AL459" i="3"/>
  <c r="AM459" i="3"/>
  <c r="BB486" i="3"/>
  <c r="AB486" i="3"/>
  <c r="AH453" i="3"/>
  <c r="AJ452" i="3"/>
  <c r="O484" i="3"/>
  <c r="K484" i="3" s="1"/>
  <c r="BB363" i="3"/>
  <c r="AB363" i="3"/>
  <c r="W886" i="3"/>
  <c r="AX886" i="3" s="1"/>
  <c r="AX207" i="3"/>
  <c r="BB207" i="3" s="1"/>
  <c r="BB119" i="3"/>
  <c r="AB119" i="3"/>
  <c r="M896" i="3"/>
  <c r="M904" i="3" s="1"/>
  <c r="AJ193" i="3"/>
  <c r="AK867" i="3"/>
  <c r="AH868" i="3"/>
  <c r="AL867" i="3"/>
  <c r="AH863" i="3"/>
  <c r="AM867" i="3"/>
  <c r="AJ867" i="3"/>
  <c r="BB839" i="3"/>
  <c r="AB839" i="3"/>
  <c r="O799" i="3"/>
  <c r="K799" i="3" s="1"/>
  <c r="AN799" i="3" s="1"/>
  <c r="AB730" i="3"/>
  <c r="BB730" i="3"/>
  <c r="BB635" i="3"/>
  <c r="AB635" i="3"/>
  <c r="AB559" i="3"/>
  <c r="BB559" i="3"/>
  <c r="BB534" i="3"/>
  <c r="AB534" i="3"/>
  <c r="O487" i="3"/>
  <c r="K487" i="3" s="1"/>
  <c r="AN487" i="3" s="1"/>
  <c r="AQ487" i="3"/>
  <c r="N900" i="3"/>
  <c r="L900" i="3"/>
  <c r="O352" i="3"/>
  <c r="K352" i="3" s="1"/>
  <c r="AM335" i="3"/>
  <c r="AL335" i="3"/>
  <c r="W896" i="3"/>
  <c r="W904" i="3" s="1"/>
  <c r="Y886" i="3"/>
  <c r="AZ886" i="3" s="1"/>
  <c r="BB574" i="3"/>
  <c r="AB574" i="3"/>
  <c r="AJ801" i="3"/>
  <c r="AB755" i="3"/>
  <c r="BB755" i="3"/>
  <c r="N675" i="3"/>
  <c r="AO675" i="3"/>
  <c r="BB675" i="3" s="1"/>
  <c r="AJ601" i="3"/>
  <c r="AH557" i="3"/>
  <c r="AJ556" i="3"/>
  <c r="AJ512" i="3"/>
  <c r="AH513" i="3"/>
  <c r="AM535" i="3"/>
  <c r="AL535" i="3"/>
  <c r="O376" i="3"/>
  <c r="K376" i="3" s="1"/>
  <c r="AB346" i="3"/>
  <c r="BB346" i="3"/>
  <c r="BB338" i="3"/>
  <c r="AB338" i="3"/>
  <c r="O175" i="3"/>
  <c r="K175" i="3" s="1"/>
  <c r="AN175" i="3" s="1"/>
  <c r="P900" i="3"/>
  <c r="AQ175" i="3"/>
  <c r="AG1" i="3"/>
  <c r="N910" i="3"/>
  <c r="N921" i="3" s="1"/>
  <c r="AS147" i="3"/>
  <c r="O147" i="3"/>
  <c r="K147" i="3" s="1"/>
  <c r="AN147" i="3" s="1"/>
  <c r="R887" i="3"/>
  <c r="AS887" i="3" s="1"/>
  <c r="R897" i="3"/>
  <c r="R905" i="3" s="1"/>
  <c r="AH860" i="3"/>
  <c r="AL859" i="3"/>
  <c r="AM859" i="3"/>
  <c r="AK859" i="3"/>
  <c r="AJ859" i="3"/>
  <c r="AH856" i="3"/>
  <c r="AM855" i="3"/>
  <c r="AL855" i="3"/>
  <c r="AJ855" i="3"/>
  <c r="AH851" i="3"/>
  <c r="AK855" i="3"/>
  <c r="AB866" i="3"/>
  <c r="BB866" i="3"/>
  <c r="AB878" i="3"/>
  <c r="BB878" i="3"/>
  <c r="BB827" i="3"/>
  <c r="AB827" i="3"/>
  <c r="O867" i="3"/>
  <c r="K867" i="3" s="1"/>
  <c r="AJ833" i="3"/>
  <c r="BB790" i="3"/>
  <c r="AB790" i="3"/>
  <c r="O783" i="3"/>
  <c r="BB670" i="3"/>
  <c r="AB670" i="3"/>
  <c r="O687" i="3"/>
  <c r="K687" i="3" s="1"/>
  <c r="AN687" i="3" s="1"/>
  <c r="AQ687" i="3"/>
  <c r="AB687" i="3" s="1"/>
  <c r="BB623" i="3"/>
  <c r="AB623" i="3"/>
  <c r="AQ627" i="3"/>
  <c r="AM295" i="3"/>
  <c r="AL295" i="3"/>
  <c r="AM247" i="3"/>
  <c r="AL247" i="3"/>
  <c r="AH677" i="3"/>
  <c r="AJ676" i="3"/>
  <c r="AJ685" i="3"/>
  <c r="AM603" i="3"/>
  <c r="AL603" i="3"/>
  <c r="AH597" i="3"/>
  <c r="AJ596" i="3"/>
  <c r="AB575" i="3"/>
  <c r="BB575" i="3"/>
  <c r="AQ603" i="3"/>
  <c r="BB451" i="3"/>
  <c r="AB451" i="3"/>
  <c r="N483" i="3"/>
  <c r="AO483" i="3"/>
  <c r="AH481" i="3"/>
  <c r="AJ480" i="3"/>
  <c r="BB526" i="3"/>
  <c r="AB526" i="3"/>
  <c r="BB502" i="3"/>
  <c r="AB502" i="3"/>
  <c r="AJ393" i="3"/>
  <c r="AM367" i="3"/>
  <c r="AQ343" i="3"/>
  <c r="O328" i="3"/>
  <c r="K328" i="3" s="1"/>
  <c r="AM287" i="3"/>
  <c r="BB203" i="3"/>
  <c r="AB203" i="3"/>
  <c r="AJ285" i="3"/>
  <c r="O295" i="3"/>
  <c r="K295" i="3" s="1"/>
  <c r="AN295" i="3" s="1"/>
  <c r="BB206" i="3"/>
  <c r="AB206" i="3"/>
  <c r="BB234" i="3"/>
  <c r="AB234" i="3"/>
  <c r="BB218" i="3"/>
  <c r="AB218" i="3"/>
  <c r="BB191" i="3"/>
  <c r="AB191" i="3"/>
  <c r="AV231" i="3"/>
  <c r="BB235" i="3"/>
  <c r="AB235" i="3"/>
  <c r="AH121" i="3"/>
  <c r="AJ120" i="3"/>
  <c r="AJ88" i="3"/>
  <c r="AH89" i="3"/>
  <c r="V896" i="3"/>
  <c r="V904" i="3" s="1"/>
  <c r="V886" i="3"/>
  <c r="AW886" i="3" s="1"/>
  <c r="AW15" i="3"/>
  <c r="X896" i="3"/>
  <c r="X904" i="3" s="1"/>
  <c r="BB82" i="3"/>
  <c r="AB82" i="3"/>
  <c r="T886" i="3"/>
  <c r="AU886" i="3" s="1"/>
  <c r="T896" i="3"/>
  <c r="T904" i="3" s="1"/>
  <c r="BB67" i="3"/>
  <c r="AB67" i="3"/>
  <c r="AL83" i="3"/>
  <c r="O15" i="3"/>
  <c r="K15" i="3" s="1"/>
  <c r="K893" i="3"/>
  <c r="AB815" i="3"/>
  <c r="BB815" i="3"/>
  <c r="AM691" i="3"/>
  <c r="AL691" i="3"/>
  <c r="O759" i="3"/>
  <c r="K759" i="3" s="1"/>
  <c r="AN759" i="3" s="1"/>
  <c r="AJ757" i="3"/>
  <c r="BB691" i="3"/>
  <c r="AB691" i="3"/>
  <c r="BB690" i="3"/>
  <c r="AB690" i="3"/>
  <c r="AH641" i="3"/>
  <c r="AJ640" i="3"/>
  <c r="K676" i="3"/>
  <c r="AB683" i="3"/>
  <c r="BB683" i="3"/>
  <c r="O591" i="3"/>
  <c r="K604" i="3"/>
  <c r="AJ589" i="3"/>
  <c r="AO639" i="3"/>
  <c r="N639" i="3"/>
  <c r="AQ535" i="3"/>
  <c r="AM511" i="3"/>
  <c r="AB579" i="3"/>
  <c r="BB579" i="3"/>
  <c r="BB443" i="3"/>
  <c r="AB443" i="3"/>
  <c r="K485" i="3"/>
  <c r="AH489" i="3"/>
  <c r="AJ488" i="3"/>
  <c r="O459" i="3"/>
  <c r="K459" i="3" s="1"/>
  <c r="AN459" i="3" s="1"/>
  <c r="AS391" i="3"/>
  <c r="AB439" i="3"/>
  <c r="BB439" i="3"/>
  <c r="K424" i="3"/>
  <c r="O379" i="3"/>
  <c r="K379" i="3" s="1"/>
  <c r="AN379" i="3" s="1"/>
  <c r="AJ341" i="3"/>
  <c r="N375" i="3"/>
  <c r="AO375" i="3"/>
  <c r="AH329" i="3"/>
  <c r="AJ328" i="3"/>
  <c r="AQ279" i="3"/>
  <c r="AB279" i="3" s="1"/>
  <c r="AJ288" i="3"/>
  <c r="AH289" i="3"/>
  <c r="AM191" i="3"/>
  <c r="N243" i="3"/>
  <c r="AO243" i="3"/>
  <c r="BB86" i="3"/>
  <c r="AB86" i="3"/>
  <c r="AJ117" i="3"/>
  <c r="N908" i="3"/>
  <c r="N919" i="3" s="1"/>
  <c r="N892" i="3"/>
  <c r="K11" i="3"/>
  <c r="BB23" i="3"/>
  <c r="AB23" i="3"/>
  <c r="O901" i="3"/>
  <c r="AJ97" i="3"/>
  <c r="AB18" i="3"/>
  <c r="BB18" i="3"/>
  <c r="K52" i="3"/>
  <c r="BB27" i="3"/>
  <c r="AB27" i="3"/>
  <c r="AJ248" i="3"/>
  <c r="AH249" i="3"/>
  <c r="BB75" i="3"/>
  <c r="AB75" i="3"/>
  <c r="S886" i="3"/>
  <c r="AT886" i="3" s="1"/>
  <c r="AL39" i="3"/>
  <c r="BB422" i="3"/>
  <c r="AB422" i="3"/>
  <c r="O220" i="3"/>
  <c r="K220" i="3" s="1"/>
  <c r="AJ232" i="3"/>
  <c r="AH233" i="3"/>
  <c r="BB114" i="3"/>
  <c r="AB114" i="3"/>
  <c r="AH173" i="3"/>
  <c r="AJ172" i="3"/>
  <c r="O172" i="3"/>
  <c r="K172" i="3" s="1"/>
  <c r="BB95" i="3"/>
  <c r="AB95" i="3"/>
  <c r="AJ145" i="3"/>
  <c r="AJ40" i="3"/>
  <c r="AH41" i="3"/>
  <c r="K112" i="3"/>
  <c r="AJ141" i="3"/>
  <c r="BB139" i="3"/>
  <c r="AB139" i="3"/>
  <c r="N75" i="3"/>
  <c r="BB131" i="3"/>
  <c r="AB131" i="3"/>
  <c r="AB431" i="3"/>
  <c r="BB431" i="3"/>
  <c r="O388" i="3"/>
  <c r="K388" i="3" s="1"/>
  <c r="N351" i="3"/>
  <c r="AO351" i="3"/>
  <c r="AJ364" i="3"/>
  <c r="AH365" i="3"/>
  <c r="BB283" i="3"/>
  <c r="AB283" i="3"/>
  <c r="AJ264" i="3"/>
  <c r="AH265" i="3"/>
  <c r="AM227" i="3"/>
  <c r="AL227" i="3"/>
  <c r="AH297" i="3"/>
  <c r="AJ296" i="3"/>
  <c r="AJ189" i="3"/>
  <c r="AH245" i="3"/>
  <c r="AJ244" i="3"/>
  <c r="AH185" i="3"/>
  <c r="AJ184" i="3"/>
  <c r="O100" i="3"/>
  <c r="K100" i="3" s="1"/>
  <c r="BB135" i="3"/>
  <c r="AB135" i="3"/>
  <c r="AB71" i="3"/>
  <c r="BB71" i="3"/>
  <c r="BB38" i="3"/>
  <c r="AB38" i="3"/>
  <c r="AJ69" i="3"/>
  <c r="BB58" i="3"/>
  <c r="AB58" i="3"/>
  <c r="Q900" i="3"/>
  <c r="AJ80" i="3"/>
  <c r="AH81" i="3"/>
  <c r="AJ76" i="3"/>
  <c r="AH77" i="3"/>
  <c r="AB90" i="3"/>
  <c r="BB90" i="3"/>
  <c r="K83" i="3"/>
  <c r="AN83" i="3" s="1"/>
  <c r="AB35" i="3"/>
  <c r="BB35" i="3"/>
  <c r="AQ887" i="3"/>
  <c r="M886" i="3"/>
  <c r="AP886" i="3" s="1"/>
  <c r="AJ765" i="3"/>
  <c r="K760" i="3"/>
  <c r="BB590" i="3"/>
  <c r="AB590" i="3"/>
  <c r="AB682" i="3"/>
  <c r="BB682" i="3"/>
  <c r="AB667" i="3"/>
  <c r="BB667" i="3"/>
  <c r="BB631" i="3"/>
  <c r="AB631" i="3"/>
  <c r="AB599" i="3"/>
  <c r="BB599" i="3"/>
  <c r="BB482" i="3"/>
  <c r="AB482" i="3"/>
  <c r="AB487" i="3"/>
  <c r="BB487" i="3"/>
  <c r="AJ465" i="3"/>
  <c r="AJ433" i="3"/>
  <c r="AJ352" i="3"/>
  <c r="AH353" i="3"/>
  <c r="BB342" i="3"/>
  <c r="AB342" i="3"/>
  <c r="O363" i="3"/>
  <c r="BB266" i="3"/>
  <c r="AB266" i="3"/>
  <c r="AB354" i="3"/>
  <c r="BB354" i="3"/>
  <c r="BB238" i="3"/>
  <c r="AB238" i="3"/>
  <c r="AM187" i="3"/>
  <c r="AL187" i="3"/>
  <c r="AL211" i="3"/>
  <c r="AJ148" i="3"/>
  <c r="AH149" i="3"/>
  <c r="BB199" i="3"/>
  <c r="AB199" i="3"/>
  <c r="BB30" i="3"/>
  <c r="AB30" i="3"/>
  <c r="L892" i="3"/>
  <c r="BB39" i="3"/>
  <c r="AB39" i="3"/>
  <c r="BB79" i="3"/>
  <c r="AB79" i="3"/>
  <c r="BB10" i="3"/>
  <c r="AB10" i="3"/>
  <c r="BB70" i="3"/>
  <c r="AB70" i="3"/>
  <c r="AI856" i="3"/>
  <c r="AI857" i="3" s="1"/>
  <c r="AI851" i="3"/>
  <c r="AI852" i="3" s="1"/>
  <c r="AI853" i="3" s="1"/>
  <c r="BB846" i="3"/>
  <c r="AB846" i="3"/>
  <c r="AJ781" i="3"/>
  <c r="O796" i="3"/>
  <c r="K796" i="3" s="1"/>
  <c r="BB591" i="3"/>
  <c r="AB591" i="3"/>
  <c r="AM611" i="3"/>
  <c r="AJ629" i="3"/>
  <c r="AB527" i="3"/>
  <c r="BB527" i="3"/>
  <c r="AB607" i="3"/>
  <c r="BB607" i="3"/>
  <c r="O532" i="3"/>
  <c r="K532" i="3" s="1"/>
  <c r="AO459" i="3"/>
  <c r="AQ435" i="3"/>
  <c r="BB478" i="3"/>
  <c r="AB478" i="3"/>
  <c r="BB419" i="3"/>
  <c r="AB419" i="3"/>
  <c r="AB367" i="3"/>
  <c r="BB367" i="3"/>
  <c r="AH429" i="3"/>
  <c r="AJ428" i="3"/>
  <c r="AB366" i="3"/>
  <c r="BB366" i="3"/>
  <c r="AQ339" i="3"/>
  <c r="O283" i="3"/>
  <c r="K283" i="3" s="1"/>
  <c r="AN283" i="3" s="1"/>
  <c r="BB211" i="3"/>
  <c r="AB211" i="3"/>
  <c r="BB142" i="3"/>
  <c r="AB142" i="3"/>
  <c r="AL231" i="3"/>
  <c r="AO183" i="3"/>
  <c r="BB94" i="3"/>
  <c r="AB94" i="3"/>
  <c r="N339" i="3"/>
  <c r="AO339" i="3"/>
  <c r="BB126" i="3"/>
  <c r="AB126" i="3"/>
  <c r="BB151" i="3"/>
  <c r="AB151" i="3"/>
  <c r="BB22" i="3"/>
  <c r="AB22" i="3"/>
  <c r="AL123" i="3"/>
  <c r="P898" i="3"/>
  <c r="P906" i="3" s="1"/>
  <c r="L908" i="3"/>
  <c r="L919" i="3" s="1"/>
  <c r="BB123" i="3"/>
  <c r="AB123" i="3"/>
  <c r="BB55" i="3"/>
  <c r="AB55" i="3"/>
  <c r="O232" i="3"/>
  <c r="K232" i="3" s="1"/>
  <c r="O88" i="3"/>
  <c r="K88" i="3" s="1"/>
  <c r="L888" i="3"/>
  <c r="AO888" i="3" s="1"/>
  <c r="BB59" i="3"/>
  <c r="AB59" i="3"/>
  <c r="AJ60" i="3"/>
  <c r="AH61" i="3"/>
  <c r="AO147" i="3"/>
  <c r="AH45" i="3"/>
  <c r="AJ44" i="3"/>
  <c r="O902" i="3"/>
  <c r="O908" i="3"/>
  <c r="O919" i="3" s="1"/>
  <c r="AC1" i="3"/>
  <c r="BB779" i="3"/>
  <c r="AB779" i="3"/>
  <c r="AJ612" i="3"/>
  <c r="AH613" i="3"/>
  <c r="K527" i="3"/>
  <c r="AN527" i="3" s="1"/>
  <c r="O579" i="3"/>
  <c r="K579" i="3" s="1"/>
  <c r="AN579" i="3" s="1"/>
  <c r="AJ461" i="3"/>
  <c r="AJ385" i="3"/>
  <c r="BB295" i="3"/>
  <c r="AB295" i="3"/>
  <c r="AJ441" i="3"/>
  <c r="AB263" i="3"/>
  <c r="BB263" i="3"/>
  <c r="AB343" i="3"/>
  <c r="BB343" i="3"/>
  <c r="BB335" i="3"/>
  <c r="AB335" i="3"/>
  <c r="K208" i="3"/>
  <c r="BB239" i="3"/>
  <c r="AB239" i="3"/>
  <c r="AH213" i="3"/>
  <c r="AJ212" i="3"/>
  <c r="K341" i="3"/>
  <c r="BB167" i="3"/>
  <c r="AB167" i="3"/>
  <c r="BB107" i="3"/>
  <c r="AB107" i="3"/>
  <c r="AB223" i="3"/>
  <c r="BB223" i="3"/>
  <c r="AJ105" i="3"/>
  <c r="P888" i="3"/>
  <c r="AQ888" i="3" s="1"/>
  <c r="BB66" i="3"/>
  <c r="AB66" i="3"/>
  <c r="AH57" i="3"/>
  <c r="AJ56" i="3"/>
  <c r="BB47" i="3"/>
  <c r="AB47" i="3"/>
  <c r="O135" i="3"/>
  <c r="K135" i="3" s="1"/>
  <c r="AN135" i="3" s="1"/>
  <c r="AJ20" i="3"/>
  <c r="AH21" i="3"/>
  <c r="K779" i="3"/>
  <c r="AN779" i="3" s="1"/>
  <c r="AB746" i="3"/>
  <c r="BB746" i="3"/>
  <c r="BB642" i="3"/>
  <c r="AB642" i="3"/>
  <c r="BB794" i="3"/>
  <c r="AB794" i="3"/>
  <c r="AJ669" i="3"/>
  <c r="AJ609" i="3"/>
  <c r="BB462" i="3"/>
  <c r="AB462" i="3"/>
  <c r="AH445" i="3"/>
  <c r="AJ444" i="3"/>
  <c r="L896" i="3"/>
  <c r="AH369" i="3"/>
  <c r="AJ368" i="3"/>
  <c r="AH357" i="3"/>
  <c r="AJ356" i="3"/>
  <c r="AH337" i="3"/>
  <c r="AJ336" i="3"/>
  <c r="AB262" i="3"/>
  <c r="BB262" i="3"/>
  <c r="BB331" i="3"/>
  <c r="AB331" i="3"/>
  <c r="BB91" i="3"/>
  <c r="AB91" i="3"/>
  <c r="O207" i="3"/>
  <c r="BB127" i="3"/>
  <c r="AB127" i="3"/>
  <c r="AJ137" i="3"/>
  <c r="AJ124" i="3"/>
  <c r="AH125" i="3"/>
  <c r="BB31" i="3"/>
  <c r="AB31" i="3"/>
  <c r="AJ133" i="3"/>
  <c r="AJ204" i="3"/>
  <c r="AH205" i="3"/>
  <c r="AB43" i="3"/>
  <c r="BB43" i="3"/>
  <c r="AJ25" i="3"/>
  <c r="AJ33" i="3"/>
  <c r="AH537" i="3"/>
  <c r="AJ536" i="3"/>
  <c r="AB442" i="3"/>
  <c r="BB442" i="3"/>
  <c r="O448" i="3"/>
  <c r="K448" i="3" s="1"/>
  <c r="AH421" i="3"/>
  <c r="AJ420" i="3"/>
  <c r="BB362" i="3"/>
  <c r="AB362" i="3"/>
  <c r="AR451" i="3"/>
  <c r="AJ377" i="3"/>
  <c r="BB271" i="3"/>
  <c r="AB271" i="3"/>
  <c r="K233" i="3"/>
  <c r="BB103" i="3"/>
  <c r="AB103" i="3"/>
  <c r="BB227" i="3"/>
  <c r="AB227" i="3"/>
  <c r="U886" i="3"/>
  <c r="AV886" i="3" s="1"/>
  <c r="AJ113" i="3"/>
  <c r="AQ91" i="3"/>
  <c r="O196" i="3"/>
  <c r="K196" i="3" s="1"/>
  <c r="BB287" i="3"/>
  <c r="AB287" i="3"/>
  <c r="BB350" i="3"/>
  <c r="AB350" i="3"/>
  <c r="K383" i="3"/>
  <c r="AN383" i="3" s="1"/>
  <c r="BB323" i="3"/>
  <c r="AB323" i="3"/>
  <c r="BB106" i="3"/>
  <c r="AB106" i="3"/>
  <c r="BB118" i="3"/>
  <c r="AB118" i="3"/>
  <c r="N897" i="3"/>
  <c r="N905" i="3" s="1"/>
  <c r="N887" i="3"/>
  <c r="N171" i="3"/>
  <c r="AO171" i="3"/>
  <c r="AB179" i="3"/>
  <c r="BB179" i="3"/>
  <c r="AH93" i="3"/>
  <c r="AJ92" i="3"/>
  <c r="BB78" i="3"/>
  <c r="AB78" i="3"/>
  <c r="AL127" i="3"/>
  <c r="AH29" i="3"/>
  <c r="AJ28" i="3"/>
  <c r="AQ111" i="3"/>
  <c r="AB111" i="3" s="1"/>
  <c r="AR887" i="3" l="1"/>
  <c r="T889" i="3"/>
  <c r="AK719" i="3"/>
  <c r="AM719" i="3"/>
  <c r="AL719" i="3"/>
  <c r="AB723" i="3"/>
  <c r="BB723" i="3"/>
  <c r="AU719" i="3"/>
  <c r="AQ719" i="3"/>
  <c r="AD719" i="3"/>
  <c r="AO719" i="3"/>
  <c r="AE715" i="3"/>
  <c r="AP719" i="3"/>
  <c r="AT719" i="3"/>
  <c r="AN719" i="3"/>
  <c r="AZ719" i="3"/>
  <c r="AY719" i="3"/>
  <c r="AX719" i="3"/>
  <c r="AW719" i="3"/>
  <c r="AV719" i="3"/>
  <c r="AS719" i="3"/>
  <c r="AR719" i="3"/>
  <c r="K783" i="3"/>
  <c r="AN783" i="3" s="1"/>
  <c r="K615" i="3"/>
  <c r="AN615" i="3" s="1"/>
  <c r="K831" i="3"/>
  <c r="AN831" i="3" s="1"/>
  <c r="O888" i="3"/>
  <c r="K207" i="3"/>
  <c r="AN207" i="3" s="1"/>
  <c r="AB819" i="3"/>
  <c r="K843" i="3"/>
  <c r="AN843" i="3" s="1"/>
  <c r="K63" i="3"/>
  <c r="AN63" i="3" s="1"/>
  <c r="K339" i="3"/>
  <c r="AN339" i="3" s="1"/>
  <c r="K603" i="3"/>
  <c r="AN603" i="3" s="1"/>
  <c r="K663" i="3"/>
  <c r="AN663" i="3" s="1"/>
  <c r="K243" i="3"/>
  <c r="AN243" i="3" s="1"/>
  <c r="K639" i="3"/>
  <c r="AN639" i="3" s="1"/>
  <c r="K435" i="3"/>
  <c r="AN435" i="3" s="1"/>
  <c r="K363" i="3"/>
  <c r="AN363" i="3" s="1"/>
  <c r="K888" i="3"/>
  <c r="AN888" i="3" s="1"/>
  <c r="K75" i="3"/>
  <c r="AN75" i="3" s="1"/>
  <c r="K894" i="3"/>
  <c r="K591" i="3"/>
  <c r="AN591" i="3" s="1"/>
  <c r="BB639" i="3"/>
  <c r="K51" i="3"/>
  <c r="AN51" i="3" s="1"/>
  <c r="AH885" i="3"/>
  <c r="AK885" i="3" s="1"/>
  <c r="BB507" i="3"/>
  <c r="AB51" i="3"/>
  <c r="AL884" i="3"/>
  <c r="BB663" i="3"/>
  <c r="AK884" i="3"/>
  <c r="AJ884" i="3"/>
  <c r="BB267" i="3"/>
  <c r="BB63" i="3"/>
  <c r="BB615" i="3"/>
  <c r="AB675" i="3"/>
  <c r="AB888" i="3"/>
  <c r="AB423" i="3"/>
  <c r="AB207" i="3"/>
  <c r="BB747" i="3"/>
  <c r="BB279" i="3"/>
  <c r="BB687" i="3"/>
  <c r="AB887" i="3"/>
  <c r="BB339" i="3"/>
  <c r="AB747" i="3"/>
  <c r="AL875" i="3"/>
  <c r="AM875" i="3"/>
  <c r="AJ875" i="3"/>
  <c r="AK875" i="3"/>
  <c r="AH876" i="3"/>
  <c r="AL872" i="3"/>
  <c r="AM872" i="3"/>
  <c r="AK872" i="3"/>
  <c r="AJ872" i="3"/>
  <c r="AH873" i="3"/>
  <c r="AL880" i="3"/>
  <c r="AK880" i="3"/>
  <c r="AJ880" i="3"/>
  <c r="AM880" i="3"/>
  <c r="AH881" i="3"/>
  <c r="AJ61" i="3"/>
  <c r="O231" i="3"/>
  <c r="K231" i="3" s="1"/>
  <c r="AN231" i="3" s="1"/>
  <c r="AQ231" i="3"/>
  <c r="AJ445" i="3"/>
  <c r="AJ213" i="3"/>
  <c r="O906" i="3"/>
  <c r="AJ185" i="3"/>
  <c r="O483" i="3"/>
  <c r="K483" i="3" s="1"/>
  <c r="AN483" i="3" s="1"/>
  <c r="AQ483" i="3"/>
  <c r="AJ273" i="3"/>
  <c r="AB339" i="3"/>
  <c r="BB111" i="3"/>
  <c r="AJ337" i="3"/>
  <c r="AJ149" i="3"/>
  <c r="AJ265" i="3"/>
  <c r="AJ289" i="3"/>
  <c r="AK856" i="3"/>
  <c r="AH857" i="3"/>
  <c r="AL856" i="3"/>
  <c r="AJ856" i="3"/>
  <c r="AM856" i="3"/>
  <c r="O195" i="3"/>
  <c r="K195" i="3" s="1"/>
  <c r="AN195" i="3" s="1"/>
  <c r="AQ195" i="3"/>
  <c r="AJ57" i="3"/>
  <c r="AJ429" i="3"/>
  <c r="O387" i="3"/>
  <c r="K387" i="3" s="1"/>
  <c r="AN387" i="3" s="1"/>
  <c r="AR387" i="3"/>
  <c r="K908" i="3"/>
  <c r="K919" i="3" s="1"/>
  <c r="K892" i="3"/>
  <c r="AN11" i="3"/>
  <c r="AJ89" i="3"/>
  <c r="N888" i="3"/>
  <c r="AS99" i="3"/>
  <c r="R896" i="3"/>
  <c r="R904" i="3" s="1"/>
  <c r="R886" i="3"/>
  <c r="AS886" i="3" s="1"/>
  <c r="AJ481" i="3"/>
  <c r="AJ597" i="3"/>
  <c r="AK863" i="3"/>
  <c r="AL863" i="3"/>
  <c r="AH864" i="3"/>
  <c r="AM863" i="3"/>
  <c r="AJ863" i="3"/>
  <c r="O375" i="3"/>
  <c r="K375" i="3" s="1"/>
  <c r="AN375" i="3" s="1"/>
  <c r="AQ375" i="3"/>
  <c r="BB375" i="3" s="1"/>
  <c r="O900" i="3"/>
  <c r="BB883" i="3"/>
  <c r="AB883" i="3"/>
  <c r="AJ613" i="3"/>
  <c r="AJ45" i="3"/>
  <c r="O99" i="3"/>
  <c r="K99" i="3" s="1"/>
  <c r="AN99" i="3" s="1"/>
  <c r="AQ99" i="3"/>
  <c r="AJ297" i="3"/>
  <c r="O735" i="3"/>
  <c r="K735" i="3" s="1"/>
  <c r="AN735" i="3" s="1"/>
  <c r="AQ735" i="3"/>
  <c r="AJ389" i="3"/>
  <c r="AM888" i="3"/>
  <c r="AJ888" i="3"/>
  <c r="AL888" i="3"/>
  <c r="AK888" i="3"/>
  <c r="AJ421" i="3"/>
  <c r="L886" i="3"/>
  <c r="AJ353" i="3"/>
  <c r="AJ365" i="3"/>
  <c r="AJ789" i="3"/>
  <c r="AO885" i="3"/>
  <c r="AP885" i="3"/>
  <c r="AW885" i="3"/>
  <c r="AT885" i="3"/>
  <c r="AR885" i="3"/>
  <c r="AV885" i="3"/>
  <c r="AS885" i="3"/>
  <c r="AQ885" i="3"/>
  <c r="AN885" i="3"/>
  <c r="AZ885" i="3"/>
  <c r="AY885" i="3"/>
  <c r="AX885" i="3"/>
  <c r="AU885" i="3"/>
  <c r="AD885" i="3"/>
  <c r="AJ125" i="3"/>
  <c r="N898" i="3"/>
  <c r="N906" i="3" s="1"/>
  <c r="AJ205" i="3"/>
  <c r="BB147" i="3"/>
  <c r="AB147" i="3"/>
  <c r="BB459" i="3"/>
  <c r="AB459" i="3"/>
  <c r="O291" i="3"/>
  <c r="K291" i="3" s="1"/>
  <c r="AN291" i="3" s="1"/>
  <c r="AQ291" i="3"/>
  <c r="AJ245" i="3"/>
  <c r="AJ249" i="3"/>
  <c r="AJ557" i="3"/>
  <c r="AL868" i="3"/>
  <c r="AK868" i="3"/>
  <c r="AH869" i="3"/>
  <c r="AM868" i="3"/>
  <c r="AJ868" i="3"/>
  <c r="AJ453" i="3"/>
  <c r="AY879" i="3"/>
  <c r="AE875" i="3"/>
  <c r="AW879" i="3"/>
  <c r="AR879" i="3"/>
  <c r="AT879" i="3"/>
  <c r="AD879" i="3"/>
  <c r="AN879" i="3"/>
  <c r="AX879" i="3"/>
  <c r="AU879" i="3"/>
  <c r="AS879" i="3"/>
  <c r="AQ879" i="3"/>
  <c r="AP879" i="3"/>
  <c r="AO879" i="3"/>
  <c r="AZ879" i="3"/>
  <c r="AV879" i="3"/>
  <c r="BB603" i="3"/>
  <c r="AB603" i="3"/>
  <c r="AJ821" i="3"/>
  <c r="AB843" i="3"/>
  <c r="AE880" i="3"/>
  <c r="AE881" i="3" s="1"/>
  <c r="AJ233" i="3"/>
  <c r="BB243" i="3"/>
  <c r="AB243" i="3"/>
  <c r="AJ81" i="3"/>
  <c r="O447" i="3"/>
  <c r="K447" i="3" s="1"/>
  <c r="AN447" i="3" s="1"/>
  <c r="AQ447" i="3"/>
  <c r="AI1" i="3"/>
  <c r="AJ357" i="3"/>
  <c r="AJ369" i="3"/>
  <c r="O87" i="3"/>
  <c r="K87" i="3" s="1"/>
  <c r="AN87" i="3" s="1"/>
  <c r="AQ87" i="3"/>
  <c r="AL851" i="3"/>
  <c r="AM851" i="3"/>
  <c r="AK851" i="3"/>
  <c r="AJ851" i="3"/>
  <c r="AH852" i="3"/>
  <c r="L904" i="3"/>
  <c r="AB435" i="3"/>
  <c r="BB435" i="3"/>
  <c r="AJ797" i="3"/>
  <c r="O171" i="3"/>
  <c r="K171" i="3" s="1"/>
  <c r="AQ171" i="3"/>
  <c r="AB171" i="3" s="1"/>
  <c r="AJ29" i="3"/>
  <c r="AJ21" i="3"/>
  <c r="K887" i="3"/>
  <c r="AN887" i="3" s="1"/>
  <c r="K897" i="3"/>
  <c r="K905" i="3" s="1"/>
  <c r="O531" i="3"/>
  <c r="K531" i="3" s="1"/>
  <c r="AN531" i="3" s="1"/>
  <c r="AQ531" i="3"/>
  <c r="AJ173" i="3"/>
  <c r="AJ677" i="3"/>
  <c r="AJ513" i="3"/>
  <c r="K675" i="3"/>
  <c r="AN675" i="3" s="1"/>
  <c r="BB627" i="3"/>
  <c r="AB627" i="3"/>
  <c r="AB639" i="3"/>
  <c r="AJ825" i="3"/>
  <c r="Q896" i="3"/>
  <c r="Q904" i="3" s="1"/>
  <c r="Q886" i="3"/>
  <c r="AR886" i="3" s="1"/>
  <c r="AR15" i="3"/>
  <c r="AB555" i="3"/>
  <c r="AJ537" i="3"/>
  <c r="AJ489" i="3"/>
  <c r="AJ85" i="3"/>
  <c r="AJ93" i="3"/>
  <c r="AN15" i="3"/>
  <c r="AJ77" i="3"/>
  <c r="AJ329" i="3"/>
  <c r="P896" i="3"/>
  <c r="P904" i="3" s="1"/>
  <c r="AJ661" i="3"/>
  <c r="AJ37" i="3"/>
  <c r="O897" i="3"/>
  <c r="O905" i="3" s="1"/>
  <c r="O887" i="3"/>
  <c r="AB884" i="3"/>
  <c r="BB884" i="3"/>
  <c r="AB183" i="3"/>
  <c r="BB183" i="3"/>
  <c r="AJ41" i="3"/>
  <c r="O219" i="3"/>
  <c r="K219" i="3" s="1"/>
  <c r="AN219" i="3" s="1"/>
  <c r="AQ219" i="3"/>
  <c r="AJ641" i="3"/>
  <c r="P886" i="3"/>
  <c r="AQ886" i="3" s="1"/>
  <c r="AJ121" i="3"/>
  <c r="O327" i="3"/>
  <c r="K327" i="3" s="1"/>
  <c r="AN327" i="3" s="1"/>
  <c r="AQ327" i="3"/>
  <c r="O795" i="3"/>
  <c r="K795" i="3" s="1"/>
  <c r="AN795" i="3" s="1"/>
  <c r="AQ795" i="3"/>
  <c r="AB795" i="3" s="1"/>
  <c r="AJ860" i="3"/>
  <c r="AH861" i="3"/>
  <c r="AL860" i="3"/>
  <c r="AK860" i="3"/>
  <c r="AM860" i="3"/>
  <c r="O351" i="3"/>
  <c r="K351" i="3" s="1"/>
  <c r="AN351" i="3" s="1"/>
  <c r="AQ351" i="3"/>
  <c r="AJ349" i="3"/>
  <c r="AM715" i="3" l="1"/>
  <c r="AK715" i="3"/>
  <c r="AL715" i="3"/>
  <c r="AO715" i="3"/>
  <c r="AN715" i="3"/>
  <c r="AZ715" i="3"/>
  <c r="AY715" i="3"/>
  <c r="AV715" i="3"/>
  <c r="AX715" i="3"/>
  <c r="AE711" i="3"/>
  <c r="AU715" i="3"/>
  <c r="AR715" i="3"/>
  <c r="AW715" i="3"/>
  <c r="AT715" i="3"/>
  <c r="AS715" i="3"/>
  <c r="AQ715" i="3"/>
  <c r="AP715" i="3"/>
  <c r="AD715" i="3"/>
  <c r="BB719" i="3"/>
  <c r="AB719" i="3"/>
  <c r="K898" i="3"/>
  <c r="K906" i="3" s="1"/>
  <c r="AM885" i="3"/>
  <c r="AJ885" i="3"/>
  <c r="K900" i="3"/>
  <c r="AL885" i="3"/>
  <c r="AO886" i="3"/>
  <c r="AB886" i="3" s="1"/>
  <c r="O896" i="3"/>
  <c r="O904" i="3" s="1"/>
  <c r="AK876" i="3"/>
  <c r="AM876" i="3"/>
  <c r="AL876" i="3"/>
  <c r="AH877" i="3"/>
  <c r="AJ876" i="3"/>
  <c r="AL873" i="3"/>
  <c r="AM873" i="3"/>
  <c r="AK873" i="3"/>
  <c r="AJ873" i="3"/>
  <c r="AL881" i="3"/>
  <c r="AK881" i="3"/>
  <c r="AM881" i="3"/>
  <c r="AJ881" i="3"/>
  <c r="AN171" i="3"/>
  <c r="BB447" i="3"/>
  <c r="AB447" i="3"/>
  <c r="BB483" i="3"/>
  <c r="AB483" i="3"/>
  <c r="AB231" i="3"/>
  <c r="BB231" i="3"/>
  <c r="AM869" i="3"/>
  <c r="AK869" i="3"/>
  <c r="AJ869" i="3"/>
  <c r="AL869" i="3"/>
  <c r="AL864" i="3"/>
  <c r="AM864" i="3"/>
  <c r="AK864" i="3"/>
  <c r="AJ864" i="3"/>
  <c r="AH865" i="3"/>
  <c r="BB531" i="3"/>
  <c r="AB531" i="3"/>
  <c r="BB879" i="3"/>
  <c r="AB879" i="3"/>
  <c r="BB735" i="3"/>
  <c r="AB735" i="3"/>
  <c r="AQ875" i="3"/>
  <c r="AW875" i="3"/>
  <c r="AE871" i="3"/>
  <c r="AO875" i="3"/>
  <c r="AX875" i="3"/>
  <c r="AZ875" i="3"/>
  <c r="AV875" i="3"/>
  <c r="AN875" i="3"/>
  <c r="AD875" i="3"/>
  <c r="AY875" i="3"/>
  <c r="AU875" i="3"/>
  <c r="AT875" i="3"/>
  <c r="AS875" i="3"/>
  <c r="AP875" i="3"/>
  <c r="AR875" i="3"/>
  <c r="BB351" i="3"/>
  <c r="AB351" i="3"/>
  <c r="AM857" i="3"/>
  <c r="AL857" i="3"/>
  <c r="AK857" i="3"/>
  <c r="AJ857" i="3"/>
  <c r="AB375" i="3"/>
  <c r="BB171" i="3"/>
  <c r="BB87" i="3"/>
  <c r="AB87" i="3"/>
  <c r="AB195" i="3"/>
  <c r="BB195" i="3"/>
  <c r="AM861" i="3"/>
  <c r="AL861" i="3"/>
  <c r="AK861" i="3"/>
  <c r="AJ861" i="3"/>
  <c r="AH853" i="3"/>
  <c r="AM852" i="3"/>
  <c r="AL852" i="3"/>
  <c r="AJ852" i="3"/>
  <c r="AK852" i="3"/>
  <c r="BB795" i="3"/>
  <c r="AB291" i="3"/>
  <c r="BB291" i="3"/>
  <c r="BB99" i="3"/>
  <c r="AB99" i="3"/>
  <c r="AB387" i="3"/>
  <c r="BB387" i="3"/>
  <c r="BB15" i="3"/>
  <c r="AB15" i="3"/>
  <c r="AU881" i="3"/>
  <c r="AY881" i="3"/>
  <c r="AS881" i="3"/>
  <c r="AW881" i="3"/>
  <c r="AT881" i="3"/>
  <c r="AD881" i="3"/>
  <c r="AP881" i="3"/>
  <c r="AZ881" i="3"/>
  <c r="AX881" i="3"/>
  <c r="AQ881" i="3"/>
  <c r="AV881" i="3"/>
  <c r="AR881" i="3"/>
  <c r="AO881" i="3"/>
  <c r="AN881" i="3"/>
  <c r="BB327" i="3"/>
  <c r="AB327" i="3"/>
  <c r="BB219" i="3"/>
  <c r="AB219" i="3"/>
  <c r="N886" i="3"/>
  <c r="N896" i="3"/>
  <c r="N904" i="3" s="1"/>
  <c r="O886" i="3"/>
  <c r="AQ880" i="3"/>
  <c r="AR880" i="3"/>
  <c r="AD880" i="3"/>
  <c r="AY880" i="3"/>
  <c r="AX880" i="3"/>
  <c r="AV880" i="3"/>
  <c r="AS880" i="3"/>
  <c r="AU880" i="3"/>
  <c r="AP880" i="3"/>
  <c r="AO880" i="3"/>
  <c r="AT880" i="3"/>
  <c r="AN880" i="3"/>
  <c r="AW880" i="3"/>
  <c r="AE876" i="3"/>
  <c r="AE877" i="3" s="1"/>
  <c r="AZ880" i="3"/>
  <c r="AB885" i="3"/>
  <c r="BB885" i="3"/>
  <c r="AK711" i="3" l="1"/>
  <c r="AM711" i="3"/>
  <c r="AL711" i="3"/>
  <c r="AU711" i="3"/>
  <c r="AV711" i="3"/>
  <c r="AE707" i="3"/>
  <c r="AS711" i="3"/>
  <c r="AP711" i="3"/>
  <c r="AT711" i="3"/>
  <c r="AO711" i="3"/>
  <c r="AY711" i="3"/>
  <c r="AR711" i="3"/>
  <c r="AQ711" i="3"/>
  <c r="AD711" i="3"/>
  <c r="AN711" i="3"/>
  <c r="AZ711" i="3"/>
  <c r="AW711" i="3"/>
  <c r="AX711" i="3"/>
  <c r="BB715" i="3"/>
  <c r="AB715" i="3"/>
  <c r="AM877" i="3"/>
  <c r="AL877" i="3"/>
  <c r="AJ877" i="3"/>
  <c r="AK877" i="3"/>
  <c r="AW871" i="3"/>
  <c r="AR871" i="3"/>
  <c r="AE867" i="3"/>
  <c r="AV871" i="3"/>
  <c r="AZ871" i="3"/>
  <c r="AX871" i="3"/>
  <c r="AU871" i="3"/>
  <c r="AS871" i="3"/>
  <c r="AD871" i="3"/>
  <c r="AY871" i="3"/>
  <c r="AT871" i="3"/>
  <c r="AQ871" i="3"/>
  <c r="AP871" i="3"/>
  <c r="AO871" i="3"/>
  <c r="AN871" i="3"/>
  <c r="BB875" i="3"/>
  <c r="AB875" i="3"/>
  <c r="AB880" i="3"/>
  <c r="BB880" i="3"/>
  <c r="BB881" i="3"/>
  <c r="AB881" i="3"/>
  <c r="AW876" i="3"/>
  <c r="AS876" i="3"/>
  <c r="AN876" i="3"/>
  <c r="AV876" i="3"/>
  <c r="AP876" i="3"/>
  <c r="AE872" i="3"/>
  <c r="AE873" i="3" s="1"/>
  <c r="AZ876" i="3"/>
  <c r="AD876" i="3"/>
  <c r="AY876" i="3"/>
  <c r="AX876" i="3"/>
  <c r="AU876" i="3"/>
  <c r="AT876" i="3"/>
  <c r="AR876" i="3"/>
  <c r="AQ876" i="3"/>
  <c r="AO876" i="3"/>
  <c r="AJ853" i="3"/>
  <c r="AL853" i="3"/>
  <c r="AK853" i="3"/>
  <c r="AM853" i="3"/>
  <c r="AH1" i="3"/>
  <c r="AO877" i="3"/>
  <c r="AZ877" i="3"/>
  <c r="AW877" i="3"/>
  <c r="AR877" i="3"/>
  <c r="AD877" i="3"/>
  <c r="AQ877" i="3"/>
  <c r="AN877" i="3"/>
  <c r="AU877" i="3"/>
  <c r="AT877" i="3"/>
  <c r="AS877" i="3"/>
  <c r="AP877" i="3"/>
  <c r="AY877" i="3"/>
  <c r="AV877" i="3"/>
  <c r="AX877" i="3"/>
  <c r="AM865" i="3"/>
  <c r="AK865" i="3"/>
  <c r="AL865" i="3"/>
  <c r="AJ865" i="3"/>
  <c r="K896" i="3"/>
  <c r="K904" i="3" s="1"/>
  <c r="K886" i="3"/>
  <c r="AN886" i="3" s="1"/>
  <c r="AL707" i="3" l="1"/>
  <c r="AK707" i="3"/>
  <c r="AM707" i="3"/>
  <c r="AO707" i="3"/>
  <c r="AR707" i="3"/>
  <c r="AD707" i="3"/>
  <c r="AY707" i="3"/>
  <c r="AQ707" i="3"/>
  <c r="AP707" i="3"/>
  <c r="AX707" i="3"/>
  <c r="AN707" i="3"/>
  <c r="AZ707" i="3"/>
  <c r="AW707" i="3"/>
  <c r="AV707" i="3"/>
  <c r="AU707" i="3"/>
  <c r="AS707" i="3"/>
  <c r="AT707" i="3"/>
  <c r="AB711" i="3"/>
  <c r="BB711" i="3"/>
  <c r="AJ1" i="3"/>
  <c r="BB877" i="3"/>
  <c r="AB877" i="3"/>
  <c r="AO872" i="3"/>
  <c r="AY872" i="3"/>
  <c r="AR872" i="3"/>
  <c r="AD872" i="3"/>
  <c r="AE868" i="3"/>
  <c r="AE869" i="3" s="1"/>
  <c r="AW872" i="3"/>
  <c r="AU872" i="3"/>
  <c r="AT872" i="3"/>
  <c r="AQ872" i="3"/>
  <c r="AP872" i="3"/>
  <c r="AN872" i="3"/>
  <c r="AV872" i="3"/>
  <c r="AS872" i="3"/>
  <c r="AZ872" i="3"/>
  <c r="AX872" i="3"/>
  <c r="BB871" i="3"/>
  <c r="AB871" i="3"/>
  <c r="BB876" i="3"/>
  <c r="AB876" i="3"/>
  <c r="AQ867" i="3"/>
  <c r="AX867" i="3"/>
  <c r="AE863" i="3"/>
  <c r="AR867" i="3"/>
  <c r="AO867" i="3"/>
  <c r="AN867" i="3"/>
  <c r="AZ867" i="3"/>
  <c r="AY867" i="3"/>
  <c r="AW867" i="3"/>
  <c r="AD867" i="3"/>
  <c r="AV867" i="3"/>
  <c r="AT867" i="3"/>
  <c r="AS867" i="3"/>
  <c r="AP867" i="3"/>
  <c r="AU867" i="3"/>
  <c r="AS873" i="3"/>
  <c r="AT873" i="3"/>
  <c r="AU873" i="3"/>
  <c r="AN873" i="3"/>
  <c r="AX873" i="3"/>
  <c r="AV873" i="3"/>
  <c r="AR873" i="3"/>
  <c r="AP873" i="3"/>
  <c r="AD873" i="3"/>
  <c r="AZ873" i="3"/>
  <c r="AY873" i="3"/>
  <c r="AW873" i="3"/>
  <c r="AO873" i="3"/>
  <c r="AQ873" i="3"/>
  <c r="AB707" i="3" l="1"/>
  <c r="BB707" i="3"/>
  <c r="AY869" i="3"/>
  <c r="AQ869" i="3"/>
  <c r="AD869" i="3"/>
  <c r="AP869" i="3"/>
  <c r="AN869" i="3"/>
  <c r="AZ869" i="3"/>
  <c r="AW869" i="3"/>
  <c r="AX869" i="3"/>
  <c r="AV869" i="3"/>
  <c r="AU869" i="3"/>
  <c r="AS869" i="3"/>
  <c r="AR869" i="3"/>
  <c r="AO869" i="3"/>
  <c r="AT869" i="3"/>
  <c r="AU868" i="3"/>
  <c r="AV868" i="3"/>
  <c r="AR868" i="3"/>
  <c r="AN868" i="3"/>
  <c r="AZ868" i="3"/>
  <c r="AX868" i="3"/>
  <c r="AS868" i="3"/>
  <c r="AQ868" i="3"/>
  <c r="AP868" i="3"/>
  <c r="AO868" i="3"/>
  <c r="AE864" i="3"/>
  <c r="AE865" i="3" s="1"/>
  <c r="AY868" i="3"/>
  <c r="AW868" i="3"/>
  <c r="AT868" i="3"/>
  <c r="AD868" i="3"/>
  <c r="AB872" i="3"/>
  <c r="BB872" i="3"/>
  <c r="AW863" i="3"/>
  <c r="AE859" i="3"/>
  <c r="AR863" i="3"/>
  <c r="AN863" i="3"/>
  <c r="AZ863" i="3"/>
  <c r="AV863" i="3"/>
  <c r="AY863" i="3"/>
  <c r="AX863" i="3"/>
  <c r="AD863" i="3"/>
  <c r="AU863" i="3"/>
  <c r="AT863" i="3"/>
  <c r="AS863" i="3"/>
  <c r="AQ863" i="3"/>
  <c r="AP863" i="3"/>
  <c r="AO863" i="3"/>
  <c r="BB873" i="3"/>
  <c r="AB873" i="3"/>
  <c r="BB867" i="3"/>
  <c r="AB867" i="3"/>
  <c r="BB863" i="3" l="1"/>
  <c r="AB863" i="3"/>
  <c r="AB868" i="3"/>
  <c r="BB868" i="3"/>
  <c r="AB869" i="3"/>
  <c r="BB869" i="3"/>
  <c r="AS865" i="3"/>
  <c r="AT865" i="3"/>
  <c r="AU865" i="3"/>
  <c r="AQ865" i="3"/>
  <c r="AP865" i="3"/>
  <c r="AN865" i="3"/>
  <c r="AX865" i="3"/>
  <c r="AW865" i="3"/>
  <c r="AV865" i="3"/>
  <c r="AR865" i="3"/>
  <c r="AO865" i="3"/>
  <c r="AZ865" i="3"/>
  <c r="AY865" i="3"/>
  <c r="AD865" i="3"/>
  <c r="AO864" i="3"/>
  <c r="AY864" i="3"/>
  <c r="AW864" i="3"/>
  <c r="AU864" i="3"/>
  <c r="AT864" i="3"/>
  <c r="AR864" i="3"/>
  <c r="AD864" i="3"/>
  <c r="AE860" i="3"/>
  <c r="AN864" i="3"/>
  <c r="AZ864" i="3"/>
  <c r="AX864" i="3"/>
  <c r="AV864" i="3"/>
  <c r="AS864" i="3"/>
  <c r="AP864" i="3"/>
  <c r="AQ864" i="3"/>
  <c r="AQ859" i="3"/>
  <c r="AO859" i="3"/>
  <c r="AN859" i="3"/>
  <c r="AZ859" i="3"/>
  <c r="AW859" i="3"/>
  <c r="AY859" i="3"/>
  <c r="AV859" i="3"/>
  <c r="AD859" i="3"/>
  <c r="AU859" i="3"/>
  <c r="AT859" i="3"/>
  <c r="AX859" i="3"/>
  <c r="AR859" i="3"/>
  <c r="AE855" i="3"/>
  <c r="AS859" i="3"/>
  <c r="AP859" i="3"/>
  <c r="AB865" i="3" l="1"/>
  <c r="BB865" i="3"/>
  <c r="AS855" i="3"/>
  <c r="AU855" i="3"/>
  <c r="AR855" i="3"/>
  <c r="AO855" i="3"/>
  <c r="AZ855" i="3"/>
  <c r="AY855" i="3"/>
  <c r="AX855" i="3"/>
  <c r="AW855" i="3"/>
  <c r="AV855" i="3"/>
  <c r="AT855" i="3"/>
  <c r="AQ855" i="3"/>
  <c r="AP855" i="3"/>
  <c r="AN855" i="3"/>
  <c r="AD855" i="3"/>
  <c r="AE851" i="3"/>
  <c r="AU860" i="3"/>
  <c r="AW860" i="3"/>
  <c r="AZ860" i="3"/>
  <c r="AX860" i="3"/>
  <c r="AS860" i="3"/>
  <c r="AO860" i="3"/>
  <c r="AN860" i="3"/>
  <c r="AY860" i="3"/>
  <c r="AV860" i="3"/>
  <c r="AR860" i="3"/>
  <c r="AP860" i="3"/>
  <c r="AE856" i="3"/>
  <c r="AT860" i="3"/>
  <c r="AQ860" i="3"/>
  <c r="AD860" i="3"/>
  <c r="BB864" i="3"/>
  <c r="AB864" i="3"/>
  <c r="BB859" i="3"/>
  <c r="AB859" i="3"/>
  <c r="AE861" i="3"/>
  <c r="AW856" i="3" l="1"/>
  <c r="AN856" i="3"/>
  <c r="AY856" i="3"/>
  <c r="AU856" i="3"/>
  <c r="AP856" i="3"/>
  <c r="AO856" i="3"/>
  <c r="AZ856" i="3"/>
  <c r="AS856" i="3"/>
  <c r="AR856" i="3"/>
  <c r="AQ856" i="3"/>
  <c r="AX856" i="3"/>
  <c r="AV856" i="3"/>
  <c r="AD856" i="3"/>
  <c r="AE852" i="3"/>
  <c r="AT856" i="3"/>
  <c r="AZ851" i="3"/>
  <c r="AN851" i="3"/>
  <c r="AX851" i="3"/>
  <c r="AQ851" i="3"/>
  <c r="AP851" i="3"/>
  <c r="AR851" i="3"/>
  <c r="AO851" i="3"/>
  <c r="AU851" i="3"/>
  <c r="AD851" i="3"/>
  <c r="AY851" i="3"/>
  <c r="AW851" i="3"/>
  <c r="AV851" i="3"/>
  <c r="AT851" i="3"/>
  <c r="AS851" i="3"/>
  <c r="BB860" i="3"/>
  <c r="AB860" i="3"/>
  <c r="AY861" i="3"/>
  <c r="AQ861" i="3"/>
  <c r="AD861" i="3"/>
  <c r="AV861" i="3"/>
  <c r="AT861" i="3"/>
  <c r="AP861" i="3"/>
  <c r="AU861" i="3"/>
  <c r="AS861" i="3"/>
  <c r="AR861" i="3"/>
  <c r="AO861" i="3"/>
  <c r="AN861" i="3"/>
  <c r="AZ861" i="3"/>
  <c r="AX861" i="3"/>
  <c r="AE857" i="3"/>
  <c r="AW861" i="3"/>
  <c r="BB855" i="3"/>
  <c r="AB855" i="3"/>
  <c r="AR852" i="3" l="1"/>
  <c r="AP852" i="3"/>
  <c r="AD852" i="3"/>
  <c r="AZ852" i="3"/>
  <c r="AX852" i="3"/>
  <c r="AU852" i="3"/>
  <c r="AT852" i="3"/>
  <c r="AS852" i="3"/>
  <c r="AQ852" i="3"/>
  <c r="AO852" i="3"/>
  <c r="AN852" i="3"/>
  <c r="AY852" i="3"/>
  <c r="AE848" i="3"/>
  <c r="AW852" i="3"/>
  <c r="AV852" i="3"/>
  <c r="AB861" i="3"/>
  <c r="BB861" i="3"/>
  <c r="AB851" i="3"/>
  <c r="BB851" i="3"/>
  <c r="BB856" i="3"/>
  <c r="AB856" i="3"/>
  <c r="AO857" i="3"/>
  <c r="AU857" i="3"/>
  <c r="AS857" i="3"/>
  <c r="AP857" i="3"/>
  <c r="AE853" i="3"/>
  <c r="AT857" i="3"/>
  <c r="AR857" i="3"/>
  <c r="AN857" i="3"/>
  <c r="AQ857" i="3"/>
  <c r="AX857" i="3"/>
  <c r="AW857" i="3"/>
  <c r="AV857" i="3"/>
  <c r="AD857" i="3"/>
  <c r="AZ857" i="3"/>
  <c r="AY857" i="3"/>
  <c r="AV853" i="3" l="1"/>
  <c r="AT853" i="3"/>
  <c r="AQ853" i="3"/>
  <c r="AZ853" i="3"/>
  <c r="AX853" i="3"/>
  <c r="AE849" i="3"/>
  <c r="AW853" i="3"/>
  <c r="AD853" i="3"/>
  <c r="AY853" i="3"/>
  <c r="AP853" i="3"/>
  <c r="AU853" i="3"/>
  <c r="AS853" i="3"/>
  <c r="AR853" i="3"/>
  <c r="AO853" i="3"/>
  <c r="AN853" i="3"/>
  <c r="AB857" i="3"/>
  <c r="BB857" i="3"/>
  <c r="BB852" i="3"/>
  <c r="AB852" i="3"/>
  <c r="AY848" i="3"/>
  <c r="AW848" i="3"/>
  <c r="AZ848" i="3"/>
  <c r="AV848" i="3"/>
  <c r="AR848" i="3"/>
  <c r="AQ848" i="3"/>
  <c r="AP848" i="3"/>
  <c r="AE844" i="3"/>
  <c r="AO848" i="3"/>
  <c r="AN848" i="3"/>
  <c r="AU848" i="3"/>
  <c r="AX848" i="3"/>
  <c r="AT848" i="3"/>
  <c r="AS848" i="3"/>
  <c r="AD848" i="3"/>
  <c r="AL848" i="3"/>
  <c r="AM848" i="3"/>
  <c r="AK848" i="3"/>
  <c r="AX844" i="3" l="1"/>
  <c r="AW844" i="3"/>
  <c r="AE840" i="3"/>
  <c r="AU844" i="3"/>
  <c r="AY844" i="3"/>
  <c r="AV844" i="3"/>
  <c r="AT844" i="3"/>
  <c r="AS844" i="3"/>
  <c r="AD844" i="3"/>
  <c r="AR844" i="3"/>
  <c r="AQ844" i="3"/>
  <c r="AZ844" i="3"/>
  <c r="AP844" i="3"/>
  <c r="AO844" i="3"/>
  <c r="AN844" i="3"/>
  <c r="AK844" i="3"/>
  <c r="AL844" i="3"/>
  <c r="AM844" i="3"/>
  <c r="AP849" i="3"/>
  <c r="AD849" i="3"/>
  <c r="AZ849" i="3"/>
  <c r="AN849" i="3"/>
  <c r="AV849" i="3"/>
  <c r="AU849" i="3"/>
  <c r="AS849" i="3"/>
  <c r="AX849" i="3"/>
  <c r="AW849" i="3"/>
  <c r="AT849" i="3"/>
  <c r="AR849" i="3"/>
  <c r="AQ849" i="3"/>
  <c r="AO849" i="3"/>
  <c r="AE845" i="3"/>
  <c r="AY849" i="3"/>
  <c r="AM849" i="3"/>
  <c r="AL849" i="3"/>
  <c r="AK849" i="3"/>
  <c r="BB853" i="3"/>
  <c r="AB853" i="3"/>
  <c r="AB848" i="3"/>
  <c r="BB848" i="3"/>
  <c r="BB849" i="3" l="1"/>
  <c r="AB849" i="3"/>
  <c r="AB844" i="3"/>
  <c r="BB844" i="3"/>
  <c r="AP845" i="3"/>
  <c r="AD845" i="3"/>
  <c r="AO845" i="3"/>
  <c r="AY845" i="3"/>
  <c r="AZ845" i="3"/>
  <c r="AX845" i="3"/>
  <c r="AW845" i="3"/>
  <c r="AV845" i="3"/>
  <c r="AU845" i="3"/>
  <c r="AT845" i="3"/>
  <c r="AN845" i="3"/>
  <c r="AS845" i="3"/>
  <c r="AQ845" i="3"/>
  <c r="AE841" i="3"/>
  <c r="AR845" i="3"/>
  <c r="AM845" i="3"/>
  <c r="AL845" i="3"/>
  <c r="AK845" i="3"/>
  <c r="AR840" i="3"/>
  <c r="AQ840" i="3"/>
  <c r="AV840" i="3"/>
  <c r="AU840" i="3"/>
  <c r="AT840" i="3"/>
  <c r="AD840" i="3"/>
  <c r="AS840" i="3"/>
  <c r="AP840" i="3"/>
  <c r="AY840" i="3"/>
  <c r="AK840" i="3"/>
  <c r="AZ840" i="3"/>
  <c r="AX840" i="3"/>
  <c r="AW840" i="3"/>
  <c r="AN840" i="3"/>
  <c r="AE836" i="3"/>
  <c r="AM840" i="3"/>
  <c r="AL840" i="3"/>
  <c r="AO840" i="3"/>
  <c r="BB845" i="3" l="1"/>
  <c r="AB845" i="3"/>
  <c r="AV841" i="3"/>
  <c r="AU841" i="3"/>
  <c r="AR841" i="3"/>
  <c r="AD841" i="3"/>
  <c r="AQ841" i="3"/>
  <c r="AE837" i="3"/>
  <c r="AP841" i="3"/>
  <c r="AO841" i="3"/>
  <c r="AN841" i="3"/>
  <c r="AW841" i="3"/>
  <c r="AZ841" i="3"/>
  <c r="AY841" i="3"/>
  <c r="AX841" i="3"/>
  <c r="AT841" i="3"/>
  <c r="AS841" i="3"/>
  <c r="AK841" i="3"/>
  <c r="AL841" i="3"/>
  <c r="AM841" i="3"/>
  <c r="AB840" i="3"/>
  <c r="BB840" i="3"/>
  <c r="AW836" i="3"/>
  <c r="AY836" i="3"/>
  <c r="AX836" i="3"/>
  <c r="AV836" i="3"/>
  <c r="AU836" i="3"/>
  <c r="AE832" i="3"/>
  <c r="AT836" i="3"/>
  <c r="AO836" i="3"/>
  <c r="AP836" i="3"/>
  <c r="AN836" i="3"/>
  <c r="AM836" i="3"/>
  <c r="AL836" i="3"/>
  <c r="AZ836" i="3"/>
  <c r="AD836" i="3"/>
  <c r="AS836" i="3"/>
  <c r="AR836" i="3"/>
  <c r="AQ836" i="3"/>
  <c r="AK836" i="3"/>
  <c r="AB841" i="3" l="1"/>
  <c r="BB841" i="3"/>
  <c r="BB836" i="3"/>
  <c r="AB836" i="3"/>
  <c r="AO837" i="3"/>
  <c r="AS837" i="3"/>
  <c r="AR837" i="3"/>
  <c r="AQ837" i="3"/>
  <c r="AD837" i="3"/>
  <c r="AP837" i="3"/>
  <c r="AN837" i="3"/>
  <c r="AV837" i="3"/>
  <c r="AZ837" i="3"/>
  <c r="AE833" i="3"/>
  <c r="AY837" i="3"/>
  <c r="AX837" i="3"/>
  <c r="AU837" i="3"/>
  <c r="AT837" i="3"/>
  <c r="AM837" i="3"/>
  <c r="AL837" i="3"/>
  <c r="AW837" i="3"/>
  <c r="AK837" i="3"/>
  <c r="AS832" i="3"/>
  <c r="AR832" i="3"/>
  <c r="AQ832" i="3"/>
  <c r="AZ832" i="3"/>
  <c r="AE828" i="3"/>
  <c r="AY832" i="3"/>
  <c r="AX832" i="3"/>
  <c r="AW832" i="3"/>
  <c r="AV832" i="3"/>
  <c r="AD832" i="3"/>
  <c r="AU832" i="3"/>
  <c r="AO832" i="3"/>
  <c r="AN832" i="3"/>
  <c r="AP832" i="3"/>
  <c r="AT832" i="3"/>
  <c r="AL832" i="3"/>
  <c r="AK832" i="3"/>
  <c r="AM832" i="3"/>
  <c r="AW833" i="3" l="1"/>
  <c r="AE829" i="3"/>
  <c r="AV833" i="3"/>
  <c r="AU833" i="3"/>
  <c r="AZ833" i="3"/>
  <c r="AY833" i="3"/>
  <c r="AX833" i="3"/>
  <c r="AT833" i="3"/>
  <c r="AS833" i="3"/>
  <c r="AD833" i="3"/>
  <c r="AR833" i="3"/>
  <c r="AO833" i="3"/>
  <c r="AN833" i="3"/>
  <c r="AQ833" i="3"/>
  <c r="AP833" i="3"/>
  <c r="AK833" i="3"/>
  <c r="AM833" i="3"/>
  <c r="AL833" i="3"/>
  <c r="AY828" i="3"/>
  <c r="AX828" i="3"/>
  <c r="AW828" i="3"/>
  <c r="AT828" i="3"/>
  <c r="AS828" i="3"/>
  <c r="AD828" i="3"/>
  <c r="AR828" i="3"/>
  <c r="AQ828" i="3"/>
  <c r="AP828" i="3"/>
  <c r="AO828" i="3"/>
  <c r="AZ828" i="3"/>
  <c r="AV828" i="3"/>
  <c r="AN828" i="3"/>
  <c r="AU828" i="3"/>
  <c r="AL828" i="3"/>
  <c r="AM828" i="3"/>
  <c r="AK828" i="3"/>
  <c r="BB832" i="3"/>
  <c r="AB832" i="3"/>
  <c r="AB837" i="3"/>
  <c r="BB837" i="3"/>
  <c r="BB833" i="3" l="1"/>
  <c r="AB833" i="3"/>
  <c r="AQ829" i="3"/>
  <c r="AP829" i="3"/>
  <c r="AD829" i="3"/>
  <c r="AO829" i="3"/>
  <c r="AU829" i="3"/>
  <c r="AT829" i="3"/>
  <c r="AS829" i="3"/>
  <c r="AR829" i="3"/>
  <c r="AN829" i="3"/>
  <c r="AY829" i="3"/>
  <c r="AX829" i="3"/>
  <c r="AW829" i="3"/>
  <c r="AZ829" i="3"/>
  <c r="AV829" i="3"/>
  <c r="AL829" i="3"/>
  <c r="AK829" i="3"/>
  <c r="AM829" i="3"/>
  <c r="AB828" i="3"/>
  <c r="BB828" i="3"/>
  <c r="BB829" i="3" l="1"/>
  <c r="AB829" i="3"/>
  <c r="AE824" i="3" l="1"/>
  <c r="AX824" i="3" l="1"/>
  <c r="AW824" i="3"/>
  <c r="AT824" i="3"/>
  <c r="AN824" i="3"/>
  <c r="AZ824" i="3"/>
  <c r="AY824" i="3"/>
  <c r="AV824" i="3"/>
  <c r="AE820" i="3"/>
  <c r="AS824" i="3"/>
  <c r="AD824" i="3"/>
  <c r="AR824" i="3"/>
  <c r="AU824" i="3"/>
  <c r="AQ824" i="3"/>
  <c r="AP824" i="3"/>
  <c r="AO824" i="3"/>
  <c r="AK824" i="3"/>
  <c r="AM824" i="3"/>
  <c r="AL824" i="3"/>
  <c r="AE825" i="3"/>
  <c r="BB824" i="3" l="1"/>
  <c r="AB824" i="3"/>
  <c r="AP825" i="3"/>
  <c r="AD825" i="3"/>
  <c r="AO825" i="3"/>
  <c r="AX825" i="3"/>
  <c r="AZ825" i="3"/>
  <c r="AE821" i="3"/>
  <c r="AY825" i="3"/>
  <c r="AW825" i="3"/>
  <c r="AV825" i="3"/>
  <c r="AU825" i="3"/>
  <c r="AS825" i="3"/>
  <c r="AR825" i="3"/>
  <c r="AT825" i="3"/>
  <c r="AQ825" i="3"/>
  <c r="AN825" i="3"/>
  <c r="AM825" i="3"/>
  <c r="AK825" i="3"/>
  <c r="AL825" i="3"/>
  <c r="AT820" i="3"/>
  <c r="AS820" i="3"/>
  <c r="AZ820" i="3"/>
  <c r="AY820" i="3"/>
  <c r="AX820" i="3"/>
  <c r="AE816" i="3"/>
  <c r="AW820" i="3"/>
  <c r="AV820" i="3"/>
  <c r="AU820" i="3"/>
  <c r="AP820" i="3"/>
  <c r="AR820" i="3"/>
  <c r="AQ820" i="3"/>
  <c r="AO820" i="3"/>
  <c r="AD820" i="3"/>
  <c r="AN820" i="3"/>
  <c r="AL820" i="3"/>
  <c r="AK820" i="3"/>
  <c r="AM820" i="3"/>
  <c r="BB825" i="3" l="1"/>
  <c r="AB825" i="3"/>
  <c r="AS816" i="3"/>
  <c r="AR816" i="3"/>
  <c r="AQ816" i="3"/>
  <c r="AP816" i="3"/>
  <c r="AD816" i="3"/>
  <c r="AO816" i="3"/>
  <c r="AZ816" i="3"/>
  <c r="AN816" i="3"/>
  <c r="AW816" i="3"/>
  <c r="AY816" i="3"/>
  <c r="AX816" i="3"/>
  <c r="AV816" i="3"/>
  <c r="AM816" i="3"/>
  <c r="AL816" i="3"/>
  <c r="AU816" i="3"/>
  <c r="AT816" i="3"/>
  <c r="AK816" i="3"/>
  <c r="AX821" i="3"/>
  <c r="AW821" i="3"/>
  <c r="AT821" i="3"/>
  <c r="AV821" i="3"/>
  <c r="AU821" i="3"/>
  <c r="AS821" i="3"/>
  <c r="AD821" i="3"/>
  <c r="AR821" i="3"/>
  <c r="AQ821" i="3"/>
  <c r="AP821" i="3"/>
  <c r="AZ821" i="3"/>
  <c r="AY821" i="3"/>
  <c r="AE817" i="3"/>
  <c r="AO821" i="3"/>
  <c r="AN821" i="3"/>
  <c r="AL821" i="3"/>
  <c r="AK821" i="3"/>
  <c r="AM821" i="3"/>
  <c r="AB820" i="3"/>
  <c r="BB820" i="3"/>
  <c r="AQ817" i="3" l="1"/>
  <c r="AX817" i="3"/>
  <c r="AW817" i="3"/>
  <c r="AV817" i="3"/>
  <c r="AU817" i="3"/>
  <c r="AT817" i="3"/>
  <c r="AS817" i="3"/>
  <c r="AO817" i="3"/>
  <c r="AZ817" i="3"/>
  <c r="AY817" i="3"/>
  <c r="AR817" i="3"/>
  <c r="AP817" i="3"/>
  <c r="AD817" i="3"/>
  <c r="AN817" i="3"/>
  <c r="AL817" i="3"/>
  <c r="AM817" i="3"/>
  <c r="AK817" i="3"/>
  <c r="BB816" i="3"/>
  <c r="AB816" i="3"/>
  <c r="AB821" i="3"/>
  <c r="BB821" i="3"/>
  <c r="AE812" i="3" l="1"/>
  <c r="BB817" i="3"/>
  <c r="AB817" i="3"/>
  <c r="AZ812" i="3" l="1"/>
  <c r="AN812" i="3"/>
  <c r="AP812" i="3"/>
  <c r="AY812" i="3"/>
  <c r="AX812" i="3"/>
  <c r="AU812" i="3"/>
  <c r="AR812" i="3"/>
  <c r="AQ812" i="3"/>
  <c r="AW812" i="3"/>
  <c r="AO812" i="3"/>
  <c r="AV812" i="3"/>
  <c r="AE808" i="3"/>
  <c r="AD812" i="3"/>
  <c r="AT812" i="3"/>
  <c r="AS812" i="3"/>
  <c r="AM812" i="3"/>
  <c r="AL812" i="3"/>
  <c r="AK812" i="3"/>
  <c r="AE813" i="3"/>
  <c r="AQ813" i="3" l="1"/>
  <c r="AR813" i="3"/>
  <c r="AP813" i="3"/>
  <c r="AD813" i="3"/>
  <c r="AO813" i="3"/>
  <c r="AX813" i="3"/>
  <c r="AE809" i="3"/>
  <c r="AZ813" i="3"/>
  <c r="AN813" i="3"/>
  <c r="AY813" i="3"/>
  <c r="AS813" i="3"/>
  <c r="AW813" i="3"/>
  <c r="AV813" i="3"/>
  <c r="AU813" i="3"/>
  <c r="AT813" i="3"/>
  <c r="AL813" i="3"/>
  <c r="AK813" i="3"/>
  <c r="AM813" i="3"/>
  <c r="AB812" i="3"/>
  <c r="BB812" i="3"/>
  <c r="AU808" i="3"/>
  <c r="AS808" i="3"/>
  <c r="AT808" i="3"/>
  <c r="AP808" i="3"/>
  <c r="AY808" i="3"/>
  <c r="AV808" i="3"/>
  <c r="AR808" i="3"/>
  <c r="AE804" i="3"/>
  <c r="AD808" i="3"/>
  <c r="AX808" i="3"/>
  <c r="AW808" i="3"/>
  <c r="AQ808" i="3"/>
  <c r="AO808" i="3"/>
  <c r="AZ808" i="3"/>
  <c r="AN808" i="3"/>
  <c r="AL808" i="3"/>
  <c r="AK808" i="3"/>
  <c r="AM808" i="3"/>
  <c r="BB808" i="3" l="1"/>
  <c r="AB808" i="3"/>
  <c r="AY809" i="3"/>
  <c r="AW809" i="3"/>
  <c r="AV809" i="3"/>
  <c r="AE805" i="3"/>
  <c r="AX809" i="3"/>
  <c r="AN809" i="3"/>
  <c r="AP809" i="3"/>
  <c r="AO809" i="3"/>
  <c r="AZ809" i="3"/>
  <c r="AU809" i="3"/>
  <c r="AT809" i="3"/>
  <c r="AS809" i="3"/>
  <c r="AR809" i="3"/>
  <c r="AQ809" i="3"/>
  <c r="AD809" i="3"/>
  <c r="AL809" i="3"/>
  <c r="AM809" i="3"/>
  <c r="AK809" i="3"/>
  <c r="BB813" i="3"/>
  <c r="AB813" i="3"/>
  <c r="AP804" i="3"/>
  <c r="AD804" i="3"/>
  <c r="AS804" i="3"/>
  <c r="AQ804" i="3"/>
  <c r="AO804" i="3"/>
  <c r="AZ804" i="3"/>
  <c r="AN804" i="3"/>
  <c r="AX804" i="3"/>
  <c r="AW804" i="3"/>
  <c r="AT804" i="3"/>
  <c r="AY804" i="3"/>
  <c r="AR804" i="3"/>
  <c r="AV804" i="3"/>
  <c r="AU804" i="3"/>
  <c r="AK804" i="3"/>
  <c r="AL804" i="3"/>
  <c r="AM804" i="3"/>
  <c r="AT805" i="3" l="1"/>
  <c r="AR805" i="3"/>
  <c r="AW805" i="3"/>
  <c r="AS805" i="3"/>
  <c r="AD805" i="3"/>
  <c r="AQ805" i="3"/>
  <c r="AO805" i="3"/>
  <c r="AV805" i="3"/>
  <c r="AU805" i="3"/>
  <c r="AX805" i="3"/>
  <c r="AP805" i="3"/>
  <c r="AZ805" i="3"/>
  <c r="AN805" i="3"/>
  <c r="AY805" i="3"/>
  <c r="AL805" i="3"/>
  <c r="AK805" i="3"/>
  <c r="AM805" i="3"/>
  <c r="BB809" i="3"/>
  <c r="AB809" i="3"/>
  <c r="BB804" i="3"/>
  <c r="AB804" i="3"/>
  <c r="BB805" i="3" l="1"/>
  <c r="AB805" i="3"/>
  <c r="AE800" i="3" l="1"/>
  <c r="AX800" i="3" l="1"/>
  <c r="AR800" i="3"/>
  <c r="AV800" i="3"/>
  <c r="AU800" i="3"/>
  <c r="AS800" i="3"/>
  <c r="AW800" i="3"/>
  <c r="AP800" i="3"/>
  <c r="AK800" i="3"/>
  <c r="AE796" i="3"/>
  <c r="AL800" i="3"/>
  <c r="AT800" i="3"/>
  <c r="AM800" i="3"/>
  <c r="AN800" i="3"/>
  <c r="AQ800" i="3"/>
  <c r="AZ800" i="3"/>
  <c r="AO800" i="3"/>
  <c r="AD800" i="3"/>
  <c r="AY800" i="3"/>
  <c r="AE801" i="3"/>
  <c r="BB800" i="3" l="1"/>
  <c r="AB800" i="3"/>
  <c r="AE792" i="3"/>
  <c r="AQ796" i="3"/>
  <c r="AP796" i="3"/>
  <c r="AM796" i="3"/>
  <c r="AO796" i="3"/>
  <c r="AW796" i="3"/>
  <c r="AV796" i="3"/>
  <c r="AD796" i="3"/>
  <c r="AR796" i="3"/>
  <c r="AU796" i="3"/>
  <c r="AL796" i="3"/>
  <c r="AS796" i="3"/>
  <c r="AZ796" i="3"/>
  <c r="AK796" i="3"/>
  <c r="AN796" i="3"/>
  <c r="AY796" i="3"/>
  <c r="AT796" i="3"/>
  <c r="AX796" i="3"/>
  <c r="AP801" i="3"/>
  <c r="AK801" i="3"/>
  <c r="AO801" i="3"/>
  <c r="AL801" i="3"/>
  <c r="AN801" i="3"/>
  <c r="AZ801" i="3"/>
  <c r="AE797" i="3"/>
  <c r="AY801" i="3"/>
  <c r="AD801" i="3"/>
  <c r="AT801" i="3"/>
  <c r="AQ801" i="3"/>
  <c r="AM801" i="3"/>
  <c r="AV801" i="3"/>
  <c r="AU801" i="3"/>
  <c r="AS801" i="3"/>
  <c r="AR801" i="3"/>
  <c r="AX801" i="3"/>
  <c r="AW801" i="3"/>
  <c r="AB796" i="3" l="1"/>
  <c r="BB796" i="3"/>
  <c r="BB801" i="3"/>
  <c r="AB801" i="3"/>
  <c r="AR797" i="3"/>
  <c r="AM797" i="3"/>
  <c r="AW797" i="3"/>
  <c r="AN797" i="3"/>
  <c r="AY797" i="3"/>
  <c r="AQ797" i="3"/>
  <c r="AK797" i="3"/>
  <c r="AO797" i="3"/>
  <c r="AS797" i="3"/>
  <c r="AX797" i="3"/>
  <c r="AP797" i="3"/>
  <c r="AU797" i="3"/>
  <c r="AE793" i="3"/>
  <c r="AV797" i="3"/>
  <c r="AZ797" i="3"/>
  <c r="AT797" i="3"/>
  <c r="AD797" i="3"/>
  <c r="AL797" i="3"/>
  <c r="AY792" i="3"/>
  <c r="AV792" i="3"/>
  <c r="AK792" i="3"/>
  <c r="AR792" i="3"/>
  <c r="AP792" i="3"/>
  <c r="AO792" i="3"/>
  <c r="AX792" i="3"/>
  <c r="AQ792" i="3"/>
  <c r="AW792" i="3"/>
  <c r="AU792" i="3"/>
  <c r="AM792" i="3"/>
  <c r="AE788" i="3"/>
  <c r="AT792" i="3"/>
  <c r="AL792" i="3"/>
  <c r="AS792" i="3"/>
  <c r="AZ792" i="3"/>
  <c r="AN792" i="3"/>
  <c r="AD792" i="3"/>
  <c r="AW788" i="3" l="1"/>
  <c r="AR788" i="3"/>
  <c r="AP788" i="3"/>
  <c r="AD788" i="3"/>
  <c r="AL788" i="3"/>
  <c r="AV788" i="3"/>
  <c r="AS788" i="3"/>
  <c r="AY788" i="3"/>
  <c r="AU788" i="3"/>
  <c r="AE784" i="3"/>
  <c r="AQ788" i="3"/>
  <c r="AT788" i="3"/>
  <c r="AM788" i="3"/>
  <c r="AX788" i="3"/>
  <c r="AN788" i="3"/>
  <c r="AO788" i="3"/>
  <c r="AK788" i="3"/>
  <c r="AZ788" i="3"/>
  <c r="BB797" i="3"/>
  <c r="AB797" i="3"/>
  <c r="AN793" i="3"/>
  <c r="AK793" i="3"/>
  <c r="AM793" i="3"/>
  <c r="AL793" i="3"/>
  <c r="AY793" i="3"/>
  <c r="AW793" i="3"/>
  <c r="AE789" i="3"/>
  <c r="AR793" i="3"/>
  <c r="AO793" i="3"/>
  <c r="AX793" i="3"/>
  <c r="AU793" i="3"/>
  <c r="AD793" i="3"/>
  <c r="AV793" i="3"/>
  <c r="AZ793" i="3"/>
  <c r="AT793" i="3"/>
  <c r="AP793" i="3"/>
  <c r="AS793" i="3"/>
  <c r="AQ793" i="3"/>
  <c r="AB792" i="3"/>
  <c r="BB792" i="3"/>
  <c r="AW784" i="3" l="1"/>
  <c r="AM784" i="3"/>
  <c r="AE780" i="3"/>
  <c r="AO784" i="3"/>
  <c r="AS784" i="3"/>
  <c r="AR784" i="3"/>
  <c r="AL784" i="3"/>
  <c r="AT784" i="3"/>
  <c r="AV784" i="3"/>
  <c r="AQ784" i="3"/>
  <c r="AX784" i="3"/>
  <c r="AN784" i="3"/>
  <c r="AY784" i="3"/>
  <c r="AD784" i="3"/>
  <c r="AZ784" i="3"/>
  <c r="AU784" i="3"/>
  <c r="AP784" i="3"/>
  <c r="AK784" i="3"/>
  <c r="BB793" i="3"/>
  <c r="AB793" i="3"/>
  <c r="BB788" i="3"/>
  <c r="AB788" i="3"/>
  <c r="AZ789" i="3"/>
  <c r="AX789" i="3"/>
  <c r="AW789" i="3"/>
  <c r="AE785" i="3"/>
  <c r="AS789" i="3"/>
  <c r="AY789" i="3"/>
  <c r="AV789" i="3"/>
  <c r="AD789" i="3"/>
  <c r="AM789" i="3"/>
  <c r="AN789" i="3"/>
  <c r="AL789" i="3"/>
  <c r="AP789" i="3"/>
  <c r="AU789" i="3"/>
  <c r="AT789" i="3"/>
  <c r="AR789" i="3"/>
  <c r="AK789" i="3"/>
  <c r="AQ789" i="3"/>
  <c r="AO789" i="3"/>
  <c r="AB789" i="3" l="1"/>
  <c r="BB789" i="3"/>
  <c r="AO780" i="3"/>
  <c r="AT780" i="3"/>
  <c r="AU780" i="3"/>
  <c r="AQ780" i="3"/>
  <c r="AZ780" i="3"/>
  <c r="AV780" i="3"/>
  <c r="AR780" i="3"/>
  <c r="AM780" i="3"/>
  <c r="AD780" i="3"/>
  <c r="AN780" i="3"/>
  <c r="AS780" i="3"/>
  <c r="AW780" i="3"/>
  <c r="AK780" i="3"/>
  <c r="AP780" i="3"/>
  <c r="AY780" i="3"/>
  <c r="AL780" i="3"/>
  <c r="AX780" i="3"/>
  <c r="AO785" i="3"/>
  <c r="AL785" i="3"/>
  <c r="AZ785" i="3"/>
  <c r="AW785" i="3"/>
  <c r="AV785" i="3"/>
  <c r="AP785" i="3"/>
  <c r="AS785" i="3"/>
  <c r="AK785" i="3"/>
  <c r="AN785" i="3"/>
  <c r="AM785" i="3"/>
  <c r="AY785" i="3"/>
  <c r="AX785" i="3"/>
  <c r="AQ785" i="3"/>
  <c r="AT785" i="3"/>
  <c r="AD785" i="3"/>
  <c r="AU785" i="3"/>
  <c r="AR785" i="3"/>
  <c r="AE781" i="3"/>
  <c r="BB784" i="3"/>
  <c r="AB784" i="3"/>
  <c r="BB785" i="3" l="1"/>
  <c r="AB785" i="3"/>
  <c r="AB780" i="3"/>
  <c r="BB780" i="3"/>
  <c r="AN781" i="3"/>
  <c r="AZ781" i="3"/>
  <c r="AR781" i="3"/>
  <c r="AQ781" i="3"/>
  <c r="AW781" i="3"/>
  <c r="AO781" i="3"/>
  <c r="AP781" i="3"/>
  <c r="AU781" i="3"/>
  <c r="AY781" i="3"/>
  <c r="AT781" i="3"/>
  <c r="AX781" i="3"/>
  <c r="AS781" i="3"/>
  <c r="AM781" i="3"/>
  <c r="AD781" i="3"/>
  <c r="AV781" i="3"/>
  <c r="AK781" i="3"/>
  <c r="AL781" i="3"/>
  <c r="AB781" i="3" l="1"/>
  <c r="BB781" i="3"/>
  <c r="AE776" i="3" l="1"/>
  <c r="AE777" i="3" l="1"/>
  <c r="AU776" i="3"/>
  <c r="AV776" i="3"/>
  <c r="AD776" i="3"/>
  <c r="AR776" i="3"/>
  <c r="AW776" i="3"/>
  <c r="AT776" i="3"/>
  <c r="AE772" i="3"/>
  <c r="AZ776" i="3"/>
  <c r="AO776" i="3"/>
  <c r="AN776" i="3"/>
  <c r="AS776" i="3"/>
  <c r="AP776" i="3"/>
  <c r="AQ776" i="3"/>
  <c r="AY776" i="3"/>
  <c r="AL776" i="3"/>
  <c r="AX776" i="3"/>
  <c r="AK776" i="3"/>
  <c r="AM776" i="3"/>
  <c r="AU772" i="3" l="1"/>
  <c r="AZ772" i="3"/>
  <c r="AP772" i="3"/>
  <c r="AS772" i="3"/>
  <c r="AX772" i="3"/>
  <c r="AN772" i="3"/>
  <c r="AY772" i="3"/>
  <c r="AM772" i="3"/>
  <c r="AO772" i="3"/>
  <c r="AV772" i="3"/>
  <c r="AT772" i="3"/>
  <c r="AL772" i="3"/>
  <c r="AE768" i="3"/>
  <c r="AK772" i="3"/>
  <c r="AW772" i="3"/>
  <c r="AR772" i="3"/>
  <c r="AD772" i="3"/>
  <c r="AQ772" i="3"/>
  <c r="BB776" i="3"/>
  <c r="AB776" i="3"/>
  <c r="AN777" i="3"/>
  <c r="AY777" i="3"/>
  <c r="AS777" i="3"/>
  <c r="AQ777" i="3"/>
  <c r="AD777" i="3"/>
  <c r="AX777" i="3"/>
  <c r="AV777" i="3"/>
  <c r="AM777" i="3"/>
  <c r="AZ777" i="3"/>
  <c r="AW777" i="3"/>
  <c r="AU777" i="3"/>
  <c r="AP777" i="3"/>
  <c r="AO777" i="3"/>
  <c r="AE773" i="3"/>
  <c r="AR777" i="3"/>
  <c r="AT777" i="3"/>
  <c r="AL777" i="3"/>
  <c r="AK777" i="3"/>
  <c r="AS773" i="3" l="1"/>
  <c r="AN773" i="3"/>
  <c r="AD773" i="3"/>
  <c r="AR773" i="3"/>
  <c r="AQ773" i="3"/>
  <c r="AX773" i="3"/>
  <c r="AU773" i="3"/>
  <c r="AE769" i="3"/>
  <c r="AY773" i="3"/>
  <c r="AW773" i="3"/>
  <c r="AM773" i="3"/>
  <c r="AZ773" i="3"/>
  <c r="AL773" i="3"/>
  <c r="AV773" i="3"/>
  <c r="AT773" i="3"/>
  <c r="AP773" i="3"/>
  <c r="AK773" i="3"/>
  <c r="AO773" i="3"/>
  <c r="AB772" i="3"/>
  <c r="BB772" i="3"/>
  <c r="AX768" i="3"/>
  <c r="AQ768" i="3"/>
  <c r="AY768" i="3"/>
  <c r="AS768" i="3"/>
  <c r="AV768" i="3"/>
  <c r="AU768" i="3"/>
  <c r="AW768" i="3"/>
  <c r="AO768" i="3"/>
  <c r="AT768" i="3"/>
  <c r="AM768" i="3"/>
  <c r="AP768" i="3"/>
  <c r="AR768" i="3"/>
  <c r="AE764" i="3"/>
  <c r="AD768" i="3"/>
  <c r="AZ768" i="3"/>
  <c r="AL768" i="3"/>
  <c r="AN768" i="3"/>
  <c r="AK768" i="3"/>
  <c r="BB777" i="3"/>
  <c r="AB777" i="3"/>
  <c r="AB768" i="3" l="1"/>
  <c r="BB768" i="3"/>
  <c r="AO769" i="3"/>
  <c r="AT769" i="3"/>
  <c r="AE765" i="3"/>
  <c r="AZ769" i="3"/>
  <c r="AU769" i="3"/>
  <c r="AS769" i="3"/>
  <c r="AX769" i="3"/>
  <c r="AQ769" i="3"/>
  <c r="AN769" i="3"/>
  <c r="AL769" i="3"/>
  <c r="AP769" i="3"/>
  <c r="AW769" i="3"/>
  <c r="AV769" i="3"/>
  <c r="AD769" i="3"/>
  <c r="AY769" i="3"/>
  <c r="AM769" i="3"/>
  <c r="AR769" i="3"/>
  <c r="AK769" i="3"/>
  <c r="AB773" i="3"/>
  <c r="BB773" i="3"/>
  <c r="AD764" i="3"/>
  <c r="AO764" i="3"/>
  <c r="AW764" i="3"/>
  <c r="AZ764" i="3"/>
  <c r="AY764" i="3"/>
  <c r="AV764" i="3"/>
  <c r="AL764" i="3"/>
  <c r="AN764" i="3"/>
  <c r="AP764" i="3"/>
  <c r="AM764" i="3"/>
  <c r="AR764" i="3"/>
  <c r="AQ764" i="3"/>
  <c r="AT764" i="3"/>
  <c r="AX764" i="3"/>
  <c r="AE760" i="3"/>
  <c r="AS764" i="3"/>
  <c r="AK764" i="3"/>
  <c r="AU764" i="3"/>
  <c r="BB769" i="3" l="1"/>
  <c r="AB769" i="3"/>
  <c r="BB764" i="3"/>
  <c r="AB764" i="3"/>
  <c r="AO765" i="3"/>
  <c r="AU765" i="3"/>
  <c r="AR765" i="3"/>
  <c r="AW765" i="3"/>
  <c r="AP765" i="3"/>
  <c r="AK765" i="3"/>
  <c r="AV765" i="3"/>
  <c r="AT765" i="3"/>
  <c r="AL765" i="3"/>
  <c r="AY765" i="3"/>
  <c r="AZ765" i="3"/>
  <c r="AM765" i="3"/>
  <c r="AD765" i="3"/>
  <c r="AN765" i="3"/>
  <c r="AX765" i="3"/>
  <c r="AS765" i="3"/>
  <c r="AQ765" i="3"/>
  <c r="AE761" i="3"/>
  <c r="AS760" i="3"/>
  <c r="AM760" i="3"/>
  <c r="AE756" i="3"/>
  <c r="AW760" i="3"/>
  <c r="AU760" i="3"/>
  <c r="AX760" i="3"/>
  <c r="AQ760" i="3"/>
  <c r="AT760" i="3"/>
  <c r="AO760" i="3"/>
  <c r="AV760" i="3"/>
  <c r="AK760" i="3"/>
  <c r="AL760" i="3"/>
  <c r="AP760" i="3"/>
  <c r="AD760" i="3"/>
  <c r="AN760" i="3"/>
  <c r="AZ760" i="3"/>
  <c r="AR760" i="3"/>
  <c r="AY760" i="3"/>
  <c r="BB760" i="3" l="1"/>
  <c r="AB760" i="3"/>
  <c r="AU761" i="3"/>
  <c r="AR761" i="3"/>
  <c r="AO761" i="3"/>
  <c r="AW761" i="3"/>
  <c r="AL761" i="3"/>
  <c r="AD761" i="3"/>
  <c r="AK761" i="3"/>
  <c r="AX761" i="3"/>
  <c r="AP761" i="3"/>
  <c r="AT761" i="3"/>
  <c r="AV761" i="3"/>
  <c r="AN761" i="3"/>
  <c r="AZ761" i="3"/>
  <c r="AS761" i="3"/>
  <c r="AE757" i="3"/>
  <c r="AM761" i="3"/>
  <c r="AY761" i="3"/>
  <c r="AQ761" i="3"/>
  <c r="BB765" i="3"/>
  <c r="AB765" i="3"/>
  <c r="AZ756" i="3"/>
  <c r="AP756" i="3"/>
  <c r="AU756" i="3"/>
  <c r="AX756" i="3"/>
  <c r="AW756" i="3"/>
  <c r="AM756" i="3"/>
  <c r="AR756" i="3"/>
  <c r="AL756" i="3"/>
  <c r="AE752" i="3"/>
  <c r="AD756" i="3"/>
  <c r="AS756" i="3"/>
  <c r="AN756" i="3"/>
  <c r="AQ756" i="3"/>
  <c r="AK756" i="3"/>
  <c r="AV756" i="3"/>
  <c r="AY756" i="3"/>
  <c r="AT756" i="3"/>
  <c r="AO756" i="3"/>
  <c r="AB756" i="3" l="1"/>
  <c r="BB756" i="3"/>
  <c r="BB761" i="3"/>
  <c r="AB761" i="3"/>
  <c r="AD752" i="3"/>
  <c r="AX752" i="3"/>
  <c r="AY752" i="3"/>
  <c r="AL752" i="3"/>
  <c r="AT752" i="3"/>
  <c r="AZ752" i="3"/>
  <c r="AK752" i="3"/>
  <c r="AW752" i="3"/>
  <c r="AU752" i="3"/>
  <c r="AN752" i="3"/>
  <c r="AV752" i="3"/>
  <c r="AR752" i="3"/>
  <c r="AM752" i="3"/>
  <c r="AE748" i="3"/>
  <c r="AP752" i="3"/>
  <c r="AS752" i="3"/>
  <c r="AO752" i="3"/>
  <c r="AQ752" i="3"/>
  <c r="AO757" i="3"/>
  <c r="AP757" i="3"/>
  <c r="AW757" i="3"/>
  <c r="AX757" i="3"/>
  <c r="AU757" i="3"/>
  <c r="AE753" i="3"/>
  <c r="AZ757" i="3"/>
  <c r="AS757" i="3"/>
  <c r="AM757" i="3"/>
  <c r="AQ757" i="3"/>
  <c r="AL757" i="3"/>
  <c r="AV757" i="3"/>
  <c r="AN757" i="3"/>
  <c r="AY757" i="3"/>
  <c r="AD757" i="3"/>
  <c r="AK757" i="3"/>
  <c r="AT757" i="3"/>
  <c r="AR757" i="3"/>
  <c r="AB752" i="3" l="1"/>
  <c r="BB752" i="3"/>
  <c r="AO748" i="3"/>
  <c r="AK748" i="3"/>
  <c r="AZ748" i="3"/>
  <c r="AM748" i="3"/>
  <c r="AL748" i="3"/>
  <c r="AQ748" i="3"/>
  <c r="AN748" i="3"/>
  <c r="AS748" i="3"/>
  <c r="AR748" i="3"/>
  <c r="AY748" i="3"/>
  <c r="AD748" i="3"/>
  <c r="AX748" i="3"/>
  <c r="AT748" i="3"/>
  <c r="AU748" i="3"/>
  <c r="AV748" i="3"/>
  <c r="AE744" i="3"/>
  <c r="AP748" i="3"/>
  <c r="AW748" i="3"/>
  <c r="AR753" i="3"/>
  <c r="AM753" i="3"/>
  <c r="AE749" i="3"/>
  <c r="AW753" i="3"/>
  <c r="AD753" i="3"/>
  <c r="AT753" i="3"/>
  <c r="AQ753" i="3"/>
  <c r="AS753" i="3"/>
  <c r="AN753" i="3"/>
  <c r="AU753" i="3"/>
  <c r="AY753" i="3"/>
  <c r="AL753" i="3"/>
  <c r="AP753" i="3"/>
  <c r="AO753" i="3"/>
  <c r="AK753" i="3"/>
  <c r="AZ753" i="3"/>
  <c r="AX753" i="3"/>
  <c r="AV753" i="3"/>
  <c r="BB757" i="3"/>
  <c r="AB757" i="3"/>
  <c r="AO749" i="3" l="1"/>
  <c r="AR749" i="3"/>
  <c r="AM749" i="3"/>
  <c r="AU749" i="3"/>
  <c r="AP749" i="3"/>
  <c r="AZ749" i="3"/>
  <c r="AY749" i="3"/>
  <c r="AT749" i="3"/>
  <c r="AL749" i="3"/>
  <c r="AK749" i="3"/>
  <c r="AV749" i="3"/>
  <c r="AE745" i="3"/>
  <c r="AX749" i="3"/>
  <c r="AQ749" i="3"/>
  <c r="AW749" i="3"/>
  <c r="AS749" i="3"/>
  <c r="AN749" i="3"/>
  <c r="AD749" i="3"/>
  <c r="AV744" i="3"/>
  <c r="AS744" i="3"/>
  <c r="AQ744" i="3"/>
  <c r="AU744" i="3"/>
  <c r="AT744" i="3"/>
  <c r="AR744" i="3"/>
  <c r="AW744" i="3"/>
  <c r="AM744" i="3"/>
  <c r="AL744" i="3"/>
  <c r="AN744" i="3"/>
  <c r="AE740" i="3"/>
  <c r="AP744" i="3"/>
  <c r="AY744" i="3"/>
  <c r="AO744" i="3"/>
  <c r="AZ744" i="3"/>
  <c r="AK744" i="3"/>
  <c r="AD744" i="3"/>
  <c r="AX744" i="3"/>
  <c r="BB753" i="3"/>
  <c r="AB753" i="3"/>
  <c r="BB748" i="3"/>
  <c r="AB748" i="3"/>
  <c r="AP745" i="3" l="1"/>
  <c r="AK745" i="3"/>
  <c r="AU745" i="3"/>
  <c r="AQ745" i="3"/>
  <c r="AR745" i="3"/>
  <c r="AE741" i="3"/>
  <c r="AM745" i="3"/>
  <c r="AV745" i="3"/>
  <c r="AW745" i="3"/>
  <c r="AX745" i="3"/>
  <c r="AD745" i="3"/>
  <c r="AO745" i="3"/>
  <c r="AY745" i="3"/>
  <c r="AT745" i="3"/>
  <c r="AN745" i="3"/>
  <c r="AZ745" i="3"/>
  <c r="AS745" i="3"/>
  <c r="AL745" i="3"/>
  <c r="BB744" i="3"/>
  <c r="AB744" i="3"/>
  <c r="BB749" i="3"/>
  <c r="AB749" i="3"/>
  <c r="AE736" i="3"/>
  <c r="AP740" i="3"/>
  <c r="AW740" i="3"/>
  <c r="AX740" i="3"/>
  <c r="AO740" i="3"/>
  <c r="AZ740" i="3"/>
  <c r="AY740" i="3"/>
  <c r="AS740" i="3"/>
  <c r="AL740" i="3"/>
  <c r="AD740" i="3"/>
  <c r="AU740" i="3"/>
  <c r="AN740" i="3"/>
  <c r="AR740" i="3"/>
  <c r="AV740" i="3"/>
  <c r="AK740" i="3"/>
  <c r="AM740" i="3"/>
  <c r="AQ740" i="3"/>
  <c r="AT740" i="3"/>
  <c r="AV736" i="3" l="1"/>
  <c r="AD736" i="3"/>
  <c r="AM736" i="3"/>
  <c r="AO736" i="3"/>
  <c r="AX736" i="3"/>
  <c r="AY736" i="3"/>
  <c r="AL736" i="3"/>
  <c r="AP736" i="3"/>
  <c r="AS736" i="3"/>
  <c r="AQ736" i="3"/>
  <c r="AZ736" i="3"/>
  <c r="AW736" i="3"/>
  <c r="AN736" i="3"/>
  <c r="AT736" i="3"/>
  <c r="AK736" i="3"/>
  <c r="AR736" i="3"/>
  <c r="AE732" i="3"/>
  <c r="AE728" i="3" s="1"/>
  <c r="AU736" i="3"/>
  <c r="AB740" i="3"/>
  <c r="BB740" i="3"/>
  <c r="AQ741" i="3"/>
  <c r="AV741" i="3"/>
  <c r="AO741" i="3"/>
  <c r="AN741" i="3"/>
  <c r="AE737" i="3"/>
  <c r="AS741" i="3"/>
  <c r="AY741" i="3"/>
  <c r="AU741" i="3"/>
  <c r="AM741" i="3"/>
  <c r="AR741" i="3"/>
  <c r="AZ741" i="3"/>
  <c r="AX741" i="3"/>
  <c r="AK741" i="3"/>
  <c r="AL741" i="3"/>
  <c r="AD741" i="3"/>
  <c r="AP741" i="3"/>
  <c r="AW741" i="3"/>
  <c r="AT741" i="3"/>
  <c r="BB745" i="3"/>
  <c r="AB745" i="3"/>
  <c r="AK728" i="3" l="1"/>
  <c r="AL728" i="3"/>
  <c r="AM728" i="3"/>
  <c r="AY728" i="3"/>
  <c r="AX728" i="3"/>
  <c r="AQ728" i="3"/>
  <c r="AP728" i="3"/>
  <c r="AO728" i="3"/>
  <c r="AN728" i="3"/>
  <c r="AW728" i="3"/>
  <c r="AZ728" i="3"/>
  <c r="AV728" i="3"/>
  <c r="AU728" i="3"/>
  <c r="AT728" i="3"/>
  <c r="AD728" i="3"/>
  <c r="AE724" i="3"/>
  <c r="AS728" i="3"/>
  <c r="AR728" i="3"/>
  <c r="AB741" i="3"/>
  <c r="BB741" i="3"/>
  <c r="AV732" i="3"/>
  <c r="AN732" i="3"/>
  <c r="AK732" i="3"/>
  <c r="AY732" i="3"/>
  <c r="AP732" i="3"/>
  <c r="AR732" i="3"/>
  <c r="AZ732" i="3"/>
  <c r="AD732" i="3"/>
  <c r="AU732" i="3"/>
  <c r="AQ732" i="3"/>
  <c r="AO732" i="3"/>
  <c r="AW732" i="3"/>
  <c r="AL732" i="3"/>
  <c r="AT732" i="3"/>
  <c r="AS732" i="3"/>
  <c r="AX732" i="3"/>
  <c r="AM732" i="3"/>
  <c r="BB736" i="3"/>
  <c r="AB736" i="3"/>
  <c r="AO737" i="3"/>
  <c r="AQ737" i="3"/>
  <c r="AS737" i="3"/>
  <c r="AE733" i="3"/>
  <c r="AE729" i="3" s="1"/>
  <c r="AZ737" i="3"/>
  <c r="AW737" i="3"/>
  <c r="AP737" i="3"/>
  <c r="AL737" i="3"/>
  <c r="AD737" i="3"/>
  <c r="AM737" i="3"/>
  <c r="AN737" i="3"/>
  <c r="AY737" i="3"/>
  <c r="AX737" i="3"/>
  <c r="AR737" i="3"/>
  <c r="AT737" i="3"/>
  <c r="AU737" i="3"/>
  <c r="AK737" i="3"/>
  <c r="AV737" i="3"/>
  <c r="AM729" i="3" l="1"/>
  <c r="AK729" i="3"/>
  <c r="AL729" i="3"/>
  <c r="AL724" i="3"/>
  <c r="AK724" i="3"/>
  <c r="AM724" i="3"/>
  <c r="AQ729" i="3"/>
  <c r="AP729" i="3"/>
  <c r="AD729" i="3"/>
  <c r="AZ729" i="3"/>
  <c r="AY729" i="3"/>
  <c r="AX729" i="3"/>
  <c r="AU729" i="3"/>
  <c r="AW729" i="3"/>
  <c r="AV729" i="3"/>
  <c r="AT729" i="3"/>
  <c r="AE725" i="3"/>
  <c r="AS729" i="3"/>
  <c r="AR729" i="3"/>
  <c r="AO729" i="3"/>
  <c r="AN729" i="3"/>
  <c r="AS724" i="3"/>
  <c r="AR724" i="3"/>
  <c r="AQ724" i="3"/>
  <c r="AP724" i="3"/>
  <c r="AO724" i="3"/>
  <c r="AE720" i="3"/>
  <c r="AN724" i="3"/>
  <c r="AY724" i="3"/>
  <c r="AZ724" i="3"/>
  <c r="AX724" i="3"/>
  <c r="AW724" i="3"/>
  <c r="AV724" i="3"/>
  <c r="AU724" i="3"/>
  <c r="AT724" i="3"/>
  <c r="AD724" i="3"/>
  <c r="AB728" i="3"/>
  <c r="BB728" i="3"/>
  <c r="BB737" i="3"/>
  <c r="AB737" i="3"/>
  <c r="AT733" i="3"/>
  <c r="AV733" i="3"/>
  <c r="AM733" i="3"/>
  <c r="AR733" i="3"/>
  <c r="AU733" i="3"/>
  <c r="AO733" i="3"/>
  <c r="AW733" i="3"/>
  <c r="AK733" i="3"/>
  <c r="AP733" i="3"/>
  <c r="AN733" i="3"/>
  <c r="AX733" i="3"/>
  <c r="AL733" i="3"/>
  <c r="AQ733" i="3"/>
  <c r="AY733" i="3"/>
  <c r="AS733" i="3"/>
  <c r="AD733" i="3"/>
  <c r="AZ733" i="3"/>
  <c r="BB732" i="3"/>
  <c r="AB732" i="3"/>
  <c r="AM720" i="3" l="1"/>
  <c r="AL720" i="3"/>
  <c r="AK720" i="3"/>
  <c r="AK725" i="3"/>
  <c r="AL725" i="3"/>
  <c r="AM725" i="3"/>
  <c r="AB724" i="3"/>
  <c r="BB724" i="3"/>
  <c r="AW725" i="3"/>
  <c r="AE721" i="3"/>
  <c r="AV725" i="3"/>
  <c r="AN725" i="3"/>
  <c r="AZ725" i="3"/>
  <c r="AY725" i="3"/>
  <c r="AT725" i="3"/>
  <c r="AX725" i="3"/>
  <c r="AU725" i="3"/>
  <c r="AS725" i="3"/>
  <c r="AR725" i="3"/>
  <c r="AD725" i="3"/>
  <c r="AQ725" i="3"/>
  <c r="AP725" i="3"/>
  <c r="AO725" i="3"/>
  <c r="BB729" i="3"/>
  <c r="AB729" i="3"/>
  <c r="AY720" i="3"/>
  <c r="AX720" i="3"/>
  <c r="AW720" i="3"/>
  <c r="AZ720" i="3"/>
  <c r="AV720" i="3"/>
  <c r="AE716" i="3"/>
  <c r="AS720" i="3"/>
  <c r="AU720" i="3"/>
  <c r="AT720" i="3"/>
  <c r="AR720" i="3"/>
  <c r="AD720" i="3"/>
  <c r="AQ720" i="3"/>
  <c r="AP720" i="3"/>
  <c r="AO720" i="3"/>
  <c r="AN720" i="3"/>
  <c r="AB733" i="3"/>
  <c r="BB733" i="3"/>
  <c r="AK721" i="3" l="1"/>
  <c r="AM721" i="3"/>
  <c r="AL721" i="3"/>
  <c r="AM716" i="3"/>
  <c r="AK716" i="3"/>
  <c r="AL716" i="3"/>
  <c r="AB720" i="3"/>
  <c r="BB720" i="3"/>
  <c r="AQ721" i="3"/>
  <c r="AP721" i="3"/>
  <c r="AD721" i="3"/>
  <c r="AW721" i="3"/>
  <c r="AV721" i="3"/>
  <c r="AU721" i="3"/>
  <c r="AO721" i="3"/>
  <c r="AZ721" i="3"/>
  <c r="AE717" i="3"/>
  <c r="AT721" i="3"/>
  <c r="AS721" i="3"/>
  <c r="AR721" i="3"/>
  <c r="AN721" i="3"/>
  <c r="AX721" i="3"/>
  <c r="AY721" i="3"/>
  <c r="BB725" i="3"/>
  <c r="AB725" i="3"/>
  <c r="AS716" i="3"/>
  <c r="AV716" i="3"/>
  <c r="AT716" i="3"/>
  <c r="AU716" i="3"/>
  <c r="AY716" i="3"/>
  <c r="AR716" i="3"/>
  <c r="AO716" i="3"/>
  <c r="AQ716" i="3"/>
  <c r="AD716" i="3"/>
  <c r="AP716" i="3"/>
  <c r="AN716" i="3"/>
  <c r="AZ716" i="3"/>
  <c r="AW716" i="3"/>
  <c r="AE712" i="3"/>
  <c r="AX716" i="3"/>
  <c r="AM717" i="3" l="1"/>
  <c r="AL717" i="3"/>
  <c r="AK717" i="3"/>
  <c r="AL712" i="3"/>
  <c r="AM712" i="3"/>
  <c r="AK712" i="3"/>
  <c r="BB721" i="3"/>
  <c r="AB721" i="3"/>
  <c r="BB716" i="3"/>
  <c r="AB716" i="3"/>
  <c r="AY712" i="3"/>
  <c r="AQ712" i="3"/>
  <c r="AD712" i="3"/>
  <c r="AO712" i="3"/>
  <c r="AE708" i="3"/>
  <c r="AP712" i="3"/>
  <c r="AX712" i="3"/>
  <c r="AW712" i="3"/>
  <c r="AT712" i="3"/>
  <c r="AN712" i="3"/>
  <c r="AZ712" i="3"/>
  <c r="AV712" i="3"/>
  <c r="AU712" i="3"/>
  <c r="AR712" i="3"/>
  <c r="AS712" i="3"/>
  <c r="AW717" i="3"/>
  <c r="AE713" i="3"/>
  <c r="AO717" i="3"/>
  <c r="AZ717" i="3"/>
  <c r="AR717" i="3"/>
  <c r="AN717" i="3"/>
  <c r="AY717" i="3"/>
  <c r="AX717" i="3"/>
  <c r="AV717" i="3"/>
  <c r="AU717" i="3"/>
  <c r="AT717" i="3"/>
  <c r="AS717" i="3"/>
  <c r="AD717" i="3"/>
  <c r="AQ717" i="3"/>
  <c r="AP717" i="3"/>
  <c r="AK708" i="3" l="1"/>
  <c r="AM708" i="3"/>
  <c r="AL708" i="3"/>
  <c r="AL713" i="3"/>
  <c r="AK713" i="3"/>
  <c r="AM713" i="3"/>
  <c r="AQ713" i="3"/>
  <c r="AX713" i="3"/>
  <c r="AE709" i="3"/>
  <c r="AW713" i="3"/>
  <c r="AV713" i="3"/>
  <c r="AS713" i="3"/>
  <c r="AR713" i="3"/>
  <c r="AU713" i="3"/>
  <c r="AT713" i="3"/>
  <c r="AD713" i="3"/>
  <c r="AP713" i="3"/>
  <c r="AO713" i="3"/>
  <c r="AN713" i="3"/>
  <c r="AZ713" i="3"/>
  <c r="AY713" i="3"/>
  <c r="AS708" i="3"/>
  <c r="AY708" i="3"/>
  <c r="AX708" i="3"/>
  <c r="AW708" i="3"/>
  <c r="AO708" i="3"/>
  <c r="AR708" i="3"/>
  <c r="AV708" i="3"/>
  <c r="AU708" i="3"/>
  <c r="AT708" i="3"/>
  <c r="AQ708" i="3"/>
  <c r="AD708" i="3"/>
  <c r="AP708" i="3"/>
  <c r="AZ708" i="3"/>
  <c r="AN708" i="3"/>
  <c r="AE704" i="3"/>
  <c r="BB717" i="3"/>
  <c r="AB717" i="3"/>
  <c r="BB712" i="3"/>
  <c r="AB712" i="3"/>
  <c r="AK709" i="3" l="1"/>
  <c r="AL709" i="3"/>
  <c r="AM709" i="3"/>
  <c r="BB713" i="3"/>
  <c r="AB713" i="3"/>
  <c r="AW709" i="3"/>
  <c r="AR709" i="3"/>
  <c r="AP709" i="3"/>
  <c r="AZ709" i="3"/>
  <c r="AQ709" i="3"/>
  <c r="AD709" i="3"/>
  <c r="AO709" i="3"/>
  <c r="AN709" i="3"/>
  <c r="AY709" i="3"/>
  <c r="AX709" i="3"/>
  <c r="AV709" i="3"/>
  <c r="AU709" i="3"/>
  <c r="AS709" i="3"/>
  <c r="AT709" i="3"/>
  <c r="AE705" i="3"/>
  <c r="AB708" i="3"/>
  <c r="BB708" i="3"/>
  <c r="AT704" i="3"/>
  <c r="AW704" i="3"/>
  <c r="AM704" i="3"/>
  <c r="AU704" i="3"/>
  <c r="AE700" i="3"/>
  <c r="AP704" i="3"/>
  <c r="AV704" i="3"/>
  <c r="AO704" i="3"/>
  <c r="AD704" i="3"/>
  <c r="AY704" i="3"/>
  <c r="AK704" i="3"/>
  <c r="AR704" i="3"/>
  <c r="AX704" i="3"/>
  <c r="AS704" i="3"/>
  <c r="AZ704" i="3"/>
  <c r="AQ704" i="3"/>
  <c r="AN704" i="3"/>
  <c r="AL704" i="3"/>
  <c r="BB709" i="3" l="1"/>
  <c r="AB709" i="3"/>
  <c r="AP700" i="3"/>
  <c r="AN700" i="3"/>
  <c r="AO700" i="3"/>
  <c r="AQ700" i="3"/>
  <c r="AR700" i="3"/>
  <c r="AT700" i="3"/>
  <c r="AD700" i="3"/>
  <c r="AZ700" i="3"/>
  <c r="AV700" i="3"/>
  <c r="AX700" i="3"/>
  <c r="AK700" i="3"/>
  <c r="AL700" i="3"/>
  <c r="AY700" i="3"/>
  <c r="AE696" i="3"/>
  <c r="AW700" i="3"/>
  <c r="AS700" i="3"/>
  <c r="AU700" i="3"/>
  <c r="AM700" i="3"/>
  <c r="AO705" i="3"/>
  <c r="AY705" i="3"/>
  <c r="AN705" i="3"/>
  <c r="AW705" i="3"/>
  <c r="AP705" i="3"/>
  <c r="AD705" i="3"/>
  <c r="AQ705" i="3"/>
  <c r="AM705" i="3"/>
  <c r="AK705" i="3"/>
  <c r="AV705" i="3"/>
  <c r="AU705" i="3"/>
  <c r="AE701" i="3"/>
  <c r="AS705" i="3"/>
  <c r="AT705" i="3"/>
  <c r="AL705" i="3"/>
  <c r="AR705" i="3"/>
  <c r="AX705" i="3"/>
  <c r="AZ705" i="3"/>
  <c r="BB704" i="3"/>
  <c r="AB704" i="3"/>
  <c r="AW701" i="3" l="1"/>
  <c r="AT701" i="3"/>
  <c r="AM701" i="3"/>
  <c r="AK701" i="3"/>
  <c r="AR701" i="3"/>
  <c r="AO701" i="3"/>
  <c r="AD701" i="3"/>
  <c r="AU701" i="3"/>
  <c r="AX701" i="3"/>
  <c r="AL701" i="3"/>
  <c r="AV701" i="3"/>
  <c r="AY701" i="3"/>
  <c r="AZ701" i="3"/>
  <c r="AQ701" i="3"/>
  <c r="AN701" i="3"/>
  <c r="AS701" i="3"/>
  <c r="AP701" i="3"/>
  <c r="AE697" i="3"/>
  <c r="AB705" i="3"/>
  <c r="BB705" i="3"/>
  <c r="AZ696" i="3"/>
  <c r="AT696" i="3"/>
  <c r="AM696" i="3"/>
  <c r="AN696" i="3"/>
  <c r="AW696" i="3"/>
  <c r="AP696" i="3"/>
  <c r="AO696" i="3"/>
  <c r="AU696" i="3"/>
  <c r="AK696" i="3"/>
  <c r="AX696" i="3"/>
  <c r="AV696" i="3"/>
  <c r="AE692" i="3"/>
  <c r="AY696" i="3"/>
  <c r="AR696" i="3"/>
  <c r="AD696" i="3"/>
  <c r="AL696" i="3"/>
  <c r="AS696" i="3"/>
  <c r="AQ696" i="3"/>
  <c r="BB700" i="3"/>
  <c r="AB700" i="3"/>
  <c r="AB701" i="3" l="1"/>
  <c r="BB701" i="3"/>
  <c r="AM697" i="3"/>
  <c r="AS697" i="3"/>
  <c r="AT697" i="3"/>
  <c r="AE693" i="3"/>
  <c r="AX697" i="3"/>
  <c r="AK697" i="3"/>
  <c r="AQ697" i="3"/>
  <c r="AU697" i="3"/>
  <c r="AZ697" i="3"/>
  <c r="AD697" i="3"/>
  <c r="AY697" i="3"/>
  <c r="AV697" i="3"/>
  <c r="AL697" i="3"/>
  <c r="AP697" i="3"/>
  <c r="AO697" i="3"/>
  <c r="AW697" i="3"/>
  <c r="AR697" i="3"/>
  <c r="AN697" i="3"/>
  <c r="AM692" i="3"/>
  <c r="AK692" i="3"/>
  <c r="AV692" i="3"/>
  <c r="AN692" i="3"/>
  <c r="AX692" i="3"/>
  <c r="AQ692" i="3"/>
  <c r="AZ692" i="3"/>
  <c r="AD692" i="3"/>
  <c r="AP692" i="3"/>
  <c r="AE688" i="3"/>
  <c r="AU692" i="3"/>
  <c r="AW692" i="3"/>
  <c r="AL692" i="3"/>
  <c r="AO692" i="3"/>
  <c r="AY692" i="3"/>
  <c r="AS692" i="3"/>
  <c r="AT692" i="3"/>
  <c r="AR692" i="3"/>
  <c r="AB696" i="3"/>
  <c r="BB696" i="3"/>
  <c r="AB697" i="3" l="1"/>
  <c r="BB697" i="3"/>
  <c r="AW693" i="3"/>
  <c r="AY693" i="3"/>
  <c r="AR693" i="3"/>
  <c r="AD693" i="3"/>
  <c r="AV693" i="3"/>
  <c r="AT693" i="3"/>
  <c r="AN693" i="3"/>
  <c r="AK693" i="3"/>
  <c r="AZ693" i="3"/>
  <c r="AX693" i="3"/>
  <c r="AQ693" i="3"/>
  <c r="AS693" i="3"/>
  <c r="AE689" i="3"/>
  <c r="AM693" i="3"/>
  <c r="AU693" i="3"/>
  <c r="AL693" i="3"/>
  <c r="AO693" i="3"/>
  <c r="AP693" i="3"/>
  <c r="AB692" i="3"/>
  <c r="BB692" i="3"/>
  <c r="AZ688" i="3"/>
  <c r="AL688" i="3"/>
  <c r="AE684" i="3"/>
  <c r="AO688" i="3"/>
  <c r="AQ688" i="3"/>
  <c r="AN688" i="3"/>
  <c r="AT688" i="3"/>
  <c r="AY688" i="3"/>
  <c r="AU688" i="3"/>
  <c r="AK688" i="3"/>
  <c r="AP688" i="3"/>
  <c r="AM688" i="3"/>
  <c r="AX688" i="3"/>
  <c r="AR688" i="3"/>
  <c r="AV688" i="3"/>
  <c r="AS688" i="3"/>
  <c r="AD688" i="3"/>
  <c r="AW688" i="3"/>
  <c r="BB693" i="3" l="1"/>
  <c r="AB693" i="3"/>
  <c r="AY689" i="3"/>
  <c r="AP689" i="3"/>
  <c r="AK689" i="3"/>
  <c r="AD689" i="3"/>
  <c r="AM689" i="3"/>
  <c r="AS689" i="3"/>
  <c r="AU689" i="3"/>
  <c r="AL689" i="3"/>
  <c r="AR689" i="3"/>
  <c r="AZ689" i="3"/>
  <c r="AE685" i="3"/>
  <c r="AX689" i="3"/>
  <c r="AN689" i="3"/>
  <c r="AT689" i="3"/>
  <c r="AO689" i="3"/>
  <c r="AW689" i="3"/>
  <c r="AQ689" i="3"/>
  <c r="AV689" i="3"/>
  <c r="BB688" i="3"/>
  <c r="AB688" i="3"/>
  <c r="AN684" i="3"/>
  <c r="AW684" i="3"/>
  <c r="AV684" i="3"/>
  <c r="AZ684" i="3"/>
  <c r="AR684" i="3"/>
  <c r="AP684" i="3"/>
  <c r="AL684" i="3"/>
  <c r="AU684" i="3"/>
  <c r="AO684" i="3"/>
  <c r="AE680" i="3"/>
  <c r="AK684" i="3"/>
  <c r="AS684" i="3"/>
  <c r="AX684" i="3"/>
  <c r="AT684" i="3"/>
  <c r="AM684" i="3"/>
  <c r="AQ684" i="3"/>
  <c r="AD684" i="3"/>
  <c r="AY684" i="3"/>
  <c r="BB689" i="3" l="1"/>
  <c r="AB689" i="3"/>
  <c r="AB684" i="3"/>
  <c r="BB684" i="3"/>
  <c r="AZ680" i="3"/>
  <c r="AY680" i="3"/>
  <c r="AU680" i="3"/>
  <c r="AR680" i="3"/>
  <c r="AK680" i="3"/>
  <c r="AM680" i="3"/>
  <c r="AV680" i="3"/>
  <c r="AW680" i="3"/>
  <c r="AL680" i="3"/>
  <c r="AX680" i="3"/>
  <c r="AD680" i="3"/>
  <c r="AQ680" i="3"/>
  <c r="AP680" i="3"/>
  <c r="AO680" i="3"/>
  <c r="AS680" i="3"/>
  <c r="AN680" i="3"/>
  <c r="AE676" i="3"/>
  <c r="AT680" i="3"/>
  <c r="AD685" i="3"/>
  <c r="AX685" i="3"/>
  <c r="AM685" i="3"/>
  <c r="AW685" i="3"/>
  <c r="AS685" i="3"/>
  <c r="AL685" i="3"/>
  <c r="AY685" i="3"/>
  <c r="AQ685" i="3"/>
  <c r="AK685" i="3"/>
  <c r="AZ685" i="3"/>
  <c r="AO685" i="3"/>
  <c r="AP685" i="3"/>
  <c r="AV685" i="3"/>
  <c r="AN685" i="3"/>
  <c r="AU685" i="3"/>
  <c r="AE681" i="3"/>
  <c r="AT685" i="3"/>
  <c r="AR685" i="3"/>
  <c r="AB685" i="3" l="1"/>
  <c r="BB685" i="3"/>
  <c r="AB680" i="3"/>
  <c r="BB680" i="3"/>
  <c r="AQ676" i="3"/>
  <c r="AX676" i="3"/>
  <c r="AU676" i="3"/>
  <c r="AN676" i="3"/>
  <c r="AD676" i="3"/>
  <c r="AK676" i="3"/>
  <c r="AY676" i="3"/>
  <c r="AV676" i="3"/>
  <c r="AW676" i="3"/>
  <c r="AL676" i="3"/>
  <c r="AP676" i="3"/>
  <c r="AO676" i="3"/>
  <c r="AM676" i="3"/>
  <c r="AT676" i="3"/>
  <c r="AR676" i="3"/>
  <c r="AE672" i="3"/>
  <c r="AZ676" i="3"/>
  <c r="AS676" i="3"/>
  <c r="AW681" i="3"/>
  <c r="AM681" i="3"/>
  <c r="AP681" i="3"/>
  <c r="AU681" i="3"/>
  <c r="AV681" i="3"/>
  <c r="AO681" i="3"/>
  <c r="AS681" i="3"/>
  <c r="AZ681" i="3"/>
  <c r="AK681" i="3"/>
  <c r="AE677" i="3"/>
  <c r="AL681" i="3"/>
  <c r="AQ681" i="3"/>
  <c r="AX681" i="3"/>
  <c r="AY681" i="3"/>
  <c r="AT681" i="3"/>
  <c r="AN681" i="3"/>
  <c r="AD681" i="3"/>
  <c r="AR681" i="3"/>
  <c r="AB676" i="3" l="1"/>
  <c r="BB676" i="3"/>
  <c r="AW677" i="3"/>
  <c r="AU677" i="3"/>
  <c r="AR677" i="3"/>
  <c r="AS677" i="3"/>
  <c r="AP677" i="3"/>
  <c r="AN677" i="3"/>
  <c r="AY677" i="3"/>
  <c r="AZ677" i="3"/>
  <c r="AX677" i="3"/>
  <c r="AD677" i="3"/>
  <c r="AT677" i="3"/>
  <c r="AO677" i="3"/>
  <c r="AV677" i="3"/>
  <c r="AK677" i="3"/>
  <c r="AQ677" i="3"/>
  <c r="AL677" i="3"/>
  <c r="AM677" i="3"/>
  <c r="AE673" i="3"/>
  <c r="AZ672" i="3"/>
  <c r="AK672" i="3"/>
  <c r="AN672" i="3"/>
  <c r="AL672" i="3"/>
  <c r="AY672" i="3"/>
  <c r="AD672" i="3"/>
  <c r="AT672" i="3"/>
  <c r="AW672" i="3"/>
  <c r="AO672" i="3"/>
  <c r="AV672" i="3"/>
  <c r="AM672" i="3"/>
  <c r="AE668" i="3"/>
  <c r="AR672" i="3"/>
  <c r="AP672" i="3"/>
  <c r="AU672" i="3"/>
  <c r="AX672" i="3"/>
  <c r="AQ672" i="3"/>
  <c r="AS672" i="3"/>
  <c r="AB681" i="3"/>
  <c r="BB681" i="3"/>
  <c r="AP673" i="3" l="1"/>
  <c r="AE669" i="3"/>
  <c r="AM673" i="3"/>
  <c r="AT673" i="3"/>
  <c r="AN673" i="3"/>
  <c r="AO673" i="3"/>
  <c r="AW673" i="3"/>
  <c r="AR673" i="3"/>
  <c r="AQ673" i="3"/>
  <c r="AY673" i="3"/>
  <c r="AS673" i="3"/>
  <c r="AV673" i="3"/>
  <c r="AD673" i="3"/>
  <c r="AU673" i="3"/>
  <c r="AK673" i="3"/>
  <c r="AL673" i="3"/>
  <c r="AX673" i="3"/>
  <c r="AZ673" i="3"/>
  <c r="AB677" i="3"/>
  <c r="BB677" i="3"/>
  <c r="BB672" i="3"/>
  <c r="AB672" i="3"/>
  <c r="AU668" i="3"/>
  <c r="AW668" i="3"/>
  <c r="AZ668" i="3"/>
  <c r="AT668" i="3"/>
  <c r="AK668" i="3"/>
  <c r="AX668" i="3"/>
  <c r="AV668" i="3"/>
  <c r="AO668" i="3"/>
  <c r="AY668" i="3"/>
  <c r="AE664" i="3"/>
  <c r="AN668" i="3"/>
  <c r="AQ668" i="3"/>
  <c r="AR668" i="3"/>
  <c r="AL668" i="3"/>
  <c r="AS668" i="3"/>
  <c r="AD668" i="3"/>
  <c r="AM668" i="3"/>
  <c r="AP668" i="3"/>
  <c r="AZ664" i="3" l="1"/>
  <c r="AM664" i="3"/>
  <c r="AT664" i="3"/>
  <c r="AN664" i="3"/>
  <c r="AU664" i="3"/>
  <c r="AD664" i="3"/>
  <c r="AE660" i="3"/>
  <c r="AP664" i="3"/>
  <c r="AL664" i="3"/>
  <c r="AQ664" i="3"/>
  <c r="AR664" i="3"/>
  <c r="AS664" i="3"/>
  <c r="AW664" i="3"/>
  <c r="AK664" i="3"/>
  <c r="AY664" i="3"/>
  <c r="AV664" i="3"/>
  <c r="AX664" i="3"/>
  <c r="AO664" i="3"/>
  <c r="AB668" i="3"/>
  <c r="BB668" i="3"/>
  <c r="AQ669" i="3"/>
  <c r="AO669" i="3"/>
  <c r="AT669" i="3"/>
  <c r="AN669" i="3"/>
  <c r="AP669" i="3"/>
  <c r="AR669" i="3"/>
  <c r="AZ669" i="3"/>
  <c r="AM669" i="3"/>
  <c r="AE665" i="3"/>
  <c r="AW669" i="3"/>
  <c r="AY669" i="3"/>
  <c r="AX669" i="3"/>
  <c r="AV669" i="3"/>
  <c r="AD669" i="3"/>
  <c r="AS669" i="3"/>
  <c r="AK669" i="3"/>
  <c r="AU669" i="3"/>
  <c r="AL669" i="3"/>
  <c r="AB673" i="3"/>
  <c r="BB673" i="3"/>
  <c r="AS660" i="3" l="1"/>
  <c r="AU660" i="3"/>
  <c r="AR660" i="3"/>
  <c r="AV660" i="3"/>
  <c r="AW660" i="3"/>
  <c r="AE656" i="3"/>
  <c r="AZ660" i="3"/>
  <c r="AP660" i="3"/>
  <c r="AN660" i="3"/>
  <c r="AT660" i="3"/>
  <c r="AK660" i="3"/>
  <c r="AL660" i="3"/>
  <c r="AM660" i="3"/>
  <c r="AD660" i="3"/>
  <c r="AQ660" i="3"/>
  <c r="AY660" i="3"/>
  <c r="AO660" i="3"/>
  <c r="AX660" i="3"/>
  <c r="BB664" i="3"/>
  <c r="AB664" i="3"/>
  <c r="AB669" i="3"/>
  <c r="BB669" i="3"/>
  <c r="AX665" i="3"/>
  <c r="AQ665" i="3"/>
  <c r="AT665" i="3"/>
  <c r="AK665" i="3"/>
  <c r="AZ665" i="3"/>
  <c r="AW665" i="3"/>
  <c r="AD665" i="3"/>
  <c r="AY665" i="3"/>
  <c r="AN665" i="3"/>
  <c r="AR665" i="3"/>
  <c r="AM665" i="3"/>
  <c r="AE661" i="3"/>
  <c r="AU665" i="3"/>
  <c r="AO665" i="3"/>
  <c r="AV665" i="3"/>
  <c r="AL665" i="3"/>
  <c r="AS665" i="3"/>
  <c r="AP665" i="3"/>
  <c r="AK661" i="3" l="1"/>
  <c r="AT661" i="3"/>
  <c r="AO661" i="3"/>
  <c r="AZ661" i="3"/>
  <c r="AL661" i="3"/>
  <c r="AS661" i="3"/>
  <c r="AV661" i="3"/>
  <c r="AY661" i="3"/>
  <c r="AQ661" i="3"/>
  <c r="AX661" i="3"/>
  <c r="AM661" i="3"/>
  <c r="AP661" i="3"/>
  <c r="AR661" i="3"/>
  <c r="AD661" i="3"/>
  <c r="AU661" i="3"/>
  <c r="AW661" i="3"/>
  <c r="AN661" i="3"/>
  <c r="AE657" i="3"/>
  <c r="AL656" i="3"/>
  <c r="AZ656" i="3"/>
  <c r="AR656" i="3"/>
  <c r="AU656" i="3"/>
  <c r="AD656" i="3"/>
  <c r="AY656" i="3"/>
  <c r="AW656" i="3"/>
  <c r="AM656" i="3"/>
  <c r="AK656" i="3"/>
  <c r="AQ656" i="3"/>
  <c r="AP656" i="3"/>
  <c r="AX656" i="3"/>
  <c r="AE652" i="3"/>
  <c r="AO656" i="3"/>
  <c r="AV656" i="3"/>
  <c r="AT656" i="3"/>
  <c r="AN656" i="3"/>
  <c r="AS656" i="3"/>
  <c r="BB665" i="3"/>
  <c r="AB665" i="3"/>
  <c r="AB660" i="3"/>
  <c r="BB660" i="3"/>
  <c r="AT652" i="3" l="1"/>
  <c r="AN652" i="3"/>
  <c r="AS652" i="3"/>
  <c r="AZ652" i="3"/>
  <c r="AM652" i="3"/>
  <c r="AX652" i="3"/>
  <c r="AK652" i="3"/>
  <c r="AV652" i="3"/>
  <c r="AO652" i="3"/>
  <c r="AU652" i="3"/>
  <c r="AR652" i="3"/>
  <c r="AL652" i="3"/>
  <c r="AP652" i="3"/>
  <c r="AE648" i="3"/>
  <c r="AD652" i="3"/>
  <c r="AQ652" i="3"/>
  <c r="AY652" i="3"/>
  <c r="AW652" i="3"/>
  <c r="BB656" i="3"/>
  <c r="AB656" i="3"/>
  <c r="AL657" i="3"/>
  <c r="AS657" i="3"/>
  <c r="AO657" i="3"/>
  <c r="AT657" i="3"/>
  <c r="AY657" i="3"/>
  <c r="AU657" i="3"/>
  <c r="AR657" i="3"/>
  <c r="AX657" i="3"/>
  <c r="AK657" i="3"/>
  <c r="AE653" i="3"/>
  <c r="AD657" i="3"/>
  <c r="AP657" i="3"/>
  <c r="AZ657" i="3"/>
  <c r="AN657" i="3"/>
  <c r="AV657" i="3"/>
  <c r="AQ657" i="3"/>
  <c r="AM657" i="3"/>
  <c r="AW657" i="3"/>
  <c r="AB661" i="3"/>
  <c r="BB661" i="3"/>
  <c r="AD653" i="3" l="1"/>
  <c r="AQ653" i="3"/>
  <c r="AP653" i="3"/>
  <c r="AL653" i="3"/>
  <c r="AE649" i="3"/>
  <c r="AO653" i="3"/>
  <c r="AV653" i="3"/>
  <c r="AT653" i="3"/>
  <c r="AK653" i="3"/>
  <c r="AW653" i="3"/>
  <c r="AU653" i="3"/>
  <c r="AY653" i="3"/>
  <c r="AR653" i="3"/>
  <c r="AM653" i="3"/>
  <c r="AS653" i="3"/>
  <c r="AZ653" i="3"/>
  <c r="AN653" i="3"/>
  <c r="AX653" i="3"/>
  <c r="BB657" i="3"/>
  <c r="AB657" i="3"/>
  <c r="AB652" i="3"/>
  <c r="BB652" i="3"/>
  <c r="AR648" i="3"/>
  <c r="AU648" i="3"/>
  <c r="AM648" i="3"/>
  <c r="AW648" i="3"/>
  <c r="AL648" i="3"/>
  <c r="AY648" i="3"/>
  <c r="AQ648" i="3"/>
  <c r="AO648" i="3"/>
  <c r="AD648" i="3"/>
  <c r="AP648" i="3"/>
  <c r="AV648" i="3"/>
  <c r="AX648" i="3"/>
  <c r="AN648" i="3"/>
  <c r="AT648" i="3"/>
  <c r="AK648" i="3"/>
  <c r="AZ648" i="3"/>
  <c r="AS648" i="3"/>
  <c r="AE644" i="3"/>
  <c r="AZ649" i="3" l="1"/>
  <c r="AN649" i="3"/>
  <c r="AU649" i="3"/>
  <c r="AY649" i="3"/>
  <c r="AO649" i="3"/>
  <c r="AV649" i="3"/>
  <c r="AQ649" i="3"/>
  <c r="AS649" i="3"/>
  <c r="AK649" i="3"/>
  <c r="AT649" i="3"/>
  <c r="AL649" i="3"/>
  <c r="AE645" i="3"/>
  <c r="AP649" i="3"/>
  <c r="AR649" i="3"/>
  <c r="AD649" i="3"/>
  <c r="AM649" i="3"/>
  <c r="AX649" i="3"/>
  <c r="AW649" i="3"/>
  <c r="AB648" i="3"/>
  <c r="BB648" i="3"/>
  <c r="AW644" i="3"/>
  <c r="AY644" i="3"/>
  <c r="AM644" i="3"/>
  <c r="AX644" i="3"/>
  <c r="AT644" i="3"/>
  <c r="AQ644" i="3"/>
  <c r="AN644" i="3"/>
  <c r="AD644" i="3"/>
  <c r="AV644" i="3"/>
  <c r="AL644" i="3"/>
  <c r="AP644" i="3"/>
  <c r="AO644" i="3"/>
  <c r="AS644" i="3"/>
  <c r="AZ644" i="3"/>
  <c r="AE640" i="3"/>
  <c r="AR644" i="3"/>
  <c r="AK644" i="3"/>
  <c r="AU644" i="3"/>
  <c r="BB653" i="3"/>
  <c r="AB653" i="3"/>
  <c r="AK640" i="3" l="1"/>
  <c r="AX640" i="3"/>
  <c r="AT640" i="3"/>
  <c r="AV640" i="3"/>
  <c r="AY640" i="3"/>
  <c r="AS640" i="3"/>
  <c r="AN640" i="3"/>
  <c r="AQ640" i="3"/>
  <c r="AO640" i="3"/>
  <c r="AM640" i="3"/>
  <c r="AL640" i="3"/>
  <c r="AU640" i="3"/>
  <c r="AD640" i="3"/>
  <c r="AZ640" i="3"/>
  <c r="AW640" i="3"/>
  <c r="AE636" i="3"/>
  <c r="AP640" i="3"/>
  <c r="AR640" i="3"/>
  <c r="AB644" i="3"/>
  <c r="BB644" i="3"/>
  <c r="BB649" i="3"/>
  <c r="AB649" i="3"/>
  <c r="AW645" i="3"/>
  <c r="AE641" i="3"/>
  <c r="AR645" i="3"/>
  <c r="AN645" i="3"/>
  <c r="AL645" i="3"/>
  <c r="AM645" i="3"/>
  <c r="AS645" i="3"/>
  <c r="AX645" i="3"/>
  <c r="AQ645" i="3"/>
  <c r="AV645" i="3"/>
  <c r="AP645" i="3"/>
  <c r="AY645" i="3"/>
  <c r="AD645" i="3"/>
  <c r="AT645" i="3"/>
  <c r="AU645" i="3"/>
  <c r="AK645" i="3"/>
  <c r="AZ645" i="3"/>
  <c r="AO645" i="3"/>
  <c r="AR641" i="3" l="1"/>
  <c r="AX641" i="3"/>
  <c r="AT641" i="3"/>
  <c r="AP641" i="3"/>
  <c r="AZ641" i="3"/>
  <c r="AN641" i="3"/>
  <c r="AK641" i="3"/>
  <c r="AU641" i="3"/>
  <c r="AY641" i="3"/>
  <c r="AD641" i="3"/>
  <c r="AS641" i="3"/>
  <c r="AO641" i="3"/>
  <c r="AE637" i="3"/>
  <c r="AW641" i="3"/>
  <c r="AQ641" i="3"/>
  <c r="AV641" i="3"/>
  <c r="AM641" i="3"/>
  <c r="AL641" i="3"/>
  <c r="AB645" i="3"/>
  <c r="BB645" i="3"/>
  <c r="AN636" i="3"/>
  <c r="AL636" i="3"/>
  <c r="AX636" i="3"/>
  <c r="AR636" i="3"/>
  <c r="AV636" i="3"/>
  <c r="AZ636" i="3"/>
  <c r="AT636" i="3"/>
  <c r="AQ636" i="3"/>
  <c r="AM636" i="3"/>
  <c r="AK636" i="3"/>
  <c r="AD636" i="3"/>
  <c r="AE632" i="3"/>
  <c r="AU636" i="3"/>
  <c r="AP636" i="3"/>
  <c r="AY636" i="3"/>
  <c r="AW636" i="3"/>
  <c r="AS636" i="3"/>
  <c r="AO636" i="3"/>
  <c r="BB640" i="3"/>
  <c r="AB640" i="3"/>
  <c r="AR632" i="3" l="1"/>
  <c r="AE628" i="3"/>
  <c r="AN632" i="3"/>
  <c r="AY632" i="3"/>
  <c r="AT632" i="3"/>
  <c r="AK632" i="3"/>
  <c r="AM632" i="3"/>
  <c r="AO632" i="3"/>
  <c r="AZ632" i="3"/>
  <c r="AL632" i="3"/>
  <c r="AX632" i="3"/>
  <c r="AW632" i="3"/>
  <c r="AQ632" i="3"/>
  <c r="AS632" i="3"/>
  <c r="AP632" i="3"/>
  <c r="AD632" i="3"/>
  <c r="AV632" i="3"/>
  <c r="AU632" i="3"/>
  <c r="AB641" i="3"/>
  <c r="BB641" i="3"/>
  <c r="AB636" i="3"/>
  <c r="BB636" i="3"/>
  <c r="AS637" i="3"/>
  <c r="AZ637" i="3"/>
  <c r="AD637" i="3"/>
  <c r="AY637" i="3"/>
  <c r="AW637" i="3"/>
  <c r="AM637" i="3"/>
  <c r="AX637" i="3"/>
  <c r="AE633" i="3"/>
  <c r="AV637" i="3"/>
  <c r="AR637" i="3"/>
  <c r="AL637" i="3"/>
  <c r="AU637" i="3"/>
  <c r="AO637" i="3"/>
  <c r="AK637" i="3"/>
  <c r="AP637" i="3"/>
  <c r="AT637" i="3"/>
  <c r="AN637" i="3"/>
  <c r="AQ637" i="3"/>
  <c r="BB632" i="3" l="1"/>
  <c r="AB632" i="3"/>
  <c r="AD633" i="3"/>
  <c r="AW633" i="3"/>
  <c r="AZ633" i="3"/>
  <c r="AK633" i="3"/>
  <c r="AM633" i="3"/>
  <c r="AQ633" i="3"/>
  <c r="AT633" i="3"/>
  <c r="AN633" i="3"/>
  <c r="AX633" i="3"/>
  <c r="AY633" i="3"/>
  <c r="AE629" i="3"/>
  <c r="AO633" i="3"/>
  <c r="AV633" i="3"/>
  <c r="AP633" i="3"/>
  <c r="AL633" i="3"/>
  <c r="AU633" i="3"/>
  <c r="AR633" i="3"/>
  <c r="AS633" i="3"/>
  <c r="AV628" i="3"/>
  <c r="AZ628" i="3"/>
  <c r="AE624" i="3"/>
  <c r="AD628" i="3"/>
  <c r="AL628" i="3"/>
  <c r="AY628" i="3"/>
  <c r="AR628" i="3"/>
  <c r="AO628" i="3"/>
  <c r="AX628" i="3"/>
  <c r="AM628" i="3"/>
  <c r="AN628" i="3"/>
  <c r="AK628" i="3"/>
  <c r="AP628" i="3"/>
  <c r="AS628" i="3"/>
  <c r="AW628" i="3"/>
  <c r="AU628" i="3"/>
  <c r="AT628" i="3"/>
  <c r="AQ628" i="3"/>
  <c r="AB637" i="3"/>
  <c r="BB637" i="3"/>
  <c r="AB628" i="3" l="1"/>
  <c r="BB628" i="3"/>
  <c r="BB633" i="3"/>
  <c r="AB633" i="3"/>
  <c r="AZ624" i="3"/>
  <c r="AS624" i="3"/>
  <c r="AT624" i="3"/>
  <c r="AM624" i="3"/>
  <c r="AW624" i="3"/>
  <c r="AQ624" i="3"/>
  <c r="AP624" i="3"/>
  <c r="AD624" i="3"/>
  <c r="AK624" i="3"/>
  <c r="AE620" i="3"/>
  <c r="AX624" i="3"/>
  <c r="AO624" i="3"/>
  <c r="AN624" i="3"/>
  <c r="AY624" i="3"/>
  <c r="AL624" i="3"/>
  <c r="AV624" i="3"/>
  <c r="AU624" i="3"/>
  <c r="AR624" i="3"/>
  <c r="AR629" i="3"/>
  <c r="AE625" i="3"/>
  <c r="AQ629" i="3"/>
  <c r="AS629" i="3"/>
  <c r="AY629" i="3"/>
  <c r="AZ629" i="3"/>
  <c r="AN629" i="3"/>
  <c r="AD629" i="3"/>
  <c r="AK629" i="3"/>
  <c r="AM629" i="3"/>
  <c r="AX629" i="3"/>
  <c r="AV629" i="3"/>
  <c r="AL629" i="3"/>
  <c r="AO629" i="3"/>
  <c r="AT629" i="3"/>
  <c r="AW629" i="3"/>
  <c r="AP629" i="3"/>
  <c r="AU629" i="3"/>
  <c r="AM625" i="3" l="1"/>
  <c r="AW625" i="3"/>
  <c r="AE621" i="3"/>
  <c r="AQ625" i="3"/>
  <c r="AY625" i="3"/>
  <c r="AK625" i="3"/>
  <c r="AS625" i="3"/>
  <c r="AP625" i="3"/>
  <c r="AZ625" i="3"/>
  <c r="AN625" i="3"/>
  <c r="AX625" i="3"/>
  <c r="AT625" i="3"/>
  <c r="AL625" i="3"/>
  <c r="AD625" i="3"/>
  <c r="AO625" i="3"/>
  <c r="AV625" i="3"/>
  <c r="AR625" i="3"/>
  <c r="AU625" i="3"/>
  <c r="BB624" i="3"/>
  <c r="AB624" i="3"/>
  <c r="AB629" i="3"/>
  <c r="BB629" i="3"/>
  <c r="AT620" i="3"/>
  <c r="AL620" i="3"/>
  <c r="AS620" i="3"/>
  <c r="AD620" i="3"/>
  <c r="AZ620" i="3"/>
  <c r="AP620" i="3"/>
  <c r="AR620" i="3"/>
  <c r="AO620" i="3"/>
  <c r="AN620" i="3"/>
  <c r="AK620" i="3"/>
  <c r="AV620" i="3"/>
  <c r="AE616" i="3"/>
  <c r="AQ620" i="3"/>
  <c r="AU620" i="3"/>
  <c r="AM620" i="3"/>
  <c r="AW620" i="3"/>
  <c r="AY620" i="3"/>
  <c r="AX620" i="3"/>
  <c r="AV621" i="3" l="1"/>
  <c r="AE617" i="3"/>
  <c r="AW621" i="3"/>
  <c r="AK621" i="3"/>
  <c r="AQ621" i="3"/>
  <c r="AT621" i="3"/>
  <c r="AZ621" i="3"/>
  <c r="AY621" i="3"/>
  <c r="AR621" i="3"/>
  <c r="AD621" i="3"/>
  <c r="AM621" i="3"/>
  <c r="AO621" i="3"/>
  <c r="AN621" i="3"/>
  <c r="AS621" i="3"/>
  <c r="AP621" i="3"/>
  <c r="AX621" i="3"/>
  <c r="AL621" i="3"/>
  <c r="AU621" i="3"/>
  <c r="AE612" i="3"/>
  <c r="AQ616" i="3"/>
  <c r="AP616" i="3"/>
  <c r="AO616" i="3"/>
  <c r="AZ616" i="3"/>
  <c r="AX616" i="3"/>
  <c r="AD616" i="3"/>
  <c r="AM616" i="3"/>
  <c r="AU616" i="3"/>
  <c r="AY616" i="3"/>
  <c r="AT616" i="3"/>
  <c r="AK616" i="3"/>
  <c r="AN616" i="3"/>
  <c r="AS616" i="3"/>
  <c r="AL616" i="3"/>
  <c r="AV616" i="3"/>
  <c r="AR616" i="3"/>
  <c r="AW616" i="3"/>
  <c r="BB620" i="3"/>
  <c r="AB620" i="3"/>
  <c r="BB625" i="3"/>
  <c r="AB625" i="3"/>
  <c r="AM612" i="3" l="1"/>
  <c r="AO612" i="3"/>
  <c r="AS612" i="3"/>
  <c r="AR612" i="3"/>
  <c r="AU612" i="3"/>
  <c r="AP612" i="3"/>
  <c r="AD612" i="3"/>
  <c r="AZ612" i="3"/>
  <c r="AL612" i="3"/>
  <c r="AY612" i="3"/>
  <c r="AX612" i="3"/>
  <c r="AW612" i="3"/>
  <c r="AN612" i="3"/>
  <c r="AE608" i="3"/>
  <c r="AQ612" i="3"/>
  <c r="AT612" i="3"/>
  <c r="AK612" i="3"/>
  <c r="AV612" i="3"/>
  <c r="AE613" i="3"/>
  <c r="AL617" i="3"/>
  <c r="AU617" i="3"/>
  <c r="AP617" i="3"/>
  <c r="AD617" i="3"/>
  <c r="AW617" i="3"/>
  <c r="AK617" i="3"/>
  <c r="AR617" i="3"/>
  <c r="AM617" i="3"/>
  <c r="AO617" i="3"/>
  <c r="AN617" i="3"/>
  <c r="AZ617" i="3"/>
  <c r="AX617" i="3"/>
  <c r="AY617" i="3"/>
  <c r="AS617" i="3"/>
  <c r="AQ617" i="3"/>
  <c r="AV617" i="3"/>
  <c r="AT617" i="3"/>
  <c r="AB621" i="3"/>
  <c r="BB621" i="3"/>
  <c r="AB616" i="3"/>
  <c r="BB616" i="3"/>
  <c r="AK613" i="3" l="1"/>
  <c r="AS613" i="3"/>
  <c r="AE609" i="3"/>
  <c r="AV613" i="3"/>
  <c r="AT613" i="3"/>
  <c r="AN613" i="3"/>
  <c r="AL613" i="3"/>
  <c r="AX613" i="3"/>
  <c r="AZ613" i="3"/>
  <c r="AW613" i="3"/>
  <c r="AR613" i="3"/>
  <c r="AU613" i="3"/>
  <c r="AQ613" i="3"/>
  <c r="AY613" i="3"/>
  <c r="AD613" i="3"/>
  <c r="AM613" i="3"/>
  <c r="AO613" i="3"/>
  <c r="AP613" i="3"/>
  <c r="BB612" i="3"/>
  <c r="AB612" i="3"/>
  <c r="AL608" i="3"/>
  <c r="AY608" i="3"/>
  <c r="AK608" i="3"/>
  <c r="AE604" i="3"/>
  <c r="AZ608" i="3"/>
  <c r="AM608" i="3"/>
  <c r="AX608" i="3"/>
  <c r="AQ608" i="3"/>
  <c r="AU608" i="3"/>
  <c r="AP608" i="3"/>
  <c r="AV608" i="3"/>
  <c r="AW608" i="3"/>
  <c r="AR608" i="3"/>
  <c r="AT608" i="3"/>
  <c r="AO608" i="3"/>
  <c r="AS608" i="3"/>
  <c r="AN608" i="3"/>
  <c r="AD608" i="3"/>
  <c r="BB617" i="3"/>
  <c r="AB617" i="3"/>
  <c r="AY604" i="3" l="1"/>
  <c r="AR604" i="3"/>
  <c r="AX604" i="3"/>
  <c r="AV604" i="3"/>
  <c r="AN604" i="3"/>
  <c r="AM604" i="3"/>
  <c r="AU604" i="3"/>
  <c r="AO604" i="3"/>
  <c r="AE600" i="3"/>
  <c r="AW604" i="3"/>
  <c r="AS604" i="3"/>
  <c r="AQ604" i="3"/>
  <c r="AT604" i="3"/>
  <c r="AK604" i="3"/>
  <c r="AZ604" i="3"/>
  <c r="AD604" i="3"/>
  <c r="AL604" i="3"/>
  <c r="AP604" i="3"/>
  <c r="BB613" i="3"/>
  <c r="AB613" i="3"/>
  <c r="AS609" i="3"/>
  <c r="AV609" i="3"/>
  <c r="AO609" i="3"/>
  <c r="AU609" i="3"/>
  <c r="AN609" i="3"/>
  <c r="AW609" i="3"/>
  <c r="AY609" i="3"/>
  <c r="AT609" i="3"/>
  <c r="AM609" i="3"/>
  <c r="AE605" i="3"/>
  <c r="AZ609" i="3"/>
  <c r="AD609" i="3"/>
  <c r="AR609" i="3"/>
  <c r="AK609" i="3"/>
  <c r="AX609" i="3"/>
  <c r="AL609" i="3"/>
  <c r="AQ609" i="3"/>
  <c r="AP609" i="3"/>
  <c r="BB608" i="3"/>
  <c r="AB608" i="3"/>
  <c r="BB609" i="3" l="1"/>
  <c r="AB609" i="3"/>
  <c r="AU605" i="3"/>
  <c r="AR605" i="3"/>
  <c r="AP605" i="3"/>
  <c r="AW605" i="3"/>
  <c r="AD605" i="3"/>
  <c r="AS605" i="3"/>
  <c r="AK605" i="3"/>
  <c r="AZ605" i="3"/>
  <c r="AV605" i="3"/>
  <c r="AL605" i="3"/>
  <c r="AX605" i="3"/>
  <c r="AE601" i="3"/>
  <c r="AT605" i="3"/>
  <c r="AO605" i="3"/>
  <c r="AN605" i="3"/>
  <c r="AY605" i="3"/>
  <c r="AQ605" i="3"/>
  <c r="AM605" i="3"/>
  <c r="BB604" i="3"/>
  <c r="AB604" i="3"/>
  <c r="AX600" i="3"/>
  <c r="AE596" i="3"/>
  <c r="AN600" i="3"/>
  <c r="AT600" i="3"/>
  <c r="AU600" i="3"/>
  <c r="AZ600" i="3"/>
  <c r="AQ600" i="3"/>
  <c r="AL600" i="3"/>
  <c r="AV600" i="3"/>
  <c r="AW600" i="3"/>
  <c r="AP600" i="3"/>
  <c r="AM600" i="3"/>
  <c r="AS600" i="3"/>
  <c r="AK600" i="3"/>
  <c r="AO600" i="3"/>
  <c r="AD600" i="3"/>
  <c r="AR600" i="3"/>
  <c r="AY600" i="3"/>
  <c r="BB605" i="3" l="1"/>
  <c r="AB605" i="3"/>
  <c r="AO596" i="3"/>
  <c r="AS596" i="3"/>
  <c r="AN596" i="3"/>
  <c r="AP596" i="3"/>
  <c r="AZ596" i="3"/>
  <c r="AK596" i="3"/>
  <c r="AX596" i="3"/>
  <c r="AQ596" i="3"/>
  <c r="AU596" i="3"/>
  <c r="AR596" i="3"/>
  <c r="AE592" i="3"/>
  <c r="AV596" i="3"/>
  <c r="AL596" i="3"/>
  <c r="AY596" i="3"/>
  <c r="AT596" i="3"/>
  <c r="AM596" i="3"/>
  <c r="AW596" i="3"/>
  <c r="AD596" i="3"/>
  <c r="AN601" i="3"/>
  <c r="AM601" i="3"/>
  <c r="AR601" i="3"/>
  <c r="AK601" i="3"/>
  <c r="AY601" i="3"/>
  <c r="AE597" i="3"/>
  <c r="AP601" i="3"/>
  <c r="AX601" i="3"/>
  <c r="AL601" i="3"/>
  <c r="AU601" i="3"/>
  <c r="AO601" i="3"/>
  <c r="AT601" i="3"/>
  <c r="AS601" i="3"/>
  <c r="AQ601" i="3"/>
  <c r="AW601" i="3"/>
  <c r="AD601" i="3"/>
  <c r="AV601" i="3"/>
  <c r="AZ601" i="3"/>
  <c r="BB600" i="3"/>
  <c r="AB600" i="3"/>
  <c r="BB601" i="3" l="1"/>
  <c r="AB601" i="3"/>
  <c r="BB596" i="3"/>
  <c r="AB596" i="3"/>
  <c r="AD597" i="3"/>
  <c r="AS597" i="3"/>
  <c r="AN597" i="3"/>
  <c r="AV597" i="3"/>
  <c r="AW597" i="3"/>
  <c r="AQ597" i="3"/>
  <c r="AM597" i="3"/>
  <c r="AY597" i="3"/>
  <c r="AX597" i="3"/>
  <c r="AZ597" i="3"/>
  <c r="AP597" i="3"/>
  <c r="AR597" i="3"/>
  <c r="AU597" i="3"/>
  <c r="AE593" i="3"/>
  <c r="AT597" i="3"/>
  <c r="AK597" i="3"/>
  <c r="AO597" i="3"/>
  <c r="AL597" i="3"/>
  <c r="AX592" i="3"/>
  <c r="AN592" i="3"/>
  <c r="AV592" i="3"/>
  <c r="AE588" i="3"/>
  <c r="AM592" i="3"/>
  <c r="AP592" i="3"/>
  <c r="AT592" i="3"/>
  <c r="AK592" i="3"/>
  <c r="AR592" i="3"/>
  <c r="AS592" i="3"/>
  <c r="AQ592" i="3"/>
  <c r="AO592" i="3"/>
  <c r="AY592" i="3"/>
  <c r="AD592" i="3"/>
  <c r="AL592" i="3"/>
  <c r="AW592" i="3"/>
  <c r="AZ592" i="3"/>
  <c r="AU592" i="3"/>
  <c r="AP593" i="3" l="1"/>
  <c r="AM593" i="3"/>
  <c r="AX593" i="3"/>
  <c r="AD593" i="3"/>
  <c r="AK593" i="3"/>
  <c r="AE589" i="3"/>
  <c r="AL593" i="3"/>
  <c r="AT593" i="3"/>
  <c r="AS593" i="3"/>
  <c r="AR593" i="3"/>
  <c r="AN593" i="3"/>
  <c r="AY593" i="3"/>
  <c r="AU593" i="3"/>
  <c r="AV593" i="3"/>
  <c r="AQ593" i="3"/>
  <c r="AO593" i="3"/>
  <c r="AZ593" i="3"/>
  <c r="AW593" i="3"/>
  <c r="BB597" i="3"/>
  <c r="AB597" i="3"/>
  <c r="BB592" i="3"/>
  <c r="AB592" i="3"/>
  <c r="AM588" i="3"/>
  <c r="AO588" i="3"/>
  <c r="AS588" i="3"/>
  <c r="AE584" i="3"/>
  <c r="AU588" i="3"/>
  <c r="AQ588" i="3"/>
  <c r="AL588" i="3"/>
  <c r="AN588" i="3"/>
  <c r="AP588" i="3"/>
  <c r="AV588" i="3"/>
  <c r="AK588" i="3"/>
  <c r="AD588" i="3"/>
  <c r="AR588" i="3"/>
  <c r="AY588" i="3"/>
  <c r="AZ588" i="3"/>
  <c r="AW588" i="3"/>
  <c r="AT588" i="3"/>
  <c r="AX588" i="3"/>
  <c r="AB588" i="3" l="1"/>
  <c r="BB588" i="3"/>
  <c r="AW589" i="3"/>
  <c r="AE585" i="3"/>
  <c r="AY589" i="3"/>
  <c r="AP589" i="3"/>
  <c r="AS589" i="3"/>
  <c r="AO589" i="3"/>
  <c r="AL589" i="3"/>
  <c r="AT589" i="3"/>
  <c r="AN589" i="3"/>
  <c r="AU589" i="3"/>
  <c r="AR589" i="3"/>
  <c r="AV589" i="3"/>
  <c r="AZ589" i="3"/>
  <c r="AQ589" i="3"/>
  <c r="AD589" i="3"/>
  <c r="AM589" i="3"/>
  <c r="AX589" i="3"/>
  <c r="AK589" i="3"/>
  <c r="BB593" i="3"/>
  <c r="AB593" i="3"/>
  <c r="AO584" i="3"/>
  <c r="AX584" i="3"/>
  <c r="AK584" i="3"/>
  <c r="AZ584" i="3"/>
  <c r="AN584" i="3"/>
  <c r="AM584" i="3"/>
  <c r="AR584" i="3"/>
  <c r="AS584" i="3"/>
  <c r="AE580" i="3"/>
  <c r="AT584" i="3"/>
  <c r="AW584" i="3"/>
  <c r="AP584" i="3"/>
  <c r="AD584" i="3"/>
  <c r="AY584" i="3"/>
  <c r="AU584" i="3"/>
  <c r="AQ584" i="3"/>
  <c r="AV584" i="3"/>
  <c r="AL584" i="3"/>
  <c r="AY580" i="3" l="1"/>
  <c r="AL580" i="3"/>
  <c r="AR580" i="3"/>
  <c r="AQ580" i="3"/>
  <c r="AX580" i="3"/>
  <c r="AZ580" i="3"/>
  <c r="AT580" i="3"/>
  <c r="AK580" i="3"/>
  <c r="AS580" i="3"/>
  <c r="AM580" i="3"/>
  <c r="AP580" i="3"/>
  <c r="AO580" i="3"/>
  <c r="AV580" i="3"/>
  <c r="AE576" i="3"/>
  <c r="AD580" i="3"/>
  <c r="AU580" i="3"/>
  <c r="AN580" i="3"/>
  <c r="AW580" i="3"/>
  <c r="BB589" i="3"/>
  <c r="AB589" i="3"/>
  <c r="AV585" i="3"/>
  <c r="AM585" i="3"/>
  <c r="AO585" i="3"/>
  <c r="AP585" i="3"/>
  <c r="AE581" i="3"/>
  <c r="AR585" i="3"/>
  <c r="AD585" i="3"/>
  <c r="AX585" i="3"/>
  <c r="AY585" i="3"/>
  <c r="AS585" i="3"/>
  <c r="AQ585" i="3"/>
  <c r="AZ585" i="3"/>
  <c r="AL585" i="3"/>
  <c r="AK585" i="3"/>
  <c r="AT585" i="3"/>
  <c r="AU585" i="3"/>
  <c r="AW585" i="3"/>
  <c r="AN585" i="3"/>
  <c r="BB584" i="3"/>
  <c r="AB584" i="3"/>
  <c r="BB585" i="3" l="1"/>
  <c r="AB585" i="3"/>
  <c r="BB580" i="3"/>
  <c r="AB580" i="3"/>
  <c r="AE572" i="3"/>
  <c r="AV576" i="3"/>
  <c r="AW576" i="3"/>
  <c r="AZ576" i="3"/>
  <c r="AM576" i="3"/>
  <c r="AO576" i="3"/>
  <c r="AP576" i="3"/>
  <c r="AR576" i="3"/>
  <c r="AT576" i="3"/>
  <c r="AK576" i="3"/>
  <c r="AQ576" i="3"/>
  <c r="AD576" i="3"/>
  <c r="AS576" i="3"/>
  <c r="AY576" i="3"/>
  <c r="AL576" i="3"/>
  <c r="AU576" i="3"/>
  <c r="AN576" i="3"/>
  <c r="AX576" i="3"/>
  <c r="AW581" i="3"/>
  <c r="AY581" i="3"/>
  <c r="AD581" i="3"/>
  <c r="AE577" i="3"/>
  <c r="AU581" i="3"/>
  <c r="AR581" i="3"/>
  <c r="AM581" i="3"/>
  <c r="AS581" i="3"/>
  <c r="AN581" i="3"/>
  <c r="AZ581" i="3"/>
  <c r="AV581" i="3"/>
  <c r="AX581" i="3"/>
  <c r="AL581" i="3"/>
  <c r="AT581" i="3"/>
  <c r="AQ581" i="3"/>
  <c r="AO581" i="3"/>
  <c r="AP581" i="3"/>
  <c r="AK581" i="3"/>
  <c r="AP572" i="3" l="1"/>
  <c r="AD572" i="3"/>
  <c r="AK572" i="3"/>
  <c r="AM572" i="3"/>
  <c r="AO572" i="3"/>
  <c r="AN572" i="3"/>
  <c r="AX572" i="3"/>
  <c r="AL572" i="3"/>
  <c r="AR572" i="3"/>
  <c r="AQ572" i="3"/>
  <c r="AT572" i="3"/>
  <c r="AS572" i="3"/>
  <c r="AW572" i="3"/>
  <c r="AE568" i="3"/>
  <c r="AZ572" i="3"/>
  <c r="AU572" i="3"/>
  <c r="AY572" i="3"/>
  <c r="AV572" i="3"/>
  <c r="AB576" i="3"/>
  <c r="BB576" i="3"/>
  <c r="AE573" i="3"/>
  <c r="AT577" i="3"/>
  <c r="AQ577" i="3"/>
  <c r="AW577" i="3"/>
  <c r="AR577" i="3"/>
  <c r="AY577" i="3"/>
  <c r="AZ577" i="3"/>
  <c r="AM577" i="3"/>
  <c r="AL577" i="3"/>
  <c r="AK577" i="3"/>
  <c r="AD577" i="3"/>
  <c r="AX577" i="3"/>
  <c r="AS577" i="3"/>
  <c r="AU577" i="3"/>
  <c r="AO577" i="3"/>
  <c r="AV577" i="3"/>
  <c r="AN577" i="3"/>
  <c r="AP577" i="3"/>
  <c r="AB581" i="3"/>
  <c r="BB581" i="3"/>
  <c r="AN573" i="3" l="1"/>
  <c r="AR573" i="3"/>
  <c r="AP573" i="3"/>
  <c r="AY573" i="3"/>
  <c r="AX573" i="3"/>
  <c r="AO573" i="3"/>
  <c r="AK573" i="3"/>
  <c r="AU573" i="3"/>
  <c r="AD573" i="3"/>
  <c r="AL573" i="3"/>
  <c r="AZ573" i="3"/>
  <c r="AM573" i="3"/>
  <c r="AV573" i="3"/>
  <c r="AE569" i="3"/>
  <c r="AQ573" i="3"/>
  <c r="AT573" i="3"/>
  <c r="AW573" i="3"/>
  <c r="AS573" i="3"/>
  <c r="BB577" i="3"/>
  <c r="AB577" i="3"/>
  <c r="AV568" i="3"/>
  <c r="AU568" i="3"/>
  <c r="AS568" i="3"/>
  <c r="AQ568" i="3"/>
  <c r="AP568" i="3"/>
  <c r="AZ568" i="3"/>
  <c r="AE564" i="3"/>
  <c r="AR568" i="3"/>
  <c r="AO568" i="3"/>
  <c r="AL568" i="3"/>
  <c r="AT568" i="3"/>
  <c r="AX568" i="3"/>
  <c r="AY568" i="3"/>
  <c r="AM568" i="3"/>
  <c r="AK568" i="3"/>
  <c r="AW568" i="3"/>
  <c r="AN568" i="3"/>
  <c r="AD568" i="3"/>
  <c r="AB572" i="3"/>
  <c r="BB572" i="3"/>
  <c r="AB573" i="3" l="1"/>
  <c r="BB573" i="3"/>
  <c r="AT564" i="3"/>
  <c r="AO564" i="3"/>
  <c r="AS564" i="3"/>
  <c r="AW564" i="3"/>
  <c r="AR564" i="3"/>
  <c r="AN564" i="3"/>
  <c r="AK564" i="3"/>
  <c r="AQ564" i="3"/>
  <c r="AP564" i="3"/>
  <c r="AM564" i="3"/>
  <c r="AV564" i="3"/>
  <c r="AZ564" i="3"/>
  <c r="AY564" i="3"/>
  <c r="AX564" i="3"/>
  <c r="AL564" i="3"/>
  <c r="AU564" i="3"/>
  <c r="AD564" i="3"/>
  <c r="AE560" i="3"/>
  <c r="AB568" i="3"/>
  <c r="BB568" i="3"/>
  <c r="AV569" i="3"/>
  <c r="AO569" i="3"/>
  <c r="AM569" i="3"/>
  <c r="AD569" i="3"/>
  <c r="AT569" i="3"/>
  <c r="AN569" i="3"/>
  <c r="AU569" i="3"/>
  <c r="AS569" i="3"/>
  <c r="AW569" i="3"/>
  <c r="AL569" i="3"/>
  <c r="AK569" i="3"/>
  <c r="AY569" i="3"/>
  <c r="AR569" i="3"/>
  <c r="AP569" i="3"/>
  <c r="AE565" i="3"/>
  <c r="AZ569" i="3"/>
  <c r="AQ569" i="3"/>
  <c r="AX569" i="3"/>
  <c r="AN560" i="3" l="1"/>
  <c r="AM560" i="3"/>
  <c r="AT560" i="3"/>
  <c r="AX560" i="3"/>
  <c r="AZ560" i="3"/>
  <c r="AD560" i="3"/>
  <c r="AL560" i="3"/>
  <c r="AE556" i="3"/>
  <c r="AQ560" i="3"/>
  <c r="AR560" i="3"/>
  <c r="AK560" i="3"/>
  <c r="AU560" i="3"/>
  <c r="AP560" i="3"/>
  <c r="AS560" i="3"/>
  <c r="AY560" i="3"/>
  <c r="AV560" i="3"/>
  <c r="AW560" i="3"/>
  <c r="AO560" i="3"/>
  <c r="AB564" i="3"/>
  <c r="BB564" i="3"/>
  <c r="BB569" i="3"/>
  <c r="AB569" i="3"/>
  <c r="AQ565" i="3"/>
  <c r="AL565" i="3"/>
  <c r="AZ565" i="3"/>
  <c r="AM565" i="3"/>
  <c r="AX565" i="3"/>
  <c r="AU565" i="3"/>
  <c r="AR565" i="3"/>
  <c r="AO565" i="3"/>
  <c r="AY565" i="3"/>
  <c r="AT565" i="3"/>
  <c r="AS565" i="3"/>
  <c r="AP565" i="3"/>
  <c r="AN565" i="3"/>
  <c r="AW565" i="3"/>
  <c r="AK565" i="3"/>
  <c r="AV565" i="3"/>
  <c r="AD565" i="3"/>
  <c r="AE561" i="3"/>
  <c r="BB560" i="3" l="1"/>
  <c r="AB560" i="3"/>
  <c r="AE557" i="3"/>
  <c r="AP561" i="3"/>
  <c r="AY561" i="3"/>
  <c r="AK561" i="3"/>
  <c r="AX561" i="3"/>
  <c r="AT561" i="3"/>
  <c r="AW561" i="3"/>
  <c r="AS561" i="3"/>
  <c r="AL561" i="3"/>
  <c r="AN561" i="3"/>
  <c r="AQ561" i="3"/>
  <c r="AV561" i="3"/>
  <c r="AM561" i="3"/>
  <c r="AD561" i="3"/>
  <c r="AR561" i="3"/>
  <c r="AO561" i="3"/>
  <c r="AU561" i="3"/>
  <c r="AZ561" i="3"/>
  <c r="AL556" i="3"/>
  <c r="AY556" i="3"/>
  <c r="AN556" i="3"/>
  <c r="AS556" i="3"/>
  <c r="AK556" i="3"/>
  <c r="AU556" i="3"/>
  <c r="AD556" i="3"/>
  <c r="AZ556" i="3"/>
  <c r="AM556" i="3"/>
  <c r="AX556" i="3"/>
  <c r="AE552" i="3"/>
  <c r="AW556" i="3"/>
  <c r="AT556" i="3"/>
  <c r="AO556" i="3"/>
  <c r="AQ556" i="3"/>
  <c r="AR556" i="3"/>
  <c r="AP556" i="3"/>
  <c r="AV556" i="3"/>
  <c r="AB565" i="3"/>
  <c r="BB565" i="3"/>
  <c r="AB561" i="3" l="1"/>
  <c r="BB561" i="3"/>
  <c r="AV552" i="3"/>
  <c r="AQ552" i="3"/>
  <c r="AX552" i="3"/>
  <c r="AO552" i="3"/>
  <c r="AT552" i="3"/>
  <c r="AN552" i="3"/>
  <c r="AM552" i="3"/>
  <c r="AY552" i="3"/>
  <c r="AW552" i="3"/>
  <c r="AR552" i="3"/>
  <c r="AZ552" i="3"/>
  <c r="AL552" i="3"/>
  <c r="AP552" i="3"/>
  <c r="AS552" i="3"/>
  <c r="AE548" i="3"/>
  <c r="AU552" i="3"/>
  <c r="AK552" i="3"/>
  <c r="AD552" i="3"/>
  <c r="BB556" i="3"/>
  <c r="AB556" i="3"/>
  <c r="AL557" i="3"/>
  <c r="AN557" i="3"/>
  <c r="AT557" i="3"/>
  <c r="AQ557" i="3"/>
  <c r="AK557" i="3"/>
  <c r="AR557" i="3"/>
  <c r="AZ557" i="3"/>
  <c r="AE553" i="3"/>
  <c r="AY557" i="3"/>
  <c r="AM557" i="3"/>
  <c r="AW557" i="3"/>
  <c r="AO557" i="3"/>
  <c r="AP557" i="3"/>
  <c r="AX557" i="3"/>
  <c r="AU557" i="3"/>
  <c r="AV557" i="3"/>
  <c r="AD557" i="3"/>
  <c r="AS557" i="3"/>
  <c r="AS553" i="3" l="1"/>
  <c r="AV553" i="3"/>
  <c r="AZ553" i="3"/>
  <c r="AE549" i="3"/>
  <c r="AK553" i="3"/>
  <c r="AU553" i="3"/>
  <c r="AN553" i="3"/>
  <c r="AL553" i="3"/>
  <c r="AM553" i="3"/>
  <c r="AT553" i="3"/>
  <c r="AX553" i="3"/>
  <c r="AO553" i="3"/>
  <c r="AW553" i="3"/>
  <c r="AQ553" i="3"/>
  <c r="AD553" i="3"/>
  <c r="AP553" i="3"/>
  <c r="AY553" i="3"/>
  <c r="AR553" i="3"/>
  <c r="AB552" i="3"/>
  <c r="BB552" i="3"/>
  <c r="AB557" i="3"/>
  <c r="BB557" i="3"/>
  <c r="AM548" i="3"/>
  <c r="AQ548" i="3"/>
  <c r="AP548" i="3"/>
  <c r="AN548" i="3"/>
  <c r="AD548" i="3"/>
  <c r="AS548" i="3"/>
  <c r="AK548" i="3"/>
  <c r="AU548" i="3"/>
  <c r="AO548" i="3"/>
  <c r="AT548" i="3"/>
  <c r="AZ548" i="3"/>
  <c r="AE544" i="3"/>
  <c r="AL548" i="3"/>
  <c r="AV548" i="3"/>
  <c r="AW548" i="3"/>
  <c r="AR548" i="3"/>
  <c r="AX548" i="3"/>
  <c r="AY548" i="3"/>
  <c r="AU544" i="3" l="1"/>
  <c r="AE540" i="3"/>
  <c r="AN544" i="3"/>
  <c r="AS544" i="3"/>
  <c r="AR544" i="3"/>
  <c r="AY544" i="3"/>
  <c r="AW544" i="3"/>
  <c r="AM544" i="3"/>
  <c r="AP544" i="3"/>
  <c r="AZ544" i="3"/>
  <c r="AL544" i="3"/>
  <c r="AQ544" i="3"/>
  <c r="AK544" i="3"/>
  <c r="AD544" i="3"/>
  <c r="AV544" i="3"/>
  <c r="AX544" i="3"/>
  <c r="AT544" i="3"/>
  <c r="AO544" i="3"/>
  <c r="AS549" i="3"/>
  <c r="AL549" i="3"/>
  <c r="AY549" i="3"/>
  <c r="AK549" i="3"/>
  <c r="AR549" i="3"/>
  <c r="AQ549" i="3"/>
  <c r="AO549" i="3"/>
  <c r="AZ549" i="3"/>
  <c r="AT549" i="3"/>
  <c r="AP549" i="3"/>
  <c r="AD549" i="3"/>
  <c r="AN549" i="3"/>
  <c r="AX549" i="3"/>
  <c r="AU549" i="3"/>
  <c r="AE545" i="3"/>
  <c r="AW549" i="3"/>
  <c r="AV549" i="3"/>
  <c r="AM549" i="3"/>
  <c r="BB548" i="3"/>
  <c r="AB548" i="3"/>
  <c r="AB553" i="3"/>
  <c r="BB553" i="3"/>
  <c r="AY545" i="3" l="1"/>
  <c r="AR545" i="3"/>
  <c r="AW545" i="3"/>
  <c r="AK545" i="3"/>
  <c r="AM545" i="3"/>
  <c r="AP545" i="3"/>
  <c r="AZ545" i="3"/>
  <c r="AQ545" i="3"/>
  <c r="AT545" i="3"/>
  <c r="AD545" i="3"/>
  <c r="AN545" i="3"/>
  <c r="AS545" i="3"/>
  <c r="AO545" i="3"/>
  <c r="AL545" i="3"/>
  <c r="AU545" i="3"/>
  <c r="AX545" i="3"/>
  <c r="AV545" i="3"/>
  <c r="AE541" i="3"/>
  <c r="AB549" i="3"/>
  <c r="BB549" i="3"/>
  <c r="AL540" i="3"/>
  <c r="AP540" i="3"/>
  <c r="AN540" i="3"/>
  <c r="AQ540" i="3"/>
  <c r="AT540" i="3"/>
  <c r="AD540" i="3"/>
  <c r="AU540" i="3"/>
  <c r="AR540" i="3"/>
  <c r="AO540" i="3"/>
  <c r="AM540" i="3"/>
  <c r="AS540" i="3"/>
  <c r="AY540" i="3"/>
  <c r="AK540" i="3"/>
  <c r="AX540" i="3"/>
  <c r="AZ540" i="3"/>
  <c r="AV540" i="3"/>
  <c r="AW540" i="3"/>
  <c r="BB544" i="3"/>
  <c r="AB544" i="3"/>
  <c r="AE536" i="3"/>
  <c r="AN541" i="3" l="1"/>
  <c r="AZ541" i="3"/>
  <c r="AD541" i="3"/>
  <c r="AS541" i="3"/>
  <c r="AW541" i="3"/>
  <c r="AL541" i="3"/>
  <c r="AM541" i="3"/>
  <c r="AO541" i="3"/>
  <c r="AY541" i="3"/>
  <c r="AP541" i="3"/>
  <c r="AX541" i="3"/>
  <c r="AU541" i="3"/>
  <c r="AR541" i="3"/>
  <c r="AK541" i="3"/>
  <c r="AT541" i="3"/>
  <c r="AV541" i="3"/>
  <c r="AQ541" i="3"/>
  <c r="AB545" i="3"/>
  <c r="BB545" i="3"/>
  <c r="AB540" i="3"/>
  <c r="BB540" i="3"/>
  <c r="AS536" i="3"/>
  <c r="AM536" i="3"/>
  <c r="AL536" i="3"/>
  <c r="AP536" i="3"/>
  <c r="AO536" i="3"/>
  <c r="AQ536" i="3"/>
  <c r="AZ536" i="3"/>
  <c r="AU536" i="3"/>
  <c r="AR536" i="3"/>
  <c r="AN536" i="3"/>
  <c r="AY536" i="3"/>
  <c r="AV536" i="3"/>
  <c r="AK536" i="3"/>
  <c r="AE532" i="3"/>
  <c r="AT536" i="3"/>
  <c r="AX536" i="3"/>
  <c r="AW536" i="3"/>
  <c r="AD536" i="3"/>
  <c r="AE537" i="3"/>
  <c r="BB541" i="3" l="1"/>
  <c r="AB541" i="3"/>
  <c r="AT537" i="3"/>
  <c r="AL537" i="3"/>
  <c r="AR537" i="3"/>
  <c r="AX537" i="3"/>
  <c r="AN537" i="3"/>
  <c r="AV537" i="3"/>
  <c r="AM537" i="3"/>
  <c r="AE533" i="3"/>
  <c r="AS537" i="3"/>
  <c r="AZ537" i="3"/>
  <c r="AP537" i="3"/>
  <c r="AW537" i="3"/>
  <c r="AY537" i="3"/>
  <c r="AQ537" i="3"/>
  <c r="AD537" i="3"/>
  <c r="AU537" i="3"/>
  <c r="AK537" i="3"/>
  <c r="AO537" i="3"/>
  <c r="AY532" i="3"/>
  <c r="AV532" i="3"/>
  <c r="AL532" i="3"/>
  <c r="AN532" i="3"/>
  <c r="AD532" i="3"/>
  <c r="AX532" i="3"/>
  <c r="AE528" i="3"/>
  <c r="AM532" i="3"/>
  <c r="AT532" i="3"/>
  <c r="AK532" i="3"/>
  <c r="AQ532" i="3"/>
  <c r="AZ532" i="3"/>
  <c r="AR532" i="3"/>
  <c r="AP532" i="3"/>
  <c r="AU532" i="3"/>
  <c r="AS532" i="3"/>
  <c r="AW532" i="3"/>
  <c r="AO532" i="3"/>
  <c r="AB536" i="3"/>
  <c r="BB536" i="3"/>
  <c r="AB532" i="3" l="1"/>
  <c r="BB532" i="3"/>
  <c r="AB537" i="3"/>
  <c r="BB537" i="3"/>
  <c r="AX533" i="3"/>
  <c r="AQ533" i="3"/>
  <c r="AD533" i="3"/>
  <c r="AN533" i="3"/>
  <c r="AR533" i="3"/>
  <c r="AK533" i="3"/>
  <c r="AP533" i="3"/>
  <c r="AU533" i="3"/>
  <c r="AO533" i="3"/>
  <c r="AZ533" i="3"/>
  <c r="AY533" i="3"/>
  <c r="AL533" i="3"/>
  <c r="AS533" i="3"/>
  <c r="AT533" i="3"/>
  <c r="AV533" i="3"/>
  <c r="AW533" i="3"/>
  <c r="AM533" i="3"/>
  <c r="AE529" i="3"/>
  <c r="AN528" i="3"/>
  <c r="AX528" i="3"/>
  <c r="AW528" i="3"/>
  <c r="AQ528" i="3"/>
  <c r="AD528" i="3"/>
  <c r="AO528" i="3"/>
  <c r="AV528" i="3"/>
  <c r="AS528" i="3"/>
  <c r="AM528" i="3"/>
  <c r="AU528" i="3"/>
  <c r="AT528" i="3"/>
  <c r="AP528" i="3"/>
  <c r="AE524" i="3"/>
  <c r="AZ528" i="3"/>
  <c r="AY528" i="3"/>
  <c r="AK528" i="3"/>
  <c r="AL528" i="3"/>
  <c r="AR528" i="3"/>
  <c r="AU524" i="3" l="1"/>
  <c r="AY524" i="3"/>
  <c r="AR524" i="3"/>
  <c r="AQ524" i="3"/>
  <c r="AX524" i="3"/>
  <c r="AE520" i="3"/>
  <c r="AZ524" i="3"/>
  <c r="AW524" i="3"/>
  <c r="AP524" i="3"/>
  <c r="AS524" i="3"/>
  <c r="AT524" i="3"/>
  <c r="AL524" i="3"/>
  <c r="AD524" i="3"/>
  <c r="AV524" i="3"/>
  <c r="AO524" i="3"/>
  <c r="AN524" i="3"/>
  <c r="AK524" i="3"/>
  <c r="AM524" i="3"/>
  <c r="BB533" i="3"/>
  <c r="AB533" i="3"/>
  <c r="BB528" i="3"/>
  <c r="AB528" i="3"/>
  <c r="AR529" i="3"/>
  <c r="AY529" i="3"/>
  <c r="AM529" i="3"/>
  <c r="AX529" i="3"/>
  <c r="AK529" i="3"/>
  <c r="AE525" i="3"/>
  <c r="AP529" i="3"/>
  <c r="AU529" i="3"/>
  <c r="AZ529" i="3"/>
  <c r="AN529" i="3"/>
  <c r="AL529" i="3"/>
  <c r="AV529" i="3"/>
  <c r="AT529" i="3"/>
  <c r="AO529" i="3"/>
  <c r="AD529" i="3"/>
  <c r="AW529" i="3"/>
  <c r="AS529" i="3"/>
  <c r="AQ529" i="3"/>
  <c r="AE516" i="3" l="1"/>
  <c r="AY520" i="3"/>
  <c r="AK520" i="3"/>
  <c r="AS520" i="3"/>
  <c r="AM520" i="3"/>
  <c r="AU520" i="3"/>
  <c r="AP520" i="3"/>
  <c r="AR520" i="3"/>
  <c r="AZ520" i="3"/>
  <c r="AT520" i="3"/>
  <c r="AQ520" i="3"/>
  <c r="AN520" i="3"/>
  <c r="AW520" i="3"/>
  <c r="AD520" i="3"/>
  <c r="AL520" i="3"/>
  <c r="AX520" i="3"/>
  <c r="AV520" i="3"/>
  <c r="AO520" i="3"/>
  <c r="AK525" i="3"/>
  <c r="AO525" i="3"/>
  <c r="AM525" i="3"/>
  <c r="AP525" i="3"/>
  <c r="AZ525" i="3"/>
  <c r="AE521" i="3"/>
  <c r="AR525" i="3"/>
  <c r="AX525" i="3"/>
  <c r="AQ525" i="3"/>
  <c r="AS525" i="3"/>
  <c r="AN525" i="3"/>
  <c r="AL525" i="3"/>
  <c r="AD525" i="3"/>
  <c r="AW525" i="3"/>
  <c r="AY525" i="3"/>
  <c r="AU525" i="3"/>
  <c r="AT525" i="3"/>
  <c r="AV525" i="3"/>
  <c r="AB529" i="3"/>
  <c r="BB529" i="3"/>
  <c r="AB524" i="3"/>
  <c r="BB524" i="3"/>
  <c r="AQ521" i="3" l="1"/>
  <c r="AO521" i="3"/>
  <c r="AK521" i="3"/>
  <c r="AL521" i="3"/>
  <c r="AZ521" i="3"/>
  <c r="AP521" i="3"/>
  <c r="AS521" i="3"/>
  <c r="AR521" i="3"/>
  <c r="AX521" i="3"/>
  <c r="AM521" i="3"/>
  <c r="AU521" i="3"/>
  <c r="AN521" i="3"/>
  <c r="AV521" i="3"/>
  <c r="AT521" i="3"/>
  <c r="AD521" i="3"/>
  <c r="AW521" i="3"/>
  <c r="AY521" i="3"/>
  <c r="AE517" i="3"/>
  <c r="AB525" i="3"/>
  <c r="BB525" i="3"/>
  <c r="BB520" i="3"/>
  <c r="AB520" i="3"/>
  <c r="AU516" i="3"/>
  <c r="AV516" i="3"/>
  <c r="AX516" i="3"/>
  <c r="AQ516" i="3"/>
  <c r="AN516" i="3"/>
  <c r="AD516" i="3"/>
  <c r="AO516" i="3"/>
  <c r="AT516" i="3"/>
  <c r="AR516" i="3"/>
  <c r="AP516" i="3"/>
  <c r="AW516" i="3"/>
  <c r="AL516" i="3"/>
  <c r="AY516" i="3"/>
  <c r="AS516" i="3"/>
  <c r="AK516" i="3"/>
  <c r="AZ516" i="3"/>
  <c r="AM516" i="3"/>
  <c r="AB516" i="3" l="1"/>
  <c r="BB516" i="3"/>
  <c r="AO517" i="3"/>
  <c r="AX517" i="3"/>
  <c r="AV517" i="3"/>
  <c r="AU517" i="3"/>
  <c r="AT517" i="3"/>
  <c r="AY517" i="3"/>
  <c r="AQ517" i="3"/>
  <c r="AN517" i="3"/>
  <c r="AS517" i="3"/>
  <c r="AZ517" i="3"/>
  <c r="AL517" i="3"/>
  <c r="AP517" i="3"/>
  <c r="AM517" i="3"/>
  <c r="AK517" i="3"/>
  <c r="AW517" i="3"/>
  <c r="AR517" i="3"/>
  <c r="AD517" i="3"/>
  <c r="AB521" i="3"/>
  <c r="BB521" i="3"/>
  <c r="AB517" i="3" l="1"/>
  <c r="BB517" i="3"/>
  <c r="AE512" i="3" l="1"/>
  <c r="AE513" i="3" l="1"/>
  <c r="AZ512" i="3"/>
  <c r="AU512" i="3"/>
  <c r="AL512" i="3"/>
  <c r="AP512" i="3"/>
  <c r="AQ512" i="3"/>
  <c r="AT512" i="3"/>
  <c r="AY512" i="3"/>
  <c r="AV512" i="3"/>
  <c r="AE508" i="3"/>
  <c r="AO512" i="3"/>
  <c r="AX512" i="3"/>
  <c r="AR512" i="3"/>
  <c r="AD512" i="3"/>
  <c r="AN512" i="3"/>
  <c r="AS512" i="3"/>
  <c r="AK512" i="3"/>
  <c r="AM512" i="3"/>
  <c r="AW512" i="3"/>
  <c r="AY513" i="3" l="1"/>
  <c r="AO513" i="3"/>
  <c r="AK513" i="3"/>
  <c r="AP513" i="3"/>
  <c r="AV513" i="3"/>
  <c r="AZ513" i="3"/>
  <c r="AW513" i="3"/>
  <c r="AX513" i="3"/>
  <c r="AD513" i="3"/>
  <c r="AE509" i="3"/>
  <c r="AT513" i="3"/>
  <c r="AL513" i="3"/>
  <c r="AM513" i="3"/>
  <c r="AN513" i="3"/>
  <c r="AU513" i="3"/>
  <c r="AQ513" i="3"/>
  <c r="AR513" i="3"/>
  <c r="AS513" i="3"/>
  <c r="AT508" i="3"/>
  <c r="AK508" i="3"/>
  <c r="AX508" i="3"/>
  <c r="AP508" i="3"/>
  <c r="AD508" i="3"/>
  <c r="AN508" i="3"/>
  <c r="AZ508" i="3"/>
  <c r="AO508" i="3"/>
  <c r="AM508" i="3"/>
  <c r="AV508" i="3"/>
  <c r="AQ508" i="3"/>
  <c r="AS508" i="3"/>
  <c r="AE504" i="3"/>
  <c r="AY508" i="3"/>
  <c r="AR508" i="3"/>
  <c r="AW508" i="3"/>
  <c r="AU508" i="3"/>
  <c r="AL508" i="3"/>
  <c r="BB512" i="3"/>
  <c r="AB512" i="3"/>
  <c r="AB513" i="3" l="1"/>
  <c r="BB513" i="3"/>
  <c r="AB508" i="3"/>
  <c r="BB508" i="3"/>
  <c r="AZ509" i="3"/>
  <c r="AV509" i="3"/>
  <c r="AL509" i="3"/>
  <c r="AS509" i="3"/>
  <c r="AT509" i="3"/>
  <c r="AY509" i="3"/>
  <c r="AM509" i="3"/>
  <c r="AP509" i="3"/>
  <c r="AK509" i="3"/>
  <c r="AU509" i="3"/>
  <c r="AR509" i="3"/>
  <c r="AW509" i="3"/>
  <c r="AX509" i="3"/>
  <c r="AQ509" i="3"/>
  <c r="AE505" i="3"/>
  <c r="AN509" i="3"/>
  <c r="AD509" i="3"/>
  <c r="AO509" i="3"/>
  <c r="AK504" i="3"/>
  <c r="AO504" i="3"/>
  <c r="AQ504" i="3"/>
  <c r="AV504" i="3"/>
  <c r="AU504" i="3"/>
  <c r="AZ504" i="3"/>
  <c r="AW504" i="3"/>
  <c r="AM504" i="3"/>
  <c r="AS504" i="3"/>
  <c r="AP504" i="3"/>
  <c r="AY504" i="3"/>
  <c r="AL504" i="3"/>
  <c r="AR504" i="3"/>
  <c r="AX504" i="3"/>
  <c r="AN504" i="3"/>
  <c r="AD504" i="3"/>
  <c r="AT504" i="3"/>
  <c r="BB509" i="3" l="1"/>
  <c r="AB509" i="3"/>
  <c r="AB504" i="3"/>
  <c r="BB504" i="3"/>
  <c r="AS505" i="3"/>
  <c r="AL505" i="3"/>
  <c r="AY505" i="3"/>
  <c r="AZ505" i="3"/>
  <c r="AU505" i="3"/>
  <c r="AV505" i="3"/>
  <c r="AT505" i="3"/>
  <c r="AP505" i="3"/>
  <c r="AK505" i="3"/>
  <c r="AW505" i="3"/>
  <c r="AO505" i="3"/>
  <c r="AX505" i="3"/>
  <c r="AM505" i="3"/>
  <c r="AD505" i="3"/>
  <c r="AR505" i="3"/>
  <c r="AQ505" i="3"/>
  <c r="AN505" i="3"/>
  <c r="BB505" i="3" l="1"/>
  <c r="AB505" i="3"/>
  <c r="AE500" i="3" l="1"/>
  <c r="AE501" i="3" l="1"/>
  <c r="AQ500" i="3"/>
  <c r="AL500" i="3"/>
  <c r="AW500" i="3"/>
  <c r="AM500" i="3"/>
  <c r="AS500" i="3"/>
  <c r="AE496" i="3"/>
  <c r="AT500" i="3"/>
  <c r="AD500" i="3"/>
  <c r="AZ500" i="3"/>
  <c r="AK500" i="3"/>
  <c r="AU500" i="3"/>
  <c r="AY500" i="3"/>
  <c r="AV500" i="3"/>
  <c r="AO500" i="3"/>
  <c r="AP500" i="3"/>
  <c r="AX500" i="3"/>
  <c r="AN500" i="3"/>
  <c r="AR500" i="3"/>
  <c r="AT496" i="3" l="1"/>
  <c r="AD496" i="3"/>
  <c r="AM496" i="3"/>
  <c r="AX496" i="3"/>
  <c r="AW496" i="3"/>
  <c r="AU496" i="3"/>
  <c r="AS496" i="3"/>
  <c r="AO496" i="3"/>
  <c r="AN496" i="3"/>
  <c r="AV496" i="3"/>
  <c r="AE492" i="3"/>
  <c r="AY496" i="3"/>
  <c r="AP496" i="3"/>
  <c r="AK496" i="3"/>
  <c r="AR496" i="3"/>
  <c r="AL496" i="3"/>
  <c r="AZ496" i="3"/>
  <c r="AQ496" i="3"/>
  <c r="AQ501" i="3"/>
  <c r="AN501" i="3"/>
  <c r="AS501" i="3"/>
  <c r="AP501" i="3"/>
  <c r="AX501" i="3"/>
  <c r="AW501" i="3"/>
  <c r="AM501" i="3"/>
  <c r="AU501" i="3"/>
  <c r="AO501" i="3"/>
  <c r="AL501" i="3"/>
  <c r="AT501" i="3"/>
  <c r="AV501" i="3"/>
  <c r="AE497" i="3"/>
  <c r="AD501" i="3"/>
  <c r="AK501" i="3"/>
  <c r="AZ501" i="3"/>
  <c r="AY501" i="3"/>
  <c r="AR501" i="3"/>
  <c r="AB500" i="3"/>
  <c r="BB500" i="3"/>
  <c r="AT492" i="3" l="1"/>
  <c r="AW492" i="3"/>
  <c r="AV492" i="3"/>
  <c r="AP492" i="3"/>
  <c r="AL492" i="3"/>
  <c r="AZ492" i="3"/>
  <c r="AQ492" i="3"/>
  <c r="AN492" i="3"/>
  <c r="AO492" i="3"/>
  <c r="AM492" i="3"/>
  <c r="AU492" i="3"/>
  <c r="AY492" i="3"/>
  <c r="AD492" i="3"/>
  <c r="AS492" i="3"/>
  <c r="AX492" i="3"/>
  <c r="AK492" i="3"/>
  <c r="AR492" i="3"/>
  <c r="AB501" i="3"/>
  <c r="BB501" i="3"/>
  <c r="AP497" i="3"/>
  <c r="AM497" i="3"/>
  <c r="AD497" i="3"/>
  <c r="AW497" i="3"/>
  <c r="AT497" i="3"/>
  <c r="AR497" i="3"/>
  <c r="AZ497" i="3"/>
  <c r="AL497" i="3"/>
  <c r="AK497" i="3"/>
  <c r="AE493" i="3"/>
  <c r="AU497" i="3"/>
  <c r="AO497" i="3"/>
  <c r="AQ497" i="3"/>
  <c r="AS497" i="3"/>
  <c r="AX497" i="3"/>
  <c r="AN497" i="3"/>
  <c r="AY497" i="3"/>
  <c r="AV497" i="3"/>
  <c r="AB496" i="3"/>
  <c r="BB496" i="3"/>
  <c r="BB497" i="3" l="1"/>
  <c r="AB497" i="3"/>
  <c r="AV493" i="3"/>
  <c r="AY493" i="3"/>
  <c r="AK493" i="3"/>
  <c r="AZ493" i="3"/>
  <c r="AU493" i="3"/>
  <c r="AD493" i="3"/>
  <c r="AX493" i="3"/>
  <c r="AR493" i="3"/>
  <c r="AM493" i="3"/>
  <c r="AW493" i="3"/>
  <c r="AP493" i="3"/>
  <c r="AL493" i="3"/>
  <c r="AO493" i="3"/>
  <c r="AQ493" i="3"/>
  <c r="AT493" i="3"/>
  <c r="AS493" i="3"/>
  <c r="AN493" i="3"/>
  <c r="BB492" i="3"/>
  <c r="AB492" i="3"/>
  <c r="AB493" i="3" l="1"/>
  <c r="BB493" i="3"/>
  <c r="AE488" i="3" l="1"/>
  <c r="AD488" i="3" l="1"/>
  <c r="AL488" i="3"/>
  <c r="AP488" i="3"/>
  <c r="AN488" i="3"/>
  <c r="AX488" i="3"/>
  <c r="AW488" i="3"/>
  <c r="AY488" i="3"/>
  <c r="AK488" i="3"/>
  <c r="AZ488" i="3"/>
  <c r="AS488" i="3"/>
  <c r="AO488" i="3"/>
  <c r="AV488" i="3"/>
  <c r="AT488" i="3"/>
  <c r="AQ488" i="3"/>
  <c r="AM488" i="3"/>
  <c r="AE484" i="3"/>
  <c r="AR488" i="3"/>
  <c r="AU488" i="3"/>
  <c r="AE489" i="3"/>
  <c r="AS484" i="3" l="1"/>
  <c r="AV484" i="3"/>
  <c r="AQ484" i="3"/>
  <c r="AD484" i="3"/>
  <c r="AY484" i="3"/>
  <c r="AE480" i="3"/>
  <c r="AZ484" i="3"/>
  <c r="AN484" i="3"/>
  <c r="AP484" i="3"/>
  <c r="AW484" i="3"/>
  <c r="AO484" i="3"/>
  <c r="AX484" i="3"/>
  <c r="AU484" i="3"/>
  <c r="AR484" i="3"/>
  <c r="AK484" i="3"/>
  <c r="AM484" i="3"/>
  <c r="AT484" i="3"/>
  <c r="AL484" i="3"/>
  <c r="AN489" i="3"/>
  <c r="AM489" i="3"/>
  <c r="AO489" i="3"/>
  <c r="AK489" i="3"/>
  <c r="AX489" i="3"/>
  <c r="AY489" i="3"/>
  <c r="AE485" i="3"/>
  <c r="AR489" i="3"/>
  <c r="AL489" i="3"/>
  <c r="AD489" i="3"/>
  <c r="AU489" i="3"/>
  <c r="AW489" i="3"/>
  <c r="AQ489" i="3"/>
  <c r="AZ489" i="3"/>
  <c r="AP489" i="3"/>
  <c r="AV489" i="3"/>
  <c r="AS489" i="3"/>
  <c r="AT489" i="3"/>
  <c r="AB488" i="3"/>
  <c r="BB488" i="3"/>
  <c r="AP480" i="3" l="1"/>
  <c r="AW480" i="3"/>
  <c r="AO480" i="3"/>
  <c r="AR480" i="3"/>
  <c r="AM480" i="3"/>
  <c r="AT480" i="3"/>
  <c r="AD480" i="3"/>
  <c r="AQ480" i="3"/>
  <c r="AX480" i="3"/>
  <c r="AY480" i="3"/>
  <c r="AK480" i="3"/>
  <c r="AL480" i="3"/>
  <c r="AU480" i="3"/>
  <c r="AZ480" i="3"/>
  <c r="AN480" i="3"/>
  <c r="AS480" i="3"/>
  <c r="AV480" i="3"/>
  <c r="BB489" i="3"/>
  <c r="AB489" i="3"/>
  <c r="AB484" i="3"/>
  <c r="BB484" i="3"/>
  <c r="AM485" i="3"/>
  <c r="AN485" i="3"/>
  <c r="AQ485" i="3"/>
  <c r="AX485" i="3"/>
  <c r="AV485" i="3"/>
  <c r="AK485" i="3"/>
  <c r="AT485" i="3"/>
  <c r="AW485" i="3"/>
  <c r="AE481" i="3"/>
  <c r="AR485" i="3"/>
  <c r="AU485" i="3"/>
  <c r="AY485" i="3"/>
  <c r="AL485" i="3"/>
  <c r="AO485" i="3"/>
  <c r="AD485" i="3"/>
  <c r="AZ485" i="3"/>
  <c r="AS485" i="3"/>
  <c r="AP485" i="3"/>
  <c r="AB485" i="3" l="1"/>
  <c r="BB485" i="3"/>
  <c r="AB480" i="3"/>
  <c r="BB480" i="3"/>
  <c r="AT481" i="3"/>
  <c r="AW481" i="3"/>
  <c r="AX481" i="3"/>
  <c r="AQ481" i="3"/>
  <c r="AM481" i="3"/>
  <c r="AY481" i="3"/>
  <c r="AR481" i="3"/>
  <c r="AN481" i="3"/>
  <c r="AO481" i="3"/>
  <c r="AL481" i="3"/>
  <c r="AD481" i="3"/>
  <c r="AV481" i="3"/>
  <c r="AS481" i="3"/>
  <c r="AK481" i="3"/>
  <c r="AP481" i="3"/>
  <c r="AZ481" i="3"/>
  <c r="AU481" i="3"/>
  <c r="AE476" i="3"/>
  <c r="AB481" i="3" l="1"/>
  <c r="BB481" i="3"/>
  <c r="AT476" i="3"/>
  <c r="AQ476" i="3"/>
  <c r="AR476" i="3"/>
  <c r="AZ476" i="3"/>
  <c r="AL476" i="3"/>
  <c r="AO476" i="3"/>
  <c r="AN476" i="3"/>
  <c r="AE472" i="3"/>
  <c r="AM476" i="3"/>
  <c r="AK476" i="3"/>
  <c r="AX476" i="3"/>
  <c r="AW476" i="3"/>
  <c r="AY476" i="3"/>
  <c r="AS476" i="3"/>
  <c r="AD476" i="3"/>
  <c r="AV476" i="3"/>
  <c r="AP476" i="3"/>
  <c r="AU476" i="3"/>
  <c r="AE477" i="3"/>
  <c r="AB476" i="3" l="1"/>
  <c r="BB476" i="3"/>
  <c r="AN477" i="3"/>
  <c r="AE473" i="3"/>
  <c r="AM477" i="3"/>
  <c r="AK477" i="3"/>
  <c r="AU477" i="3"/>
  <c r="AW477" i="3"/>
  <c r="AY477" i="3"/>
  <c r="AZ477" i="3"/>
  <c r="AL477" i="3"/>
  <c r="AV477" i="3"/>
  <c r="AP477" i="3"/>
  <c r="AS477" i="3"/>
  <c r="AO477" i="3"/>
  <c r="AQ477" i="3"/>
  <c r="AX477" i="3"/>
  <c r="AD477" i="3"/>
  <c r="AT477" i="3"/>
  <c r="AR477" i="3"/>
  <c r="AQ472" i="3"/>
  <c r="AO472" i="3"/>
  <c r="AW472" i="3"/>
  <c r="AR472" i="3"/>
  <c r="AT472" i="3"/>
  <c r="AD472" i="3"/>
  <c r="AM472" i="3"/>
  <c r="AL472" i="3"/>
  <c r="AZ472" i="3"/>
  <c r="AU472" i="3"/>
  <c r="AX472" i="3"/>
  <c r="AV472" i="3"/>
  <c r="AN472" i="3"/>
  <c r="AP472" i="3"/>
  <c r="AK472" i="3"/>
  <c r="AY472" i="3"/>
  <c r="AE468" i="3"/>
  <c r="AS472" i="3"/>
  <c r="BB477" i="3" l="1"/>
  <c r="AB477" i="3"/>
  <c r="AD473" i="3"/>
  <c r="AW473" i="3"/>
  <c r="AK473" i="3"/>
  <c r="AV473" i="3"/>
  <c r="AZ473" i="3"/>
  <c r="AR473" i="3"/>
  <c r="AY473" i="3"/>
  <c r="AO473" i="3"/>
  <c r="AM473" i="3"/>
  <c r="AX473" i="3"/>
  <c r="AL473" i="3"/>
  <c r="AU473" i="3"/>
  <c r="AE469" i="3"/>
  <c r="AQ473" i="3"/>
  <c r="AP473" i="3"/>
  <c r="AN473" i="3"/>
  <c r="AT473" i="3"/>
  <c r="AS473" i="3"/>
  <c r="BB472" i="3"/>
  <c r="AB472" i="3"/>
  <c r="AL468" i="3"/>
  <c r="AP468" i="3"/>
  <c r="AR468" i="3"/>
  <c r="AN468" i="3"/>
  <c r="AD468" i="3"/>
  <c r="AT468" i="3"/>
  <c r="AZ468" i="3"/>
  <c r="AO468" i="3"/>
  <c r="AU468" i="3"/>
  <c r="AW468" i="3"/>
  <c r="AM468" i="3"/>
  <c r="AK468" i="3"/>
  <c r="AQ468" i="3"/>
  <c r="AV468" i="3"/>
  <c r="AY468" i="3"/>
  <c r="AX468" i="3"/>
  <c r="AS468" i="3"/>
  <c r="AW469" i="3" l="1"/>
  <c r="AK469" i="3"/>
  <c r="AU469" i="3"/>
  <c r="AZ469" i="3"/>
  <c r="AT469" i="3"/>
  <c r="AX469" i="3"/>
  <c r="AS469" i="3"/>
  <c r="AR469" i="3"/>
  <c r="AP469" i="3"/>
  <c r="AN469" i="3"/>
  <c r="AQ469" i="3"/>
  <c r="AL469" i="3"/>
  <c r="AY469" i="3"/>
  <c r="AV469" i="3"/>
  <c r="AM469" i="3"/>
  <c r="AO469" i="3"/>
  <c r="AD469" i="3"/>
  <c r="BB468" i="3"/>
  <c r="AB468" i="3"/>
  <c r="AB473" i="3"/>
  <c r="BB473" i="3"/>
  <c r="AB469" i="3" l="1"/>
  <c r="BB469" i="3"/>
  <c r="AE464" i="3" l="1"/>
  <c r="AM464" i="3" l="1"/>
  <c r="AW464" i="3"/>
  <c r="AS464" i="3"/>
  <c r="AX464" i="3"/>
  <c r="AO464" i="3"/>
  <c r="AE460" i="3"/>
  <c r="AL464" i="3"/>
  <c r="AQ464" i="3"/>
  <c r="AT464" i="3"/>
  <c r="AZ464" i="3"/>
  <c r="AK464" i="3"/>
  <c r="AD464" i="3"/>
  <c r="AP464" i="3"/>
  <c r="AY464" i="3"/>
  <c r="AU464" i="3"/>
  <c r="AN464" i="3"/>
  <c r="AV464" i="3"/>
  <c r="AR464" i="3"/>
  <c r="AE465" i="3"/>
  <c r="AB464" i="3" l="1"/>
  <c r="BB464" i="3"/>
  <c r="AY460" i="3"/>
  <c r="AD460" i="3"/>
  <c r="AX460" i="3"/>
  <c r="AE456" i="3"/>
  <c r="AU460" i="3"/>
  <c r="AO460" i="3"/>
  <c r="AN460" i="3"/>
  <c r="AV460" i="3"/>
  <c r="AP460" i="3"/>
  <c r="AR460" i="3"/>
  <c r="AL460" i="3"/>
  <c r="AM460" i="3"/>
  <c r="AQ460" i="3"/>
  <c r="AT460" i="3"/>
  <c r="AK460" i="3"/>
  <c r="AZ460" i="3"/>
  <c r="AS460" i="3"/>
  <c r="AW460" i="3"/>
  <c r="AM465" i="3"/>
  <c r="AD465" i="3"/>
  <c r="AU465" i="3"/>
  <c r="AX465" i="3"/>
  <c r="AT465" i="3"/>
  <c r="AQ465" i="3"/>
  <c r="AV465" i="3"/>
  <c r="AR465" i="3"/>
  <c r="AN465" i="3"/>
  <c r="AP465" i="3"/>
  <c r="AL465" i="3"/>
  <c r="AE461" i="3"/>
  <c r="AZ465" i="3"/>
  <c r="AO465" i="3"/>
  <c r="AW465" i="3"/>
  <c r="AY465" i="3"/>
  <c r="AS465" i="3"/>
  <c r="AK465" i="3"/>
  <c r="AB465" i="3" l="1"/>
  <c r="BB465" i="3"/>
  <c r="BB460" i="3"/>
  <c r="AB460" i="3"/>
  <c r="AZ461" i="3"/>
  <c r="AX461" i="3"/>
  <c r="AD461" i="3"/>
  <c r="AU461" i="3"/>
  <c r="AN461" i="3"/>
  <c r="AP461" i="3"/>
  <c r="AL461" i="3"/>
  <c r="AR461" i="3"/>
  <c r="AW461" i="3"/>
  <c r="AE457" i="3"/>
  <c r="AQ461" i="3"/>
  <c r="AS461" i="3"/>
  <c r="AV461" i="3"/>
  <c r="AT461" i="3"/>
  <c r="AM461" i="3"/>
  <c r="AO461" i="3"/>
  <c r="AY461" i="3"/>
  <c r="AK461" i="3"/>
  <c r="AW456" i="3"/>
  <c r="AR456" i="3"/>
  <c r="AP456" i="3"/>
  <c r="AV456" i="3"/>
  <c r="AZ456" i="3"/>
  <c r="AY456" i="3"/>
  <c r="AE452" i="3"/>
  <c r="AO456" i="3"/>
  <c r="AL456" i="3"/>
  <c r="AD456" i="3"/>
  <c r="AN456" i="3"/>
  <c r="AQ456" i="3"/>
  <c r="AT456" i="3"/>
  <c r="AM456" i="3"/>
  <c r="AK456" i="3"/>
  <c r="AS456" i="3"/>
  <c r="AU456" i="3"/>
  <c r="AX456" i="3"/>
  <c r="BB456" i="3" l="1"/>
  <c r="AB456" i="3"/>
  <c r="AB461" i="3"/>
  <c r="BB461" i="3"/>
  <c r="AL452" i="3"/>
  <c r="AO452" i="3"/>
  <c r="AE448" i="3"/>
  <c r="AQ452" i="3"/>
  <c r="AN452" i="3"/>
  <c r="AX452" i="3"/>
  <c r="AM452" i="3"/>
  <c r="AY452" i="3"/>
  <c r="AS452" i="3"/>
  <c r="AV452" i="3"/>
  <c r="AU452" i="3"/>
  <c r="AD452" i="3"/>
  <c r="AZ452" i="3"/>
  <c r="AR452" i="3"/>
  <c r="AW452" i="3"/>
  <c r="AP452" i="3"/>
  <c r="AT452" i="3"/>
  <c r="AK452" i="3"/>
  <c r="AV457" i="3"/>
  <c r="AK457" i="3"/>
  <c r="AD457" i="3"/>
  <c r="AW457" i="3"/>
  <c r="AL457" i="3"/>
  <c r="AE453" i="3"/>
  <c r="AU457" i="3"/>
  <c r="AM457" i="3"/>
  <c r="AN457" i="3"/>
  <c r="AR457" i="3"/>
  <c r="AZ457" i="3"/>
  <c r="AY457" i="3"/>
  <c r="AT457" i="3"/>
  <c r="AP457" i="3"/>
  <c r="AS457" i="3"/>
  <c r="AO457" i="3"/>
  <c r="AQ457" i="3"/>
  <c r="AX457" i="3"/>
  <c r="AP448" i="3" l="1"/>
  <c r="AQ448" i="3"/>
  <c r="AW448" i="3"/>
  <c r="AK448" i="3"/>
  <c r="AO448" i="3"/>
  <c r="AX448" i="3"/>
  <c r="AN448" i="3"/>
  <c r="AD448" i="3"/>
  <c r="AS448" i="3"/>
  <c r="AT448" i="3"/>
  <c r="AR448" i="3"/>
  <c r="AM448" i="3"/>
  <c r="AL448" i="3"/>
  <c r="AZ448" i="3"/>
  <c r="AY448" i="3"/>
  <c r="AV448" i="3"/>
  <c r="AE444" i="3"/>
  <c r="AU448" i="3"/>
  <c r="BB452" i="3"/>
  <c r="AB452" i="3"/>
  <c r="AN453" i="3"/>
  <c r="AQ453" i="3"/>
  <c r="AX453" i="3"/>
  <c r="AO453" i="3"/>
  <c r="AT453" i="3"/>
  <c r="AV453" i="3"/>
  <c r="AE449" i="3"/>
  <c r="AP453" i="3"/>
  <c r="AW453" i="3"/>
  <c r="AM453" i="3"/>
  <c r="AL453" i="3"/>
  <c r="AD453" i="3"/>
  <c r="AK453" i="3"/>
  <c r="AS453" i="3"/>
  <c r="AR453" i="3"/>
  <c r="AY453" i="3"/>
  <c r="AU453" i="3"/>
  <c r="AZ453" i="3"/>
  <c r="AB457" i="3"/>
  <c r="BB457" i="3"/>
  <c r="AB453" i="3" l="1"/>
  <c r="BB453" i="3"/>
  <c r="AB448" i="3"/>
  <c r="BB448" i="3"/>
  <c r="AO444" i="3"/>
  <c r="AU444" i="3"/>
  <c r="AV444" i="3"/>
  <c r="AR444" i="3"/>
  <c r="AW444" i="3"/>
  <c r="AY444" i="3"/>
  <c r="AD444" i="3"/>
  <c r="AP444" i="3"/>
  <c r="AM444" i="3"/>
  <c r="AX444" i="3"/>
  <c r="AL444" i="3"/>
  <c r="AT444" i="3"/>
  <c r="AZ444" i="3"/>
  <c r="AS444" i="3"/>
  <c r="AK444" i="3"/>
  <c r="AN444" i="3"/>
  <c r="AQ444" i="3"/>
  <c r="AD449" i="3"/>
  <c r="AT449" i="3"/>
  <c r="AL449" i="3"/>
  <c r="AK449" i="3"/>
  <c r="AV449" i="3"/>
  <c r="AP449" i="3"/>
  <c r="AW449" i="3"/>
  <c r="AU449" i="3"/>
  <c r="AY449" i="3"/>
  <c r="AQ449" i="3"/>
  <c r="AN449" i="3"/>
  <c r="AO449" i="3"/>
  <c r="AE445" i="3"/>
  <c r="AS449" i="3"/>
  <c r="AX449" i="3"/>
  <c r="AZ449" i="3"/>
  <c r="AM449" i="3"/>
  <c r="AR449" i="3"/>
  <c r="BB449" i="3" l="1"/>
  <c r="AB449" i="3"/>
  <c r="AY445" i="3"/>
  <c r="AK445" i="3"/>
  <c r="AZ445" i="3"/>
  <c r="AS445" i="3"/>
  <c r="AT445" i="3"/>
  <c r="AU445" i="3"/>
  <c r="AV445" i="3"/>
  <c r="AW445" i="3"/>
  <c r="AR445" i="3"/>
  <c r="AL445" i="3"/>
  <c r="AD445" i="3"/>
  <c r="AP445" i="3"/>
  <c r="AX445" i="3"/>
  <c r="AO445" i="3"/>
  <c r="AQ445" i="3"/>
  <c r="AN445" i="3"/>
  <c r="AM445" i="3"/>
  <c r="AB444" i="3"/>
  <c r="BB444" i="3"/>
  <c r="BB445" i="3" l="1"/>
  <c r="AB445" i="3"/>
  <c r="AE440" i="3" l="1"/>
  <c r="AT440" i="3" l="1"/>
  <c r="AL440" i="3"/>
  <c r="AY440" i="3"/>
  <c r="AE436" i="3"/>
  <c r="AZ440" i="3"/>
  <c r="AP440" i="3"/>
  <c r="AN440" i="3"/>
  <c r="AD440" i="3"/>
  <c r="AQ440" i="3"/>
  <c r="AR440" i="3"/>
  <c r="AO440" i="3"/>
  <c r="AK440" i="3"/>
  <c r="AS440" i="3"/>
  <c r="AW440" i="3"/>
  <c r="AV440" i="3"/>
  <c r="AU440" i="3"/>
  <c r="AM440" i="3"/>
  <c r="AX440" i="3"/>
  <c r="AE441" i="3"/>
  <c r="AP436" i="3" l="1"/>
  <c r="AD436" i="3"/>
  <c r="AT436" i="3"/>
  <c r="AZ436" i="3"/>
  <c r="AW436" i="3"/>
  <c r="AO436" i="3"/>
  <c r="AK436" i="3"/>
  <c r="AR436" i="3"/>
  <c r="AS436" i="3"/>
  <c r="AM436" i="3"/>
  <c r="AQ436" i="3"/>
  <c r="AN436" i="3"/>
  <c r="AX436" i="3"/>
  <c r="AL436" i="3"/>
  <c r="AY436" i="3"/>
  <c r="AV436" i="3"/>
  <c r="AE432" i="3"/>
  <c r="AU436" i="3"/>
  <c r="AB440" i="3"/>
  <c r="BB440" i="3"/>
  <c r="AO441" i="3"/>
  <c r="AR441" i="3"/>
  <c r="AW441" i="3"/>
  <c r="AS441" i="3"/>
  <c r="AL441" i="3"/>
  <c r="AV441" i="3"/>
  <c r="AK441" i="3"/>
  <c r="AX441" i="3"/>
  <c r="AM441" i="3"/>
  <c r="AN441" i="3"/>
  <c r="AU441" i="3"/>
  <c r="AY441" i="3"/>
  <c r="AQ441" i="3"/>
  <c r="AE437" i="3"/>
  <c r="AT441" i="3"/>
  <c r="AZ441" i="3"/>
  <c r="AD441" i="3"/>
  <c r="AP441" i="3"/>
  <c r="AS432" i="3" l="1"/>
  <c r="AM432" i="3"/>
  <c r="AE428" i="3"/>
  <c r="AT432" i="3"/>
  <c r="AY432" i="3"/>
  <c r="AR432" i="3"/>
  <c r="AQ432" i="3"/>
  <c r="AX432" i="3"/>
  <c r="AP432" i="3"/>
  <c r="AU432" i="3"/>
  <c r="AL432" i="3"/>
  <c r="AW432" i="3"/>
  <c r="AK432" i="3"/>
  <c r="AV432" i="3"/>
  <c r="AD432" i="3"/>
  <c r="AN432" i="3"/>
  <c r="AO432" i="3"/>
  <c r="AZ432" i="3"/>
  <c r="AO437" i="3"/>
  <c r="AN437" i="3"/>
  <c r="AE433" i="3"/>
  <c r="AZ437" i="3"/>
  <c r="AL437" i="3"/>
  <c r="AD437" i="3"/>
  <c r="AK437" i="3"/>
  <c r="AY437" i="3"/>
  <c r="AT437" i="3"/>
  <c r="AU437" i="3"/>
  <c r="AW437" i="3"/>
  <c r="AQ437" i="3"/>
  <c r="AM437" i="3"/>
  <c r="AX437" i="3"/>
  <c r="AS437" i="3"/>
  <c r="AR437" i="3"/>
  <c r="AV437" i="3"/>
  <c r="AP437" i="3"/>
  <c r="AB436" i="3"/>
  <c r="BB436" i="3"/>
  <c r="BB441" i="3"/>
  <c r="AB441" i="3"/>
  <c r="AP433" i="3" l="1"/>
  <c r="AZ433" i="3"/>
  <c r="AN433" i="3"/>
  <c r="AK433" i="3"/>
  <c r="AX433" i="3"/>
  <c r="AE429" i="3"/>
  <c r="AT433" i="3"/>
  <c r="AY433" i="3"/>
  <c r="AD433" i="3"/>
  <c r="AS433" i="3"/>
  <c r="AM433" i="3"/>
  <c r="AU433" i="3"/>
  <c r="AO433" i="3"/>
  <c r="AL433" i="3"/>
  <c r="AV433" i="3"/>
  <c r="AQ433" i="3"/>
  <c r="AW433" i="3"/>
  <c r="AR433" i="3"/>
  <c r="AB437" i="3"/>
  <c r="BB437" i="3"/>
  <c r="BB432" i="3"/>
  <c r="AB432" i="3"/>
  <c r="AL428" i="3"/>
  <c r="AV428" i="3"/>
  <c r="AP428" i="3"/>
  <c r="AZ428" i="3"/>
  <c r="AR428" i="3"/>
  <c r="AU428" i="3"/>
  <c r="AX428" i="3"/>
  <c r="AK428" i="3"/>
  <c r="AD428" i="3"/>
  <c r="AQ428" i="3"/>
  <c r="AM428" i="3"/>
  <c r="AT428" i="3"/>
  <c r="AY428" i="3"/>
  <c r="AS428" i="3"/>
  <c r="AO428" i="3"/>
  <c r="AE424" i="3"/>
  <c r="AW428" i="3"/>
  <c r="AN428" i="3"/>
  <c r="BB433" i="3" l="1"/>
  <c r="AB433" i="3"/>
  <c r="AP429" i="3"/>
  <c r="AX429" i="3"/>
  <c r="AV429" i="3"/>
  <c r="AL429" i="3"/>
  <c r="AT429" i="3"/>
  <c r="AZ429" i="3"/>
  <c r="AY429" i="3"/>
  <c r="AD429" i="3"/>
  <c r="AM429" i="3"/>
  <c r="AN429" i="3"/>
  <c r="AQ429" i="3"/>
  <c r="AU429" i="3"/>
  <c r="AW429" i="3"/>
  <c r="AS429" i="3"/>
  <c r="AO429" i="3"/>
  <c r="AR429" i="3"/>
  <c r="AK429" i="3"/>
  <c r="AE425" i="3"/>
  <c r="AB428" i="3"/>
  <c r="BB428" i="3"/>
  <c r="AS424" i="3"/>
  <c r="AN424" i="3"/>
  <c r="AO424" i="3"/>
  <c r="AX424" i="3"/>
  <c r="AW424" i="3"/>
  <c r="AL424" i="3"/>
  <c r="AZ424" i="3"/>
  <c r="AP424" i="3"/>
  <c r="AY424" i="3"/>
  <c r="AD424" i="3"/>
  <c r="AT424" i="3"/>
  <c r="AR424" i="3"/>
  <c r="AU424" i="3"/>
  <c r="AM424" i="3"/>
  <c r="AE420" i="3"/>
  <c r="AQ424" i="3"/>
  <c r="AK424" i="3"/>
  <c r="AV424" i="3"/>
  <c r="AS425" i="3" l="1"/>
  <c r="AT425" i="3"/>
  <c r="AL425" i="3"/>
  <c r="AE421" i="3"/>
  <c r="AK425" i="3"/>
  <c r="AQ425" i="3"/>
  <c r="AZ425" i="3"/>
  <c r="AY425" i="3"/>
  <c r="AW425" i="3"/>
  <c r="AR425" i="3"/>
  <c r="AU425" i="3"/>
  <c r="AO425" i="3"/>
  <c r="AX425" i="3"/>
  <c r="AV425" i="3"/>
  <c r="AN425" i="3"/>
  <c r="AM425" i="3"/>
  <c r="AD425" i="3"/>
  <c r="AP425" i="3"/>
  <c r="BB424" i="3"/>
  <c r="AB424" i="3"/>
  <c r="AB429" i="3"/>
  <c r="BB429" i="3"/>
  <c r="AP420" i="3"/>
  <c r="AT420" i="3"/>
  <c r="AR420" i="3"/>
  <c r="AE416" i="3"/>
  <c r="AO420" i="3"/>
  <c r="AM420" i="3"/>
  <c r="AY420" i="3"/>
  <c r="AS420" i="3"/>
  <c r="AL420" i="3"/>
  <c r="AV420" i="3"/>
  <c r="AX420" i="3"/>
  <c r="AW420" i="3"/>
  <c r="AU420" i="3"/>
  <c r="AN420" i="3"/>
  <c r="AZ420" i="3"/>
  <c r="AD420" i="3"/>
  <c r="AQ420" i="3"/>
  <c r="AK420" i="3"/>
  <c r="BB425" i="3" l="1"/>
  <c r="AB425" i="3"/>
  <c r="AK421" i="3"/>
  <c r="AO421" i="3"/>
  <c r="AU421" i="3"/>
  <c r="AM421" i="3"/>
  <c r="AQ421" i="3"/>
  <c r="AN421" i="3"/>
  <c r="AD421" i="3"/>
  <c r="AY421" i="3"/>
  <c r="AL421" i="3"/>
  <c r="AS421" i="3"/>
  <c r="AP421" i="3"/>
  <c r="AE417" i="3"/>
  <c r="AW421" i="3"/>
  <c r="AX421" i="3"/>
  <c r="AT421" i="3"/>
  <c r="AZ421" i="3"/>
  <c r="AV421" i="3"/>
  <c r="AR421" i="3"/>
  <c r="AR416" i="3"/>
  <c r="AQ416" i="3"/>
  <c r="AW416" i="3"/>
  <c r="AL416" i="3"/>
  <c r="AZ416" i="3"/>
  <c r="AT416" i="3"/>
  <c r="AU416" i="3"/>
  <c r="AS416" i="3"/>
  <c r="AY416" i="3"/>
  <c r="AP416" i="3"/>
  <c r="AN416" i="3"/>
  <c r="AV416" i="3"/>
  <c r="AE412" i="3"/>
  <c r="AX416" i="3"/>
  <c r="AM416" i="3"/>
  <c r="AO416" i="3"/>
  <c r="AD416" i="3"/>
  <c r="AK416" i="3"/>
  <c r="AB420" i="3"/>
  <c r="BB420" i="3"/>
  <c r="AB421" i="3" l="1"/>
  <c r="BB421" i="3"/>
  <c r="AS412" i="3"/>
  <c r="AZ412" i="3"/>
  <c r="AL412" i="3"/>
  <c r="AD412" i="3"/>
  <c r="AR412" i="3"/>
  <c r="AE408" i="3"/>
  <c r="AT412" i="3"/>
  <c r="AQ412" i="3"/>
  <c r="AK412" i="3"/>
  <c r="AM412" i="3"/>
  <c r="AW412" i="3"/>
  <c r="AU412" i="3"/>
  <c r="AY412" i="3"/>
  <c r="AP412" i="3"/>
  <c r="AN412" i="3"/>
  <c r="AX412" i="3"/>
  <c r="AV412" i="3"/>
  <c r="AO412" i="3"/>
  <c r="AT417" i="3"/>
  <c r="AY417" i="3"/>
  <c r="AR417" i="3"/>
  <c r="AP417" i="3"/>
  <c r="AM417" i="3"/>
  <c r="AQ417" i="3"/>
  <c r="AV417" i="3"/>
  <c r="AK417" i="3"/>
  <c r="AO417" i="3"/>
  <c r="AZ417" i="3"/>
  <c r="AS417" i="3"/>
  <c r="AL417" i="3"/>
  <c r="AE413" i="3"/>
  <c r="AN417" i="3"/>
  <c r="AD417" i="3"/>
  <c r="AX417" i="3"/>
  <c r="AW417" i="3"/>
  <c r="AU417" i="3"/>
  <c r="AB416" i="3"/>
  <c r="BB416" i="3"/>
  <c r="AN408" i="3" l="1"/>
  <c r="AW408" i="3"/>
  <c r="AV408" i="3"/>
  <c r="AM408" i="3"/>
  <c r="AZ408" i="3"/>
  <c r="AO408" i="3"/>
  <c r="AY408" i="3"/>
  <c r="AL408" i="3"/>
  <c r="AU408" i="3"/>
  <c r="AP408" i="3"/>
  <c r="AT408" i="3"/>
  <c r="AR408" i="3"/>
  <c r="AX408" i="3"/>
  <c r="AS408" i="3"/>
  <c r="AK408" i="3"/>
  <c r="AE404" i="3"/>
  <c r="AQ408" i="3"/>
  <c r="AD408" i="3"/>
  <c r="BB412" i="3"/>
  <c r="AB412" i="3"/>
  <c r="AM413" i="3"/>
  <c r="AY413" i="3"/>
  <c r="AT413" i="3"/>
  <c r="AQ413" i="3"/>
  <c r="AE409" i="3"/>
  <c r="AV413" i="3"/>
  <c r="AU413" i="3"/>
  <c r="AN413" i="3"/>
  <c r="AO413" i="3"/>
  <c r="AZ413" i="3"/>
  <c r="AD413" i="3"/>
  <c r="AR413" i="3"/>
  <c r="AW413" i="3"/>
  <c r="AS413" i="3"/>
  <c r="AX413" i="3"/>
  <c r="AK413" i="3"/>
  <c r="AP413" i="3"/>
  <c r="AL413" i="3"/>
  <c r="BB417" i="3"/>
  <c r="AB417" i="3"/>
  <c r="BB408" i="3" l="1"/>
  <c r="AB408" i="3"/>
  <c r="AM404" i="3"/>
  <c r="AE400" i="3"/>
  <c r="AS404" i="3"/>
  <c r="AV404" i="3"/>
  <c r="AY404" i="3"/>
  <c r="AX404" i="3"/>
  <c r="AT404" i="3"/>
  <c r="AD404" i="3"/>
  <c r="AR404" i="3"/>
  <c r="AQ404" i="3"/>
  <c r="AN404" i="3"/>
  <c r="AU404" i="3"/>
  <c r="AK404" i="3"/>
  <c r="AO404" i="3"/>
  <c r="AZ404" i="3"/>
  <c r="AW404" i="3"/>
  <c r="AL404" i="3"/>
  <c r="AP404" i="3"/>
  <c r="AB413" i="3"/>
  <c r="BB413" i="3"/>
  <c r="AY409" i="3"/>
  <c r="AD409" i="3"/>
  <c r="AX409" i="3"/>
  <c r="AV409" i="3"/>
  <c r="AS409" i="3"/>
  <c r="AQ409" i="3"/>
  <c r="AU409" i="3"/>
  <c r="AW409" i="3"/>
  <c r="AR409" i="3"/>
  <c r="AK409" i="3"/>
  <c r="AN409" i="3"/>
  <c r="AL409" i="3"/>
  <c r="AE405" i="3"/>
  <c r="AP409" i="3"/>
  <c r="AO409" i="3"/>
  <c r="AZ409" i="3"/>
  <c r="AT409" i="3"/>
  <c r="AM409" i="3"/>
  <c r="BB409" i="3" l="1"/>
  <c r="AB409" i="3"/>
  <c r="AO400" i="3"/>
  <c r="AN400" i="3"/>
  <c r="AR400" i="3"/>
  <c r="AQ400" i="3"/>
  <c r="AS400" i="3"/>
  <c r="AY400" i="3"/>
  <c r="AT400" i="3"/>
  <c r="AD400" i="3"/>
  <c r="AZ400" i="3"/>
  <c r="AW400" i="3"/>
  <c r="AU400" i="3"/>
  <c r="AX400" i="3"/>
  <c r="AL400" i="3"/>
  <c r="AV400" i="3"/>
  <c r="AM400" i="3"/>
  <c r="AE396" i="3"/>
  <c r="AP400" i="3"/>
  <c r="AK400" i="3"/>
  <c r="AB404" i="3"/>
  <c r="BB404" i="3"/>
  <c r="AP405" i="3"/>
  <c r="AS405" i="3"/>
  <c r="AY405" i="3"/>
  <c r="AK405" i="3"/>
  <c r="AO405" i="3"/>
  <c r="AM405" i="3"/>
  <c r="AV405" i="3"/>
  <c r="AN405" i="3"/>
  <c r="AD405" i="3"/>
  <c r="AQ405" i="3"/>
  <c r="AW405" i="3"/>
  <c r="AU405" i="3"/>
  <c r="AX405" i="3"/>
  <c r="AT405" i="3"/>
  <c r="AL405" i="3"/>
  <c r="AZ405" i="3"/>
  <c r="AR405" i="3"/>
  <c r="AE401" i="3"/>
  <c r="AL396" i="3" l="1"/>
  <c r="AD396" i="3"/>
  <c r="AR396" i="3"/>
  <c r="AO396" i="3"/>
  <c r="AQ396" i="3"/>
  <c r="AK396" i="3"/>
  <c r="AZ396" i="3"/>
  <c r="AX396" i="3"/>
  <c r="AU396" i="3"/>
  <c r="AN396" i="3"/>
  <c r="AV396" i="3"/>
  <c r="AS396" i="3"/>
  <c r="AY396" i="3"/>
  <c r="AM396" i="3"/>
  <c r="AP396" i="3"/>
  <c r="AW396" i="3"/>
  <c r="AT396" i="3"/>
  <c r="AZ401" i="3"/>
  <c r="AY401" i="3"/>
  <c r="AX401" i="3"/>
  <c r="AM401" i="3"/>
  <c r="AU401" i="3"/>
  <c r="AP401" i="3"/>
  <c r="AL401" i="3"/>
  <c r="AT401" i="3"/>
  <c r="AV401" i="3"/>
  <c r="AD401" i="3"/>
  <c r="AK401" i="3"/>
  <c r="AO401" i="3"/>
  <c r="AR401" i="3"/>
  <c r="AE397" i="3"/>
  <c r="AN401" i="3"/>
  <c r="AW401" i="3"/>
  <c r="AQ401" i="3"/>
  <c r="AS401" i="3"/>
  <c r="BB405" i="3"/>
  <c r="AB405" i="3"/>
  <c r="BB400" i="3"/>
  <c r="AB400" i="3"/>
  <c r="AB401" i="3" l="1"/>
  <c r="BB401" i="3"/>
  <c r="BB396" i="3"/>
  <c r="AB396" i="3"/>
  <c r="AW397" i="3"/>
  <c r="AL397" i="3"/>
  <c r="AQ397" i="3"/>
  <c r="AP397" i="3"/>
  <c r="AU397" i="3"/>
  <c r="AS397" i="3"/>
  <c r="AN397" i="3"/>
  <c r="AK397" i="3"/>
  <c r="AZ397" i="3"/>
  <c r="AX397" i="3"/>
  <c r="AT397" i="3"/>
  <c r="AV397" i="3"/>
  <c r="AO397" i="3"/>
  <c r="AM397" i="3"/>
  <c r="AY397" i="3"/>
  <c r="AR397" i="3"/>
  <c r="AD397" i="3"/>
  <c r="BB397" i="3" l="1"/>
  <c r="AB397" i="3"/>
  <c r="AE392" i="3" l="1"/>
  <c r="AE393" i="3" l="1"/>
  <c r="AU392" i="3"/>
  <c r="AS392" i="3"/>
  <c r="AD392" i="3"/>
  <c r="AP392" i="3"/>
  <c r="AX392" i="3"/>
  <c r="AK392" i="3"/>
  <c r="AW392" i="3"/>
  <c r="AR392" i="3"/>
  <c r="AQ392" i="3"/>
  <c r="AY392" i="3"/>
  <c r="AN392" i="3"/>
  <c r="AO392" i="3"/>
  <c r="AE388" i="3"/>
  <c r="AV392" i="3"/>
  <c r="AT392" i="3"/>
  <c r="AM392" i="3"/>
  <c r="AL392" i="3"/>
  <c r="AZ392" i="3"/>
  <c r="AP388" i="3" l="1"/>
  <c r="AT388" i="3"/>
  <c r="AQ388" i="3"/>
  <c r="AN388" i="3"/>
  <c r="AO388" i="3"/>
  <c r="AD388" i="3"/>
  <c r="AY388" i="3"/>
  <c r="AW388" i="3"/>
  <c r="AS388" i="3"/>
  <c r="AV388" i="3"/>
  <c r="AU388" i="3"/>
  <c r="AR388" i="3"/>
  <c r="AZ388" i="3"/>
  <c r="AM388" i="3"/>
  <c r="AL388" i="3"/>
  <c r="AE384" i="3"/>
  <c r="AX388" i="3"/>
  <c r="AK388" i="3"/>
  <c r="AP393" i="3"/>
  <c r="AN393" i="3"/>
  <c r="AK393" i="3"/>
  <c r="AY393" i="3"/>
  <c r="AD393" i="3"/>
  <c r="AS393" i="3"/>
  <c r="AU393" i="3"/>
  <c r="AZ393" i="3"/>
  <c r="AX393" i="3"/>
  <c r="AL393" i="3"/>
  <c r="AT393" i="3"/>
  <c r="AE389" i="3"/>
  <c r="AV393" i="3"/>
  <c r="AM393" i="3"/>
  <c r="AW393" i="3"/>
  <c r="AO393" i="3"/>
  <c r="AQ393" i="3"/>
  <c r="AR393" i="3"/>
  <c r="BB392" i="3"/>
  <c r="AB392" i="3"/>
  <c r="AL389" i="3" l="1"/>
  <c r="AU389" i="3"/>
  <c r="AT389" i="3"/>
  <c r="AV389" i="3"/>
  <c r="AK389" i="3"/>
  <c r="AW389" i="3"/>
  <c r="AS389" i="3"/>
  <c r="AR389" i="3"/>
  <c r="AM389" i="3"/>
  <c r="AZ389" i="3"/>
  <c r="AO389" i="3"/>
  <c r="AP389" i="3"/>
  <c r="AN389" i="3"/>
  <c r="AX389" i="3"/>
  <c r="AY389" i="3"/>
  <c r="AQ389" i="3"/>
  <c r="AD389" i="3"/>
  <c r="AE385" i="3"/>
  <c r="AB388" i="3"/>
  <c r="BB388" i="3"/>
  <c r="AR384" i="3"/>
  <c r="AE380" i="3"/>
  <c r="AD384" i="3"/>
  <c r="AT384" i="3"/>
  <c r="AW384" i="3"/>
  <c r="AZ384" i="3"/>
  <c r="AV384" i="3"/>
  <c r="AS384" i="3"/>
  <c r="AP384" i="3"/>
  <c r="AK384" i="3"/>
  <c r="AN384" i="3"/>
  <c r="AL384" i="3"/>
  <c r="AY384" i="3"/>
  <c r="AO384" i="3"/>
  <c r="AQ384" i="3"/>
  <c r="AU384" i="3"/>
  <c r="AX384" i="3"/>
  <c r="AM384" i="3"/>
  <c r="BB393" i="3"/>
  <c r="AB393" i="3"/>
  <c r="AV380" i="3" l="1"/>
  <c r="AQ380" i="3"/>
  <c r="AO380" i="3"/>
  <c r="AT380" i="3"/>
  <c r="AE376" i="3"/>
  <c r="AP380" i="3"/>
  <c r="AS380" i="3"/>
  <c r="AW380" i="3"/>
  <c r="AK380" i="3"/>
  <c r="AR380" i="3"/>
  <c r="AM380" i="3"/>
  <c r="AN380" i="3"/>
  <c r="AZ380" i="3"/>
  <c r="AX380" i="3"/>
  <c r="AD380" i="3"/>
  <c r="AL380" i="3"/>
  <c r="AY380" i="3"/>
  <c r="AU380" i="3"/>
  <c r="AB389" i="3"/>
  <c r="BB389" i="3"/>
  <c r="AB384" i="3"/>
  <c r="BB384" i="3"/>
  <c r="AV385" i="3"/>
  <c r="AW385" i="3"/>
  <c r="AT385" i="3"/>
  <c r="AK385" i="3"/>
  <c r="AR385" i="3"/>
  <c r="AU385" i="3"/>
  <c r="AY385" i="3"/>
  <c r="AP385" i="3"/>
  <c r="AX385" i="3"/>
  <c r="AO385" i="3"/>
  <c r="AZ385" i="3"/>
  <c r="AM385" i="3"/>
  <c r="AL385" i="3"/>
  <c r="AS385" i="3"/>
  <c r="AN385" i="3"/>
  <c r="AE381" i="3"/>
  <c r="AQ385" i="3"/>
  <c r="AD385" i="3"/>
  <c r="AK376" i="3" l="1"/>
  <c r="AZ376" i="3"/>
  <c r="AO376" i="3"/>
  <c r="AD376" i="3"/>
  <c r="AE372" i="3"/>
  <c r="AN376" i="3"/>
  <c r="AT376" i="3"/>
  <c r="AR376" i="3"/>
  <c r="AM376" i="3"/>
  <c r="AS376" i="3"/>
  <c r="AX376" i="3"/>
  <c r="AL376" i="3"/>
  <c r="AY376" i="3"/>
  <c r="AW376" i="3"/>
  <c r="AU376" i="3"/>
  <c r="AQ376" i="3"/>
  <c r="AV376" i="3"/>
  <c r="AP376" i="3"/>
  <c r="AB380" i="3"/>
  <c r="BB380" i="3"/>
  <c r="AQ381" i="3"/>
  <c r="AU381" i="3"/>
  <c r="AO381" i="3"/>
  <c r="AK381" i="3"/>
  <c r="AL381" i="3"/>
  <c r="AZ381" i="3"/>
  <c r="AD381" i="3"/>
  <c r="AY381" i="3"/>
  <c r="AM381" i="3"/>
  <c r="AX381" i="3"/>
  <c r="AR381" i="3"/>
  <c r="AT381" i="3"/>
  <c r="AE377" i="3"/>
  <c r="AV381" i="3"/>
  <c r="AP381" i="3"/>
  <c r="AN381" i="3"/>
  <c r="AW381" i="3"/>
  <c r="AS381" i="3"/>
  <c r="AB385" i="3"/>
  <c r="BB385" i="3"/>
  <c r="AP372" i="3" l="1"/>
  <c r="AD372" i="3"/>
  <c r="AW372" i="3"/>
  <c r="AN372" i="3"/>
  <c r="AU372" i="3"/>
  <c r="AQ372" i="3"/>
  <c r="AO372" i="3"/>
  <c r="AM372" i="3"/>
  <c r="AL372" i="3"/>
  <c r="AR372" i="3"/>
  <c r="AV372" i="3"/>
  <c r="AZ372" i="3"/>
  <c r="AS372" i="3"/>
  <c r="AE368" i="3"/>
  <c r="AX372" i="3"/>
  <c r="AK372" i="3"/>
  <c r="AT372" i="3"/>
  <c r="AY372" i="3"/>
  <c r="BB376" i="3"/>
  <c r="AB376" i="3"/>
  <c r="AD377" i="3"/>
  <c r="AZ377" i="3"/>
  <c r="AN377" i="3"/>
  <c r="AT377" i="3"/>
  <c r="AE373" i="3"/>
  <c r="AS377" i="3"/>
  <c r="AO377" i="3"/>
  <c r="AM377" i="3"/>
  <c r="AQ377" i="3"/>
  <c r="AR377" i="3"/>
  <c r="AL377" i="3"/>
  <c r="AV377" i="3"/>
  <c r="AY377" i="3"/>
  <c r="AX377" i="3"/>
  <c r="AW377" i="3"/>
  <c r="AU377" i="3"/>
  <c r="AK377" i="3"/>
  <c r="AP377" i="3"/>
  <c r="AB381" i="3"/>
  <c r="BB381" i="3"/>
  <c r="BB377" i="3" l="1"/>
  <c r="AB377" i="3"/>
  <c r="AM368" i="3"/>
  <c r="AV368" i="3"/>
  <c r="AR368" i="3"/>
  <c r="AX368" i="3"/>
  <c r="AW368" i="3"/>
  <c r="AQ368" i="3"/>
  <c r="AO368" i="3"/>
  <c r="AN368" i="3"/>
  <c r="AL368" i="3"/>
  <c r="AP368" i="3"/>
  <c r="AZ368" i="3"/>
  <c r="AD368" i="3"/>
  <c r="AK368" i="3"/>
  <c r="AY368" i="3"/>
  <c r="AE364" i="3"/>
  <c r="AS368" i="3"/>
  <c r="AT368" i="3"/>
  <c r="AU368" i="3"/>
  <c r="BB372" i="3"/>
  <c r="AB372" i="3"/>
  <c r="AQ373" i="3"/>
  <c r="AE369" i="3"/>
  <c r="AD373" i="3"/>
  <c r="AL373" i="3"/>
  <c r="AN373" i="3"/>
  <c r="AM373" i="3"/>
  <c r="AZ373" i="3"/>
  <c r="AX373" i="3"/>
  <c r="AS373" i="3"/>
  <c r="AP373" i="3"/>
  <c r="AW373" i="3"/>
  <c r="AU373" i="3"/>
  <c r="AK373" i="3"/>
  <c r="AT373" i="3"/>
  <c r="AR373" i="3"/>
  <c r="AY373" i="3"/>
  <c r="AO373" i="3"/>
  <c r="AV373" i="3"/>
  <c r="AL369" i="3" l="1"/>
  <c r="AP369" i="3"/>
  <c r="AT369" i="3"/>
  <c r="AZ369" i="3"/>
  <c r="AX369" i="3"/>
  <c r="AD369" i="3"/>
  <c r="AN369" i="3"/>
  <c r="AQ369" i="3"/>
  <c r="AR369" i="3"/>
  <c r="AU369" i="3"/>
  <c r="AO369" i="3"/>
  <c r="AK369" i="3"/>
  <c r="AV369" i="3"/>
  <c r="AY369" i="3"/>
  <c r="AE365" i="3"/>
  <c r="AS369" i="3"/>
  <c r="AW369" i="3"/>
  <c r="AM369" i="3"/>
  <c r="AU364" i="3"/>
  <c r="AW364" i="3"/>
  <c r="AE360" i="3"/>
  <c r="AP364" i="3"/>
  <c r="AN364" i="3"/>
  <c r="AD364" i="3"/>
  <c r="AY364" i="3"/>
  <c r="AK364" i="3"/>
  <c r="AR364" i="3"/>
  <c r="AT364" i="3"/>
  <c r="AV364" i="3"/>
  <c r="AO364" i="3"/>
  <c r="AZ364" i="3"/>
  <c r="AM364" i="3"/>
  <c r="AL364" i="3"/>
  <c r="AS364" i="3"/>
  <c r="AX364" i="3"/>
  <c r="AQ364" i="3"/>
  <c r="AB368" i="3"/>
  <c r="BB368" i="3"/>
  <c r="BB373" i="3"/>
  <c r="AB373" i="3"/>
  <c r="AX360" i="3" l="1"/>
  <c r="AL360" i="3"/>
  <c r="AP360" i="3"/>
  <c r="AK360" i="3"/>
  <c r="AM360" i="3"/>
  <c r="AV360" i="3"/>
  <c r="AQ360" i="3"/>
  <c r="AO360" i="3"/>
  <c r="AT360" i="3"/>
  <c r="AZ360" i="3"/>
  <c r="AE356" i="3"/>
  <c r="AD360" i="3"/>
  <c r="AR360" i="3"/>
  <c r="AN360" i="3"/>
  <c r="AW360" i="3"/>
  <c r="AS360" i="3"/>
  <c r="AY360" i="3"/>
  <c r="AU360" i="3"/>
  <c r="AB369" i="3"/>
  <c r="BB369" i="3"/>
  <c r="AO365" i="3"/>
  <c r="AE361" i="3"/>
  <c r="AT365" i="3"/>
  <c r="AW365" i="3"/>
  <c r="AS365" i="3"/>
  <c r="AD365" i="3"/>
  <c r="AR365" i="3"/>
  <c r="AY365" i="3"/>
  <c r="AZ365" i="3"/>
  <c r="AV365" i="3"/>
  <c r="AQ365" i="3"/>
  <c r="AN365" i="3"/>
  <c r="AP365" i="3"/>
  <c r="AU365" i="3"/>
  <c r="AK365" i="3"/>
  <c r="AX365" i="3"/>
  <c r="AM365" i="3"/>
  <c r="AL365" i="3"/>
  <c r="BB364" i="3"/>
  <c r="AB364" i="3"/>
  <c r="AZ361" i="3" l="1"/>
  <c r="AL361" i="3"/>
  <c r="AT361" i="3"/>
  <c r="AO361" i="3"/>
  <c r="AY361" i="3"/>
  <c r="AR361" i="3"/>
  <c r="AV361" i="3"/>
  <c r="AX361" i="3"/>
  <c r="AD361" i="3"/>
  <c r="AQ361" i="3"/>
  <c r="AE357" i="3"/>
  <c r="AW361" i="3"/>
  <c r="AK361" i="3"/>
  <c r="AN361" i="3"/>
  <c r="AP361" i="3"/>
  <c r="AU361" i="3"/>
  <c r="AS361" i="3"/>
  <c r="AM361" i="3"/>
  <c r="AZ356" i="3"/>
  <c r="AW356" i="3"/>
  <c r="AT356" i="3"/>
  <c r="AQ356" i="3"/>
  <c r="AV356" i="3"/>
  <c r="AN356" i="3"/>
  <c r="AY356" i="3"/>
  <c r="AE352" i="3"/>
  <c r="AM356" i="3"/>
  <c r="AX356" i="3"/>
  <c r="AO356" i="3"/>
  <c r="AK356" i="3"/>
  <c r="AU356" i="3"/>
  <c r="AP356" i="3"/>
  <c r="AS356" i="3"/>
  <c r="AD356" i="3"/>
  <c r="AL356" i="3"/>
  <c r="AR356" i="3"/>
  <c r="BB360" i="3"/>
  <c r="AB360" i="3"/>
  <c r="AB365" i="3"/>
  <c r="BB365" i="3"/>
  <c r="AU357" i="3" l="1"/>
  <c r="AN357" i="3"/>
  <c r="AE353" i="3"/>
  <c r="AQ357" i="3"/>
  <c r="AY357" i="3"/>
  <c r="AX357" i="3"/>
  <c r="AO357" i="3"/>
  <c r="AR357" i="3"/>
  <c r="AM357" i="3"/>
  <c r="AL357" i="3"/>
  <c r="AW357" i="3"/>
  <c r="AP357" i="3"/>
  <c r="AV357" i="3"/>
  <c r="AT357" i="3"/>
  <c r="AS357" i="3"/>
  <c r="AD357" i="3"/>
  <c r="AK357" i="3"/>
  <c r="AZ357" i="3"/>
  <c r="AK352" i="3"/>
  <c r="AT352" i="3"/>
  <c r="AW352" i="3"/>
  <c r="AD352" i="3"/>
  <c r="AL352" i="3"/>
  <c r="AN352" i="3"/>
  <c r="AQ352" i="3"/>
  <c r="AM352" i="3"/>
  <c r="AX352" i="3"/>
  <c r="AZ352" i="3"/>
  <c r="AS352" i="3"/>
  <c r="AU352" i="3"/>
  <c r="AP352" i="3"/>
  <c r="AE348" i="3"/>
  <c r="AV352" i="3"/>
  <c r="AY352" i="3"/>
  <c r="AR352" i="3"/>
  <c r="AO352" i="3"/>
  <c r="BB356" i="3"/>
  <c r="AB356" i="3"/>
  <c r="BB361" i="3"/>
  <c r="AB361" i="3"/>
  <c r="AY348" i="3" l="1"/>
  <c r="AR348" i="3"/>
  <c r="AM348" i="3"/>
  <c r="AQ348" i="3"/>
  <c r="AT348" i="3"/>
  <c r="AE344" i="3"/>
  <c r="AX348" i="3"/>
  <c r="AL348" i="3"/>
  <c r="AO348" i="3"/>
  <c r="AD348" i="3"/>
  <c r="AV348" i="3"/>
  <c r="AS348" i="3"/>
  <c r="AP348" i="3"/>
  <c r="AZ348" i="3"/>
  <c r="AU348" i="3"/>
  <c r="AW348" i="3"/>
  <c r="AN348" i="3"/>
  <c r="AK348" i="3"/>
  <c r="AB357" i="3"/>
  <c r="BB357" i="3"/>
  <c r="AS353" i="3"/>
  <c r="AW353" i="3"/>
  <c r="AN353" i="3"/>
  <c r="AU353" i="3"/>
  <c r="AE349" i="3"/>
  <c r="AQ353" i="3"/>
  <c r="AO353" i="3"/>
  <c r="AM353" i="3"/>
  <c r="AY353" i="3"/>
  <c r="AR353" i="3"/>
  <c r="AV353" i="3"/>
  <c r="AP353" i="3"/>
  <c r="AT353" i="3"/>
  <c r="AL353" i="3"/>
  <c r="AD353" i="3"/>
  <c r="AZ353" i="3"/>
  <c r="AX353" i="3"/>
  <c r="AK353" i="3"/>
  <c r="AB352" i="3"/>
  <c r="BB352" i="3"/>
  <c r="BB348" i="3" l="1"/>
  <c r="AB348" i="3"/>
  <c r="AO344" i="3"/>
  <c r="AZ344" i="3"/>
  <c r="AM344" i="3"/>
  <c r="AS344" i="3"/>
  <c r="AD344" i="3"/>
  <c r="AP344" i="3"/>
  <c r="AE340" i="3"/>
  <c r="AQ344" i="3"/>
  <c r="AR344" i="3"/>
  <c r="AX344" i="3"/>
  <c r="AW344" i="3"/>
  <c r="AU344" i="3"/>
  <c r="AV344" i="3"/>
  <c r="AY344" i="3"/>
  <c r="AT344" i="3"/>
  <c r="AN344" i="3"/>
  <c r="AL344" i="3"/>
  <c r="AK344" i="3"/>
  <c r="BB353" i="3"/>
  <c r="AB353" i="3"/>
  <c r="AM349" i="3"/>
  <c r="AZ349" i="3"/>
  <c r="AU349" i="3"/>
  <c r="AE345" i="3"/>
  <c r="AX349" i="3"/>
  <c r="AT349" i="3"/>
  <c r="AS349" i="3"/>
  <c r="AY349" i="3"/>
  <c r="AV349" i="3"/>
  <c r="AO349" i="3"/>
  <c r="AR349" i="3"/>
  <c r="AL349" i="3"/>
  <c r="AW349" i="3"/>
  <c r="AN349" i="3"/>
  <c r="AD349" i="3"/>
  <c r="AK349" i="3"/>
  <c r="AQ349" i="3"/>
  <c r="AP349" i="3"/>
  <c r="AQ340" i="3" l="1"/>
  <c r="AK340" i="3"/>
  <c r="AT340" i="3"/>
  <c r="AP340" i="3"/>
  <c r="AN340" i="3"/>
  <c r="AS340" i="3"/>
  <c r="AO340" i="3"/>
  <c r="AX340" i="3"/>
  <c r="AR340" i="3"/>
  <c r="AW340" i="3"/>
  <c r="AU340" i="3"/>
  <c r="AE336" i="3"/>
  <c r="AV340" i="3"/>
  <c r="AZ340" i="3"/>
  <c r="AY340" i="3"/>
  <c r="AL340" i="3"/>
  <c r="AM340" i="3"/>
  <c r="AD340" i="3"/>
  <c r="AB344" i="3"/>
  <c r="BB344" i="3"/>
  <c r="AV345" i="3"/>
  <c r="AW345" i="3"/>
  <c r="AM345" i="3"/>
  <c r="AX345" i="3"/>
  <c r="AU345" i="3"/>
  <c r="AE341" i="3"/>
  <c r="AP345" i="3"/>
  <c r="AQ345" i="3"/>
  <c r="AD345" i="3"/>
  <c r="AT345" i="3"/>
  <c r="AO345" i="3"/>
  <c r="AL345" i="3"/>
  <c r="AY345" i="3"/>
  <c r="AS345" i="3"/>
  <c r="AN345" i="3"/>
  <c r="AR345" i="3"/>
  <c r="AZ345" i="3"/>
  <c r="AK345" i="3"/>
  <c r="AB349" i="3"/>
  <c r="BB349" i="3"/>
  <c r="AV336" i="3" l="1"/>
  <c r="AE332" i="3"/>
  <c r="AL336" i="3"/>
  <c r="AS336" i="3"/>
  <c r="AQ336" i="3"/>
  <c r="AZ336" i="3"/>
  <c r="AY336" i="3"/>
  <c r="AD336" i="3"/>
  <c r="AT336" i="3"/>
  <c r="AO336" i="3"/>
  <c r="AU336" i="3"/>
  <c r="AN336" i="3"/>
  <c r="AX336" i="3"/>
  <c r="AW336" i="3"/>
  <c r="AR336" i="3"/>
  <c r="AM336" i="3"/>
  <c r="AK336" i="3"/>
  <c r="AP336" i="3"/>
  <c r="AB340" i="3"/>
  <c r="BB340" i="3"/>
  <c r="BB345" i="3"/>
  <c r="AB345" i="3"/>
  <c r="AO341" i="3"/>
  <c r="AZ341" i="3"/>
  <c r="AX341" i="3"/>
  <c r="AR341" i="3"/>
  <c r="AN341" i="3"/>
  <c r="AY341" i="3"/>
  <c r="AW341" i="3"/>
  <c r="AQ341" i="3"/>
  <c r="AV341" i="3"/>
  <c r="AE337" i="3"/>
  <c r="AS341" i="3"/>
  <c r="AM341" i="3"/>
  <c r="AU341" i="3"/>
  <c r="AT341" i="3"/>
  <c r="AP341" i="3"/>
  <c r="AK341" i="3"/>
  <c r="AL341" i="3"/>
  <c r="AD341" i="3"/>
  <c r="AB336" i="3" l="1"/>
  <c r="BB336" i="3"/>
  <c r="AN337" i="3"/>
  <c r="AU337" i="3"/>
  <c r="AS337" i="3"/>
  <c r="AE333" i="3"/>
  <c r="AY337" i="3"/>
  <c r="AP337" i="3"/>
  <c r="AD337" i="3"/>
  <c r="AK337" i="3"/>
  <c r="AT337" i="3"/>
  <c r="AZ337" i="3"/>
  <c r="AQ337" i="3"/>
  <c r="AL337" i="3"/>
  <c r="AX337" i="3"/>
  <c r="AR337" i="3"/>
  <c r="AV337" i="3"/>
  <c r="AM337" i="3"/>
  <c r="AO337" i="3"/>
  <c r="AW337" i="3"/>
  <c r="AY332" i="3"/>
  <c r="AT332" i="3"/>
  <c r="AK332" i="3"/>
  <c r="AM332" i="3"/>
  <c r="AS332" i="3"/>
  <c r="AW332" i="3"/>
  <c r="AN332" i="3"/>
  <c r="AQ332" i="3"/>
  <c r="AR332" i="3"/>
  <c r="AX332" i="3"/>
  <c r="AL332" i="3"/>
  <c r="AV332" i="3"/>
  <c r="AO332" i="3"/>
  <c r="AZ332" i="3"/>
  <c r="AU332" i="3"/>
  <c r="AP332" i="3"/>
  <c r="AD332" i="3"/>
  <c r="AE328" i="3"/>
  <c r="AB341" i="3"/>
  <c r="BB341" i="3"/>
  <c r="AD333" i="3" l="1"/>
  <c r="AO333" i="3"/>
  <c r="AN333" i="3"/>
  <c r="AK333" i="3"/>
  <c r="AE329" i="3"/>
  <c r="AL333" i="3"/>
  <c r="AU333" i="3"/>
  <c r="AP333" i="3"/>
  <c r="AX333" i="3"/>
  <c r="AS333" i="3"/>
  <c r="AR333" i="3"/>
  <c r="AW333" i="3"/>
  <c r="AQ333" i="3"/>
  <c r="AM333" i="3"/>
  <c r="AY333" i="3"/>
  <c r="AZ333" i="3"/>
  <c r="AV333" i="3"/>
  <c r="AT333" i="3"/>
  <c r="BB337" i="3"/>
  <c r="AB337" i="3"/>
  <c r="AV328" i="3"/>
  <c r="AT328" i="3"/>
  <c r="AP328" i="3"/>
  <c r="AX328" i="3"/>
  <c r="AL328" i="3"/>
  <c r="AM328" i="3"/>
  <c r="AW328" i="3"/>
  <c r="AZ328" i="3"/>
  <c r="AN328" i="3"/>
  <c r="AQ328" i="3"/>
  <c r="AK328" i="3"/>
  <c r="AR328" i="3"/>
  <c r="AY328" i="3"/>
  <c r="AU328" i="3"/>
  <c r="AE324" i="3"/>
  <c r="AO328" i="3"/>
  <c r="AD328" i="3"/>
  <c r="AS328" i="3"/>
  <c r="BB332" i="3"/>
  <c r="AB332" i="3"/>
  <c r="AX329" i="3" l="1"/>
  <c r="AU329" i="3"/>
  <c r="AE325" i="3"/>
  <c r="AV329" i="3"/>
  <c r="AT329" i="3"/>
  <c r="AO329" i="3"/>
  <c r="AN329" i="3"/>
  <c r="AR329" i="3"/>
  <c r="AQ329" i="3"/>
  <c r="AS329" i="3"/>
  <c r="AY329" i="3"/>
  <c r="AL329" i="3"/>
  <c r="AK329" i="3"/>
  <c r="AP329" i="3"/>
  <c r="AZ329" i="3"/>
  <c r="AD329" i="3"/>
  <c r="AM329" i="3"/>
  <c r="AW329" i="3"/>
  <c r="AS324" i="3"/>
  <c r="AQ324" i="3"/>
  <c r="AY324" i="3"/>
  <c r="AW324" i="3"/>
  <c r="AU324" i="3"/>
  <c r="AL324" i="3"/>
  <c r="AO324" i="3"/>
  <c r="AP324" i="3"/>
  <c r="AZ324" i="3"/>
  <c r="AD324" i="3"/>
  <c r="AR324" i="3"/>
  <c r="AM324" i="3"/>
  <c r="AK324" i="3"/>
  <c r="AV324" i="3"/>
  <c r="AX324" i="3"/>
  <c r="AT324" i="3"/>
  <c r="AN324" i="3"/>
  <c r="BB328" i="3"/>
  <c r="AB328" i="3"/>
  <c r="AB333" i="3"/>
  <c r="BB333" i="3"/>
  <c r="BB324" i="3" l="1"/>
  <c r="AB324" i="3"/>
  <c r="AB329" i="3"/>
  <c r="BB329" i="3"/>
  <c r="AU325" i="3"/>
  <c r="AW325" i="3"/>
  <c r="AV325" i="3"/>
  <c r="AS325" i="3"/>
  <c r="AN325" i="3"/>
  <c r="AK325" i="3"/>
  <c r="AZ325" i="3"/>
  <c r="AM325" i="3"/>
  <c r="AP325" i="3"/>
  <c r="AY325" i="3"/>
  <c r="AR325" i="3"/>
  <c r="AL325" i="3"/>
  <c r="AD325" i="3"/>
  <c r="AO325" i="3"/>
  <c r="AT325" i="3"/>
  <c r="AX325" i="3"/>
  <c r="AQ325" i="3"/>
  <c r="AB325" i="3" l="1"/>
  <c r="BB325" i="3"/>
  <c r="AE320" i="3" l="1"/>
  <c r="AE321" i="3" l="1"/>
  <c r="AR320" i="3"/>
  <c r="AK320" i="3"/>
  <c r="AS320" i="3"/>
  <c r="AP320" i="3"/>
  <c r="AW320" i="3"/>
  <c r="AL320" i="3"/>
  <c r="AM320" i="3"/>
  <c r="AZ320" i="3"/>
  <c r="AY320" i="3"/>
  <c r="AV320" i="3"/>
  <c r="AX320" i="3"/>
  <c r="AD320" i="3"/>
  <c r="AE316" i="3"/>
  <c r="AO320" i="3"/>
  <c r="AQ320" i="3"/>
  <c r="AU320" i="3"/>
  <c r="AN320" i="3"/>
  <c r="AT320" i="3"/>
  <c r="AN321" i="3" l="1"/>
  <c r="AR321" i="3"/>
  <c r="AV321" i="3"/>
  <c r="AY321" i="3"/>
  <c r="AS321" i="3"/>
  <c r="AL321" i="3"/>
  <c r="AU321" i="3"/>
  <c r="AW321" i="3"/>
  <c r="AT321" i="3"/>
  <c r="AK321" i="3"/>
  <c r="AQ321" i="3"/>
  <c r="AX321" i="3"/>
  <c r="AD321" i="3"/>
  <c r="AP321" i="3"/>
  <c r="AO321" i="3"/>
  <c r="AM321" i="3"/>
  <c r="AZ321" i="3"/>
  <c r="AE317" i="3"/>
  <c r="AB320" i="3"/>
  <c r="BB320" i="3"/>
  <c r="AU316" i="3"/>
  <c r="AE312" i="3"/>
  <c r="AK316" i="3"/>
  <c r="AN316" i="3"/>
  <c r="AD316" i="3"/>
  <c r="AT316" i="3"/>
  <c r="AS316" i="3"/>
  <c r="AQ316" i="3"/>
  <c r="AW316" i="3"/>
  <c r="AV316" i="3"/>
  <c r="AM316" i="3"/>
  <c r="AX316" i="3"/>
  <c r="AZ316" i="3"/>
  <c r="AL316" i="3"/>
  <c r="AP316" i="3"/>
  <c r="AO316" i="3"/>
  <c r="AY316" i="3"/>
  <c r="AR316" i="3"/>
  <c r="AN312" i="3" l="1"/>
  <c r="AS312" i="3"/>
  <c r="AQ312" i="3"/>
  <c r="AZ312" i="3"/>
  <c r="AO312" i="3"/>
  <c r="AK312" i="3"/>
  <c r="AM312" i="3"/>
  <c r="AD312" i="3"/>
  <c r="AE308" i="3"/>
  <c r="AY312" i="3"/>
  <c r="AW312" i="3"/>
  <c r="AV312" i="3"/>
  <c r="AR312" i="3"/>
  <c r="AT312" i="3"/>
  <c r="AP312" i="3"/>
  <c r="AX312" i="3"/>
  <c r="AL312" i="3"/>
  <c r="AU312" i="3"/>
  <c r="AL317" i="3"/>
  <c r="AZ317" i="3"/>
  <c r="AE313" i="3"/>
  <c r="AR317" i="3"/>
  <c r="AD317" i="3"/>
  <c r="AW317" i="3"/>
  <c r="AN317" i="3"/>
  <c r="AP317" i="3"/>
  <c r="AV317" i="3"/>
  <c r="AX317" i="3"/>
  <c r="AQ317" i="3"/>
  <c r="AK317" i="3"/>
  <c r="AY317" i="3"/>
  <c r="AT317" i="3"/>
  <c r="AS317" i="3"/>
  <c r="AO317" i="3"/>
  <c r="AM317" i="3"/>
  <c r="AU317" i="3"/>
  <c r="AB316" i="3"/>
  <c r="BB316" i="3"/>
  <c r="AB321" i="3"/>
  <c r="BB321" i="3"/>
  <c r="BB312" i="3" l="1"/>
  <c r="AB312" i="3"/>
  <c r="AB317" i="3"/>
  <c r="BB317" i="3"/>
  <c r="AD313" i="3"/>
  <c r="AK313" i="3"/>
  <c r="AZ313" i="3"/>
  <c r="AR313" i="3"/>
  <c r="AV313" i="3"/>
  <c r="AE309" i="3"/>
  <c r="AS313" i="3"/>
  <c r="AO313" i="3"/>
  <c r="AQ313" i="3"/>
  <c r="AY313" i="3"/>
  <c r="AX313" i="3"/>
  <c r="AT313" i="3"/>
  <c r="AW313" i="3"/>
  <c r="AN313" i="3"/>
  <c r="AL313" i="3"/>
  <c r="AU313" i="3"/>
  <c r="AM313" i="3"/>
  <c r="AP313" i="3"/>
  <c r="AD308" i="3"/>
  <c r="AO308" i="3"/>
  <c r="AR308" i="3"/>
  <c r="AP308" i="3"/>
  <c r="AT308" i="3"/>
  <c r="AM308" i="3"/>
  <c r="AX308" i="3"/>
  <c r="AY308" i="3"/>
  <c r="AS308" i="3"/>
  <c r="AW308" i="3"/>
  <c r="AZ308" i="3"/>
  <c r="AL308" i="3"/>
  <c r="AU308" i="3"/>
  <c r="AN308" i="3"/>
  <c r="AV308" i="3"/>
  <c r="AE304" i="3"/>
  <c r="AK308" i="3"/>
  <c r="AQ308" i="3"/>
  <c r="BB308" i="3" l="1"/>
  <c r="AB308" i="3"/>
  <c r="BB313" i="3"/>
  <c r="AB313" i="3"/>
  <c r="AT304" i="3"/>
  <c r="AQ304" i="3"/>
  <c r="AN304" i="3"/>
  <c r="AM304" i="3"/>
  <c r="AY304" i="3"/>
  <c r="AZ304" i="3"/>
  <c r="AL304" i="3"/>
  <c r="AU304" i="3"/>
  <c r="AX304" i="3"/>
  <c r="AD304" i="3"/>
  <c r="AO304" i="3"/>
  <c r="AR304" i="3"/>
  <c r="AV304" i="3"/>
  <c r="AS304" i="3"/>
  <c r="AE300" i="3"/>
  <c r="AP304" i="3"/>
  <c r="AW304" i="3"/>
  <c r="AK304" i="3"/>
  <c r="AU309" i="3"/>
  <c r="AK309" i="3"/>
  <c r="AS309" i="3"/>
  <c r="AL309" i="3"/>
  <c r="AO309" i="3"/>
  <c r="AD309" i="3"/>
  <c r="AZ309" i="3"/>
  <c r="AY309" i="3"/>
  <c r="AX309" i="3"/>
  <c r="AT309" i="3"/>
  <c r="AQ309" i="3"/>
  <c r="AP309" i="3"/>
  <c r="AN309" i="3"/>
  <c r="AW309" i="3"/>
  <c r="AM309" i="3"/>
  <c r="AR309" i="3"/>
  <c r="AE305" i="3"/>
  <c r="AV309" i="3"/>
  <c r="BB309" i="3" l="1"/>
  <c r="AB309" i="3"/>
  <c r="AD300" i="3"/>
  <c r="AQ300" i="3"/>
  <c r="AP300" i="3"/>
  <c r="AS300" i="3"/>
  <c r="AK300" i="3"/>
  <c r="AM300" i="3"/>
  <c r="AR300" i="3"/>
  <c r="AN300" i="3"/>
  <c r="AZ300" i="3"/>
  <c r="AL300" i="3"/>
  <c r="AV300" i="3"/>
  <c r="AO300" i="3"/>
  <c r="AU300" i="3"/>
  <c r="AX300" i="3"/>
  <c r="AT300" i="3"/>
  <c r="AE296" i="3"/>
  <c r="AY300" i="3"/>
  <c r="AW300" i="3"/>
  <c r="AL305" i="3"/>
  <c r="AX305" i="3"/>
  <c r="AZ305" i="3"/>
  <c r="AR305" i="3"/>
  <c r="AQ305" i="3"/>
  <c r="AY305" i="3"/>
  <c r="AW305" i="3"/>
  <c r="AO305" i="3"/>
  <c r="AP305" i="3"/>
  <c r="AS305" i="3"/>
  <c r="AM305" i="3"/>
  <c r="AK305" i="3"/>
  <c r="AU305" i="3"/>
  <c r="AT305" i="3"/>
  <c r="AD305" i="3"/>
  <c r="AE301" i="3"/>
  <c r="AN305" i="3"/>
  <c r="AV305" i="3"/>
  <c r="BB304" i="3"/>
  <c r="AB304" i="3"/>
  <c r="AE292" i="3" l="1"/>
  <c r="AP296" i="3"/>
  <c r="AT296" i="3"/>
  <c r="AV296" i="3"/>
  <c r="AX296" i="3"/>
  <c r="AN296" i="3"/>
  <c r="AL296" i="3"/>
  <c r="AD296" i="3"/>
  <c r="AS296" i="3"/>
  <c r="AU296" i="3"/>
  <c r="AZ296" i="3"/>
  <c r="AK296" i="3"/>
  <c r="AR296" i="3"/>
  <c r="AM296" i="3"/>
  <c r="AW296" i="3"/>
  <c r="AO296" i="3"/>
  <c r="AY296" i="3"/>
  <c r="AQ296" i="3"/>
  <c r="AO301" i="3"/>
  <c r="AL301" i="3"/>
  <c r="AR301" i="3"/>
  <c r="AY301" i="3"/>
  <c r="AM301" i="3"/>
  <c r="AX301" i="3"/>
  <c r="AD301" i="3"/>
  <c r="AV301" i="3"/>
  <c r="AQ301" i="3"/>
  <c r="AK301" i="3"/>
  <c r="AS301" i="3"/>
  <c r="AU301" i="3"/>
  <c r="AZ301" i="3"/>
  <c r="AN301" i="3"/>
  <c r="AT301" i="3"/>
  <c r="AE297" i="3"/>
  <c r="AP301" i="3"/>
  <c r="AW301" i="3"/>
  <c r="BB300" i="3"/>
  <c r="AB300" i="3"/>
  <c r="BB305" i="3"/>
  <c r="AB305" i="3"/>
  <c r="AB296" i="3" l="1"/>
  <c r="BB296" i="3"/>
  <c r="AU297" i="3"/>
  <c r="AY297" i="3"/>
  <c r="AM297" i="3"/>
  <c r="AS297" i="3"/>
  <c r="AK297" i="3"/>
  <c r="AR297" i="3"/>
  <c r="AW297" i="3"/>
  <c r="AZ297" i="3"/>
  <c r="AD297" i="3"/>
  <c r="AO297" i="3"/>
  <c r="AT297" i="3"/>
  <c r="AV297" i="3"/>
  <c r="AP297" i="3"/>
  <c r="AQ297" i="3"/>
  <c r="AN297" i="3"/>
  <c r="AE293" i="3"/>
  <c r="AL297" i="3"/>
  <c r="AX297" i="3"/>
  <c r="BB301" i="3"/>
  <c r="AB301" i="3"/>
  <c r="AZ292" i="3"/>
  <c r="AD292" i="3"/>
  <c r="AR292" i="3"/>
  <c r="AW292" i="3"/>
  <c r="AM292" i="3"/>
  <c r="AP292" i="3"/>
  <c r="AK292" i="3"/>
  <c r="AV292" i="3"/>
  <c r="AN292" i="3"/>
  <c r="AY292" i="3"/>
  <c r="AQ292" i="3"/>
  <c r="AS292" i="3"/>
  <c r="AX292" i="3"/>
  <c r="AU292" i="3"/>
  <c r="AL292" i="3"/>
  <c r="AO292" i="3"/>
  <c r="AE288" i="3"/>
  <c r="AT292" i="3"/>
  <c r="AB292" i="3" l="1"/>
  <c r="BB292" i="3"/>
  <c r="BB297" i="3"/>
  <c r="AB297" i="3"/>
  <c r="AV288" i="3"/>
  <c r="AM288" i="3"/>
  <c r="AR288" i="3"/>
  <c r="AU288" i="3"/>
  <c r="AE284" i="3"/>
  <c r="AT288" i="3"/>
  <c r="AN288" i="3"/>
  <c r="AX288" i="3"/>
  <c r="AK288" i="3"/>
  <c r="AL288" i="3"/>
  <c r="AW288" i="3"/>
  <c r="AY288" i="3"/>
  <c r="AD288" i="3"/>
  <c r="AQ288" i="3"/>
  <c r="AP288" i="3"/>
  <c r="AS288" i="3"/>
  <c r="AO288" i="3"/>
  <c r="AZ288" i="3"/>
  <c r="AR293" i="3"/>
  <c r="AT293" i="3"/>
  <c r="AM293" i="3"/>
  <c r="AP293" i="3"/>
  <c r="AU293" i="3"/>
  <c r="AN293" i="3"/>
  <c r="AK293" i="3"/>
  <c r="AL293" i="3"/>
  <c r="AW293" i="3"/>
  <c r="AV293" i="3"/>
  <c r="AX293" i="3"/>
  <c r="AE289" i="3"/>
  <c r="AS293" i="3"/>
  <c r="AQ293" i="3"/>
  <c r="AO293" i="3"/>
  <c r="AZ293" i="3"/>
  <c r="AY293" i="3"/>
  <c r="AD293" i="3"/>
  <c r="AY289" i="3" l="1"/>
  <c r="AS289" i="3"/>
  <c r="AZ289" i="3"/>
  <c r="AQ289" i="3"/>
  <c r="AL289" i="3"/>
  <c r="AN289" i="3"/>
  <c r="AP289" i="3"/>
  <c r="AE285" i="3"/>
  <c r="AV289" i="3"/>
  <c r="AX289" i="3"/>
  <c r="AR289" i="3"/>
  <c r="AK289" i="3"/>
  <c r="AD289" i="3"/>
  <c r="AU289" i="3"/>
  <c r="AT289" i="3"/>
  <c r="AW289" i="3"/>
  <c r="AM289" i="3"/>
  <c r="AO289" i="3"/>
  <c r="AB293" i="3"/>
  <c r="BB293" i="3"/>
  <c r="AB288" i="3"/>
  <c r="BB288" i="3"/>
  <c r="AK284" i="3"/>
  <c r="AE280" i="3"/>
  <c r="AN284" i="3"/>
  <c r="AZ284" i="3"/>
  <c r="AY284" i="3"/>
  <c r="AL284" i="3"/>
  <c r="AU284" i="3"/>
  <c r="AO284" i="3"/>
  <c r="AQ284" i="3"/>
  <c r="AT284" i="3"/>
  <c r="AP284" i="3"/>
  <c r="AM284" i="3"/>
  <c r="AS284" i="3"/>
  <c r="AW284" i="3"/>
  <c r="AR284" i="3"/>
  <c r="AX284" i="3"/>
  <c r="AD284" i="3"/>
  <c r="AV284" i="3"/>
  <c r="AY280" i="3" l="1"/>
  <c r="AZ280" i="3"/>
  <c r="AE276" i="3"/>
  <c r="AQ280" i="3"/>
  <c r="AM280" i="3"/>
  <c r="AD280" i="3"/>
  <c r="AP280" i="3"/>
  <c r="AT280" i="3"/>
  <c r="AX280" i="3"/>
  <c r="AV280" i="3"/>
  <c r="AL280" i="3"/>
  <c r="AR280" i="3"/>
  <c r="AU280" i="3"/>
  <c r="AS280" i="3"/>
  <c r="AK280" i="3"/>
  <c r="AN280" i="3"/>
  <c r="AO280" i="3"/>
  <c r="AW280" i="3"/>
  <c r="AQ285" i="3"/>
  <c r="AU285" i="3"/>
  <c r="AL285" i="3"/>
  <c r="AY285" i="3"/>
  <c r="AV285" i="3"/>
  <c r="AE281" i="3"/>
  <c r="AM285" i="3"/>
  <c r="AN285" i="3"/>
  <c r="AR285" i="3"/>
  <c r="AS285" i="3"/>
  <c r="AK285" i="3"/>
  <c r="AX285" i="3"/>
  <c r="AT285" i="3"/>
  <c r="AO285" i="3"/>
  <c r="AD285" i="3"/>
  <c r="AZ285" i="3"/>
  <c r="AP285" i="3"/>
  <c r="AW285" i="3"/>
  <c r="BB284" i="3"/>
  <c r="AB284" i="3"/>
  <c r="AB289" i="3"/>
  <c r="BB289" i="3"/>
  <c r="BB280" i="3" l="1"/>
  <c r="AB280" i="3"/>
  <c r="AX281" i="3"/>
  <c r="AV281" i="3"/>
  <c r="AW281" i="3"/>
  <c r="AK281" i="3"/>
  <c r="AY281" i="3"/>
  <c r="AZ281" i="3"/>
  <c r="AU281" i="3"/>
  <c r="AM281" i="3"/>
  <c r="AE277" i="3"/>
  <c r="AR281" i="3"/>
  <c r="AN281" i="3"/>
  <c r="AO281" i="3"/>
  <c r="AT281" i="3"/>
  <c r="AD281" i="3"/>
  <c r="AS281" i="3"/>
  <c r="AP281" i="3"/>
  <c r="AQ281" i="3"/>
  <c r="AL281" i="3"/>
  <c r="AR276" i="3"/>
  <c r="AD276" i="3"/>
  <c r="AY276" i="3"/>
  <c r="AS276" i="3"/>
  <c r="AP276" i="3"/>
  <c r="AV276" i="3"/>
  <c r="AM276" i="3"/>
  <c r="AO276" i="3"/>
  <c r="AW276" i="3"/>
  <c r="AL276" i="3"/>
  <c r="AU276" i="3"/>
  <c r="AE272" i="3"/>
  <c r="AK276" i="3"/>
  <c r="AZ276" i="3"/>
  <c r="AQ276" i="3"/>
  <c r="AN276" i="3"/>
  <c r="AX276" i="3"/>
  <c r="AT276" i="3"/>
  <c r="AB285" i="3"/>
  <c r="BB285" i="3"/>
  <c r="AV272" i="3" l="1"/>
  <c r="AP272" i="3"/>
  <c r="AM272" i="3"/>
  <c r="AX272" i="3"/>
  <c r="AD272" i="3"/>
  <c r="AW272" i="3"/>
  <c r="AY272" i="3"/>
  <c r="AU272" i="3"/>
  <c r="AL272" i="3"/>
  <c r="AT272" i="3"/>
  <c r="AQ272" i="3"/>
  <c r="AN272" i="3"/>
  <c r="AZ272" i="3"/>
  <c r="AR272" i="3"/>
  <c r="AO272" i="3"/>
  <c r="AE268" i="3"/>
  <c r="AK272" i="3"/>
  <c r="AS272" i="3"/>
  <c r="AZ277" i="3"/>
  <c r="AN277" i="3"/>
  <c r="AQ277" i="3"/>
  <c r="AD277" i="3"/>
  <c r="AU277" i="3"/>
  <c r="AM277" i="3"/>
  <c r="AS277" i="3"/>
  <c r="AR277" i="3"/>
  <c r="AE273" i="3"/>
  <c r="AO277" i="3"/>
  <c r="AT277" i="3"/>
  <c r="AX277" i="3"/>
  <c r="AL277" i="3"/>
  <c r="AP277" i="3"/>
  <c r="AK277" i="3"/>
  <c r="AV277" i="3"/>
  <c r="AW277" i="3"/>
  <c r="AY277" i="3"/>
  <c r="AB281" i="3"/>
  <c r="BB281" i="3"/>
  <c r="AB276" i="3"/>
  <c r="BB276" i="3"/>
  <c r="BB277" i="3" l="1"/>
  <c r="AB277" i="3"/>
  <c r="AB272" i="3"/>
  <c r="BB272" i="3"/>
  <c r="AW268" i="3"/>
  <c r="AR268" i="3"/>
  <c r="AL268" i="3"/>
  <c r="AP268" i="3"/>
  <c r="AM268" i="3"/>
  <c r="AQ268" i="3"/>
  <c r="AO268" i="3"/>
  <c r="AE264" i="3"/>
  <c r="AZ268" i="3"/>
  <c r="AV268" i="3"/>
  <c r="AU268" i="3"/>
  <c r="AT268" i="3"/>
  <c r="AS268" i="3"/>
  <c r="AD268" i="3"/>
  <c r="AK268" i="3"/>
  <c r="AY268" i="3"/>
  <c r="AX268" i="3"/>
  <c r="AN268" i="3"/>
  <c r="AM273" i="3"/>
  <c r="AZ273" i="3"/>
  <c r="AV273" i="3"/>
  <c r="AY273" i="3"/>
  <c r="AQ273" i="3"/>
  <c r="AN273" i="3"/>
  <c r="AS273" i="3"/>
  <c r="AL273" i="3"/>
  <c r="AK273" i="3"/>
  <c r="AE269" i="3"/>
  <c r="AU273" i="3"/>
  <c r="AP273" i="3"/>
  <c r="AW273" i="3"/>
  <c r="AT273" i="3"/>
  <c r="AO273" i="3"/>
  <c r="AR273" i="3"/>
  <c r="AD273" i="3"/>
  <c r="AX273" i="3"/>
  <c r="AK264" i="3" l="1"/>
  <c r="AY264" i="3"/>
  <c r="AL264" i="3"/>
  <c r="AZ264" i="3"/>
  <c r="AU264" i="3"/>
  <c r="AR264" i="3"/>
  <c r="AN264" i="3"/>
  <c r="AD264" i="3"/>
  <c r="AE260" i="3"/>
  <c r="AS264" i="3"/>
  <c r="AX264" i="3"/>
  <c r="AM264" i="3"/>
  <c r="AP264" i="3"/>
  <c r="AV264" i="3"/>
  <c r="AW264" i="3"/>
  <c r="AQ264" i="3"/>
  <c r="AT264" i="3"/>
  <c r="AO264" i="3"/>
  <c r="AU269" i="3"/>
  <c r="AZ269" i="3"/>
  <c r="AQ269" i="3"/>
  <c r="AN269" i="3"/>
  <c r="AL269" i="3"/>
  <c r="AD269" i="3"/>
  <c r="AV269" i="3"/>
  <c r="AR269" i="3"/>
  <c r="AK269" i="3"/>
  <c r="AP269" i="3"/>
  <c r="AT269" i="3"/>
  <c r="AE265" i="3"/>
  <c r="AW269" i="3"/>
  <c r="AX269" i="3"/>
  <c r="AY269" i="3"/>
  <c r="AS269" i="3"/>
  <c r="AM269" i="3"/>
  <c r="AO269" i="3"/>
  <c r="AB273" i="3"/>
  <c r="BB273" i="3"/>
  <c r="AB268" i="3"/>
  <c r="BB268" i="3"/>
  <c r="AE256" i="3" l="1"/>
  <c r="AQ260" i="3"/>
  <c r="AX260" i="3"/>
  <c r="AD260" i="3"/>
  <c r="AT260" i="3"/>
  <c r="AR260" i="3"/>
  <c r="AZ260" i="3"/>
  <c r="AM260" i="3"/>
  <c r="AN260" i="3"/>
  <c r="AP260" i="3"/>
  <c r="AU260" i="3"/>
  <c r="AW260" i="3"/>
  <c r="AO260" i="3"/>
  <c r="AY260" i="3"/>
  <c r="AS260" i="3"/>
  <c r="AK260" i="3"/>
  <c r="AL260" i="3"/>
  <c r="AV260" i="3"/>
  <c r="AB264" i="3"/>
  <c r="BB264" i="3"/>
  <c r="BB269" i="3"/>
  <c r="AB269" i="3"/>
  <c r="AZ265" i="3"/>
  <c r="AT265" i="3"/>
  <c r="AK265" i="3"/>
  <c r="AE261" i="3"/>
  <c r="AY265" i="3"/>
  <c r="AL265" i="3"/>
  <c r="AX265" i="3"/>
  <c r="AP265" i="3"/>
  <c r="AD265" i="3"/>
  <c r="AO265" i="3"/>
  <c r="AR265" i="3"/>
  <c r="AS265" i="3"/>
  <c r="AM265" i="3"/>
  <c r="AW265" i="3"/>
  <c r="AQ265" i="3"/>
  <c r="AV265" i="3"/>
  <c r="AN265" i="3"/>
  <c r="AU265" i="3"/>
  <c r="AB260" i="3" l="1"/>
  <c r="BB260" i="3"/>
  <c r="BB265" i="3"/>
  <c r="AB265" i="3"/>
  <c r="AW261" i="3"/>
  <c r="AP261" i="3"/>
  <c r="AX261" i="3"/>
  <c r="AT261" i="3"/>
  <c r="AY261" i="3"/>
  <c r="AL261" i="3"/>
  <c r="AO261" i="3"/>
  <c r="AK261" i="3"/>
  <c r="AR261" i="3"/>
  <c r="AZ261" i="3"/>
  <c r="AQ261" i="3"/>
  <c r="AU261" i="3"/>
  <c r="AS261" i="3"/>
  <c r="AD261" i="3"/>
  <c r="AE257" i="3"/>
  <c r="AV261" i="3"/>
  <c r="AM261" i="3"/>
  <c r="AN261" i="3"/>
  <c r="AR256" i="3"/>
  <c r="AX256" i="3"/>
  <c r="AY256" i="3"/>
  <c r="AS256" i="3"/>
  <c r="AU256" i="3"/>
  <c r="AV256" i="3"/>
  <c r="AL256" i="3"/>
  <c r="AN256" i="3"/>
  <c r="AW256" i="3"/>
  <c r="AP256" i="3"/>
  <c r="AQ256" i="3"/>
  <c r="AM256" i="3"/>
  <c r="AO256" i="3"/>
  <c r="AK256" i="3"/>
  <c r="AT256" i="3"/>
  <c r="AZ256" i="3"/>
  <c r="AE252" i="3"/>
  <c r="AD256" i="3"/>
  <c r="BB261" i="3" l="1"/>
  <c r="AB261" i="3"/>
  <c r="AY257" i="3"/>
  <c r="AK257" i="3"/>
  <c r="AZ257" i="3"/>
  <c r="AT257" i="3"/>
  <c r="AL257" i="3"/>
  <c r="AO257" i="3"/>
  <c r="AW257" i="3"/>
  <c r="AD257" i="3"/>
  <c r="AP257" i="3"/>
  <c r="AM257" i="3"/>
  <c r="AX257" i="3"/>
  <c r="AE253" i="3"/>
  <c r="AS257" i="3"/>
  <c r="AR257" i="3"/>
  <c r="AU257" i="3"/>
  <c r="AQ257" i="3"/>
  <c r="AN257" i="3"/>
  <c r="AV257" i="3"/>
  <c r="AM252" i="3"/>
  <c r="AL252" i="3"/>
  <c r="AZ252" i="3"/>
  <c r="AQ252" i="3"/>
  <c r="AV252" i="3"/>
  <c r="AU252" i="3"/>
  <c r="AD252" i="3"/>
  <c r="AR252" i="3"/>
  <c r="AO252" i="3"/>
  <c r="AT252" i="3"/>
  <c r="AX252" i="3"/>
  <c r="AN252" i="3"/>
  <c r="AP252" i="3"/>
  <c r="AS252" i="3"/>
  <c r="AY252" i="3"/>
  <c r="AW252" i="3"/>
  <c r="AK252" i="3"/>
  <c r="BB256" i="3"/>
  <c r="AB256" i="3"/>
  <c r="AB257" i="3" l="1"/>
  <c r="BB257" i="3"/>
  <c r="AB252" i="3"/>
  <c r="BB252" i="3"/>
  <c r="AO253" i="3"/>
  <c r="AY253" i="3"/>
  <c r="AP253" i="3"/>
  <c r="AV253" i="3"/>
  <c r="AX253" i="3"/>
  <c r="AM253" i="3"/>
  <c r="AT253" i="3"/>
  <c r="AD253" i="3"/>
  <c r="AW253" i="3"/>
  <c r="AU253" i="3"/>
  <c r="AS253" i="3"/>
  <c r="AR253" i="3"/>
  <c r="AN253" i="3"/>
  <c r="AZ253" i="3"/>
  <c r="AL253" i="3"/>
  <c r="AK253" i="3"/>
  <c r="AQ253" i="3"/>
  <c r="AB253" i="3" l="1"/>
  <c r="BB253" i="3"/>
  <c r="AE248" i="3" l="1"/>
  <c r="AP248" i="3" l="1"/>
  <c r="AR248" i="3"/>
  <c r="AT248" i="3"/>
  <c r="AV248" i="3"/>
  <c r="AD248" i="3"/>
  <c r="AE244" i="3"/>
  <c r="AS248" i="3"/>
  <c r="AX248" i="3"/>
  <c r="AU248" i="3"/>
  <c r="AO248" i="3"/>
  <c r="AZ248" i="3"/>
  <c r="AN248" i="3"/>
  <c r="AQ248" i="3"/>
  <c r="AM248" i="3"/>
  <c r="AL248" i="3"/>
  <c r="AW248" i="3"/>
  <c r="AK248" i="3"/>
  <c r="AY248" i="3"/>
  <c r="AE249" i="3"/>
  <c r="AR244" i="3" l="1"/>
  <c r="AL244" i="3"/>
  <c r="AE240" i="3"/>
  <c r="AK244" i="3"/>
  <c r="AU244" i="3"/>
  <c r="AY244" i="3"/>
  <c r="AQ244" i="3"/>
  <c r="AO244" i="3"/>
  <c r="AM244" i="3"/>
  <c r="AT244" i="3"/>
  <c r="AP244" i="3"/>
  <c r="AX244" i="3"/>
  <c r="AZ244" i="3"/>
  <c r="AW244" i="3"/>
  <c r="AD244" i="3"/>
  <c r="AS244" i="3"/>
  <c r="AV244" i="3"/>
  <c r="AN244" i="3"/>
  <c r="AU249" i="3"/>
  <c r="AN249" i="3"/>
  <c r="AT249" i="3"/>
  <c r="AE245" i="3"/>
  <c r="AQ249" i="3"/>
  <c r="AK249" i="3"/>
  <c r="AV249" i="3"/>
  <c r="AO249" i="3"/>
  <c r="AL249" i="3"/>
  <c r="AX249" i="3"/>
  <c r="AP249" i="3"/>
  <c r="AM249" i="3"/>
  <c r="AZ249" i="3"/>
  <c r="AY249" i="3"/>
  <c r="AW249" i="3"/>
  <c r="AS249" i="3"/>
  <c r="AD249" i="3"/>
  <c r="AR249" i="3"/>
  <c r="BB248" i="3"/>
  <c r="AB248" i="3"/>
  <c r="AR245" i="3" l="1"/>
  <c r="AD245" i="3"/>
  <c r="AX245" i="3"/>
  <c r="AS245" i="3"/>
  <c r="AT245" i="3"/>
  <c r="AN245" i="3"/>
  <c r="AP245" i="3"/>
  <c r="AL245" i="3"/>
  <c r="AV245" i="3"/>
  <c r="AO245" i="3"/>
  <c r="AE241" i="3"/>
  <c r="AQ245" i="3"/>
  <c r="AK245" i="3"/>
  <c r="AU245" i="3"/>
  <c r="AW245" i="3"/>
  <c r="AZ245" i="3"/>
  <c r="AY245" i="3"/>
  <c r="AM245" i="3"/>
  <c r="AB249" i="3"/>
  <c r="BB249" i="3"/>
  <c r="AB244" i="3"/>
  <c r="BB244" i="3"/>
  <c r="AZ240" i="3"/>
  <c r="AR240" i="3"/>
  <c r="AN240" i="3"/>
  <c r="AU240" i="3"/>
  <c r="AL240" i="3"/>
  <c r="AV240" i="3"/>
  <c r="AT240" i="3"/>
  <c r="AW240" i="3"/>
  <c r="AQ240" i="3"/>
  <c r="AY240" i="3"/>
  <c r="AP240" i="3"/>
  <c r="AD240" i="3"/>
  <c r="AM240" i="3"/>
  <c r="AS240" i="3"/>
  <c r="AO240" i="3"/>
  <c r="AE236" i="3"/>
  <c r="AX240" i="3"/>
  <c r="AK240" i="3"/>
  <c r="AN241" i="3" l="1"/>
  <c r="AR241" i="3"/>
  <c r="AT241" i="3"/>
  <c r="AV241" i="3"/>
  <c r="AZ241" i="3"/>
  <c r="AY241" i="3"/>
  <c r="AQ241" i="3"/>
  <c r="AE237" i="3"/>
  <c r="AP241" i="3"/>
  <c r="AX241" i="3"/>
  <c r="AM241" i="3"/>
  <c r="AL241" i="3"/>
  <c r="AO241" i="3"/>
  <c r="AK241" i="3"/>
  <c r="AU241" i="3"/>
  <c r="AW241" i="3"/>
  <c r="AD241" i="3"/>
  <c r="AS241" i="3"/>
  <c r="BB240" i="3"/>
  <c r="AB240" i="3"/>
  <c r="AK236" i="3"/>
  <c r="AD236" i="3"/>
  <c r="AR236" i="3"/>
  <c r="AE232" i="3"/>
  <c r="AU236" i="3"/>
  <c r="AS236" i="3"/>
  <c r="AN236" i="3"/>
  <c r="AQ236" i="3"/>
  <c r="AO236" i="3"/>
  <c r="AV236" i="3"/>
  <c r="AT236" i="3"/>
  <c r="AM236" i="3"/>
  <c r="AW236" i="3"/>
  <c r="AX236" i="3"/>
  <c r="AL236" i="3"/>
  <c r="AZ236" i="3"/>
  <c r="AP236" i="3"/>
  <c r="AY236" i="3"/>
  <c r="AB245" i="3"/>
  <c r="BB245" i="3"/>
  <c r="AX232" i="3" l="1"/>
  <c r="AE228" i="3"/>
  <c r="AK232" i="3"/>
  <c r="AR232" i="3"/>
  <c r="AM232" i="3"/>
  <c r="AD232" i="3"/>
  <c r="AN232" i="3"/>
  <c r="AP232" i="3"/>
  <c r="AL232" i="3"/>
  <c r="AU232" i="3"/>
  <c r="AQ232" i="3"/>
  <c r="AT232" i="3"/>
  <c r="AZ232" i="3"/>
  <c r="AW232" i="3"/>
  <c r="AS232" i="3"/>
  <c r="AV232" i="3"/>
  <c r="AO232" i="3"/>
  <c r="AY232" i="3"/>
  <c r="AP237" i="3"/>
  <c r="AX237" i="3"/>
  <c r="AV237" i="3"/>
  <c r="AZ237" i="3"/>
  <c r="AM237" i="3"/>
  <c r="AL237" i="3"/>
  <c r="AY237" i="3"/>
  <c r="AD237" i="3"/>
  <c r="AR237" i="3"/>
  <c r="AE233" i="3"/>
  <c r="AU237" i="3"/>
  <c r="AW237" i="3"/>
  <c r="AQ237" i="3"/>
  <c r="AO237" i="3"/>
  <c r="AS237" i="3"/>
  <c r="AK237" i="3"/>
  <c r="AN237" i="3"/>
  <c r="AT237" i="3"/>
  <c r="AB241" i="3"/>
  <c r="BB241" i="3"/>
  <c r="BB236" i="3"/>
  <c r="AB236" i="3"/>
  <c r="BB232" i="3" l="1"/>
  <c r="AB232" i="3"/>
  <c r="AK233" i="3"/>
  <c r="AZ233" i="3"/>
  <c r="AP233" i="3"/>
  <c r="AN233" i="3"/>
  <c r="AS233" i="3"/>
  <c r="AD233" i="3"/>
  <c r="AM233" i="3"/>
  <c r="AQ233" i="3"/>
  <c r="AE229" i="3"/>
  <c r="AU233" i="3"/>
  <c r="AR233" i="3"/>
  <c r="AV233" i="3"/>
  <c r="AL233" i="3"/>
  <c r="AX233" i="3"/>
  <c r="AO233" i="3"/>
  <c r="AW233" i="3"/>
  <c r="AT233" i="3"/>
  <c r="AY233" i="3"/>
  <c r="AB237" i="3"/>
  <c r="BB237" i="3"/>
  <c r="AS228" i="3"/>
  <c r="AX228" i="3"/>
  <c r="AD228" i="3"/>
  <c r="AR228" i="3"/>
  <c r="AZ228" i="3"/>
  <c r="AV228" i="3"/>
  <c r="AL228" i="3"/>
  <c r="AP228" i="3"/>
  <c r="AW228" i="3"/>
  <c r="AN228" i="3"/>
  <c r="AK228" i="3"/>
  <c r="AO228" i="3"/>
  <c r="AT228" i="3"/>
  <c r="AM228" i="3"/>
  <c r="AY228" i="3"/>
  <c r="AQ228" i="3"/>
  <c r="AU228" i="3"/>
  <c r="AE224" i="3"/>
  <c r="AE225" i="3" l="1"/>
  <c r="AR229" i="3"/>
  <c r="AK229" i="3"/>
  <c r="AV229" i="3"/>
  <c r="AL229" i="3"/>
  <c r="AM229" i="3"/>
  <c r="AZ229" i="3"/>
  <c r="AQ229" i="3"/>
  <c r="AD229" i="3"/>
  <c r="AW229" i="3"/>
  <c r="AN229" i="3"/>
  <c r="AS229" i="3"/>
  <c r="AP229" i="3"/>
  <c r="AX229" i="3"/>
  <c r="AY229" i="3"/>
  <c r="AU229" i="3"/>
  <c r="AT229" i="3"/>
  <c r="AO229" i="3"/>
  <c r="AB233" i="3"/>
  <c r="BB233" i="3"/>
  <c r="AS224" i="3"/>
  <c r="AZ224" i="3"/>
  <c r="AV224" i="3"/>
  <c r="AL224" i="3"/>
  <c r="AP224" i="3"/>
  <c r="AM224" i="3"/>
  <c r="AY224" i="3"/>
  <c r="AX224" i="3"/>
  <c r="AW224" i="3"/>
  <c r="AQ224" i="3"/>
  <c r="AN224" i="3"/>
  <c r="AE220" i="3"/>
  <c r="AO224" i="3"/>
  <c r="AD224" i="3"/>
  <c r="AU224" i="3"/>
  <c r="AR224" i="3"/>
  <c r="AK224" i="3"/>
  <c r="AT224" i="3"/>
  <c r="BB228" i="3"/>
  <c r="AB228" i="3"/>
  <c r="AB229" i="3" l="1"/>
  <c r="BB229" i="3"/>
  <c r="AN220" i="3"/>
  <c r="AQ220" i="3"/>
  <c r="AR220" i="3"/>
  <c r="AV220" i="3"/>
  <c r="AS220" i="3"/>
  <c r="AW220" i="3"/>
  <c r="AO220" i="3"/>
  <c r="AE216" i="3"/>
  <c r="AD220" i="3"/>
  <c r="AT220" i="3"/>
  <c r="AL220" i="3"/>
  <c r="AX220" i="3"/>
  <c r="AM220" i="3"/>
  <c r="AK220" i="3"/>
  <c r="AY220" i="3"/>
  <c r="AP220" i="3"/>
  <c r="AZ220" i="3"/>
  <c r="AU220" i="3"/>
  <c r="BB224" i="3"/>
  <c r="AB224" i="3"/>
  <c r="AK225" i="3"/>
  <c r="AD225" i="3"/>
  <c r="AQ225" i="3"/>
  <c r="AN225" i="3"/>
  <c r="AO225" i="3"/>
  <c r="AX225" i="3"/>
  <c r="AP225" i="3"/>
  <c r="AU225" i="3"/>
  <c r="AR225" i="3"/>
  <c r="AY225" i="3"/>
  <c r="AS225" i="3"/>
  <c r="AZ225" i="3"/>
  <c r="AW225" i="3"/>
  <c r="AL225" i="3"/>
  <c r="AM225" i="3"/>
  <c r="AE221" i="3"/>
  <c r="AV225" i="3"/>
  <c r="AT225" i="3"/>
  <c r="BB220" i="3" l="1"/>
  <c r="AB220" i="3"/>
  <c r="AL216" i="3"/>
  <c r="AS216" i="3"/>
  <c r="AD216" i="3"/>
  <c r="AU216" i="3"/>
  <c r="AW216" i="3"/>
  <c r="AV216" i="3"/>
  <c r="AX216" i="3"/>
  <c r="AK216" i="3"/>
  <c r="AT216" i="3"/>
  <c r="AP216" i="3"/>
  <c r="AQ216" i="3"/>
  <c r="AM216" i="3"/>
  <c r="AZ216" i="3"/>
  <c r="AO216" i="3"/>
  <c r="AN216" i="3"/>
  <c r="AR216" i="3"/>
  <c r="AY216" i="3"/>
  <c r="AE212" i="3"/>
  <c r="BB225" i="3"/>
  <c r="AB225" i="3"/>
  <c r="AN221" i="3"/>
  <c r="AP221" i="3"/>
  <c r="AE217" i="3"/>
  <c r="AM221" i="3"/>
  <c r="AS221" i="3"/>
  <c r="AD221" i="3"/>
  <c r="AQ221" i="3"/>
  <c r="AX221" i="3"/>
  <c r="AT221" i="3"/>
  <c r="AZ221" i="3"/>
  <c r="AK221" i="3"/>
  <c r="AW221" i="3"/>
  <c r="AV221" i="3"/>
  <c r="AO221" i="3"/>
  <c r="AU221" i="3"/>
  <c r="AR221" i="3"/>
  <c r="AY221" i="3"/>
  <c r="AL221" i="3"/>
  <c r="AV212" i="3" l="1"/>
  <c r="AT212" i="3"/>
  <c r="AR212" i="3"/>
  <c r="AU212" i="3"/>
  <c r="AN212" i="3"/>
  <c r="AQ212" i="3"/>
  <c r="AZ212" i="3"/>
  <c r="AD212" i="3"/>
  <c r="AL212" i="3"/>
  <c r="AO212" i="3"/>
  <c r="AX212" i="3"/>
  <c r="AW212" i="3"/>
  <c r="AK212" i="3"/>
  <c r="AY212" i="3"/>
  <c r="AM212" i="3"/>
  <c r="AP212" i="3"/>
  <c r="AE208" i="3"/>
  <c r="AS212" i="3"/>
  <c r="AB216" i="3"/>
  <c r="BB216" i="3"/>
  <c r="BB221" i="3"/>
  <c r="AB221" i="3"/>
  <c r="AV217" i="3"/>
  <c r="AW217" i="3"/>
  <c r="AY217" i="3"/>
  <c r="AN217" i="3"/>
  <c r="AK217" i="3"/>
  <c r="AL217" i="3"/>
  <c r="AR217" i="3"/>
  <c r="AP217" i="3"/>
  <c r="AM217" i="3"/>
  <c r="AT217" i="3"/>
  <c r="AE213" i="3"/>
  <c r="AZ217" i="3"/>
  <c r="AQ217" i="3"/>
  <c r="AS217" i="3"/>
  <c r="AD217" i="3"/>
  <c r="AU217" i="3"/>
  <c r="AO217" i="3"/>
  <c r="AX217" i="3"/>
  <c r="BB212" i="3" l="1"/>
  <c r="AB212" i="3"/>
  <c r="AQ213" i="3"/>
  <c r="AD213" i="3"/>
  <c r="AS213" i="3"/>
  <c r="AY213" i="3"/>
  <c r="AL213" i="3"/>
  <c r="AX213" i="3"/>
  <c r="AW213" i="3"/>
  <c r="AO213" i="3"/>
  <c r="AZ213" i="3"/>
  <c r="AN213" i="3"/>
  <c r="AE209" i="3"/>
  <c r="AV213" i="3"/>
  <c r="AK213" i="3"/>
  <c r="AT213" i="3"/>
  <c r="AM213" i="3"/>
  <c r="AU213" i="3"/>
  <c r="AP213" i="3"/>
  <c r="AR213" i="3"/>
  <c r="AW208" i="3"/>
  <c r="AS208" i="3"/>
  <c r="AY208" i="3"/>
  <c r="AD208" i="3"/>
  <c r="AE204" i="3"/>
  <c r="AO208" i="3"/>
  <c r="AM208" i="3"/>
  <c r="AV208" i="3"/>
  <c r="AU208" i="3"/>
  <c r="AP208" i="3"/>
  <c r="AL208" i="3"/>
  <c r="AX208" i="3"/>
  <c r="AT208" i="3"/>
  <c r="AK208" i="3"/>
  <c r="AN208" i="3"/>
  <c r="AZ208" i="3"/>
  <c r="AQ208" i="3"/>
  <c r="AR208" i="3"/>
  <c r="BB217" i="3"/>
  <c r="AB217" i="3"/>
  <c r="BB213" i="3" l="1"/>
  <c r="AB213" i="3"/>
  <c r="AB208" i="3"/>
  <c r="BB208" i="3"/>
  <c r="AQ204" i="3"/>
  <c r="AK204" i="3"/>
  <c r="AZ204" i="3"/>
  <c r="AN204" i="3"/>
  <c r="AU204" i="3"/>
  <c r="AD204" i="3"/>
  <c r="AP204" i="3"/>
  <c r="AL204" i="3"/>
  <c r="AS204" i="3"/>
  <c r="AY204" i="3"/>
  <c r="AE200" i="3"/>
  <c r="AT204" i="3"/>
  <c r="AW204" i="3"/>
  <c r="AM204" i="3"/>
  <c r="AV204" i="3"/>
  <c r="AR204" i="3"/>
  <c r="AX204" i="3"/>
  <c r="AO204" i="3"/>
  <c r="AE205" i="3"/>
  <c r="AT209" i="3"/>
  <c r="AQ209" i="3"/>
  <c r="AP209" i="3"/>
  <c r="AV209" i="3"/>
  <c r="AS209" i="3"/>
  <c r="AK209" i="3"/>
  <c r="AN209" i="3"/>
  <c r="AZ209" i="3"/>
  <c r="AX209" i="3"/>
  <c r="AL209" i="3"/>
  <c r="AW209" i="3"/>
  <c r="AR209" i="3"/>
  <c r="AD209" i="3"/>
  <c r="AM209" i="3"/>
  <c r="AU209" i="3"/>
  <c r="AO209" i="3"/>
  <c r="AY209" i="3"/>
  <c r="AB209" i="3" l="1"/>
  <c r="BB209" i="3"/>
  <c r="BB204" i="3"/>
  <c r="AB204" i="3"/>
  <c r="AM200" i="3"/>
  <c r="AL200" i="3"/>
  <c r="AT200" i="3"/>
  <c r="AQ200" i="3"/>
  <c r="AV200" i="3"/>
  <c r="AX200" i="3"/>
  <c r="AO200" i="3"/>
  <c r="AD200" i="3"/>
  <c r="AE196" i="3"/>
  <c r="AZ200" i="3"/>
  <c r="AR200" i="3"/>
  <c r="AY200" i="3"/>
  <c r="AS200" i="3"/>
  <c r="AK200" i="3"/>
  <c r="AW200" i="3"/>
  <c r="AU200" i="3"/>
  <c r="AN200" i="3"/>
  <c r="AP200" i="3"/>
  <c r="AR205" i="3"/>
  <c r="AL205" i="3"/>
  <c r="AU205" i="3"/>
  <c r="AN205" i="3"/>
  <c r="AX205" i="3"/>
  <c r="AY205" i="3"/>
  <c r="AO205" i="3"/>
  <c r="AM205" i="3"/>
  <c r="AP205" i="3"/>
  <c r="AS205" i="3"/>
  <c r="AV205" i="3"/>
  <c r="AE201" i="3"/>
  <c r="AQ205" i="3"/>
  <c r="AZ205" i="3"/>
  <c r="AD205" i="3"/>
  <c r="AT205" i="3"/>
  <c r="AK205" i="3"/>
  <c r="AW205" i="3"/>
  <c r="AB200" i="3" l="1"/>
  <c r="BB200" i="3"/>
  <c r="AU201" i="3"/>
  <c r="AD201" i="3"/>
  <c r="AQ201" i="3"/>
  <c r="AN201" i="3"/>
  <c r="AR201" i="3"/>
  <c r="AO201" i="3"/>
  <c r="AZ201" i="3"/>
  <c r="AV201" i="3"/>
  <c r="AX201" i="3"/>
  <c r="AE197" i="3"/>
  <c r="AK201" i="3"/>
  <c r="AS201" i="3"/>
  <c r="AP201" i="3"/>
  <c r="AL201" i="3"/>
  <c r="AT201" i="3"/>
  <c r="AW201" i="3"/>
  <c r="AY201" i="3"/>
  <c r="AM201" i="3"/>
  <c r="BB205" i="3"/>
  <c r="AB205" i="3"/>
  <c r="AM196" i="3"/>
  <c r="AO196" i="3"/>
  <c r="AX196" i="3"/>
  <c r="AY196" i="3"/>
  <c r="AT196" i="3"/>
  <c r="AN196" i="3"/>
  <c r="AD196" i="3"/>
  <c r="AK196" i="3"/>
  <c r="AR196" i="3"/>
  <c r="AU196" i="3"/>
  <c r="AQ196" i="3"/>
  <c r="AP196" i="3"/>
  <c r="AL196" i="3"/>
  <c r="AZ196" i="3"/>
  <c r="AS196" i="3"/>
  <c r="AV196" i="3"/>
  <c r="AE192" i="3"/>
  <c r="AW196" i="3"/>
  <c r="AY197" i="3" l="1"/>
  <c r="AM197" i="3"/>
  <c r="AS197" i="3"/>
  <c r="AP197" i="3"/>
  <c r="AE193" i="3"/>
  <c r="AD197" i="3"/>
  <c r="AW197" i="3"/>
  <c r="AU197" i="3"/>
  <c r="AK197" i="3"/>
  <c r="AV197" i="3"/>
  <c r="AX197" i="3"/>
  <c r="AQ197" i="3"/>
  <c r="AZ197" i="3"/>
  <c r="AO197" i="3"/>
  <c r="AL197" i="3"/>
  <c r="AT197" i="3"/>
  <c r="AN197" i="3"/>
  <c r="AR197" i="3"/>
  <c r="BB201" i="3"/>
  <c r="AB201" i="3"/>
  <c r="AW192" i="3"/>
  <c r="AS192" i="3"/>
  <c r="AR192" i="3"/>
  <c r="AY192" i="3"/>
  <c r="AU192" i="3"/>
  <c r="AO192" i="3"/>
  <c r="AN192" i="3"/>
  <c r="AM192" i="3"/>
  <c r="AP192" i="3"/>
  <c r="AZ192" i="3"/>
  <c r="AX192" i="3"/>
  <c r="AK192" i="3"/>
  <c r="AL192" i="3"/>
  <c r="AD192" i="3"/>
  <c r="AV192" i="3"/>
  <c r="AQ192" i="3"/>
  <c r="AT192" i="3"/>
  <c r="BB196" i="3"/>
  <c r="AB196" i="3"/>
  <c r="AB197" i="3" l="1"/>
  <c r="BB197" i="3"/>
  <c r="AD193" i="3"/>
  <c r="AZ193" i="3"/>
  <c r="AU193" i="3"/>
  <c r="AK193" i="3"/>
  <c r="AR193" i="3"/>
  <c r="AO193" i="3"/>
  <c r="AP193" i="3"/>
  <c r="AL193" i="3"/>
  <c r="AW193" i="3"/>
  <c r="AS193" i="3"/>
  <c r="AX193" i="3"/>
  <c r="AY193" i="3"/>
  <c r="AT193" i="3"/>
  <c r="AV193" i="3"/>
  <c r="AM193" i="3"/>
  <c r="AQ193" i="3"/>
  <c r="AN193" i="3"/>
  <c r="AB192" i="3"/>
  <c r="BB192" i="3"/>
  <c r="AB193" i="3" l="1"/>
  <c r="BB193" i="3"/>
  <c r="AE188" i="3" l="1"/>
  <c r="AE189" i="3" l="1"/>
  <c r="AS188" i="3"/>
  <c r="AR188" i="3"/>
  <c r="AY188" i="3"/>
  <c r="AX188" i="3"/>
  <c r="AD188" i="3"/>
  <c r="AE184" i="3"/>
  <c r="AQ188" i="3"/>
  <c r="AV188" i="3"/>
  <c r="AN188" i="3"/>
  <c r="AM188" i="3"/>
  <c r="AO188" i="3"/>
  <c r="AU188" i="3"/>
  <c r="AT188" i="3"/>
  <c r="AK188" i="3"/>
  <c r="AW188" i="3"/>
  <c r="AL188" i="3"/>
  <c r="AZ188" i="3"/>
  <c r="AP188" i="3"/>
  <c r="AZ184" i="3" l="1"/>
  <c r="AP184" i="3"/>
  <c r="AX184" i="3"/>
  <c r="AW184" i="3"/>
  <c r="AM184" i="3"/>
  <c r="AO184" i="3"/>
  <c r="AR184" i="3"/>
  <c r="AE180" i="3"/>
  <c r="AD184" i="3"/>
  <c r="AQ184" i="3"/>
  <c r="AN184" i="3"/>
  <c r="AS184" i="3"/>
  <c r="AU184" i="3"/>
  <c r="AL184" i="3"/>
  <c r="AY184" i="3"/>
  <c r="AT184" i="3"/>
  <c r="AV184" i="3"/>
  <c r="AK184" i="3"/>
  <c r="BB188" i="3"/>
  <c r="AB188" i="3"/>
  <c r="AR189" i="3"/>
  <c r="AQ189" i="3"/>
  <c r="AW189" i="3"/>
  <c r="AS189" i="3"/>
  <c r="AX189" i="3"/>
  <c r="AP189" i="3"/>
  <c r="AD189" i="3"/>
  <c r="AU189" i="3"/>
  <c r="AM189" i="3"/>
  <c r="AZ189" i="3"/>
  <c r="AV189" i="3"/>
  <c r="AL189" i="3"/>
  <c r="AE185" i="3"/>
  <c r="AT189" i="3"/>
  <c r="AO189" i="3"/>
  <c r="AK189" i="3"/>
  <c r="AY189" i="3"/>
  <c r="AN189" i="3"/>
  <c r="AD180" i="3" l="1"/>
  <c r="AZ180" i="3"/>
  <c r="AQ180" i="3"/>
  <c r="AU180" i="3"/>
  <c r="AK180" i="3"/>
  <c r="AR180" i="3"/>
  <c r="AL180" i="3"/>
  <c r="AE176" i="3"/>
  <c r="AV180" i="3"/>
  <c r="AO180" i="3"/>
  <c r="AN180" i="3"/>
  <c r="AW180" i="3"/>
  <c r="AM180" i="3"/>
  <c r="AY180" i="3"/>
  <c r="AP180" i="3"/>
  <c r="AS180" i="3"/>
  <c r="AX180" i="3"/>
  <c r="AT180" i="3"/>
  <c r="AR185" i="3"/>
  <c r="AO185" i="3"/>
  <c r="AP185" i="3"/>
  <c r="AV185" i="3"/>
  <c r="AS185" i="3"/>
  <c r="AQ185" i="3"/>
  <c r="AZ185" i="3"/>
  <c r="AK185" i="3"/>
  <c r="AX185" i="3"/>
  <c r="AY185" i="3"/>
  <c r="AN185" i="3"/>
  <c r="AU185" i="3"/>
  <c r="AD185" i="3"/>
  <c r="AW185" i="3"/>
  <c r="AT185" i="3"/>
  <c r="AL185" i="3"/>
  <c r="AE181" i="3"/>
  <c r="AM185" i="3"/>
  <c r="BB184" i="3"/>
  <c r="AB184" i="3"/>
  <c r="BB189" i="3"/>
  <c r="AB189" i="3"/>
  <c r="AR176" i="3" l="1"/>
  <c r="AU176" i="3"/>
  <c r="AQ176" i="3"/>
  <c r="AT176" i="3"/>
  <c r="AO176" i="3"/>
  <c r="AM176" i="3"/>
  <c r="AX176" i="3"/>
  <c r="AZ176" i="3"/>
  <c r="AD176" i="3"/>
  <c r="AP176" i="3"/>
  <c r="AK176" i="3"/>
  <c r="AY176" i="3"/>
  <c r="AV176" i="3"/>
  <c r="AE172" i="3"/>
  <c r="AS176" i="3"/>
  <c r="AN176" i="3"/>
  <c r="AL176" i="3"/>
  <c r="AW176" i="3"/>
  <c r="AB185" i="3"/>
  <c r="BB185" i="3"/>
  <c r="AY181" i="3"/>
  <c r="AO181" i="3"/>
  <c r="AL181" i="3"/>
  <c r="AK181" i="3"/>
  <c r="AN181" i="3"/>
  <c r="AE177" i="3"/>
  <c r="AS181" i="3"/>
  <c r="AD181" i="3"/>
  <c r="AU181" i="3"/>
  <c r="AT181" i="3"/>
  <c r="AP181" i="3"/>
  <c r="AW181" i="3"/>
  <c r="AR181" i="3"/>
  <c r="AV181" i="3"/>
  <c r="AX181" i="3"/>
  <c r="AZ181" i="3"/>
  <c r="AM181" i="3"/>
  <c r="AQ181" i="3"/>
  <c r="AB180" i="3"/>
  <c r="BB180" i="3"/>
  <c r="AB176" i="3" l="1"/>
  <c r="BB176" i="3"/>
  <c r="AB181" i="3"/>
  <c r="BB181" i="3"/>
  <c r="AM177" i="3"/>
  <c r="AT177" i="3"/>
  <c r="AZ177" i="3"/>
  <c r="AP177" i="3"/>
  <c r="AL177" i="3"/>
  <c r="AU177" i="3"/>
  <c r="AN177" i="3"/>
  <c r="AK177" i="3"/>
  <c r="AS177" i="3"/>
  <c r="AO177" i="3"/>
  <c r="AX177" i="3"/>
  <c r="AQ177" i="3"/>
  <c r="AD177" i="3"/>
  <c r="AV177" i="3"/>
  <c r="AW177" i="3"/>
  <c r="AY177" i="3"/>
  <c r="AE173" i="3"/>
  <c r="AR177" i="3"/>
  <c r="AP172" i="3"/>
  <c r="AO172" i="3"/>
  <c r="AD172" i="3"/>
  <c r="AW172" i="3"/>
  <c r="AQ172" i="3"/>
  <c r="AN172" i="3"/>
  <c r="AS172" i="3"/>
  <c r="AE168" i="3"/>
  <c r="AK172" i="3"/>
  <c r="AT172" i="3"/>
  <c r="AR172" i="3"/>
  <c r="AX172" i="3"/>
  <c r="AY172" i="3"/>
  <c r="AM172" i="3"/>
  <c r="AL172" i="3"/>
  <c r="AV172" i="3"/>
  <c r="AU172" i="3"/>
  <c r="AZ172" i="3"/>
  <c r="AE169" i="3" l="1"/>
  <c r="AR173" i="3"/>
  <c r="AU173" i="3"/>
  <c r="AO173" i="3"/>
  <c r="AW173" i="3"/>
  <c r="AX173" i="3"/>
  <c r="AD173" i="3"/>
  <c r="AL173" i="3"/>
  <c r="AV173" i="3"/>
  <c r="AZ173" i="3"/>
  <c r="AY173" i="3"/>
  <c r="AM173" i="3"/>
  <c r="AK173" i="3"/>
  <c r="AP173" i="3"/>
  <c r="AT173" i="3"/>
  <c r="AS173" i="3"/>
  <c r="AQ173" i="3"/>
  <c r="AN173" i="3"/>
  <c r="AB177" i="3"/>
  <c r="BB177" i="3"/>
  <c r="AO168" i="3"/>
  <c r="AU168" i="3"/>
  <c r="AQ168" i="3"/>
  <c r="AK168" i="3"/>
  <c r="AM168" i="3"/>
  <c r="AD168" i="3"/>
  <c r="AV168" i="3"/>
  <c r="AS168" i="3"/>
  <c r="AP168" i="3"/>
  <c r="AY168" i="3"/>
  <c r="AZ168" i="3"/>
  <c r="AX168" i="3"/>
  <c r="AT168" i="3"/>
  <c r="AW168" i="3"/>
  <c r="AN168" i="3"/>
  <c r="AR168" i="3"/>
  <c r="AL168" i="3"/>
  <c r="AB172" i="3"/>
  <c r="BB172" i="3"/>
  <c r="AB173" i="3" l="1"/>
  <c r="BB173" i="3"/>
  <c r="AB168" i="3"/>
  <c r="BB168" i="3"/>
  <c r="AY169" i="3"/>
  <c r="AN169" i="3"/>
  <c r="AU169" i="3"/>
  <c r="AP169" i="3"/>
  <c r="AT169" i="3"/>
  <c r="AX169" i="3"/>
  <c r="AM169" i="3"/>
  <c r="AS169" i="3"/>
  <c r="AZ169" i="3"/>
  <c r="AV169" i="3"/>
  <c r="AR169" i="3"/>
  <c r="AK169" i="3"/>
  <c r="AD169" i="3"/>
  <c r="AL169" i="3"/>
  <c r="AQ169" i="3"/>
  <c r="AO169" i="3"/>
  <c r="AW169" i="3"/>
  <c r="BB169" i="3" l="1"/>
  <c r="AB169" i="3"/>
  <c r="AE164" i="3" l="1"/>
  <c r="AE165" i="3" l="1"/>
  <c r="AM164" i="3"/>
  <c r="AN164" i="3"/>
  <c r="AK164" i="3"/>
  <c r="AL164" i="3"/>
  <c r="AZ164" i="3"/>
  <c r="AO164" i="3"/>
  <c r="AT164" i="3"/>
  <c r="AD164" i="3"/>
  <c r="AU164" i="3"/>
  <c r="AW164" i="3"/>
  <c r="AY164" i="3"/>
  <c r="AE160" i="3"/>
  <c r="AX164" i="3"/>
  <c r="AV164" i="3"/>
  <c r="AQ164" i="3"/>
  <c r="AR164" i="3"/>
  <c r="AS164" i="3"/>
  <c r="AP164" i="3"/>
  <c r="AD160" i="3" l="1"/>
  <c r="AS160" i="3"/>
  <c r="AZ160" i="3"/>
  <c r="AN160" i="3"/>
  <c r="AY160" i="3"/>
  <c r="AW160" i="3"/>
  <c r="AK160" i="3"/>
  <c r="AX160" i="3"/>
  <c r="AT160" i="3"/>
  <c r="AR160" i="3"/>
  <c r="AQ160" i="3"/>
  <c r="AO160" i="3"/>
  <c r="AU160" i="3"/>
  <c r="AP160" i="3"/>
  <c r="AV160" i="3"/>
  <c r="AM160" i="3"/>
  <c r="AL160" i="3"/>
  <c r="AE156" i="3"/>
  <c r="AY165" i="3"/>
  <c r="AM165" i="3"/>
  <c r="AZ165" i="3"/>
  <c r="AU165" i="3"/>
  <c r="AN165" i="3"/>
  <c r="AD165" i="3"/>
  <c r="AK165" i="3"/>
  <c r="AL165" i="3"/>
  <c r="AQ165" i="3"/>
  <c r="AW165" i="3"/>
  <c r="AP165" i="3"/>
  <c r="AR165" i="3"/>
  <c r="AX165" i="3"/>
  <c r="AO165" i="3"/>
  <c r="AT165" i="3"/>
  <c r="AV165" i="3"/>
  <c r="AS165" i="3"/>
  <c r="AE161" i="3"/>
  <c r="AB164" i="3"/>
  <c r="BB164" i="3"/>
  <c r="AY156" i="3" l="1"/>
  <c r="AT156" i="3"/>
  <c r="AZ156" i="3"/>
  <c r="AM156" i="3"/>
  <c r="AD156" i="3"/>
  <c r="AL156" i="3"/>
  <c r="AE152" i="3"/>
  <c r="AW156" i="3"/>
  <c r="AQ156" i="3"/>
  <c r="AS156" i="3"/>
  <c r="AU156" i="3"/>
  <c r="AO156" i="3"/>
  <c r="AX156" i="3"/>
  <c r="AV156" i="3"/>
  <c r="AK156" i="3"/>
  <c r="AR156" i="3"/>
  <c r="AP156" i="3"/>
  <c r="AN156" i="3"/>
  <c r="AU161" i="3"/>
  <c r="AQ161" i="3"/>
  <c r="AK161" i="3"/>
  <c r="AY161" i="3"/>
  <c r="AO161" i="3"/>
  <c r="AP161" i="3"/>
  <c r="AT161" i="3"/>
  <c r="AR161" i="3"/>
  <c r="AL161" i="3"/>
  <c r="AM161" i="3"/>
  <c r="AV161" i="3"/>
  <c r="AE157" i="3"/>
  <c r="AZ161" i="3"/>
  <c r="AX161" i="3"/>
  <c r="AS161" i="3"/>
  <c r="AN161" i="3"/>
  <c r="AW161" i="3"/>
  <c r="AD161" i="3"/>
  <c r="AB165" i="3"/>
  <c r="BB165" i="3"/>
  <c r="AB160" i="3"/>
  <c r="BB160" i="3"/>
  <c r="BB161" i="3" l="1"/>
  <c r="AB161" i="3"/>
  <c r="AQ152" i="3"/>
  <c r="AD152" i="3"/>
  <c r="AL152" i="3"/>
  <c r="AX152" i="3"/>
  <c r="AR152" i="3"/>
  <c r="AY152" i="3"/>
  <c r="AE148" i="3"/>
  <c r="AV152" i="3"/>
  <c r="AK152" i="3"/>
  <c r="AM152" i="3"/>
  <c r="AU152" i="3"/>
  <c r="AP152" i="3"/>
  <c r="AW152" i="3"/>
  <c r="AS152" i="3"/>
  <c r="AZ152" i="3"/>
  <c r="AN152" i="3"/>
  <c r="AT152" i="3"/>
  <c r="AO152" i="3"/>
  <c r="AB156" i="3"/>
  <c r="BB156" i="3"/>
  <c r="AN157" i="3"/>
  <c r="AV157" i="3"/>
  <c r="AW157" i="3"/>
  <c r="AE153" i="3"/>
  <c r="AD157" i="3"/>
  <c r="AR157" i="3"/>
  <c r="AK157" i="3"/>
  <c r="AQ157" i="3"/>
  <c r="AT157" i="3"/>
  <c r="AP157" i="3"/>
  <c r="AX157" i="3"/>
  <c r="AZ157" i="3"/>
  <c r="AS157" i="3"/>
  <c r="AM157" i="3"/>
  <c r="AO157" i="3"/>
  <c r="AU157" i="3"/>
  <c r="AY157" i="3"/>
  <c r="AL157" i="3"/>
  <c r="AX148" i="3" l="1"/>
  <c r="AT148" i="3"/>
  <c r="AV148" i="3"/>
  <c r="AS148" i="3"/>
  <c r="AZ148" i="3"/>
  <c r="AK148" i="3"/>
  <c r="AO148" i="3"/>
  <c r="AN148" i="3"/>
  <c r="AD148" i="3"/>
  <c r="AY148" i="3"/>
  <c r="AE144" i="3"/>
  <c r="AM148" i="3"/>
  <c r="AL148" i="3"/>
  <c r="AW148" i="3"/>
  <c r="AR148" i="3"/>
  <c r="AQ148" i="3"/>
  <c r="AU148" i="3"/>
  <c r="AP148" i="3"/>
  <c r="AB152" i="3"/>
  <c r="BB152" i="3"/>
  <c r="BB157" i="3"/>
  <c r="AB157" i="3"/>
  <c r="AU153" i="3"/>
  <c r="AP153" i="3"/>
  <c r="AS153" i="3"/>
  <c r="AQ153" i="3"/>
  <c r="AY153" i="3"/>
  <c r="AV153" i="3"/>
  <c r="AL153" i="3"/>
  <c r="AW153" i="3"/>
  <c r="AE149" i="3"/>
  <c r="AK153" i="3"/>
  <c r="AO153" i="3"/>
  <c r="AR153" i="3"/>
  <c r="AT153" i="3"/>
  <c r="AZ153" i="3"/>
  <c r="AN153" i="3"/>
  <c r="AM153" i="3"/>
  <c r="AX153" i="3"/>
  <c r="AD153" i="3"/>
  <c r="BB148" i="3" l="1"/>
  <c r="AB148" i="3"/>
  <c r="AT144" i="3"/>
  <c r="AQ144" i="3"/>
  <c r="AW144" i="3"/>
  <c r="AZ144" i="3"/>
  <c r="AU144" i="3"/>
  <c r="AS144" i="3"/>
  <c r="AD144" i="3"/>
  <c r="AK144" i="3"/>
  <c r="AR144" i="3"/>
  <c r="AP144" i="3"/>
  <c r="AY144" i="3"/>
  <c r="AX144" i="3"/>
  <c r="AV144" i="3"/>
  <c r="AM144" i="3"/>
  <c r="AE140" i="3"/>
  <c r="AL144" i="3"/>
  <c r="AO144" i="3"/>
  <c r="AN144" i="3"/>
  <c r="BB153" i="3"/>
  <c r="AB153" i="3"/>
  <c r="AN149" i="3"/>
  <c r="AE145" i="3"/>
  <c r="AZ149" i="3"/>
  <c r="AQ149" i="3"/>
  <c r="AX149" i="3"/>
  <c r="AO149" i="3"/>
  <c r="AS149" i="3"/>
  <c r="AR149" i="3"/>
  <c r="AW149" i="3"/>
  <c r="AT149" i="3"/>
  <c r="AV149" i="3"/>
  <c r="AK149" i="3"/>
  <c r="AD149" i="3"/>
  <c r="AY149" i="3"/>
  <c r="AM149" i="3"/>
  <c r="AP149" i="3"/>
  <c r="AL149" i="3"/>
  <c r="AU149" i="3"/>
  <c r="BB144" i="3" l="1"/>
  <c r="AB144" i="3"/>
  <c r="AU140" i="3"/>
  <c r="AD140" i="3"/>
  <c r="AP140" i="3"/>
  <c r="AE136" i="3"/>
  <c r="AM140" i="3"/>
  <c r="AQ140" i="3"/>
  <c r="AR140" i="3"/>
  <c r="AV140" i="3"/>
  <c r="AN140" i="3"/>
  <c r="AT140" i="3"/>
  <c r="AL140" i="3"/>
  <c r="AW140" i="3"/>
  <c r="AS140" i="3"/>
  <c r="AY140" i="3"/>
  <c r="AZ140" i="3"/>
  <c r="AO140" i="3"/>
  <c r="AX140" i="3"/>
  <c r="AK140" i="3"/>
  <c r="AX145" i="3"/>
  <c r="AZ145" i="3"/>
  <c r="AW145" i="3"/>
  <c r="AK145" i="3"/>
  <c r="AE141" i="3"/>
  <c r="AL145" i="3"/>
  <c r="AQ145" i="3"/>
  <c r="AP145" i="3"/>
  <c r="AT145" i="3"/>
  <c r="AY145" i="3"/>
  <c r="AM145" i="3"/>
  <c r="AU145" i="3"/>
  <c r="AN145" i="3"/>
  <c r="AV145" i="3"/>
  <c r="AS145" i="3"/>
  <c r="AD145" i="3"/>
  <c r="AR145" i="3"/>
  <c r="AO145" i="3"/>
  <c r="BB149" i="3"/>
  <c r="AB149" i="3"/>
  <c r="BB145" i="3" l="1"/>
  <c r="AB145" i="3"/>
  <c r="AK136" i="3"/>
  <c r="AT136" i="3"/>
  <c r="AW136" i="3"/>
  <c r="AX136" i="3"/>
  <c r="AN136" i="3"/>
  <c r="AQ136" i="3"/>
  <c r="AZ136" i="3"/>
  <c r="AS136" i="3"/>
  <c r="AR136" i="3"/>
  <c r="AM136" i="3"/>
  <c r="AE132" i="3"/>
  <c r="AP136" i="3"/>
  <c r="AO136" i="3"/>
  <c r="AY136" i="3"/>
  <c r="AU136" i="3"/>
  <c r="AV136" i="3"/>
  <c r="AL136" i="3"/>
  <c r="AD136" i="3"/>
  <c r="AB140" i="3"/>
  <c r="BB140" i="3"/>
  <c r="AX141" i="3"/>
  <c r="AV141" i="3"/>
  <c r="AK141" i="3"/>
  <c r="AQ141" i="3"/>
  <c r="AZ141" i="3"/>
  <c r="AN141" i="3"/>
  <c r="AP141" i="3"/>
  <c r="AL141" i="3"/>
  <c r="AO141" i="3"/>
  <c r="AU141" i="3"/>
  <c r="AD141" i="3"/>
  <c r="AS141" i="3"/>
  <c r="AM141" i="3"/>
  <c r="AE137" i="3"/>
  <c r="AY141" i="3"/>
  <c r="AW141" i="3"/>
  <c r="AR141" i="3"/>
  <c r="AT141" i="3"/>
  <c r="BB141" i="3" l="1"/>
  <c r="AB141" i="3"/>
  <c r="AB136" i="3"/>
  <c r="BB136" i="3"/>
  <c r="AQ137" i="3"/>
  <c r="AP137" i="3"/>
  <c r="AV137" i="3"/>
  <c r="AK137" i="3"/>
  <c r="AT137" i="3"/>
  <c r="AR137" i="3"/>
  <c r="AO137" i="3"/>
  <c r="AE133" i="3"/>
  <c r="AU137" i="3"/>
  <c r="AX137" i="3"/>
  <c r="AZ137" i="3"/>
  <c r="AM137" i="3"/>
  <c r="AN137" i="3"/>
  <c r="AS137" i="3"/>
  <c r="AW137" i="3"/>
  <c r="AD137" i="3"/>
  <c r="AY137" i="3"/>
  <c r="AL137" i="3"/>
  <c r="AK132" i="3"/>
  <c r="AY132" i="3"/>
  <c r="AU132" i="3"/>
  <c r="AD132" i="3"/>
  <c r="AZ132" i="3"/>
  <c r="AX132" i="3"/>
  <c r="AV132" i="3"/>
  <c r="AL132" i="3"/>
  <c r="AM132" i="3"/>
  <c r="AQ132" i="3"/>
  <c r="AO132" i="3"/>
  <c r="AS132" i="3"/>
  <c r="AP132" i="3"/>
  <c r="AE128" i="3"/>
  <c r="AT132" i="3"/>
  <c r="AR132" i="3"/>
  <c r="AW132" i="3"/>
  <c r="AN132" i="3"/>
  <c r="AP128" i="3" l="1"/>
  <c r="AY128" i="3"/>
  <c r="AL128" i="3"/>
  <c r="AZ128" i="3"/>
  <c r="AQ128" i="3"/>
  <c r="AW128" i="3"/>
  <c r="AS128" i="3"/>
  <c r="AT128" i="3"/>
  <c r="AO128" i="3"/>
  <c r="AV128" i="3"/>
  <c r="AD128" i="3"/>
  <c r="AE124" i="3"/>
  <c r="AR128" i="3"/>
  <c r="AK128" i="3"/>
  <c r="AU128" i="3"/>
  <c r="AN128" i="3"/>
  <c r="AX128" i="3"/>
  <c r="AM128" i="3"/>
  <c r="BB137" i="3"/>
  <c r="AB137" i="3"/>
  <c r="AN133" i="3"/>
  <c r="AM133" i="3"/>
  <c r="AU133" i="3"/>
  <c r="AO133" i="3"/>
  <c r="AZ133" i="3"/>
  <c r="AT133" i="3"/>
  <c r="AV133" i="3"/>
  <c r="AX133" i="3"/>
  <c r="AE129" i="3"/>
  <c r="AS133" i="3"/>
  <c r="AP133" i="3"/>
  <c r="AQ133" i="3"/>
  <c r="AY133" i="3"/>
  <c r="AK133" i="3"/>
  <c r="AW133" i="3"/>
  <c r="AL133" i="3"/>
  <c r="AR133" i="3"/>
  <c r="AD133" i="3"/>
  <c r="BB132" i="3"/>
  <c r="AB132" i="3"/>
  <c r="AV124" i="3" l="1"/>
  <c r="AQ124" i="3"/>
  <c r="AK124" i="3"/>
  <c r="AS124" i="3"/>
  <c r="AU124" i="3"/>
  <c r="AY124" i="3"/>
  <c r="AN124" i="3"/>
  <c r="AM124" i="3"/>
  <c r="AO124" i="3"/>
  <c r="AP124" i="3"/>
  <c r="AR124" i="3"/>
  <c r="AZ124" i="3"/>
  <c r="AT124" i="3"/>
  <c r="AX124" i="3"/>
  <c r="AL124" i="3"/>
  <c r="AW124" i="3"/>
  <c r="AD124" i="3"/>
  <c r="AE120" i="3"/>
  <c r="AS129" i="3"/>
  <c r="AW129" i="3"/>
  <c r="AZ129" i="3"/>
  <c r="AL129" i="3"/>
  <c r="AR129" i="3"/>
  <c r="AP129" i="3"/>
  <c r="AT129" i="3"/>
  <c r="AM129" i="3"/>
  <c r="AQ129" i="3"/>
  <c r="AE125" i="3"/>
  <c r="AU129" i="3"/>
  <c r="AX129" i="3"/>
  <c r="AK129" i="3"/>
  <c r="AO129" i="3"/>
  <c r="AV129" i="3"/>
  <c r="AD129" i="3"/>
  <c r="AY129" i="3"/>
  <c r="AN129" i="3"/>
  <c r="BB128" i="3"/>
  <c r="AB128" i="3"/>
  <c r="BB133" i="3"/>
  <c r="AB133" i="3"/>
  <c r="BB129" i="3" l="1"/>
  <c r="AB129" i="3"/>
  <c r="BB124" i="3"/>
  <c r="AB124" i="3"/>
  <c r="AV125" i="3"/>
  <c r="AE121" i="3"/>
  <c r="AY125" i="3"/>
  <c r="AM125" i="3"/>
  <c r="AD125" i="3"/>
  <c r="AQ125" i="3"/>
  <c r="AX125" i="3"/>
  <c r="AS125" i="3"/>
  <c r="AT125" i="3"/>
  <c r="AL125" i="3"/>
  <c r="AN125" i="3"/>
  <c r="AK125" i="3"/>
  <c r="AW125" i="3"/>
  <c r="AU125" i="3"/>
  <c r="AZ125" i="3"/>
  <c r="AO125" i="3"/>
  <c r="AP125" i="3"/>
  <c r="AR125" i="3"/>
  <c r="AZ120" i="3"/>
  <c r="AP120" i="3"/>
  <c r="AT120" i="3"/>
  <c r="AS120" i="3"/>
  <c r="AE116" i="3"/>
  <c r="AN120" i="3"/>
  <c r="AX120" i="3"/>
  <c r="AM120" i="3"/>
  <c r="AQ120" i="3"/>
  <c r="AU120" i="3"/>
  <c r="AL120" i="3"/>
  <c r="AD120" i="3"/>
  <c r="AO120" i="3"/>
  <c r="AV120" i="3"/>
  <c r="AW120" i="3"/>
  <c r="AK120" i="3"/>
  <c r="AR120" i="3"/>
  <c r="AY120" i="3"/>
  <c r="AB125" i="3" l="1"/>
  <c r="BB125" i="3"/>
  <c r="AW121" i="3"/>
  <c r="AM121" i="3"/>
  <c r="AO121" i="3"/>
  <c r="AX121" i="3"/>
  <c r="AL121" i="3"/>
  <c r="AE117" i="3"/>
  <c r="AR121" i="3"/>
  <c r="AD121" i="3"/>
  <c r="AZ121" i="3"/>
  <c r="AU121" i="3"/>
  <c r="AN121" i="3"/>
  <c r="AY121" i="3"/>
  <c r="AQ121" i="3"/>
  <c r="AS121" i="3"/>
  <c r="AT121" i="3"/>
  <c r="AK121" i="3"/>
  <c r="AV121" i="3"/>
  <c r="AP121" i="3"/>
  <c r="BB120" i="3"/>
  <c r="AB120" i="3"/>
  <c r="AZ116" i="3"/>
  <c r="AM116" i="3"/>
  <c r="AV116" i="3"/>
  <c r="AU116" i="3"/>
  <c r="AP116" i="3"/>
  <c r="AX116" i="3"/>
  <c r="AT116" i="3"/>
  <c r="AL116" i="3"/>
  <c r="AO116" i="3"/>
  <c r="AK116" i="3"/>
  <c r="AW116" i="3"/>
  <c r="AN116" i="3"/>
  <c r="AY116" i="3"/>
  <c r="AR116" i="3"/>
  <c r="AE112" i="3"/>
  <c r="AS116" i="3"/>
  <c r="AQ116" i="3"/>
  <c r="AD116" i="3"/>
  <c r="AT117" i="3" l="1"/>
  <c r="AZ117" i="3"/>
  <c r="AS117" i="3"/>
  <c r="AP117" i="3"/>
  <c r="AX117" i="3"/>
  <c r="AM117" i="3"/>
  <c r="AQ117" i="3"/>
  <c r="AR117" i="3"/>
  <c r="AO117" i="3"/>
  <c r="AD117" i="3"/>
  <c r="AN117" i="3"/>
  <c r="AY117" i="3"/>
  <c r="AL117" i="3"/>
  <c r="AW117" i="3"/>
  <c r="AE113" i="3"/>
  <c r="AU117" i="3"/>
  <c r="AV117" i="3"/>
  <c r="AK117" i="3"/>
  <c r="BB121" i="3"/>
  <c r="AB121" i="3"/>
  <c r="BB116" i="3"/>
  <c r="AB116" i="3"/>
  <c r="AX112" i="3"/>
  <c r="AO112" i="3"/>
  <c r="AL112" i="3"/>
  <c r="AV112" i="3"/>
  <c r="AN112" i="3"/>
  <c r="AZ112" i="3"/>
  <c r="AE108" i="3"/>
  <c r="AP112" i="3"/>
  <c r="AM112" i="3"/>
  <c r="AR112" i="3"/>
  <c r="AW112" i="3"/>
  <c r="AT112" i="3"/>
  <c r="AS112" i="3"/>
  <c r="AY112" i="3"/>
  <c r="AD112" i="3"/>
  <c r="AU112" i="3"/>
  <c r="AQ112" i="3"/>
  <c r="AK112" i="3"/>
  <c r="AD108" i="3" l="1"/>
  <c r="AS108" i="3"/>
  <c r="AQ108" i="3"/>
  <c r="AW108" i="3"/>
  <c r="AY108" i="3"/>
  <c r="AV108" i="3"/>
  <c r="AM108" i="3"/>
  <c r="AK108" i="3"/>
  <c r="AR108" i="3"/>
  <c r="AT108" i="3"/>
  <c r="AL108" i="3"/>
  <c r="AN108" i="3"/>
  <c r="AX108" i="3"/>
  <c r="AU108" i="3"/>
  <c r="AE104" i="3"/>
  <c r="AZ108" i="3"/>
  <c r="AO108" i="3"/>
  <c r="AP108" i="3"/>
  <c r="BB117" i="3"/>
  <c r="AB117" i="3"/>
  <c r="AP113" i="3"/>
  <c r="AK113" i="3"/>
  <c r="AM113" i="3"/>
  <c r="AT113" i="3"/>
  <c r="AR113" i="3"/>
  <c r="AU113" i="3"/>
  <c r="AE109" i="3"/>
  <c r="AO113" i="3"/>
  <c r="AN113" i="3"/>
  <c r="AW113" i="3"/>
  <c r="AX113" i="3"/>
  <c r="AY113" i="3"/>
  <c r="AS113" i="3"/>
  <c r="AZ113" i="3"/>
  <c r="AV113" i="3"/>
  <c r="AL113" i="3"/>
  <c r="AD113" i="3"/>
  <c r="AQ113" i="3"/>
  <c r="BB112" i="3"/>
  <c r="AB112" i="3"/>
  <c r="AN104" i="3" l="1"/>
  <c r="AL104" i="3"/>
  <c r="AU104" i="3"/>
  <c r="AT104" i="3"/>
  <c r="AS104" i="3"/>
  <c r="AV104" i="3"/>
  <c r="AY104" i="3"/>
  <c r="AQ104" i="3"/>
  <c r="AD104" i="3"/>
  <c r="AK104" i="3"/>
  <c r="AM104" i="3"/>
  <c r="AW104" i="3"/>
  <c r="AR104" i="3"/>
  <c r="AE100" i="3"/>
  <c r="AX104" i="3"/>
  <c r="AP104" i="3"/>
  <c r="AZ104" i="3"/>
  <c r="AO104" i="3"/>
  <c r="AV109" i="3"/>
  <c r="AU109" i="3"/>
  <c r="AE105" i="3"/>
  <c r="AO109" i="3"/>
  <c r="AR109" i="3"/>
  <c r="AM109" i="3"/>
  <c r="AN109" i="3"/>
  <c r="AW109" i="3"/>
  <c r="AD109" i="3"/>
  <c r="AL109" i="3"/>
  <c r="AK109" i="3"/>
  <c r="AQ109" i="3"/>
  <c r="AZ109" i="3"/>
  <c r="AP109" i="3"/>
  <c r="AX109" i="3"/>
  <c r="AS109" i="3"/>
  <c r="AT109" i="3"/>
  <c r="AY109" i="3"/>
  <c r="AB113" i="3"/>
  <c r="BB113" i="3"/>
  <c r="BB108" i="3"/>
  <c r="AB108" i="3"/>
  <c r="AO105" i="3" l="1"/>
  <c r="AM105" i="3"/>
  <c r="AE101" i="3"/>
  <c r="AS105" i="3"/>
  <c r="AV105" i="3"/>
  <c r="AU105" i="3"/>
  <c r="AW105" i="3"/>
  <c r="AR105" i="3"/>
  <c r="AT105" i="3"/>
  <c r="AN105" i="3"/>
  <c r="AY105" i="3"/>
  <c r="AX105" i="3"/>
  <c r="AZ105" i="3"/>
  <c r="AD105" i="3"/>
  <c r="AQ105" i="3"/>
  <c r="AK105" i="3"/>
  <c r="AL105" i="3"/>
  <c r="AP105" i="3"/>
  <c r="BB104" i="3"/>
  <c r="AB104" i="3"/>
  <c r="AB109" i="3"/>
  <c r="BB109" i="3"/>
  <c r="AK100" i="3"/>
  <c r="AR100" i="3"/>
  <c r="AM100" i="3"/>
  <c r="AD100" i="3"/>
  <c r="AO100" i="3"/>
  <c r="AU100" i="3"/>
  <c r="AP100" i="3"/>
  <c r="AE96" i="3"/>
  <c r="AT100" i="3"/>
  <c r="AX100" i="3"/>
  <c r="AN100" i="3"/>
  <c r="AZ100" i="3"/>
  <c r="AW100" i="3"/>
  <c r="AV100" i="3"/>
  <c r="AL100" i="3"/>
  <c r="AY100" i="3"/>
  <c r="AS100" i="3"/>
  <c r="AQ100" i="3"/>
  <c r="AY96" i="3" l="1"/>
  <c r="AZ96" i="3"/>
  <c r="AN96" i="3"/>
  <c r="AO96" i="3"/>
  <c r="AV96" i="3"/>
  <c r="AE92" i="3"/>
  <c r="AL96" i="3"/>
  <c r="AW96" i="3"/>
  <c r="AT96" i="3"/>
  <c r="AX96" i="3"/>
  <c r="AM96" i="3"/>
  <c r="AP96" i="3"/>
  <c r="AR96" i="3"/>
  <c r="AU96" i="3"/>
  <c r="AS96" i="3"/>
  <c r="AQ96" i="3"/>
  <c r="AK96" i="3"/>
  <c r="AD96" i="3"/>
  <c r="AS101" i="3"/>
  <c r="AW101" i="3"/>
  <c r="AQ101" i="3"/>
  <c r="AN101" i="3"/>
  <c r="AD101" i="3"/>
  <c r="AZ101" i="3"/>
  <c r="AT101" i="3"/>
  <c r="AR101" i="3"/>
  <c r="AO101" i="3"/>
  <c r="AM101" i="3"/>
  <c r="AV101" i="3"/>
  <c r="AX101" i="3"/>
  <c r="AK101" i="3"/>
  <c r="AE97" i="3"/>
  <c r="AY101" i="3"/>
  <c r="AP101" i="3"/>
  <c r="AU101" i="3"/>
  <c r="AL101" i="3"/>
  <c r="BB100" i="3"/>
  <c r="AB100" i="3"/>
  <c r="BB105" i="3"/>
  <c r="AB105" i="3"/>
  <c r="AZ97" i="3" l="1"/>
  <c r="AN97" i="3"/>
  <c r="AS97" i="3"/>
  <c r="AD97" i="3"/>
  <c r="AT97" i="3"/>
  <c r="AE93" i="3"/>
  <c r="AK97" i="3"/>
  <c r="AR97" i="3"/>
  <c r="AO97" i="3"/>
  <c r="AU97" i="3"/>
  <c r="AW97" i="3"/>
  <c r="AX97" i="3"/>
  <c r="AM97" i="3"/>
  <c r="AP97" i="3"/>
  <c r="AV97" i="3"/>
  <c r="AL97" i="3"/>
  <c r="AQ97" i="3"/>
  <c r="AY97" i="3"/>
  <c r="AE88" i="3"/>
  <c r="AT92" i="3"/>
  <c r="AZ92" i="3"/>
  <c r="AU92" i="3"/>
  <c r="AO92" i="3"/>
  <c r="AW92" i="3"/>
  <c r="AQ92" i="3"/>
  <c r="AY92" i="3"/>
  <c r="AD92" i="3"/>
  <c r="AS92" i="3"/>
  <c r="AP92" i="3"/>
  <c r="AV92" i="3"/>
  <c r="AR92" i="3"/>
  <c r="AL92" i="3"/>
  <c r="AX92" i="3"/>
  <c r="AK92" i="3"/>
  <c r="AM92" i="3"/>
  <c r="AN92" i="3"/>
  <c r="AB96" i="3"/>
  <c r="BB96" i="3"/>
  <c r="BB101" i="3"/>
  <c r="AB101" i="3"/>
  <c r="AO88" i="3" l="1"/>
  <c r="AV88" i="3"/>
  <c r="AR88" i="3"/>
  <c r="AE84" i="3"/>
  <c r="AP88" i="3"/>
  <c r="AY88" i="3"/>
  <c r="AQ88" i="3"/>
  <c r="AL88" i="3"/>
  <c r="AT88" i="3"/>
  <c r="AD88" i="3"/>
  <c r="AS88" i="3"/>
  <c r="AN88" i="3"/>
  <c r="AM88" i="3"/>
  <c r="AU88" i="3"/>
  <c r="AK88" i="3"/>
  <c r="AW88" i="3"/>
  <c r="AZ88" i="3"/>
  <c r="AX88" i="3"/>
  <c r="AX93" i="3"/>
  <c r="AO93" i="3"/>
  <c r="AN93" i="3"/>
  <c r="AL93" i="3"/>
  <c r="AP93" i="3"/>
  <c r="AU93" i="3"/>
  <c r="AQ93" i="3"/>
  <c r="AK93" i="3"/>
  <c r="AY93" i="3"/>
  <c r="AD93" i="3"/>
  <c r="AT93" i="3"/>
  <c r="AE89" i="3"/>
  <c r="AM93" i="3"/>
  <c r="AW93" i="3"/>
  <c r="AR93" i="3"/>
  <c r="AS93" i="3"/>
  <c r="AV93" i="3"/>
  <c r="AZ93" i="3"/>
  <c r="BB97" i="3"/>
  <c r="AB97" i="3"/>
  <c r="AB92" i="3"/>
  <c r="BB92" i="3"/>
  <c r="AL84" i="3" l="1"/>
  <c r="AN84" i="3"/>
  <c r="AZ84" i="3"/>
  <c r="AM84" i="3"/>
  <c r="AX84" i="3"/>
  <c r="AK84" i="3"/>
  <c r="AP84" i="3"/>
  <c r="AU84" i="3"/>
  <c r="AY84" i="3"/>
  <c r="AV84" i="3"/>
  <c r="AO84" i="3"/>
  <c r="AS84" i="3"/>
  <c r="AD84" i="3"/>
  <c r="AE80" i="3"/>
  <c r="AT84" i="3"/>
  <c r="AW84" i="3"/>
  <c r="AR84" i="3"/>
  <c r="AQ84" i="3"/>
  <c r="AB88" i="3"/>
  <c r="BB88" i="3"/>
  <c r="AU89" i="3"/>
  <c r="AK89" i="3"/>
  <c r="AY89" i="3"/>
  <c r="AP89" i="3"/>
  <c r="AD89" i="3"/>
  <c r="AR89" i="3"/>
  <c r="AX89" i="3"/>
  <c r="AS89" i="3"/>
  <c r="AQ89" i="3"/>
  <c r="AL89" i="3"/>
  <c r="AM89" i="3"/>
  <c r="AE85" i="3"/>
  <c r="AT89" i="3"/>
  <c r="AN89" i="3"/>
  <c r="AW89" i="3"/>
  <c r="AO89" i="3"/>
  <c r="AZ89" i="3"/>
  <c r="AV89" i="3"/>
  <c r="BB93" i="3"/>
  <c r="AB93" i="3"/>
  <c r="AN85" i="3" l="1"/>
  <c r="AP85" i="3"/>
  <c r="AT85" i="3"/>
  <c r="AL85" i="3"/>
  <c r="AV85" i="3"/>
  <c r="AM85" i="3"/>
  <c r="AU85" i="3"/>
  <c r="AO85" i="3"/>
  <c r="AD85" i="3"/>
  <c r="AQ85" i="3"/>
  <c r="AY85" i="3"/>
  <c r="AW85" i="3"/>
  <c r="AK85" i="3"/>
  <c r="AE81" i="3"/>
  <c r="AX85" i="3"/>
  <c r="AZ85" i="3"/>
  <c r="AS85" i="3"/>
  <c r="AR85" i="3"/>
  <c r="AT80" i="3"/>
  <c r="AR80" i="3"/>
  <c r="AL80" i="3"/>
  <c r="AS80" i="3"/>
  <c r="AV80" i="3"/>
  <c r="AU80" i="3"/>
  <c r="AZ80" i="3"/>
  <c r="AN80" i="3"/>
  <c r="AE76" i="3"/>
  <c r="AM80" i="3"/>
  <c r="AX80" i="3"/>
  <c r="AW80" i="3"/>
  <c r="AO80" i="3"/>
  <c r="AK80" i="3"/>
  <c r="AP80" i="3"/>
  <c r="AY80" i="3"/>
  <c r="AQ80" i="3"/>
  <c r="AD80" i="3"/>
  <c r="BB89" i="3"/>
  <c r="AB89" i="3"/>
  <c r="BB84" i="3"/>
  <c r="AB84" i="3"/>
  <c r="BB85" i="3" l="1"/>
  <c r="AB85" i="3"/>
  <c r="AN76" i="3"/>
  <c r="AZ76" i="3"/>
  <c r="AV76" i="3"/>
  <c r="AK76" i="3"/>
  <c r="AD76" i="3"/>
  <c r="AP76" i="3"/>
  <c r="AW76" i="3"/>
  <c r="AQ76" i="3"/>
  <c r="AU76" i="3"/>
  <c r="AE72" i="3"/>
  <c r="AM76" i="3"/>
  <c r="AO76" i="3"/>
  <c r="AS76" i="3"/>
  <c r="AT76" i="3"/>
  <c r="AL76" i="3"/>
  <c r="AX76" i="3"/>
  <c r="AR76" i="3"/>
  <c r="AY76" i="3"/>
  <c r="AZ81" i="3"/>
  <c r="AT81" i="3"/>
  <c r="AK81" i="3"/>
  <c r="AE77" i="3"/>
  <c r="AP81" i="3"/>
  <c r="AM81" i="3"/>
  <c r="AO81" i="3"/>
  <c r="AN81" i="3"/>
  <c r="AD81" i="3"/>
  <c r="AQ81" i="3"/>
  <c r="AL81" i="3"/>
  <c r="AY81" i="3"/>
  <c r="AS81" i="3"/>
  <c r="AX81" i="3"/>
  <c r="AW81" i="3"/>
  <c r="AV81" i="3"/>
  <c r="AR81" i="3"/>
  <c r="AU81" i="3"/>
  <c r="BB80" i="3"/>
  <c r="AB80" i="3"/>
  <c r="AB76" i="3" l="1"/>
  <c r="BB76" i="3"/>
  <c r="AT72" i="3"/>
  <c r="AP72" i="3"/>
  <c r="AV72" i="3"/>
  <c r="AY72" i="3"/>
  <c r="AL72" i="3"/>
  <c r="AQ72" i="3"/>
  <c r="AN72" i="3"/>
  <c r="AU72" i="3"/>
  <c r="AX72" i="3"/>
  <c r="AZ72" i="3"/>
  <c r="AW72" i="3"/>
  <c r="AM72" i="3"/>
  <c r="AK72" i="3"/>
  <c r="AD72" i="3"/>
  <c r="AO72" i="3"/>
  <c r="AR72" i="3"/>
  <c r="AS72" i="3"/>
  <c r="AE68" i="3"/>
  <c r="AY77" i="3"/>
  <c r="AL77" i="3"/>
  <c r="AE73" i="3"/>
  <c r="AZ77" i="3"/>
  <c r="AU77" i="3"/>
  <c r="AD77" i="3"/>
  <c r="AK77" i="3"/>
  <c r="AS77" i="3"/>
  <c r="AQ77" i="3"/>
  <c r="AT77" i="3"/>
  <c r="AN77" i="3"/>
  <c r="AP77" i="3"/>
  <c r="AW77" i="3"/>
  <c r="AV77" i="3"/>
  <c r="AR77" i="3"/>
  <c r="AX77" i="3"/>
  <c r="AO77" i="3"/>
  <c r="AM77" i="3"/>
  <c r="BB81" i="3"/>
  <c r="AB81" i="3"/>
  <c r="AR68" i="3" l="1"/>
  <c r="AY68" i="3"/>
  <c r="AX68" i="3"/>
  <c r="AL68" i="3"/>
  <c r="AO68" i="3"/>
  <c r="AW68" i="3"/>
  <c r="AN68" i="3"/>
  <c r="AT68" i="3"/>
  <c r="AK68" i="3"/>
  <c r="AM68" i="3"/>
  <c r="AP68" i="3"/>
  <c r="AD68" i="3"/>
  <c r="AQ68" i="3"/>
  <c r="AE64" i="3"/>
  <c r="AS68" i="3"/>
  <c r="AU68" i="3"/>
  <c r="AV68" i="3"/>
  <c r="AZ68" i="3"/>
  <c r="AB72" i="3"/>
  <c r="BB72" i="3"/>
  <c r="AB77" i="3"/>
  <c r="BB77" i="3"/>
  <c r="AU73" i="3"/>
  <c r="AV73" i="3"/>
  <c r="AN73" i="3"/>
  <c r="AO73" i="3"/>
  <c r="AP73" i="3"/>
  <c r="AE69" i="3"/>
  <c r="AL73" i="3"/>
  <c r="AS73" i="3"/>
  <c r="AK73" i="3"/>
  <c r="AM73" i="3"/>
  <c r="AR73" i="3"/>
  <c r="AZ73" i="3"/>
  <c r="AT73" i="3"/>
  <c r="AD73" i="3"/>
  <c r="AY73" i="3"/>
  <c r="AW73" i="3"/>
  <c r="AQ73" i="3"/>
  <c r="AX73" i="3"/>
  <c r="AB73" i="3" l="1"/>
  <c r="BB73" i="3"/>
  <c r="AB68" i="3"/>
  <c r="BB68" i="3"/>
  <c r="AV69" i="3"/>
  <c r="AQ69" i="3"/>
  <c r="AM69" i="3"/>
  <c r="AL69" i="3"/>
  <c r="AT69" i="3"/>
  <c r="AS69" i="3"/>
  <c r="AZ69" i="3"/>
  <c r="AE65" i="3"/>
  <c r="AD69" i="3"/>
  <c r="AN69" i="3"/>
  <c r="AO69" i="3"/>
  <c r="AP69" i="3"/>
  <c r="AY69" i="3"/>
  <c r="AX69" i="3"/>
  <c r="AU69" i="3"/>
  <c r="AK69" i="3"/>
  <c r="AR69" i="3"/>
  <c r="AW69" i="3"/>
  <c r="AU64" i="3"/>
  <c r="AQ64" i="3"/>
  <c r="AY64" i="3"/>
  <c r="AM64" i="3"/>
  <c r="AW64" i="3"/>
  <c r="AV64" i="3"/>
  <c r="AE60" i="3"/>
  <c r="AN64" i="3"/>
  <c r="AR64" i="3"/>
  <c r="AO64" i="3"/>
  <c r="AT64" i="3"/>
  <c r="AS64" i="3"/>
  <c r="AP64" i="3"/>
  <c r="AK64" i="3"/>
  <c r="AL64" i="3"/>
  <c r="AZ64" i="3"/>
  <c r="AD64" i="3"/>
  <c r="AX64" i="3"/>
  <c r="AX60" i="3" l="1"/>
  <c r="AQ60" i="3"/>
  <c r="AN60" i="3"/>
  <c r="AD60" i="3"/>
  <c r="AP60" i="3"/>
  <c r="AW60" i="3"/>
  <c r="AS60" i="3"/>
  <c r="AY60" i="3"/>
  <c r="AU60" i="3"/>
  <c r="AT60" i="3"/>
  <c r="AO60" i="3"/>
  <c r="AK60" i="3"/>
  <c r="AR60" i="3"/>
  <c r="AV60" i="3"/>
  <c r="AZ60" i="3"/>
  <c r="AE56" i="3"/>
  <c r="AM60" i="3"/>
  <c r="AL60" i="3"/>
  <c r="BB64" i="3"/>
  <c r="AB64" i="3"/>
  <c r="AL65" i="3"/>
  <c r="AD65" i="3"/>
  <c r="AT65" i="3"/>
  <c r="AW65" i="3"/>
  <c r="AY65" i="3"/>
  <c r="AV65" i="3"/>
  <c r="AX65" i="3"/>
  <c r="AU65" i="3"/>
  <c r="AN65" i="3"/>
  <c r="AQ65" i="3"/>
  <c r="AP65" i="3"/>
  <c r="AM65" i="3"/>
  <c r="AR65" i="3"/>
  <c r="AS65" i="3"/>
  <c r="AZ65" i="3"/>
  <c r="AK65" i="3"/>
  <c r="AO65" i="3"/>
  <c r="AE61" i="3"/>
  <c r="AB69" i="3"/>
  <c r="BB69" i="3"/>
  <c r="BB65" i="3" l="1"/>
  <c r="AB65" i="3"/>
  <c r="AM56" i="3"/>
  <c r="AV56" i="3"/>
  <c r="AU56" i="3"/>
  <c r="AN56" i="3"/>
  <c r="AX56" i="3"/>
  <c r="AD56" i="3"/>
  <c r="AT56" i="3"/>
  <c r="AL56" i="3"/>
  <c r="AO56" i="3"/>
  <c r="AQ56" i="3"/>
  <c r="AE52" i="3"/>
  <c r="AK56" i="3"/>
  <c r="AW56" i="3"/>
  <c r="AR56" i="3"/>
  <c r="AS56" i="3"/>
  <c r="AP56" i="3"/>
  <c r="AY56" i="3"/>
  <c r="AZ56" i="3"/>
  <c r="AB60" i="3"/>
  <c r="BB60" i="3"/>
  <c r="AZ61" i="3"/>
  <c r="AM61" i="3"/>
  <c r="AP61" i="3"/>
  <c r="AO61" i="3"/>
  <c r="AU61" i="3"/>
  <c r="AE57" i="3"/>
  <c r="AX61" i="3"/>
  <c r="AR61" i="3"/>
  <c r="AN61" i="3"/>
  <c r="AL61" i="3"/>
  <c r="AS61" i="3"/>
  <c r="AW61" i="3"/>
  <c r="AK61" i="3"/>
  <c r="AY61" i="3"/>
  <c r="AV61" i="3"/>
  <c r="AD61" i="3"/>
  <c r="AT61" i="3"/>
  <c r="AQ61" i="3"/>
  <c r="AB56" i="3" l="1"/>
  <c r="BB56" i="3"/>
  <c r="AD57" i="3"/>
  <c r="AE53" i="3"/>
  <c r="AQ57" i="3"/>
  <c r="AO57" i="3"/>
  <c r="AK57" i="3"/>
  <c r="AL57" i="3"/>
  <c r="AM57" i="3"/>
  <c r="AP57" i="3"/>
  <c r="AX57" i="3"/>
  <c r="AV57" i="3"/>
  <c r="AW57" i="3"/>
  <c r="AS57" i="3"/>
  <c r="AU57" i="3"/>
  <c r="AR57" i="3"/>
  <c r="AT57" i="3"/>
  <c r="AN57" i="3"/>
  <c r="AY57" i="3"/>
  <c r="AZ57" i="3"/>
  <c r="BB61" i="3"/>
  <c r="AB61" i="3"/>
  <c r="AM52" i="3"/>
  <c r="AT52" i="3"/>
  <c r="AN52" i="3"/>
  <c r="AS52" i="3"/>
  <c r="AR52" i="3"/>
  <c r="AY52" i="3"/>
  <c r="AZ52" i="3"/>
  <c r="AL52" i="3"/>
  <c r="AU52" i="3"/>
  <c r="AP52" i="3"/>
  <c r="AD52" i="3"/>
  <c r="AV52" i="3"/>
  <c r="AX52" i="3"/>
  <c r="AW52" i="3"/>
  <c r="AO52" i="3"/>
  <c r="AQ52" i="3"/>
  <c r="AK52" i="3"/>
  <c r="AE48" i="3"/>
  <c r="AQ53" i="3" l="1"/>
  <c r="AD53" i="3"/>
  <c r="AL53" i="3"/>
  <c r="AY53" i="3"/>
  <c r="AZ53" i="3"/>
  <c r="AX53" i="3"/>
  <c r="AV53" i="3"/>
  <c r="AW53" i="3"/>
  <c r="AE49" i="3"/>
  <c r="AT53" i="3"/>
  <c r="AO53" i="3"/>
  <c r="AU53" i="3"/>
  <c r="AR53" i="3"/>
  <c r="AP53" i="3"/>
  <c r="AN53" i="3"/>
  <c r="AK53" i="3"/>
  <c r="AM53" i="3"/>
  <c r="AS53" i="3"/>
  <c r="BB57" i="3"/>
  <c r="AB57" i="3"/>
  <c r="AB52" i="3"/>
  <c r="BB52" i="3"/>
  <c r="AQ48" i="3"/>
  <c r="AN48" i="3"/>
  <c r="AD48" i="3"/>
  <c r="AY48" i="3"/>
  <c r="AX48" i="3"/>
  <c r="AV48" i="3"/>
  <c r="AZ48" i="3"/>
  <c r="AK48" i="3"/>
  <c r="AM48" i="3"/>
  <c r="AP48" i="3"/>
  <c r="AL48" i="3"/>
  <c r="AS48" i="3"/>
  <c r="AT48" i="3"/>
  <c r="AW48" i="3"/>
  <c r="AU48" i="3"/>
  <c r="AE44" i="3"/>
  <c r="AR48" i="3"/>
  <c r="AO48" i="3"/>
  <c r="AQ49" i="3" l="1"/>
  <c r="AY49" i="3"/>
  <c r="AE45" i="3"/>
  <c r="AD49" i="3"/>
  <c r="AL49" i="3"/>
  <c r="AU49" i="3"/>
  <c r="AP49" i="3"/>
  <c r="AM49" i="3"/>
  <c r="AS49" i="3"/>
  <c r="AO49" i="3"/>
  <c r="AV49" i="3"/>
  <c r="AR49" i="3"/>
  <c r="AT49" i="3"/>
  <c r="AZ49" i="3"/>
  <c r="AW49" i="3"/>
  <c r="AX49" i="3"/>
  <c r="AN49" i="3"/>
  <c r="AK49" i="3"/>
  <c r="AT44" i="3"/>
  <c r="AR44" i="3"/>
  <c r="AU44" i="3"/>
  <c r="AL44" i="3"/>
  <c r="AY44" i="3"/>
  <c r="AD44" i="3"/>
  <c r="AP44" i="3"/>
  <c r="AZ44" i="3"/>
  <c r="AE40" i="3"/>
  <c r="AW44" i="3"/>
  <c r="AV44" i="3"/>
  <c r="AO44" i="3"/>
  <c r="AM44" i="3"/>
  <c r="AS44" i="3"/>
  <c r="AN44" i="3"/>
  <c r="AX44" i="3"/>
  <c r="AK44" i="3"/>
  <c r="AQ44" i="3"/>
  <c r="AB53" i="3"/>
  <c r="BB53" i="3"/>
  <c r="BB48" i="3"/>
  <c r="AB48" i="3"/>
  <c r="BB44" i="3" l="1"/>
  <c r="AB44" i="3"/>
  <c r="AB49" i="3"/>
  <c r="BB49" i="3"/>
  <c r="AT40" i="3"/>
  <c r="AE36" i="3"/>
  <c r="AX40" i="3"/>
  <c r="AS40" i="3"/>
  <c r="AV40" i="3"/>
  <c r="AZ40" i="3"/>
  <c r="AW40" i="3"/>
  <c r="AM40" i="3"/>
  <c r="AN40" i="3"/>
  <c r="AO40" i="3"/>
  <c r="AR40" i="3"/>
  <c r="AK40" i="3"/>
  <c r="AU40" i="3"/>
  <c r="AL40" i="3"/>
  <c r="AP40" i="3"/>
  <c r="AD40" i="3"/>
  <c r="AY40" i="3"/>
  <c r="AQ40" i="3"/>
  <c r="AO45" i="3"/>
  <c r="AP45" i="3"/>
  <c r="AK45" i="3"/>
  <c r="AW45" i="3"/>
  <c r="AL45" i="3"/>
  <c r="AQ45" i="3"/>
  <c r="AU45" i="3"/>
  <c r="AX45" i="3"/>
  <c r="AT45" i="3"/>
  <c r="AR45" i="3"/>
  <c r="AE41" i="3"/>
  <c r="AS45" i="3"/>
  <c r="AY45" i="3"/>
  <c r="AZ45" i="3"/>
  <c r="AV45" i="3"/>
  <c r="AM45" i="3"/>
  <c r="AN45" i="3"/>
  <c r="AD45" i="3"/>
  <c r="AP36" i="3" l="1"/>
  <c r="AN36" i="3"/>
  <c r="AR36" i="3"/>
  <c r="AE32" i="3"/>
  <c r="AS36" i="3"/>
  <c r="AV36" i="3"/>
  <c r="AK36" i="3"/>
  <c r="AW36" i="3"/>
  <c r="AO36" i="3"/>
  <c r="AZ36" i="3"/>
  <c r="AT36" i="3"/>
  <c r="AD36" i="3"/>
  <c r="AL36" i="3"/>
  <c r="AY36" i="3"/>
  <c r="AQ36" i="3"/>
  <c r="AU36" i="3"/>
  <c r="AM36" i="3"/>
  <c r="AX36" i="3"/>
  <c r="BB40" i="3"/>
  <c r="AB40" i="3"/>
  <c r="AR41" i="3"/>
  <c r="AM41" i="3"/>
  <c r="AD41" i="3"/>
  <c r="AW41" i="3"/>
  <c r="AL41" i="3"/>
  <c r="AN41" i="3"/>
  <c r="AZ41" i="3"/>
  <c r="AP41" i="3"/>
  <c r="AE37" i="3"/>
  <c r="AQ41" i="3"/>
  <c r="AY41" i="3"/>
  <c r="AV41" i="3"/>
  <c r="AT41" i="3"/>
  <c r="AU41" i="3"/>
  <c r="AO41" i="3"/>
  <c r="AX41" i="3"/>
  <c r="AS41" i="3"/>
  <c r="AK41" i="3"/>
  <c r="BB45" i="3"/>
  <c r="AB45" i="3"/>
  <c r="BB41" i="3" l="1"/>
  <c r="AB41" i="3"/>
  <c r="AB36" i="3"/>
  <c r="BB36" i="3"/>
  <c r="AE33" i="3"/>
  <c r="AW37" i="3"/>
  <c r="AX37" i="3"/>
  <c r="AO37" i="3"/>
  <c r="AS37" i="3"/>
  <c r="AQ37" i="3"/>
  <c r="AU37" i="3"/>
  <c r="AY37" i="3"/>
  <c r="AR37" i="3"/>
  <c r="AV37" i="3"/>
  <c r="AK37" i="3"/>
  <c r="AL37" i="3"/>
  <c r="AN37" i="3"/>
  <c r="AT37" i="3"/>
  <c r="AD37" i="3"/>
  <c r="AP37" i="3"/>
  <c r="AM37" i="3"/>
  <c r="AZ37" i="3"/>
  <c r="AQ32" i="3"/>
  <c r="AX32" i="3"/>
  <c r="AP32" i="3"/>
  <c r="AD32" i="3"/>
  <c r="AK32" i="3"/>
  <c r="AT32" i="3"/>
  <c r="AM32" i="3"/>
  <c r="AU32" i="3"/>
  <c r="AY32" i="3"/>
  <c r="AS32" i="3"/>
  <c r="AR32" i="3"/>
  <c r="AV32" i="3"/>
  <c r="AZ32" i="3"/>
  <c r="AO32" i="3"/>
  <c r="AL32" i="3"/>
  <c r="AN32" i="3"/>
  <c r="AE28" i="3"/>
  <c r="AW32" i="3"/>
  <c r="AW33" i="3" l="1"/>
  <c r="AY33" i="3"/>
  <c r="AP33" i="3"/>
  <c r="AX33" i="3"/>
  <c r="AM33" i="3"/>
  <c r="AL33" i="3"/>
  <c r="AO33" i="3"/>
  <c r="AK33" i="3"/>
  <c r="AE29" i="3"/>
  <c r="AR33" i="3"/>
  <c r="AQ33" i="3"/>
  <c r="AU33" i="3"/>
  <c r="AV33" i="3"/>
  <c r="AD33" i="3"/>
  <c r="AZ33" i="3"/>
  <c r="AS33" i="3"/>
  <c r="AN33" i="3"/>
  <c r="AT33" i="3"/>
  <c r="BB37" i="3"/>
  <c r="AB37" i="3"/>
  <c r="AZ28" i="3"/>
  <c r="AM28" i="3"/>
  <c r="AD28" i="3"/>
  <c r="AS28" i="3"/>
  <c r="AT28" i="3"/>
  <c r="AN28" i="3"/>
  <c r="AK28" i="3"/>
  <c r="AX28" i="3"/>
  <c r="AP28" i="3"/>
  <c r="AV28" i="3"/>
  <c r="AQ28" i="3"/>
  <c r="AY28" i="3"/>
  <c r="AW28" i="3"/>
  <c r="AE24" i="3"/>
  <c r="AR28" i="3"/>
  <c r="AU28" i="3"/>
  <c r="AL28" i="3"/>
  <c r="AO28" i="3"/>
  <c r="AB32" i="3"/>
  <c r="BB32" i="3"/>
  <c r="AD29" i="3" l="1"/>
  <c r="AP29" i="3"/>
  <c r="AU29" i="3"/>
  <c r="AL29" i="3"/>
  <c r="AX29" i="3"/>
  <c r="AR29" i="3"/>
  <c r="AS29" i="3"/>
  <c r="AE25" i="3"/>
  <c r="AV29" i="3"/>
  <c r="AM29" i="3"/>
  <c r="AY29" i="3"/>
  <c r="AW29" i="3"/>
  <c r="AQ29" i="3"/>
  <c r="AN29" i="3"/>
  <c r="AZ29" i="3"/>
  <c r="AT29" i="3"/>
  <c r="AO29" i="3"/>
  <c r="AK29" i="3"/>
  <c r="AN24" i="3"/>
  <c r="AY24" i="3"/>
  <c r="AS24" i="3"/>
  <c r="AL24" i="3"/>
  <c r="AM24" i="3"/>
  <c r="AQ24" i="3"/>
  <c r="AZ24" i="3"/>
  <c r="AU24" i="3"/>
  <c r="AE20" i="3"/>
  <c r="AT24" i="3"/>
  <c r="AP24" i="3"/>
  <c r="AK24" i="3"/>
  <c r="AO24" i="3"/>
  <c r="AD24" i="3"/>
  <c r="AW24" i="3"/>
  <c r="AV24" i="3"/>
  <c r="AR24" i="3"/>
  <c r="AX24" i="3"/>
  <c r="BB28" i="3"/>
  <c r="AB28" i="3"/>
  <c r="BB33" i="3"/>
  <c r="AB33" i="3"/>
  <c r="BB24" i="3" l="1"/>
  <c r="AB24" i="3"/>
  <c r="AM20" i="3"/>
  <c r="AS20" i="3"/>
  <c r="AY20" i="3"/>
  <c r="AZ20" i="3"/>
  <c r="AK20" i="3"/>
  <c r="AL20" i="3"/>
  <c r="AQ20" i="3"/>
  <c r="AP20" i="3"/>
  <c r="AV20" i="3"/>
  <c r="AE16" i="3"/>
  <c r="AN20" i="3"/>
  <c r="AW20" i="3"/>
  <c r="AD20" i="3"/>
  <c r="AU20" i="3"/>
  <c r="AT20" i="3"/>
  <c r="AO20" i="3"/>
  <c r="AX20" i="3"/>
  <c r="AR20" i="3"/>
  <c r="AZ25" i="3"/>
  <c r="AN25" i="3"/>
  <c r="AM25" i="3"/>
  <c r="AD25" i="3"/>
  <c r="AR25" i="3"/>
  <c r="AP25" i="3"/>
  <c r="AS25" i="3"/>
  <c r="AQ25" i="3"/>
  <c r="AY25" i="3"/>
  <c r="AX25" i="3"/>
  <c r="AV25" i="3"/>
  <c r="AO25" i="3"/>
  <c r="AK25" i="3"/>
  <c r="AL25" i="3"/>
  <c r="AT25" i="3"/>
  <c r="AE21" i="3"/>
  <c r="AW25" i="3"/>
  <c r="AU25" i="3"/>
  <c r="AB29" i="3"/>
  <c r="BB29" i="3"/>
  <c r="AK21" i="3" l="1"/>
  <c r="AY21" i="3"/>
  <c r="AT21" i="3"/>
  <c r="AD21" i="3"/>
  <c r="AN21" i="3"/>
  <c r="AE17" i="3"/>
  <c r="AU21" i="3"/>
  <c r="AX21" i="3"/>
  <c r="AZ21" i="3"/>
  <c r="AW21" i="3"/>
  <c r="AR21" i="3"/>
  <c r="AV21" i="3"/>
  <c r="AO21" i="3"/>
  <c r="AM21" i="3"/>
  <c r="AS21" i="3"/>
  <c r="AL21" i="3"/>
  <c r="AP21" i="3"/>
  <c r="AQ21" i="3"/>
  <c r="AB25" i="3"/>
  <c r="BB25" i="3"/>
  <c r="AS16" i="3"/>
  <c r="AX16" i="3"/>
  <c r="AN16" i="3"/>
  <c r="AY16" i="3"/>
  <c r="AW16" i="3"/>
  <c r="AP16" i="3"/>
  <c r="AR16" i="3"/>
  <c r="AD16" i="3"/>
  <c r="AT16" i="3"/>
  <c r="AL16" i="3"/>
  <c r="AZ16" i="3"/>
  <c r="AM16" i="3"/>
  <c r="AK16" i="3"/>
  <c r="AV16" i="3"/>
  <c r="AU16" i="3"/>
  <c r="AE12" i="3"/>
  <c r="AO16" i="3"/>
  <c r="AQ16" i="3"/>
  <c r="AB20" i="3"/>
  <c r="BB20" i="3"/>
  <c r="AN17" i="3" l="1"/>
  <c r="AS17" i="3"/>
  <c r="AD17" i="3"/>
  <c r="AV17" i="3"/>
  <c r="AQ17" i="3"/>
  <c r="AZ17" i="3"/>
  <c r="AW17" i="3"/>
  <c r="AK17" i="3"/>
  <c r="AR17" i="3"/>
  <c r="AP17" i="3"/>
  <c r="AL17" i="3"/>
  <c r="AM17" i="3"/>
  <c r="AU17" i="3"/>
  <c r="AE13" i="3"/>
  <c r="AT17" i="3"/>
  <c r="AX17" i="3"/>
  <c r="AO17" i="3"/>
  <c r="AY17" i="3"/>
  <c r="AB16" i="3"/>
  <c r="BB16" i="3"/>
  <c r="AB21" i="3"/>
  <c r="BB21" i="3"/>
  <c r="AN12" i="3"/>
  <c r="AR12" i="3"/>
  <c r="AL12" i="3"/>
  <c r="AW12" i="3"/>
  <c r="AY12" i="3"/>
  <c r="AM12" i="3"/>
  <c r="AS12" i="3"/>
  <c r="AO12" i="3"/>
  <c r="AZ12" i="3"/>
  <c r="AQ12" i="3"/>
  <c r="AD12" i="3"/>
  <c r="AK12" i="3"/>
  <c r="AU12" i="3"/>
  <c r="AX12" i="3"/>
  <c r="AP12" i="3"/>
  <c r="AT12" i="3"/>
  <c r="AV12" i="3"/>
  <c r="BB12" i="3" l="1"/>
  <c r="AB12" i="3"/>
  <c r="AB17" i="3"/>
  <c r="BB17" i="3"/>
  <c r="AE1" i="3"/>
  <c r="AT13" i="3"/>
  <c r="AT1" i="3" s="1"/>
  <c r="AX13" i="3"/>
  <c r="AX1" i="3" s="1"/>
  <c r="AQ13" i="3"/>
  <c r="AQ1" i="3" s="1"/>
  <c r="AK13" i="3"/>
  <c r="AU13" i="3"/>
  <c r="AU1" i="3" s="1"/>
  <c r="AL13" i="3"/>
  <c r="AL1" i="3" s="1"/>
  <c r="AV13" i="3"/>
  <c r="AV1" i="3" s="1"/>
  <c r="AM13" i="3"/>
  <c r="AM1" i="3" s="1"/>
  <c r="AS13" i="3"/>
  <c r="AS1" i="3" s="1"/>
  <c r="AP13" i="3"/>
  <c r="AP1" i="3" s="1"/>
  <c r="AO13" i="3"/>
  <c r="AO1" i="3" s="1"/>
  <c r="AN13" i="3"/>
  <c r="AN1" i="3" s="1"/>
  <c r="AZ13" i="3"/>
  <c r="AZ1" i="3" s="1"/>
  <c r="AW13" i="3"/>
  <c r="AW1" i="3" s="1"/>
  <c r="AD13" i="3"/>
  <c r="AY8" i="3" s="1"/>
  <c r="AY13" i="3"/>
  <c r="AY1" i="3" s="1"/>
  <c r="AR13" i="3"/>
  <c r="AR1" i="3" s="1"/>
  <c r="AD1" i="3" l="1"/>
  <c r="AS4" i="3"/>
  <c r="AN7" i="3"/>
  <c r="AY7" i="3"/>
  <c r="AX5" i="3"/>
  <c r="AZ7" i="3"/>
  <c r="AN4" i="3"/>
  <c r="AY6" i="3"/>
  <c r="AW6" i="3"/>
  <c r="AZ8" i="3"/>
  <c r="AQ7" i="3"/>
  <c r="AZ6" i="3"/>
  <c r="AU8" i="3"/>
  <c r="AT7" i="3"/>
  <c r="AY5" i="3"/>
  <c r="AT6" i="3"/>
  <c r="AP6" i="3"/>
  <c r="AT8" i="3"/>
  <c r="AS8" i="3"/>
  <c r="AO6" i="3"/>
  <c r="AQ6" i="3"/>
  <c r="AP5" i="3"/>
  <c r="AT5" i="3"/>
  <c r="AV6" i="3"/>
  <c r="AX6" i="3"/>
  <c r="AQ8" i="3"/>
  <c r="AV4" i="3"/>
  <c r="AW8" i="3"/>
  <c r="AP8" i="3"/>
  <c r="AS5" i="3"/>
  <c r="AU7" i="3"/>
  <c r="AO8" i="3"/>
  <c r="AX8" i="3"/>
  <c r="AV7" i="3"/>
  <c r="AX4" i="3"/>
  <c r="AU5" i="3"/>
  <c r="AR5" i="3"/>
  <c r="AP4" i="3"/>
  <c r="AK1" i="3"/>
  <c r="AR6" i="3"/>
  <c r="AO7" i="3"/>
  <c r="AT4" i="3"/>
  <c r="AX7" i="3"/>
  <c r="AS6" i="3"/>
  <c r="BB13" i="3"/>
  <c r="BC727" i="3" s="1"/>
  <c r="AB13" i="3"/>
  <c r="Z813" i="3" s="1"/>
  <c r="BA813" i="3" s="1"/>
  <c r="AV8" i="3"/>
  <c r="AZ4" i="3"/>
  <c r="AU4" i="3"/>
  <c r="AO5" i="3"/>
  <c r="AW4" i="3"/>
  <c r="AZ5" i="3"/>
  <c r="AS7" i="3"/>
  <c r="AN8" i="3"/>
  <c r="AQ5" i="3"/>
  <c r="AU6" i="3"/>
  <c r="AO4" i="3"/>
  <c r="AP7" i="3"/>
  <c r="AW5" i="3"/>
  <c r="AQ4" i="3"/>
  <c r="AW7" i="3"/>
  <c r="AR4" i="3"/>
  <c r="AN5" i="3"/>
  <c r="AN6" i="3"/>
  <c r="AR7" i="3"/>
  <c r="AV5" i="3"/>
  <c r="AY4" i="3"/>
  <c r="AR8" i="3"/>
  <c r="BC721" i="3" l="1"/>
  <c r="BC719" i="3"/>
  <c r="Z721" i="3"/>
  <c r="BA721" i="3" s="1"/>
  <c r="BC725" i="3"/>
  <c r="BC706" i="3"/>
  <c r="Z725" i="3"/>
  <c r="BA725" i="3" s="1"/>
  <c r="BC720" i="3"/>
  <c r="BC726" i="3"/>
  <c r="Z720" i="3"/>
  <c r="BA720" i="3" s="1"/>
  <c r="BC724" i="3"/>
  <c r="BC723" i="3"/>
  <c r="Z729" i="3"/>
  <c r="BA729" i="3" s="1"/>
  <c r="BC729" i="3"/>
  <c r="BC710" i="3"/>
  <c r="Z724" i="3"/>
  <c r="BA724" i="3" s="1"/>
  <c r="BC728" i="3"/>
  <c r="BC722" i="3"/>
  <c r="Z728" i="3"/>
  <c r="BA728" i="3" s="1"/>
  <c r="BC709" i="3"/>
  <c r="BC707" i="3"/>
  <c r="Z709" i="3"/>
  <c r="BA709" i="3" s="1"/>
  <c r="Z707" i="3"/>
  <c r="BC708" i="3"/>
  <c r="BC711" i="3"/>
  <c r="Z708" i="3"/>
  <c r="BA708" i="3" s="1"/>
  <c r="Z711" i="3"/>
  <c r="BC713" i="3"/>
  <c r="BC715" i="3"/>
  <c r="Z713" i="3"/>
  <c r="BA713" i="3" s="1"/>
  <c r="Z715" i="3"/>
  <c r="BC717" i="3"/>
  <c r="BC714" i="3"/>
  <c r="Z712" i="3"/>
  <c r="BA712" i="3" s="1"/>
  <c r="Z727" i="3"/>
  <c r="BC712" i="3"/>
  <c r="BC718" i="3"/>
  <c r="Z717" i="3"/>
  <c r="BA717" i="3" s="1"/>
  <c r="Z719" i="3"/>
  <c r="BC716" i="3"/>
  <c r="Z716" i="3"/>
  <c r="BA716" i="3" s="1"/>
  <c r="Z723" i="3"/>
  <c r="BC567" i="3"/>
  <c r="BC571" i="3"/>
  <c r="BC562" i="3"/>
  <c r="BC565" i="3"/>
  <c r="Z565" i="3"/>
  <c r="BA565" i="3" s="1"/>
  <c r="BC564" i="3"/>
  <c r="Z564" i="3"/>
  <c r="BA564" i="3" s="1"/>
  <c r="BC569" i="3"/>
  <c r="Z569" i="3"/>
  <c r="BA569" i="3" s="1"/>
  <c r="BC568" i="3"/>
  <c r="Z568" i="3"/>
  <c r="BA568" i="3" s="1"/>
  <c r="BC573" i="3"/>
  <c r="Z573" i="3"/>
  <c r="BA573" i="3" s="1"/>
  <c r="BC572" i="3"/>
  <c r="Z572" i="3"/>
  <c r="BA572" i="3" s="1"/>
  <c r="BC563" i="3"/>
  <c r="Z567" i="3"/>
  <c r="BC570" i="3"/>
  <c r="Z563" i="3"/>
  <c r="BC566" i="3"/>
  <c r="Z571" i="3"/>
  <c r="BC831" i="3"/>
  <c r="BC273" i="3"/>
  <c r="BC163" i="3"/>
  <c r="BC798" i="3"/>
  <c r="BC862" i="3"/>
  <c r="BC610" i="3"/>
  <c r="BC623" i="3"/>
  <c r="BC861" i="3"/>
  <c r="BC584" i="3"/>
  <c r="BC859" i="3"/>
  <c r="BC598" i="3"/>
  <c r="BC99" i="3"/>
  <c r="BC858" i="3"/>
  <c r="BC329" i="3"/>
  <c r="BC503" i="3"/>
  <c r="BC108" i="3"/>
  <c r="BC362" i="3"/>
  <c r="BC276" i="3"/>
  <c r="BC44" i="3"/>
  <c r="BC156" i="3"/>
  <c r="BC43" i="3"/>
  <c r="BC504" i="3"/>
  <c r="BC493" i="3"/>
  <c r="BC92" i="3"/>
  <c r="BC884" i="3"/>
  <c r="BC776" i="3"/>
  <c r="BC237" i="3"/>
  <c r="BC265" i="3"/>
  <c r="BC375" i="3"/>
  <c r="BC37" i="3"/>
  <c r="BC241" i="3"/>
  <c r="BC22" i="3"/>
  <c r="BC357" i="3"/>
  <c r="BC863" i="3"/>
  <c r="BC626" i="3"/>
  <c r="BC867" i="3"/>
  <c r="BC695" i="3"/>
  <c r="BC167" i="3"/>
  <c r="BC480" i="3"/>
  <c r="BC736" i="3"/>
  <c r="BC489" i="3"/>
  <c r="BC222" i="3"/>
  <c r="BC469" i="3"/>
  <c r="BC416" i="3"/>
  <c r="BC139" i="3"/>
  <c r="BC29" i="3"/>
  <c r="BC397" i="3"/>
  <c r="BC467" i="3"/>
  <c r="BC786" i="3"/>
  <c r="BC408" i="3"/>
  <c r="BC666" i="3"/>
  <c r="BC830" i="3"/>
  <c r="BC495" i="3"/>
  <c r="BC791" i="3"/>
  <c r="BC872" i="3"/>
  <c r="BC674" i="3"/>
  <c r="BC801" i="3"/>
  <c r="BC608" i="3"/>
  <c r="BC527" i="3"/>
  <c r="BC187" i="3"/>
  <c r="BC395" i="3"/>
  <c r="BC866" i="3"/>
  <c r="BC185" i="3"/>
  <c r="BC133" i="3"/>
  <c r="BC254" i="3"/>
  <c r="BC295" i="3"/>
  <c r="BC168" i="3"/>
  <c r="BC264" i="3"/>
  <c r="BC144" i="3"/>
  <c r="BC515" i="3"/>
  <c r="BC283" i="3"/>
  <c r="BC305" i="3"/>
  <c r="BC426" i="3"/>
  <c r="BC54" i="3"/>
  <c r="BC209" i="3"/>
  <c r="BC764" i="3"/>
  <c r="BC606" i="3"/>
  <c r="BC202" i="3"/>
  <c r="BC520" i="3"/>
  <c r="BC170" i="3"/>
  <c r="BC848" i="3"/>
  <c r="BC552" i="3"/>
  <c r="BC302" i="3"/>
  <c r="BC494" i="3"/>
  <c r="BC233" i="3"/>
  <c r="BC548" i="3"/>
  <c r="BC619" i="3"/>
  <c r="BC358" i="3"/>
  <c r="BC350" i="3"/>
  <c r="BC149" i="3"/>
  <c r="BC678" i="3"/>
  <c r="BC311" i="3"/>
  <c r="BC173" i="3"/>
  <c r="BC13" i="3"/>
  <c r="BC806" i="3"/>
  <c r="BC47" i="3"/>
  <c r="BC546" i="3"/>
  <c r="BC800" i="3"/>
  <c r="BC887" i="3"/>
  <c r="BC883" i="3"/>
  <c r="BC763" i="3"/>
  <c r="BC24" i="3"/>
  <c r="BC207" i="3"/>
  <c r="BC545" i="3"/>
  <c r="BC274" i="3"/>
  <c r="BC116" i="3"/>
  <c r="BC68" i="3"/>
  <c r="BC83" i="3"/>
  <c r="BC856" i="3"/>
  <c r="BC809" i="3"/>
  <c r="BC179" i="3"/>
  <c r="BC514" i="3"/>
  <c r="BC787" i="3"/>
  <c r="BC818" i="3"/>
  <c r="BC560" i="3"/>
  <c r="BC523" i="3"/>
  <c r="BC247" i="3"/>
  <c r="BC230" i="3"/>
  <c r="BC640" i="3"/>
  <c r="BC686" i="3"/>
  <c r="BC687" i="3"/>
  <c r="BC541" i="3"/>
  <c r="BC783" i="3"/>
  <c r="BC419" i="3"/>
  <c r="BC39" i="3"/>
  <c r="BC679" i="3"/>
  <c r="BC755" i="3"/>
  <c r="BC332" i="3"/>
  <c r="BC42" i="3"/>
  <c r="BC415" i="3"/>
  <c r="BC262" i="3"/>
  <c r="BC476" i="3"/>
  <c r="BC497" i="3"/>
  <c r="BC461" i="3"/>
  <c r="BC344" i="3"/>
  <c r="BC177" i="3"/>
  <c r="BC355" i="3"/>
  <c r="BC49" i="3"/>
  <c r="BC71" i="3"/>
  <c r="BC138" i="3"/>
  <c r="BC14" i="3"/>
  <c r="BC826" i="3"/>
  <c r="BC360" i="3"/>
  <c r="BC577" i="3"/>
  <c r="BC46" i="3"/>
  <c r="BC103" i="3"/>
  <c r="BC506" i="3"/>
  <c r="BC297" i="3"/>
  <c r="BC347" i="3"/>
  <c r="BC291" i="3"/>
  <c r="BC756" i="3"/>
  <c r="BC775" i="3"/>
  <c r="BC754" i="3"/>
  <c r="BC576" i="3"/>
  <c r="BC319" i="3"/>
  <c r="BC70" i="3"/>
  <c r="BC272" i="3"/>
  <c r="BC429" i="3"/>
  <c r="BC389" i="3"/>
  <c r="BC79" i="3"/>
  <c r="BC81" i="3"/>
  <c r="BC885" i="3"/>
  <c r="BC386" i="3"/>
  <c r="BC528" i="3"/>
  <c r="BC11" i="3"/>
  <c r="BC246" i="3"/>
  <c r="BC211" i="3"/>
  <c r="BC396" i="3"/>
  <c r="BC746" i="3"/>
  <c r="BC334" i="3"/>
  <c r="BC239" i="3"/>
  <c r="BC366" i="3"/>
  <c r="BC341" i="3"/>
  <c r="BC76" i="3"/>
  <c r="BC27" i="3"/>
  <c r="BC880" i="3"/>
  <c r="BC373" i="3"/>
  <c r="BC751" i="3"/>
  <c r="BC850" i="3"/>
  <c r="BC834" i="3"/>
  <c r="BC135" i="3"/>
  <c r="BC346" i="3"/>
  <c r="BC289" i="3"/>
  <c r="BB1" i="3"/>
  <c r="BC114" i="3"/>
  <c r="BC63" i="3"/>
  <c r="BC446" i="3"/>
  <c r="BC750" i="3"/>
  <c r="BC38" i="3"/>
  <c r="BC356" i="3"/>
  <c r="BC89" i="3"/>
  <c r="BC351" i="3"/>
  <c r="BC106" i="3"/>
  <c r="BC499" i="3"/>
  <c r="BC35" i="3"/>
  <c r="BC77" i="3"/>
  <c r="BC157" i="3"/>
  <c r="BC773" i="3"/>
  <c r="BC251" i="3"/>
  <c r="BC580" i="3"/>
  <c r="BC282" i="3"/>
  <c r="BC153" i="3"/>
  <c r="BC460" i="3"/>
  <c r="BC448" i="3"/>
  <c r="BC197" i="3"/>
  <c r="BC243" i="3"/>
  <c r="BC150" i="3"/>
  <c r="BC200" i="3"/>
  <c r="BC747" i="3"/>
  <c r="BC471" i="3"/>
  <c r="BC93" i="3"/>
  <c r="BC229" i="3"/>
  <c r="BC245" i="3"/>
  <c r="BC345" i="3"/>
  <c r="BC55" i="3"/>
  <c r="BC310" i="3"/>
  <c r="BC468" i="3"/>
  <c r="BC171" i="3"/>
  <c r="BC529" i="3"/>
  <c r="BC298" i="3"/>
  <c r="BC487" i="3"/>
  <c r="BC672" i="3"/>
  <c r="BC381" i="3"/>
  <c r="BC644" i="3"/>
  <c r="BC336" i="3"/>
  <c r="BC62" i="3"/>
  <c r="BC314" i="3"/>
  <c r="BC402" i="3"/>
  <c r="BC553" i="3"/>
  <c r="BC281" i="3"/>
  <c r="BC327" i="3"/>
  <c r="BC733" i="3"/>
  <c r="BC561" i="3"/>
  <c r="BC842" i="3"/>
  <c r="BC109" i="3"/>
  <c r="BC651" i="3"/>
  <c r="BC505" i="3"/>
  <c r="BC369" i="3"/>
  <c r="BC447" i="3"/>
  <c r="BC453" i="3"/>
  <c r="BC525" i="3"/>
  <c r="BC811" i="3"/>
  <c r="BC218" i="3"/>
  <c r="BC23" i="3"/>
  <c r="BC50" i="3"/>
  <c r="BC267" i="3"/>
  <c r="BC637" i="3"/>
  <c r="BC162" i="3"/>
  <c r="BC384" i="3"/>
  <c r="BC683" i="3"/>
  <c r="BC444" i="3"/>
  <c r="BC400" i="3"/>
  <c r="BC253" i="3"/>
  <c r="BC490" i="3"/>
  <c r="BC765" i="3"/>
  <c r="BC794" i="3"/>
  <c r="BC73" i="3"/>
  <c r="BC559" i="3"/>
  <c r="BC387" i="3"/>
  <c r="BC293" i="3"/>
  <c r="BC693" i="3"/>
  <c r="BC633" i="3"/>
  <c r="BC881" i="3"/>
  <c r="BC587" i="3"/>
  <c r="BC436" i="3"/>
  <c r="BC578" i="3"/>
  <c r="BC410" i="3"/>
  <c r="BC390" i="3"/>
  <c r="BC123" i="3"/>
  <c r="BC418" i="3"/>
  <c r="BC735" i="3"/>
  <c r="BC583" i="3"/>
  <c r="BC413" i="3"/>
  <c r="BC324" i="3"/>
  <c r="BC700" i="3"/>
  <c r="BC793" i="3"/>
  <c r="BC286" i="3"/>
  <c r="BC34" i="3"/>
  <c r="BC250" i="3"/>
  <c r="BC172" i="3"/>
  <c r="BC486" i="3"/>
  <c r="BC385" i="3"/>
  <c r="BC221" i="3"/>
  <c r="BC860" i="3"/>
  <c r="BC249" i="3"/>
  <c r="BC603" i="3"/>
  <c r="BC292" i="3"/>
  <c r="BC428" i="3"/>
  <c r="BC160" i="3"/>
  <c r="BC575" i="3"/>
  <c r="BC201" i="3"/>
  <c r="BC126" i="3"/>
  <c r="BC403" i="3"/>
  <c r="BC526" i="3"/>
  <c r="BC634" i="3"/>
  <c r="BC398" i="3"/>
  <c r="BC19" i="3"/>
  <c r="BC586" i="3"/>
  <c r="BC303" i="3"/>
  <c r="BC431" i="3"/>
  <c r="BC502" i="3"/>
  <c r="BC807" i="3"/>
  <c r="BC585" i="3"/>
  <c r="BC228" i="3"/>
  <c r="BC877" i="3"/>
  <c r="BC98" i="3"/>
  <c r="BC266" i="3"/>
  <c r="BC371" i="3"/>
  <c r="BC196" i="3"/>
  <c r="BC255" i="3"/>
  <c r="BC797" i="3"/>
  <c r="BC191" i="3"/>
  <c r="BC309" i="3"/>
  <c r="BC642" i="3"/>
  <c r="BC213" i="3"/>
  <c r="BC155" i="3"/>
  <c r="BC744" i="3"/>
  <c r="BC741" i="3"/>
  <c r="BC195" i="3"/>
  <c r="BC691" i="3"/>
  <c r="BC91" i="3"/>
  <c r="BC853" i="3"/>
  <c r="BC650" i="3"/>
  <c r="BC378" i="3"/>
  <c r="BC226" i="3"/>
  <c r="BC322" i="3"/>
  <c r="BC119" i="3"/>
  <c r="BC417" i="3"/>
  <c r="BC437" i="3"/>
  <c r="BC26" i="3"/>
  <c r="BC277" i="3"/>
  <c r="BC328" i="3"/>
  <c r="BC411" i="3"/>
  <c r="BC536" i="3"/>
  <c r="BC127" i="3"/>
  <c r="BC629" i="3"/>
  <c r="BC208" i="3"/>
  <c r="BC607" i="3"/>
  <c r="BC102" i="3"/>
  <c r="BC57" i="3"/>
  <c r="BC128" i="3"/>
  <c r="BC125" i="3"/>
  <c r="BC368" i="3"/>
  <c r="BC352" i="3"/>
  <c r="BC531" i="3"/>
  <c r="BC86" i="3"/>
  <c r="BC600" i="3"/>
  <c r="BC100" i="3"/>
  <c r="BC420" i="3"/>
  <c r="BC392" i="3"/>
  <c r="BC690" i="3"/>
  <c r="BC219" i="3"/>
  <c r="BC829" i="3"/>
  <c r="BC556" i="3"/>
  <c r="BC359" i="3"/>
  <c r="BC819" i="3"/>
  <c r="BC802" i="3"/>
  <c r="BC592" i="3"/>
  <c r="BC113" i="3"/>
  <c r="BC61" i="3"/>
  <c r="BC481" i="3"/>
  <c r="BC803" i="3"/>
  <c r="BC151" i="3"/>
  <c r="BC631" i="3"/>
  <c r="BC698" i="3"/>
  <c r="BC188" i="3"/>
  <c r="BC136" i="3"/>
  <c r="BC833" i="3"/>
  <c r="BC80" i="3"/>
  <c r="BC117" i="3"/>
  <c r="BC87" i="3"/>
  <c r="BC625" i="3"/>
  <c r="BC278" i="3"/>
  <c r="BC743" i="3"/>
  <c r="BC198" i="3"/>
  <c r="BC688" i="3"/>
  <c r="BC670" i="3"/>
  <c r="BC391" i="3"/>
  <c r="BC878" i="3"/>
  <c r="BC263" i="3"/>
  <c r="BC671" i="3"/>
  <c r="BC868" i="3"/>
  <c r="BC662" i="3"/>
  <c r="BC535" i="3"/>
  <c r="BC94" i="3"/>
  <c r="BC414" i="3"/>
  <c r="BC225" i="3"/>
  <c r="BC118" i="3"/>
  <c r="BC217" i="3"/>
  <c r="BC56" i="3"/>
  <c r="BC206" i="3"/>
  <c r="BC824" i="3"/>
  <c r="BC621" i="3"/>
  <c r="BC189" i="3"/>
  <c r="BC383" i="3"/>
  <c r="BC85" i="3"/>
  <c r="BC214" i="3"/>
  <c r="BC785" i="3"/>
  <c r="BC74" i="3"/>
  <c r="BC855" i="3"/>
  <c r="BC601" i="3"/>
  <c r="BC882" i="3"/>
  <c r="BC742" i="3"/>
  <c r="BC183" i="3"/>
  <c r="BC518" i="3"/>
  <c r="BC748" i="3"/>
  <c r="BC591" i="3"/>
  <c r="BC542" i="3"/>
  <c r="BC269" i="3"/>
  <c r="BC649" i="3"/>
  <c r="BC752" i="3"/>
  <c r="BC597" i="3"/>
  <c r="BC66" i="3"/>
  <c r="BC377" i="3"/>
  <c r="BC821" i="3"/>
  <c r="BC145" i="3"/>
  <c r="BC97" i="3"/>
  <c r="BC657" i="3"/>
  <c r="BC652" i="3"/>
  <c r="BC337" i="3"/>
  <c r="BC681" i="3"/>
  <c r="BC641" i="3"/>
  <c r="BC810" i="3"/>
  <c r="BC404" i="3"/>
  <c r="BC836" i="3"/>
  <c r="BC827" i="3"/>
  <c r="BC258" i="3"/>
  <c r="BC159" i="3"/>
  <c r="BC422" i="3"/>
  <c r="BC363" i="3"/>
  <c r="BC152" i="3"/>
  <c r="BC353" i="3"/>
  <c r="BC703" i="3"/>
  <c r="BC654" i="3"/>
  <c r="BC788" i="3"/>
  <c r="BC492" i="3"/>
  <c r="BC645" i="3"/>
  <c r="BC738" i="3"/>
  <c r="BC639" i="3"/>
  <c r="BC174" i="3"/>
  <c r="BC407" i="3"/>
  <c r="BC176" i="3"/>
  <c r="BC845" i="3"/>
  <c r="BC203" i="3"/>
  <c r="BC602" i="3"/>
  <c r="BC64" i="3"/>
  <c r="BC839" i="3"/>
  <c r="BC441" i="3"/>
  <c r="BC701" i="3"/>
  <c r="BC766" i="3"/>
  <c r="BC851" i="3"/>
  <c r="BC143" i="3"/>
  <c r="BC32" i="3"/>
  <c r="BC828" i="3"/>
  <c r="BC257" i="3"/>
  <c r="BC134" i="3"/>
  <c r="BC304" i="3"/>
  <c r="BC475" i="3"/>
  <c r="BC479" i="3"/>
  <c r="BC595" i="3"/>
  <c r="BC101" i="3"/>
  <c r="BC852" i="3"/>
  <c r="BC589" i="3"/>
  <c r="BC647" i="3"/>
  <c r="BC190" i="3"/>
  <c r="BC69" i="3"/>
  <c r="BC204" i="3"/>
  <c r="BC112" i="3"/>
  <c r="BC427" i="3"/>
  <c r="BC394" i="3"/>
  <c r="BC333" i="3"/>
  <c r="BC823" i="3"/>
  <c r="BC615" i="3"/>
  <c r="BC799" i="3"/>
  <c r="BC590" i="3"/>
  <c r="BC111" i="3"/>
  <c r="BC158" i="3"/>
  <c r="BC435" i="3"/>
  <c r="BC146" i="3"/>
  <c r="BC445" i="3"/>
  <c r="BC618" i="3"/>
  <c r="BC507" i="3"/>
  <c r="BC483" i="3"/>
  <c r="BC704" i="3"/>
  <c r="BC599" i="3"/>
  <c r="BC120" i="3"/>
  <c r="BC660" i="3"/>
  <c r="BC331" i="3"/>
  <c r="BC812" i="3"/>
  <c r="BC540" i="3"/>
  <c r="BC450" i="3"/>
  <c r="BC349" i="3"/>
  <c r="BC313" i="3"/>
  <c r="BC498" i="3"/>
  <c r="BC124" i="3"/>
  <c r="BC539" i="3"/>
  <c r="BC227" i="3"/>
  <c r="BC771" i="3"/>
  <c r="BC51" i="3"/>
  <c r="BC846" i="3"/>
  <c r="BC235" i="3"/>
  <c r="BC579" i="3"/>
  <c r="BC543" i="3"/>
  <c r="BC364" i="3"/>
  <c r="BC107" i="3"/>
  <c r="BC777" i="3"/>
  <c r="BC370" i="3"/>
  <c r="BC338" i="3"/>
  <c r="BC316" i="3"/>
  <c r="BC705" i="3"/>
  <c r="BC500" i="3"/>
  <c r="BC737" i="3"/>
  <c r="BC843" i="3"/>
  <c r="BC509" i="3"/>
  <c r="BC399" i="3"/>
  <c r="BC465" i="3"/>
  <c r="BC521" i="3"/>
  <c r="BC443" i="3"/>
  <c r="BC501" i="3"/>
  <c r="BC335" i="3"/>
  <c r="BC832" i="3"/>
  <c r="BC315" i="3"/>
  <c r="BC296" i="3"/>
  <c r="BC740" i="3"/>
  <c r="BC582" i="3"/>
  <c r="BC60" i="3"/>
  <c r="BC789" i="3"/>
  <c r="BC847" i="3"/>
  <c r="BC588" i="3"/>
  <c r="BC463" i="3"/>
  <c r="BC165" i="3"/>
  <c r="BC401" i="3"/>
  <c r="BC817" i="3"/>
  <c r="BC15" i="3"/>
  <c r="BC432" i="3"/>
  <c r="BC439" i="3"/>
  <c r="BC129" i="3"/>
  <c r="BC805" i="3"/>
  <c r="BC659" i="3"/>
  <c r="BC613" i="3"/>
  <c r="BC30" i="3"/>
  <c r="BC669" i="3"/>
  <c r="BC434" i="3"/>
  <c r="BC275" i="3"/>
  <c r="BC409" i="3"/>
  <c r="BC694" i="3"/>
  <c r="BC815" i="3"/>
  <c r="BC731" i="3"/>
  <c r="BC857" i="3"/>
  <c r="BC870" i="3"/>
  <c r="BC795" i="3"/>
  <c r="BC52" i="3"/>
  <c r="BC594" i="3"/>
  <c r="BC321" i="3"/>
  <c r="BC339" i="3"/>
  <c r="BC581" i="3"/>
  <c r="BC632" i="3"/>
  <c r="BC682" i="3"/>
  <c r="BC574" i="3"/>
  <c r="BC193" i="3"/>
  <c r="BC550" i="3"/>
  <c r="BC279" i="3"/>
  <c r="BC519" i="3"/>
  <c r="BC622" i="3"/>
  <c r="BC865" i="3"/>
  <c r="BC508" i="3"/>
  <c r="BC40" i="3"/>
  <c r="BC781" i="3"/>
  <c r="BC473" i="3"/>
  <c r="BC451" i="3"/>
  <c r="BC458" i="3"/>
  <c r="BC684" i="3"/>
  <c r="BC655" i="3"/>
  <c r="BC287" i="3"/>
  <c r="BC130" i="3"/>
  <c r="BC689" i="3"/>
  <c r="BC665" i="3"/>
  <c r="BC307" i="3"/>
  <c r="BC533" i="3"/>
  <c r="BC25" i="3"/>
  <c r="BC285" i="3"/>
  <c r="BC772" i="3"/>
  <c r="BC816" i="3"/>
  <c r="BC59" i="3"/>
  <c r="BC288" i="3"/>
  <c r="BC557" i="3"/>
  <c r="BC380" i="3"/>
  <c r="BC888" i="3"/>
  <c r="BC638" i="3"/>
  <c r="BC438" i="3"/>
  <c r="BC604" i="3"/>
  <c r="BC876" i="3"/>
  <c r="BC482" i="3"/>
  <c r="BC90" i="3"/>
  <c r="BC231" i="3"/>
  <c r="BC611" i="3"/>
  <c r="BC342" i="3"/>
  <c r="BC244" i="3"/>
  <c r="BC680" i="3"/>
  <c r="BC820" i="3"/>
  <c r="BC72" i="3"/>
  <c r="BC782" i="3"/>
  <c r="BC470" i="3"/>
  <c r="BC182" i="3"/>
  <c r="BC317" i="3"/>
  <c r="BC769" i="3"/>
  <c r="BC739" i="3"/>
  <c r="BC449" i="3"/>
  <c r="BC161" i="3"/>
  <c r="BC630" i="3"/>
  <c r="BC308" i="3"/>
  <c r="BC36" i="3"/>
  <c r="BC290" i="3"/>
  <c r="BC517" i="3"/>
  <c r="BC205" i="3"/>
  <c r="BC849" i="3"/>
  <c r="BC617" i="3"/>
  <c r="BC544" i="3"/>
  <c r="BC768" i="3"/>
  <c r="BC516" i="3"/>
  <c r="BC734" i="3"/>
  <c r="BC18" i="3"/>
  <c r="BC538" i="3"/>
  <c r="BC455" i="3"/>
  <c r="BC532" i="3"/>
  <c r="BC343" i="3"/>
  <c r="BC778" i="3"/>
  <c r="BC252" i="3"/>
  <c r="BC299" i="3"/>
  <c r="BC814" i="3"/>
  <c r="BC132" i="3"/>
  <c r="BC730" i="3"/>
  <c r="BC760" i="3"/>
  <c r="BC616" i="3"/>
  <c r="BC115" i="3"/>
  <c r="BC215" i="3"/>
  <c r="BC325" i="3"/>
  <c r="BC676" i="3"/>
  <c r="BC478" i="3"/>
  <c r="BC609" i="3"/>
  <c r="BC137" i="3"/>
  <c r="BC65" i="3"/>
  <c r="BC699" i="3"/>
  <c r="BC212" i="3"/>
  <c r="BC614" i="3"/>
  <c r="BC31" i="3"/>
  <c r="BC300" i="3"/>
  <c r="BC620" i="3"/>
  <c r="BC82" i="3"/>
  <c r="BC462" i="3"/>
  <c r="BC20" i="3"/>
  <c r="BC67" i="3"/>
  <c r="BC164" i="3"/>
  <c r="BC864" i="3"/>
  <c r="BC220" i="3"/>
  <c r="BC873" i="3"/>
  <c r="BC886" i="3"/>
  <c r="BC464" i="3"/>
  <c r="BC45" i="3"/>
  <c r="BC635" i="3"/>
  <c r="BC367" i="3"/>
  <c r="BC522" i="3"/>
  <c r="BC423" i="3"/>
  <c r="BC271" i="3"/>
  <c r="BC58" i="3"/>
  <c r="BC53" i="3"/>
  <c r="BC779" i="3"/>
  <c r="BC306" i="3"/>
  <c r="BC661" i="3"/>
  <c r="BC770" i="3"/>
  <c r="BC216" i="3"/>
  <c r="BC485" i="3"/>
  <c r="BC790" i="3"/>
  <c r="BC875" i="3"/>
  <c r="BC466" i="3"/>
  <c r="BC142" i="3"/>
  <c r="BC484" i="3"/>
  <c r="BC459" i="3"/>
  <c r="BC879" i="3"/>
  <c r="BC425" i="3"/>
  <c r="BC256" i="3"/>
  <c r="BC656" i="3"/>
  <c r="BC549" i="3"/>
  <c r="BC796" i="3"/>
  <c r="BC653" i="3"/>
  <c r="BC236" i="3"/>
  <c r="BC405" i="3"/>
  <c r="BC732" i="3"/>
  <c r="BC238" i="3"/>
  <c r="BC284" i="3"/>
  <c r="BC762" i="3"/>
  <c r="BC658" i="3"/>
  <c r="BC365" i="3"/>
  <c r="BC121" i="3"/>
  <c r="BC430" i="3"/>
  <c r="BC199" i="3"/>
  <c r="BC612" i="3"/>
  <c r="BC547" i="3"/>
  <c r="BC374" i="3"/>
  <c r="BC664" i="3"/>
  <c r="BC194" i="3"/>
  <c r="BC424" i="3"/>
  <c r="BC841" i="3"/>
  <c r="BC10" i="3"/>
  <c r="BC558" i="3"/>
  <c r="BC178" i="3"/>
  <c r="BC442" i="3"/>
  <c r="BC122" i="3"/>
  <c r="BC96" i="3"/>
  <c r="BC406" i="3"/>
  <c r="BC513" i="3"/>
  <c r="BC78" i="3"/>
  <c r="BC372" i="3"/>
  <c r="BC555" i="3"/>
  <c r="BC169" i="3"/>
  <c r="BC280" i="3"/>
  <c r="BC320" i="3"/>
  <c r="BC774" i="3"/>
  <c r="BC537" i="3"/>
  <c r="BC767" i="3"/>
  <c r="BC804" i="3"/>
  <c r="BC340" i="3"/>
  <c r="BC388" i="3"/>
  <c r="BC837" i="3"/>
  <c r="BC524" i="3"/>
  <c r="BC673" i="3"/>
  <c r="BC323" i="3"/>
  <c r="BC530" i="3"/>
  <c r="BC75" i="3"/>
  <c r="BC551" i="3"/>
  <c r="BC457" i="3"/>
  <c r="BC361" i="3"/>
  <c r="BC692" i="3"/>
  <c r="BC88" i="3"/>
  <c r="BC110" i="3"/>
  <c r="BC186" i="3"/>
  <c r="BC148" i="3"/>
  <c r="BC496" i="3"/>
  <c r="BC180" i="3"/>
  <c r="BC627" i="3"/>
  <c r="BC840" i="3"/>
  <c r="BC84" i="3"/>
  <c r="BC33" i="3"/>
  <c r="BC181" i="3"/>
  <c r="BC643" i="3"/>
  <c r="BC477" i="3"/>
  <c r="BC184" i="3"/>
  <c r="BC354" i="3"/>
  <c r="BC636" i="3"/>
  <c r="BC376" i="3"/>
  <c r="BC663" i="3"/>
  <c r="BC757" i="3"/>
  <c r="BC624" i="3"/>
  <c r="BC813" i="3"/>
  <c r="BC131" i="3"/>
  <c r="BC646" i="3"/>
  <c r="BC838" i="3"/>
  <c r="BC456" i="3"/>
  <c r="BC412" i="3"/>
  <c r="BC510" i="3"/>
  <c r="BC301" i="3"/>
  <c r="BC474" i="3"/>
  <c r="BC348" i="3"/>
  <c r="BC440" i="3"/>
  <c r="BC95" i="3"/>
  <c r="BC761" i="3"/>
  <c r="BC874" i="3"/>
  <c r="BC854" i="3"/>
  <c r="BC488" i="3"/>
  <c r="BC472" i="3"/>
  <c r="BC677" i="3"/>
  <c r="BC268" i="3"/>
  <c r="BC758" i="3"/>
  <c r="BC667" i="3"/>
  <c r="BC511" i="3"/>
  <c r="BC869" i="3"/>
  <c r="BC753" i="3"/>
  <c r="BC871" i="3"/>
  <c r="BC822" i="3"/>
  <c r="BC147" i="3"/>
  <c r="BC648" i="3"/>
  <c r="BC605" i="3"/>
  <c r="BC808" i="3"/>
  <c r="BC668" i="3"/>
  <c r="BC702" i="3"/>
  <c r="BC242" i="3"/>
  <c r="BC154" i="3"/>
  <c r="BC697" i="3"/>
  <c r="BC491" i="3"/>
  <c r="BC232" i="3"/>
  <c r="BC270" i="3"/>
  <c r="BC784" i="3"/>
  <c r="BC379" i="3"/>
  <c r="BC294" i="3"/>
  <c r="BC780" i="3"/>
  <c r="BC792" i="3"/>
  <c r="BC844" i="3"/>
  <c r="BC141" i="3"/>
  <c r="BC248" i="3"/>
  <c r="BC421" i="3"/>
  <c r="BC28" i="3"/>
  <c r="BC48" i="3"/>
  <c r="BC675" i="3"/>
  <c r="BC140" i="3"/>
  <c r="BC749" i="3"/>
  <c r="BC593" i="3"/>
  <c r="BC105" i="3"/>
  <c r="BC628" i="3"/>
  <c r="BC685" i="3"/>
  <c r="BC596" i="3"/>
  <c r="BC330" i="3"/>
  <c r="BC696" i="3"/>
  <c r="BC41" i="3"/>
  <c r="BC454" i="3"/>
  <c r="BC234" i="3"/>
  <c r="BC21" i="3"/>
  <c r="BC16" i="3"/>
  <c r="BC192" i="3"/>
  <c r="BC259" i="3"/>
  <c r="BC210" i="3"/>
  <c r="BC835" i="3"/>
  <c r="BC433" i="3"/>
  <c r="BC759" i="3"/>
  <c r="BC318" i="3"/>
  <c r="BC166" i="3"/>
  <c r="BC512" i="3"/>
  <c r="BC393" i="3"/>
  <c r="BC223" i="3"/>
  <c r="BC261" i="3"/>
  <c r="BC224" i="3"/>
  <c r="BC825" i="3"/>
  <c r="BC745" i="3"/>
  <c r="BC554" i="3"/>
  <c r="BC104" i="3"/>
  <c r="BC534" i="3"/>
  <c r="BC175" i="3"/>
  <c r="BC312" i="3"/>
  <c r="BC382" i="3"/>
  <c r="BC260" i="3"/>
  <c r="BC240" i="3"/>
  <c r="BC326" i="3"/>
  <c r="BC452" i="3"/>
  <c r="Z675" i="3"/>
  <c r="Z674" i="3" s="1"/>
  <c r="BA674" i="3" s="1"/>
  <c r="Z833" i="3"/>
  <c r="BA833" i="3" s="1"/>
  <c r="Z803" i="3"/>
  <c r="BA803" i="3" s="1"/>
  <c r="Z209" i="3"/>
  <c r="BA209" i="3" s="1"/>
  <c r="Z751" i="3"/>
  <c r="BA751" i="3" s="1"/>
  <c r="Z733" i="3"/>
  <c r="BA733" i="3" s="1"/>
  <c r="Z427" i="3"/>
  <c r="Z426" i="3" s="1"/>
  <c r="BA426" i="3" s="1"/>
  <c r="Z488" i="3"/>
  <c r="BA488" i="3" s="1"/>
  <c r="Z856" i="3"/>
  <c r="BA856" i="3" s="1"/>
  <c r="Z667" i="3"/>
  <c r="Z666" i="3" s="1"/>
  <c r="BA666" i="3" s="1"/>
  <c r="Z329" i="3"/>
  <c r="BA329" i="3" s="1"/>
  <c r="Z577" i="3"/>
  <c r="BA577" i="3" s="1"/>
  <c r="Z173" i="3"/>
  <c r="BA173" i="3" s="1"/>
  <c r="Z197" i="3"/>
  <c r="BA197" i="3" s="1"/>
  <c r="Z868" i="3"/>
  <c r="BA868" i="3" s="1"/>
  <c r="Z448" i="3"/>
  <c r="BA448" i="3" s="1"/>
  <c r="Z777" i="3"/>
  <c r="BA777" i="3" s="1"/>
  <c r="Z103" i="3"/>
  <c r="Z102" i="3" s="1"/>
  <c r="BA102" i="3" s="1"/>
  <c r="Z260" i="3"/>
  <c r="BA260" i="3" s="1"/>
  <c r="Z489" i="3"/>
  <c r="BA489" i="3" s="1"/>
  <c r="Z453" i="3"/>
  <c r="BA453" i="3" s="1"/>
  <c r="Z795" i="3"/>
  <c r="BA795" i="3" s="1"/>
  <c r="Z809" i="3"/>
  <c r="BA809" i="3" s="1"/>
  <c r="Z97" i="3"/>
  <c r="BA97" i="3" s="1"/>
  <c r="Z471" i="3"/>
  <c r="BA471" i="3" s="1"/>
  <c r="Z421" i="3"/>
  <c r="BA421" i="3" s="1"/>
  <c r="Z245" i="3"/>
  <c r="BA245" i="3" s="1"/>
  <c r="Z520" i="3"/>
  <c r="BA520" i="3" s="1"/>
  <c r="Z207" i="3"/>
  <c r="Z206" i="3" s="1"/>
  <c r="BA206" i="3" s="1"/>
  <c r="Z812" i="3"/>
  <c r="BA812" i="3" s="1"/>
  <c r="Z649" i="3"/>
  <c r="BA649" i="3" s="1"/>
  <c r="Z800" i="3"/>
  <c r="BA800" i="3" s="1"/>
  <c r="Z380" i="3"/>
  <c r="BA380" i="3" s="1"/>
  <c r="Z304" i="3"/>
  <c r="BA304" i="3" s="1"/>
  <c r="Z135" i="3"/>
  <c r="Z134" i="3" s="1"/>
  <c r="BA134" i="3" s="1"/>
  <c r="Z676" i="3"/>
  <c r="BA676" i="3" s="1"/>
  <c r="Z499" i="3"/>
  <c r="BA499" i="3" s="1"/>
  <c r="Z179" i="3"/>
  <c r="BA179" i="3" s="1"/>
  <c r="Z116" i="3"/>
  <c r="BA116" i="3" s="1"/>
  <c r="Z20" i="3"/>
  <c r="BA20" i="3" s="1"/>
  <c r="Z428" i="3"/>
  <c r="BA428" i="3" s="1"/>
  <c r="Z732" i="3"/>
  <c r="BA732" i="3" s="1"/>
  <c r="Z857" i="3"/>
  <c r="BA857" i="3" s="1"/>
  <c r="Z524" i="3"/>
  <c r="BA524" i="3" s="1"/>
  <c r="Z368" i="3"/>
  <c r="BA368" i="3" s="1"/>
  <c r="Z259" i="3"/>
  <c r="Z258" i="3" s="1"/>
  <c r="BA258" i="3" s="1"/>
  <c r="Z593" i="3"/>
  <c r="BA593" i="3" s="1"/>
  <c r="Z17" i="3"/>
  <c r="BA17" i="3" s="1"/>
  <c r="Z144" i="3"/>
  <c r="BA144" i="3" s="1"/>
  <c r="Z305" i="3"/>
  <c r="BA305" i="3" s="1"/>
  <c r="Z145" i="3"/>
  <c r="BA145" i="3" s="1"/>
  <c r="Z780" i="3"/>
  <c r="BA780" i="3" s="1"/>
  <c r="Z623" i="3"/>
  <c r="BA623" i="3" s="1"/>
  <c r="Z271" i="3"/>
  <c r="Z270" i="3" s="1"/>
  <c r="BA270" i="3" s="1"/>
  <c r="Z47" i="3"/>
  <c r="BA47" i="3" s="1"/>
  <c r="Z413" i="3"/>
  <c r="BA413" i="3" s="1"/>
  <c r="Z439" i="3"/>
  <c r="BA439" i="3" s="1"/>
  <c r="Z496" i="3"/>
  <c r="BA496" i="3" s="1"/>
  <c r="Z35" i="3"/>
  <c r="Z34" i="3" s="1"/>
  <c r="BA34" i="3" s="1"/>
  <c r="Z512" i="3"/>
  <c r="BA512" i="3" s="1"/>
  <c r="Z180" i="3"/>
  <c r="BA180" i="3" s="1"/>
  <c r="Z91" i="3"/>
  <c r="Z90" i="3" s="1"/>
  <c r="BA90" i="3" s="1"/>
  <c r="Z829" i="3"/>
  <c r="BA829" i="3" s="1"/>
  <c r="Z188" i="3"/>
  <c r="BA188" i="3" s="1"/>
  <c r="Z243" i="3"/>
  <c r="BA243" i="3" s="1"/>
  <c r="Z787" i="3"/>
  <c r="Z786" i="3" s="1"/>
  <c r="BA786" i="3" s="1"/>
  <c r="Z340" i="3"/>
  <c r="BA340" i="3" s="1"/>
  <c r="Z695" i="3"/>
  <c r="Z694" i="3" s="1"/>
  <c r="BA694" i="3" s="1"/>
  <c r="Z75" i="3"/>
  <c r="Z74" i="3" s="1"/>
  <c r="BA74" i="3" s="1"/>
  <c r="Z627" i="3"/>
  <c r="Z626" i="3" s="1"/>
  <c r="BA626" i="3" s="1"/>
  <c r="Z625" i="3"/>
  <c r="BA625" i="3" s="1"/>
  <c r="Z600" i="3"/>
  <c r="BA600" i="3" s="1"/>
  <c r="Z500" i="3"/>
  <c r="BA500" i="3" s="1"/>
  <c r="Z40" i="3"/>
  <c r="BA40" i="3" s="1"/>
  <c r="Z204" i="3"/>
  <c r="BA204" i="3" s="1"/>
  <c r="Z256" i="3"/>
  <c r="BA256" i="3" s="1"/>
  <c r="Z661" i="3"/>
  <c r="BA661" i="3" s="1"/>
  <c r="Z849" i="3"/>
  <c r="BA849" i="3" s="1"/>
  <c r="Z432" i="3"/>
  <c r="BA432" i="3" s="1"/>
  <c r="Z249" i="3"/>
  <c r="BA249" i="3" s="1"/>
  <c r="Z781" i="3"/>
  <c r="BA781" i="3" s="1"/>
  <c r="Z384" i="3"/>
  <c r="BA384" i="3" s="1"/>
  <c r="Z557" i="3"/>
  <c r="BA557" i="3" s="1"/>
  <c r="Z23" i="3"/>
  <c r="BA23" i="3" s="1"/>
  <c r="Z199" i="3"/>
  <c r="Z198" i="3" s="1"/>
  <c r="BA198" i="3" s="1"/>
  <c r="Z865" i="3"/>
  <c r="BA865" i="3" s="1"/>
  <c r="Z349" i="3"/>
  <c r="BA349" i="3" s="1"/>
  <c r="Z631" i="3"/>
  <c r="BA631" i="3" s="1"/>
  <c r="Z771" i="3"/>
  <c r="Z770" i="3" s="1"/>
  <c r="BA770" i="3" s="1"/>
  <c r="Z327" i="3"/>
  <c r="BA327" i="3" s="1"/>
  <c r="Z480" i="3"/>
  <c r="BA480" i="3" s="1"/>
  <c r="Z337" i="3"/>
  <c r="BA337" i="3" s="1"/>
  <c r="Z195" i="3"/>
  <c r="BA195" i="3" s="1"/>
  <c r="Z391" i="3"/>
  <c r="Z390" i="3" s="1"/>
  <c r="BA390" i="3" s="1"/>
  <c r="Z313" i="3"/>
  <c r="BA313" i="3" s="1"/>
  <c r="Z193" i="3"/>
  <c r="BA193" i="3" s="1"/>
  <c r="Z76" i="3"/>
  <c r="BA76" i="3" s="1"/>
  <c r="Z11" i="3"/>
  <c r="Z10" i="3" s="1"/>
  <c r="Z255" i="3"/>
  <c r="Z254" i="3" s="1"/>
  <c r="BA254" i="3" s="1"/>
  <c r="Z69" i="3"/>
  <c r="BA69" i="3" s="1"/>
  <c r="Z212" i="3"/>
  <c r="BA212" i="3" s="1"/>
  <c r="Z789" i="3"/>
  <c r="BA789" i="3" s="1"/>
  <c r="Z411" i="3"/>
  <c r="BA411" i="3" s="1"/>
  <c r="Z231" i="3"/>
  <c r="Z230" i="3" s="1"/>
  <c r="BA230" i="3" s="1"/>
  <c r="Z285" i="3"/>
  <c r="BA285" i="3" s="1"/>
  <c r="Z61" i="3"/>
  <c r="BA61" i="3" s="1"/>
  <c r="Z52" i="3"/>
  <c r="BA52" i="3" s="1"/>
  <c r="Z677" i="3"/>
  <c r="BA677" i="3" s="1"/>
  <c r="Z659" i="3"/>
  <c r="BA659" i="3" s="1"/>
  <c r="Z415" i="3"/>
  <c r="BA415" i="3" s="1"/>
  <c r="Z651" i="3"/>
  <c r="Z650" i="3" s="1"/>
  <c r="BA650" i="3" s="1"/>
  <c r="Z645" i="3"/>
  <c r="BA645" i="3" s="1"/>
  <c r="Z333" i="3"/>
  <c r="BA333" i="3" s="1"/>
  <c r="Z317" i="3"/>
  <c r="BA317" i="3" s="1"/>
  <c r="Z299" i="3"/>
  <c r="BA299" i="3" s="1"/>
  <c r="Z43" i="3"/>
  <c r="Z42" i="3" s="1"/>
  <c r="BA42" i="3" s="1"/>
  <c r="Z879" i="3"/>
  <c r="BA879" i="3" s="1"/>
  <c r="Z237" i="3"/>
  <c r="BA237" i="3" s="1"/>
  <c r="Z129" i="3"/>
  <c r="BA129" i="3" s="1"/>
  <c r="Z395" i="3"/>
  <c r="BA395" i="3" s="1"/>
  <c r="Z297" i="3"/>
  <c r="BA297" i="3" s="1"/>
  <c r="Z95" i="3"/>
  <c r="Z94" i="3" s="1"/>
  <c r="BA94" i="3" s="1"/>
  <c r="Z580" i="3"/>
  <c r="BA580" i="3" s="1"/>
  <c r="Z536" i="3"/>
  <c r="BA536" i="3" s="1"/>
  <c r="Z851" i="3"/>
  <c r="BA851" i="3" s="1"/>
  <c r="Z863" i="3"/>
  <c r="BA863" i="3" s="1"/>
  <c r="Z547" i="3"/>
  <c r="BA547" i="3" s="1"/>
  <c r="Z775" i="3"/>
  <c r="BA775" i="3" s="1"/>
  <c r="Z483" i="3"/>
  <c r="BA483" i="3" s="1"/>
  <c r="Z445" i="3"/>
  <c r="BA445" i="3" s="1"/>
  <c r="Z385" i="3"/>
  <c r="BA385" i="3" s="1"/>
  <c r="Z476" i="3"/>
  <c r="BA476" i="3" s="1"/>
  <c r="Z679" i="3"/>
  <c r="Z678" i="3" s="1"/>
  <c r="BA678" i="3" s="1"/>
  <c r="Z848" i="3"/>
  <c r="BA848" i="3" s="1"/>
  <c r="Z416" i="3"/>
  <c r="BA416" i="3" s="1"/>
  <c r="Z544" i="3"/>
  <c r="BA544" i="3" s="1"/>
  <c r="Z528" i="3"/>
  <c r="BA528" i="3" s="1"/>
  <c r="Z459" i="3"/>
  <c r="BA459" i="3" s="1"/>
  <c r="Z841" i="3"/>
  <c r="BA841" i="3" s="1"/>
  <c r="Z283" i="3"/>
  <c r="BA283" i="3" s="1"/>
  <c r="Z861" i="3"/>
  <c r="BA861" i="3" s="1"/>
  <c r="Z215" i="3"/>
  <c r="BA215" i="3" s="1"/>
  <c r="AB1" i="3"/>
  <c r="Z12" i="3"/>
  <c r="BA12" i="3" s="1"/>
  <c r="Z701" i="3"/>
  <c r="BA701" i="3" s="1"/>
  <c r="Z60" i="3"/>
  <c r="BA60" i="3" s="1"/>
  <c r="Z324" i="3"/>
  <c r="BA324" i="3" s="1"/>
  <c r="Z244" i="3"/>
  <c r="BA244" i="3" s="1"/>
  <c r="Z87" i="3"/>
  <c r="BA87" i="3" s="1"/>
  <c r="Z839" i="3"/>
  <c r="Z838" i="3" s="1"/>
  <c r="BA838" i="3" s="1"/>
  <c r="Z696" i="3"/>
  <c r="BA696" i="3" s="1"/>
  <c r="Z241" i="3"/>
  <c r="BA241" i="3" s="1"/>
  <c r="Z295" i="3"/>
  <c r="Z294" i="3" s="1"/>
  <c r="BA294" i="3" s="1"/>
  <c r="Z356" i="3"/>
  <c r="BA356" i="3" s="1"/>
  <c r="Z408" i="3"/>
  <c r="BA408" i="3" s="1"/>
  <c r="Z227" i="3"/>
  <c r="Z226" i="3" s="1"/>
  <c r="BA226" i="3" s="1"/>
  <c r="Z128" i="3"/>
  <c r="BA128" i="3" s="1"/>
  <c r="Z228" i="3"/>
  <c r="BA228" i="3" s="1"/>
  <c r="Z263" i="3"/>
  <c r="BA263" i="3" s="1"/>
  <c r="Z687" i="3"/>
  <c r="BA687" i="3" s="1"/>
  <c r="Z201" i="3"/>
  <c r="BA201" i="3" s="1"/>
  <c r="Z56" i="3"/>
  <c r="BA56" i="3" s="1"/>
  <c r="Z53" i="3"/>
  <c r="BA53" i="3" s="1"/>
  <c r="Z393" i="3"/>
  <c r="BA393" i="3" s="1"/>
  <c r="Z412" i="3"/>
  <c r="BA412" i="3" s="1"/>
  <c r="Z880" i="3"/>
  <c r="BA880" i="3" s="1"/>
  <c r="Z71" i="3"/>
  <c r="BA71" i="3" s="1"/>
  <c r="Z516" i="3"/>
  <c r="BA516" i="3" s="1"/>
  <c r="Z821" i="3"/>
  <c r="BA821" i="3" s="1"/>
  <c r="Z579" i="3"/>
  <c r="Z578" i="3" s="1"/>
  <c r="BA578" i="3" s="1"/>
  <c r="Z48" i="3"/>
  <c r="BA48" i="3" s="1"/>
  <c r="Z105" i="3"/>
  <c r="BA105" i="3" s="1"/>
  <c r="Z312" i="3"/>
  <c r="BA312" i="3" s="1"/>
  <c r="Z331" i="3"/>
  <c r="BA331" i="3" s="1"/>
  <c r="Z768" i="3"/>
  <c r="BA768" i="3" s="1"/>
  <c r="Z49" i="3"/>
  <c r="BA49" i="3" s="1"/>
  <c r="Z576" i="3"/>
  <c r="BA576" i="3" s="1"/>
  <c r="Z185" i="3"/>
  <c r="BA185" i="3" s="1"/>
  <c r="Z875" i="3"/>
  <c r="BA875" i="3" s="1"/>
  <c r="Z540" i="3"/>
  <c r="BA540" i="3" s="1"/>
  <c r="Z764" i="3"/>
  <c r="BA764" i="3" s="1"/>
  <c r="Z27" i="3"/>
  <c r="BA27" i="3" s="1"/>
  <c r="Z601" i="3"/>
  <c r="BA601" i="3" s="1"/>
  <c r="Z309" i="3"/>
  <c r="BA309" i="3" s="1"/>
  <c r="Z493" i="3"/>
  <c r="BA493" i="3" s="1"/>
  <c r="Z551" i="3"/>
  <c r="Z550" i="3" s="1"/>
  <c r="BA550" i="3" s="1"/>
  <c r="Z257" i="3"/>
  <c r="BA257" i="3" s="1"/>
  <c r="Z359" i="3"/>
  <c r="BA359" i="3" s="1"/>
  <c r="Z33" i="3"/>
  <c r="BA33" i="3" s="1"/>
  <c r="Z363" i="3"/>
  <c r="BA363" i="3" s="1"/>
  <c r="Z817" i="3"/>
  <c r="BA817" i="3" s="1"/>
  <c r="Z595" i="3"/>
  <c r="Z594" i="3" s="1"/>
  <c r="BA594" i="3" s="1"/>
  <c r="Z153" i="3"/>
  <c r="BA153" i="3" s="1"/>
  <c r="Z508" i="3"/>
  <c r="BA508" i="3" s="1"/>
  <c r="Z539" i="3"/>
  <c r="Z538" i="3" s="1"/>
  <c r="BA538" i="3" s="1"/>
  <c r="Z441" i="3"/>
  <c r="BA441" i="3" s="1"/>
  <c r="Z431" i="3"/>
  <c r="Z430" i="3" s="1"/>
  <c r="BA430" i="3" s="1"/>
  <c r="Z19" i="3"/>
  <c r="BA19" i="3" s="1"/>
  <c r="Z637" i="3"/>
  <c r="BA637" i="3" s="1"/>
  <c r="Z353" i="3"/>
  <c r="BA353" i="3" s="1"/>
  <c r="Z88" i="3"/>
  <c r="BA88" i="3" s="1"/>
  <c r="Z149" i="3"/>
  <c r="BA149" i="3" s="1"/>
  <c r="Z653" i="3"/>
  <c r="BA653" i="3" s="1"/>
  <c r="Z591" i="3"/>
  <c r="BA591" i="3" s="1"/>
  <c r="Z120" i="3"/>
  <c r="BA120" i="3" s="1"/>
  <c r="Z67" i="3"/>
  <c r="Z66" i="3" s="1"/>
  <c r="BA66" i="3" s="1"/>
  <c r="Z689" i="3"/>
  <c r="BA689" i="3" s="1"/>
  <c r="Z648" i="3"/>
  <c r="BA648" i="3" s="1"/>
  <c r="Z225" i="3"/>
  <c r="BA225" i="3" s="1"/>
  <c r="Z25" i="3"/>
  <c r="BA25" i="3" s="1"/>
  <c r="Z455" i="3"/>
  <c r="BA455" i="3" s="1"/>
  <c r="Z451" i="3"/>
  <c r="BA451" i="3" s="1"/>
  <c r="Z132" i="3"/>
  <c r="BA132" i="3" s="1"/>
  <c r="Z584" i="3"/>
  <c r="BA584" i="3" s="1"/>
  <c r="Z519" i="3"/>
  <c r="Z518" i="3" s="1"/>
  <c r="BA518" i="3" s="1"/>
  <c r="Z668" i="3"/>
  <c r="BA668" i="3" s="1"/>
  <c r="Z805" i="3"/>
  <c r="BA805" i="3" s="1"/>
  <c r="Z352" i="3"/>
  <c r="BA352" i="3" s="1"/>
  <c r="Z63" i="3"/>
  <c r="BA63" i="3" s="1"/>
  <c r="Z300" i="3"/>
  <c r="BA300" i="3" s="1"/>
  <c r="Z736" i="3"/>
  <c r="BA736" i="3" s="1"/>
  <c r="Z467" i="3"/>
  <c r="Z466" i="3" s="1"/>
  <c r="BA466" i="3" s="1"/>
  <c r="Z405" i="3"/>
  <c r="BA405" i="3" s="1"/>
  <c r="Z163" i="3"/>
  <c r="Z162" i="3" s="1"/>
  <c r="BA162" i="3" s="1"/>
  <c r="Z417" i="3"/>
  <c r="BA417" i="3" s="1"/>
  <c r="Z376" i="3"/>
  <c r="BA376" i="3" s="1"/>
  <c r="Z387" i="3"/>
  <c r="BA387" i="3" s="1"/>
  <c r="Z620" i="3"/>
  <c r="BA620" i="3" s="1"/>
  <c r="Z184" i="3"/>
  <c r="BA184" i="3" s="1"/>
  <c r="Z308" i="3"/>
  <c r="BA308" i="3" s="1"/>
  <c r="Z884" i="3"/>
  <c r="BA884" i="3" s="1"/>
  <c r="Z681" i="3"/>
  <c r="BA681" i="3" s="1"/>
  <c r="Z447" i="3"/>
  <c r="Z446" i="3" s="1"/>
  <c r="BA446" i="3" s="1"/>
  <c r="Z671" i="3"/>
  <c r="BA671" i="3" s="1"/>
  <c r="Z517" i="3"/>
  <c r="BA517" i="3" s="1"/>
  <c r="Z269" i="3"/>
  <c r="BA269" i="3" s="1"/>
  <c r="Z83" i="3"/>
  <c r="BA83" i="3" s="1"/>
  <c r="Z852" i="3"/>
  <c r="BA852" i="3" s="1"/>
  <c r="Z253" i="3"/>
  <c r="BA253" i="3" s="1"/>
  <c r="Z513" i="3"/>
  <c r="BA513" i="3" s="1"/>
  <c r="Z339" i="3"/>
  <c r="Z338" i="3" s="1"/>
  <c r="BA338" i="3" s="1"/>
  <c r="Z697" i="3"/>
  <c r="BA697" i="3" s="1"/>
  <c r="Z532" i="3"/>
  <c r="BA532" i="3" s="1"/>
  <c r="Z292" i="3"/>
  <c r="BA292" i="3" s="1"/>
  <c r="Z335" i="3"/>
  <c r="Z334" i="3" s="1"/>
  <c r="BA334" i="3" s="1"/>
  <c r="Z660" i="3"/>
  <c r="BA660" i="3" s="1"/>
  <c r="Z440" i="3"/>
  <c r="BA440" i="3" s="1"/>
  <c r="Z424" i="3"/>
  <c r="BA424" i="3" s="1"/>
  <c r="Z371" i="3"/>
  <c r="Z370" i="3" s="1"/>
  <c r="BA370" i="3" s="1"/>
  <c r="Z641" i="3"/>
  <c r="BA641" i="3" s="1"/>
  <c r="Z429" i="3"/>
  <c r="BA429" i="3" s="1"/>
  <c r="Z864" i="3"/>
  <c r="BA864" i="3" s="1"/>
  <c r="Z885" i="3"/>
  <c r="BA885" i="3" s="1"/>
  <c r="Z537" i="3"/>
  <c r="BA537" i="3" s="1"/>
  <c r="Z247" i="3"/>
  <c r="BA247" i="3" s="1"/>
  <c r="Z31" i="3"/>
  <c r="Z30" i="3" s="1"/>
  <c r="BA30" i="3" s="1"/>
  <c r="Z605" i="3"/>
  <c r="BA605" i="3" s="1"/>
  <c r="Z355" i="3"/>
  <c r="BA355" i="3" s="1"/>
  <c r="Z77" i="3"/>
  <c r="BA77" i="3" s="1"/>
  <c r="Z125" i="3"/>
  <c r="BA125" i="3" s="1"/>
  <c r="Z589" i="3"/>
  <c r="BA589" i="3" s="1"/>
  <c r="Z647" i="3"/>
  <c r="BA647" i="3" s="1"/>
  <c r="Z503" i="3"/>
  <c r="BA503" i="3" s="1"/>
  <c r="Z239" i="3"/>
  <c r="Z238" i="3" s="1"/>
  <c r="BA238" i="3" s="1"/>
  <c r="Z217" i="3"/>
  <c r="BA217" i="3" s="1"/>
  <c r="Z773" i="3"/>
  <c r="BA773" i="3" s="1"/>
  <c r="Z148" i="3"/>
  <c r="BA148" i="3" s="1"/>
  <c r="Z819" i="3"/>
  <c r="Z818" i="3" s="1"/>
  <c r="BA818" i="3" s="1"/>
  <c r="Z811" i="3"/>
  <c r="Z810" i="3" s="1"/>
  <c r="BA810" i="3" s="1"/>
  <c r="Z276" i="3"/>
  <c r="BA276" i="3" s="1"/>
  <c r="Z640" i="3"/>
  <c r="BA640" i="3" s="1"/>
  <c r="Z475" i="3"/>
  <c r="BA475" i="3" s="1"/>
  <c r="Z469" i="3"/>
  <c r="BA469" i="3" s="1"/>
  <c r="Z460" i="3"/>
  <c r="BA460" i="3" s="1"/>
  <c r="Z615" i="3"/>
  <c r="Z614" i="3" s="1"/>
  <c r="BA614" i="3" s="1"/>
  <c r="Z744" i="3"/>
  <c r="BA744" i="3" s="1"/>
  <c r="Z692" i="3"/>
  <c r="BA692" i="3" s="1"/>
  <c r="Z749" i="3"/>
  <c r="BA749" i="3" s="1"/>
  <c r="Z92" i="3"/>
  <c r="BA92" i="3" s="1"/>
  <c r="Z325" i="3"/>
  <c r="BA325" i="3" s="1"/>
  <c r="Z612" i="3"/>
  <c r="BA612" i="3" s="1"/>
  <c r="Z705" i="3"/>
  <c r="BA705" i="3" s="1"/>
  <c r="Z99" i="3"/>
  <c r="BA99" i="3" s="1"/>
  <c r="Z436" i="3"/>
  <c r="BA436" i="3" s="1"/>
  <c r="Z159" i="3"/>
  <c r="BA159" i="3" s="1"/>
  <c r="Z389" i="3"/>
  <c r="BA389" i="3" s="1"/>
  <c r="Z531" i="3"/>
  <c r="Z530" i="3" s="1"/>
  <c r="BA530" i="3" s="1"/>
  <c r="Z127" i="3"/>
  <c r="BA127" i="3" s="1"/>
  <c r="Z232" i="3"/>
  <c r="BA232" i="3" s="1"/>
  <c r="Z425" i="3"/>
  <c r="BA425" i="3" s="1"/>
  <c r="Z487" i="3"/>
  <c r="Z486" i="3" s="1"/>
  <c r="BA486" i="3" s="1"/>
  <c r="Z183" i="3"/>
  <c r="BA183" i="3" s="1"/>
  <c r="Z79" i="3"/>
  <c r="Z78" i="3" s="1"/>
  <c r="BA78" i="3" s="1"/>
  <c r="Z235" i="3"/>
  <c r="Z234" i="3" s="1"/>
  <c r="BA234" i="3" s="1"/>
  <c r="Z633" i="3"/>
  <c r="BA633" i="3" s="1"/>
  <c r="Z280" i="3"/>
  <c r="BA280" i="3" s="1"/>
  <c r="Z109" i="3"/>
  <c r="BA109" i="3" s="1"/>
  <c r="Z607" i="3"/>
  <c r="BA607" i="3" s="1"/>
  <c r="Z481" i="3"/>
  <c r="BA481" i="3" s="1"/>
  <c r="Z141" i="3"/>
  <c r="BA141" i="3" s="1"/>
  <c r="Z555" i="3"/>
  <c r="Z554" i="3" s="1"/>
  <c r="BA554" i="3" s="1"/>
  <c r="Z656" i="3"/>
  <c r="BA656" i="3" s="1"/>
  <c r="Z683" i="3"/>
  <c r="BA683" i="3" s="1"/>
  <c r="Z151" i="3"/>
  <c r="Z150" i="3" s="1"/>
  <c r="BA150" i="3" s="1"/>
  <c r="Z611" i="3"/>
  <c r="Z610" i="3" s="1"/>
  <c r="BA610" i="3" s="1"/>
  <c r="Z761" i="3"/>
  <c r="BA761" i="3" s="1"/>
  <c r="Z604" i="3"/>
  <c r="BA604" i="3" s="1"/>
  <c r="Z873" i="3"/>
  <c r="BA873" i="3" s="1"/>
  <c r="Z655" i="3"/>
  <c r="BA655" i="3" s="1"/>
  <c r="Z876" i="3"/>
  <c r="BA876" i="3" s="1"/>
  <c r="Z807" i="3"/>
  <c r="BA807" i="3" s="1"/>
  <c r="Z21" i="3"/>
  <c r="BA21" i="3" s="1"/>
  <c r="Z693" i="3"/>
  <c r="BA693" i="3" s="1"/>
  <c r="Z452" i="3"/>
  <c r="BA452" i="3" s="1"/>
  <c r="Z587" i="3"/>
  <c r="BA587" i="3" s="1"/>
  <c r="Z869" i="3"/>
  <c r="BA869" i="3" s="1"/>
  <c r="Z888" i="3"/>
  <c r="BA888" i="3" s="1"/>
  <c r="Z535" i="3"/>
  <c r="Z534" i="3" s="1"/>
  <c r="BA534" i="3" s="1"/>
  <c r="Z345" i="3"/>
  <c r="BA345" i="3" s="1"/>
  <c r="Z760" i="3"/>
  <c r="BA760" i="3" s="1"/>
  <c r="Z364" i="3"/>
  <c r="BA364" i="3" s="1"/>
  <c r="Z632" i="3"/>
  <c r="BA632" i="3" s="1"/>
  <c r="Z796" i="3"/>
  <c r="BA796" i="3" s="1"/>
  <c r="Z81" i="3"/>
  <c r="BA81" i="3" s="1"/>
  <c r="Z175" i="3"/>
  <c r="BA175" i="3" s="1"/>
  <c r="Z840" i="3"/>
  <c r="BA840" i="3" s="1"/>
  <c r="Z164" i="3"/>
  <c r="BA164" i="3" s="1"/>
  <c r="Z549" i="3"/>
  <c r="BA549" i="3" s="1"/>
  <c r="Z123" i="3"/>
  <c r="Z122" i="3" s="1"/>
  <c r="BA122" i="3" s="1"/>
  <c r="Z161" i="3"/>
  <c r="BA161" i="3" s="1"/>
  <c r="Z685" i="3"/>
  <c r="BA685" i="3" s="1"/>
  <c r="Z400" i="3"/>
  <c r="BA400" i="3" s="1"/>
  <c r="Z793" i="3"/>
  <c r="BA793" i="3" s="1"/>
  <c r="Z287" i="3"/>
  <c r="BA287" i="3" s="1"/>
  <c r="Z664" i="3"/>
  <c r="BA664" i="3" s="1"/>
  <c r="Z815" i="3"/>
  <c r="Z814" i="3" s="1"/>
  <c r="BA814" i="3" s="1"/>
  <c r="Z279" i="3"/>
  <c r="Z278" i="3" s="1"/>
  <c r="BA278" i="3" s="1"/>
  <c r="Z383" i="3"/>
  <c r="Z382" i="3" s="1"/>
  <c r="BA382" i="3" s="1"/>
  <c r="Z748" i="3"/>
  <c r="BA748" i="3" s="1"/>
  <c r="Z752" i="3"/>
  <c r="BA752" i="3" s="1"/>
  <c r="Z628" i="3"/>
  <c r="BA628" i="3" s="1"/>
  <c r="Z556" i="3"/>
  <c r="BA556" i="3" s="1"/>
  <c r="Z41" i="3"/>
  <c r="BA41" i="3" s="1"/>
  <c r="Z155" i="3"/>
  <c r="BA155" i="3" s="1"/>
  <c r="Z747" i="3"/>
  <c r="BA747" i="3" s="1"/>
  <c r="Z745" i="3"/>
  <c r="BA745" i="3" s="1"/>
  <c r="Z351" i="3"/>
  <c r="BA351" i="3" s="1"/>
  <c r="Z511" i="3"/>
  <c r="Z510" i="3" s="1"/>
  <c r="BA510" i="3" s="1"/>
  <c r="Z131" i="3"/>
  <c r="BA131" i="3" s="1"/>
  <c r="Z407" i="3"/>
  <c r="Z406" i="3" s="1"/>
  <c r="BA406" i="3" s="1"/>
  <c r="Z704" i="3"/>
  <c r="BA704" i="3" s="1"/>
  <c r="Z619" i="3"/>
  <c r="Z618" i="3" s="1"/>
  <c r="BA618" i="3" s="1"/>
  <c r="Z456" i="3"/>
  <c r="BA456" i="3" s="1"/>
  <c r="Z143" i="3"/>
  <c r="BA143" i="3" s="1"/>
  <c r="Z169" i="3"/>
  <c r="BA169" i="3" s="1"/>
  <c r="Z779" i="3"/>
  <c r="BA779" i="3" s="1"/>
  <c r="Z404" i="3"/>
  <c r="BA404" i="3" s="1"/>
  <c r="Z433" i="3"/>
  <c r="BA433" i="3" s="1"/>
  <c r="Z548" i="3"/>
  <c r="BA548" i="3" s="1"/>
  <c r="Z609" i="3"/>
  <c r="BA609" i="3" s="1"/>
  <c r="Z16" i="3"/>
  <c r="BA16" i="3" s="1"/>
  <c r="Z28" i="3"/>
  <c r="BA28" i="3" s="1"/>
  <c r="Z177" i="3"/>
  <c r="BA177" i="3" s="1"/>
  <c r="Z264" i="3"/>
  <c r="BA264" i="3" s="1"/>
  <c r="Z377" i="3"/>
  <c r="BA377" i="3" s="1"/>
  <c r="Z37" i="3"/>
  <c r="BA37" i="3" s="1"/>
  <c r="Z743" i="3"/>
  <c r="Z742" i="3" s="1"/>
  <c r="BA742" i="3" s="1"/>
  <c r="Z767" i="3"/>
  <c r="Z766" i="3" s="1"/>
  <c r="BA766" i="3" s="1"/>
  <c r="Z735" i="3"/>
  <c r="Z734" i="3" s="1"/>
  <c r="BA734" i="3" s="1"/>
  <c r="Z45" i="3"/>
  <c r="BA45" i="3" s="1"/>
  <c r="Z561" i="3"/>
  <c r="BA561" i="3" s="1"/>
  <c r="Z776" i="3"/>
  <c r="BA776" i="3" s="1"/>
  <c r="Z621" i="3"/>
  <c r="BA621" i="3" s="1"/>
  <c r="Z267" i="3"/>
  <c r="Z266" i="3" s="1"/>
  <c r="BA266" i="3" s="1"/>
  <c r="Z275" i="3"/>
  <c r="Z274" i="3" s="1"/>
  <c r="BA274" i="3" s="1"/>
  <c r="Z827" i="3"/>
  <c r="Z826" i="3" s="1"/>
  <c r="BA826" i="3" s="1"/>
  <c r="Z381" i="3"/>
  <c r="BA381" i="3" s="1"/>
  <c r="Z379" i="3"/>
  <c r="BA379" i="3" s="1"/>
  <c r="Z51" i="3"/>
  <c r="Z50" i="3" s="1"/>
  <c r="BA50" i="3" s="1"/>
  <c r="Z223" i="3"/>
  <c r="BA223" i="3" s="1"/>
  <c r="Z319" i="3"/>
  <c r="BA319" i="3" s="1"/>
  <c r="Z756" i="3"/>
  <c r="BA756" i="3" s="1"/>
  <c r="Z816" i="3"/>
  <c r="BA816" i="3" s="1"/>
  <c r="Z124" i="3"/>
  <c r="BA124" i="3" s="1"/>
  <c r="Z321" i="3"/>
  <c r="BA321" i="3" s="1"/>
  <c r="Z156" i="3"/>
  <c r="BA156" i="3" s="1"/>
  <c r="Z307" i="3"/>
  <c r="Z306" i="3" s="1"/>
  <c r="BA306" i="3" s="1"/>
  <c r="Z323" i="3"/>
  <c r="Z322" i="3" s="1"/>
  <c r="BA322" i="3" s="1"/>
  <c r="Z608" i="3"/>
  <c r="BA608" i="3" s="1"/>
  <c r="Z315" i="3"/>
  <c r="BA315" i="3" s="1"/>
  <c r="Z497" i="3"/>
  <c r="BA497" i="3" s="1"/>
  <c r="Z739" i="3"/>
  <c r="Z738" i="3" s="1"/>
  <c r="BA738" i="3" s="1"/>
  <c r="Z361" i="3"/>
  <c r="BA361" i="3" s="1"/>
  <c r="Z200" i="3"/>
  <c r="BA200" i="3" s="1"/>
  <c r="Z189" i="3"/>
  <c r="BA189" i="3" s="1"/>
  <c r="Z293" i="3"/>
  <c r="BA293" i="3" s="1"/>
  <c r="Z59" i="3"/>
  <c r="Z58" i="3" s="1"/>
  <c r="BA58" i="3" s="1"/>
  <c r="Z592" i="3"/>
  <c r="BA592" i="3" s="1"/>
  <c r="Z435" i="3"/>
  <c r="Z434" i="3" s="1"/>
  <c r="BA434" i="3" s="1"/>
  <c r="Z112" i="3"/>
  <c r="BA112" i="3" s="1"/>
  <c r="Z420" i="3"/>
  <c r="BA420" i="3" s="1"/>
  <c r="Z423" i="3"/>
  <c r="BA423" i="3" s="1"/>
  <c r="Z157" i="3"/>
  <c r="BA157" i="3" s="1"/>
  <c r="Z107" i="3"/>
  <c r="BA107" i="3" s="1"/>
  <c r="Z543" i="3"/>
  <c r="Z542" i="3" s="1"/>
  <c r="BA542" i="3" s="1"/>
  <c r="Z823" i="3"/>
  <c r="BA823" i="3" s="1"/>
  <c r="Z167" i="3"/>
  <c r="Z166" i="3" s="1"/>
  <c r="BA166" i="3" s="1"/>
  <c r="Z491" i="3"/>
  <c r="BA491" i="3" s="1"/>
  <c r="Z115" i="3"/>
  <c r="BA115" i="3" s="1"/>
  <c r="Z139" i="3"/>
  <c r="Z138" i="3" s="1"/>
  <c r="BA138" i="3" s="1"/>
  <c r="Z409" i="3"/>
  <c r="BA409" i="3" s="1"/>
  <c r="Z373" i="3"/>
  <c r="BA373" i="3" s="1"/>
  <c r="Z291" i="3"/>
  <c r="BA291" i="3" s="1"/>
  <c r="Z32" i="3"/>
  <c r="BA32" i="3" s="1"/>
  <c r="Z100" i="3"/>
  <c r="BA100" i="3" s="1"/>
  <c r="Z665" i="3"/>
  <c r="BA665" i="3" s="1"/>
  <c r="Z596" i="3"/>
  <c r="BA596" i="3" s="1"/>
  <c r="Z603" i="3"/>
  <c r="Z602" i="3" s="1"/>
  <c r="BA602" i="3" s="1"/>
  <c r="Z505" i="3"/>
  <c r="BA505" i="3" s="1"/>
  <c r="Z652" i="3"/>
  <c r="BA652" i="3" s="1"/>
  <c r="Z341" i="3"/>
  <c r="BA341" i="3" s="1"/>
  <c r="Z108" i="3"/>
  <c r="BA108" i="3" s="1"/>
  <c r="Z233" i="3"/>
  <c r="BA233" i="3" s="1"/>
  <c r="Z636" i="3"/>
  <c r="BA636" i="3" s="1"/>
  <c r="Z507" i="3"/>
  <c r="BA507" i="3" s="1"/>
  <c r="Z301" i="3"/>
  <c r="BA301" i="3" s="1"/>
  <c r="Z529" i="3"/>
  <c r="BA529" i="3" s="1"/>
  <c r="Z835" i="3"/>
  <c r="BA835" i="3" s="1"/>
  <c r="Z801" i="3"/>
  <c r="BA801" i="3" s="1"/>
  <c r="Z137" i="3"/>
  <c r="BA137" i="3" s="1"/>
  <c r="Z473" i="3"/>
  <c r="BA473" i="3" s="1"/>
  <c r="Z205" i="3"/>
  <c r="BA205" i="3" s="1"/>
  <c r="Z365" i="3"/>
  <c r="BA365" i="3" s="1"/>
  <c r="Z388" i="3"/>
  <c r="BA388" i="3" s="1"/>
  <c r="Z669" i="3"/>
  <c r="BA669" i="3" s="1"/>
  <c r="Z336" i="3"/>
  <c r="BA336" i="3" s="1"/>
  <c r="Z644" i="3"/>
  <c r="BA644" i="3" s="1"/>
  <c r="Z464" i="3"/>
  <c r="BA464" i="3" s="1"/>
  <c r="Z147" i="3"/>
  <c r="Z146" i="3" s="1"/>
  <c r="BA146" i="3" s="1"/>
  <c r="Z504" i="3"/>
  <c r="BA504" i="3" s="1"/>
  <c r="Z348" i="3"/>
  <c r="BA348" i="3" s="1"/>
  <c r="Z216" i="3"/>
  <c r="BA216" i="3" s="1"/>
  <c r="Z55" i="3"/>
  <c r="BA55" i="3" s="1"/>
  <c r="Z160" i="3"/>
  <c r="BA160" i="3" s="1"/>
  <c r="Z657" i="3"/>
  <c r="BA657" i="3" s="1"/>
  <c r="Z883" i="3"/>
  <c r="BA883" i="3" s="1"/>
  <c r="Z783" i="3"/>
  <c r="BA783" i="3" s="1"/>
  <c r="Z268" i="3"/>
  <c r="BA268" i="3" s="1"/>
  <c r="Z785" i="3"/>
  <c r="BA785" i="3" s="1"/>
  <c r="Z140" i="3"/>
  <c r="BA140" i="3" s="1"/>
  <c r="Z224" i="3"/>
  <c r="BA224" i="3" s="1"/>
  <c r="Z240" i="3"/>
  <c r="BA240" i="3" s="1"/>
  <c r="Z332" i="3"/>
  <c r="BA332" i="3" s="1"/>
  <c r="Z635" i="3"/>
  <c r="Z634" i="3" s="1"/>
  <c r="BA634" i="3" s="1"/>
  <c r="Z784" i="3"/>
  <c r="BA784" i="3" s="1"/>
  <c r="Z171" i="3"/>
  <c r="BA171" i="3" s="1"/>
  <c r="Z877" i="3"/>
  <c r="BA877" i="3" s="1"/>
  <c r="Z479" i="3"/>
  <c r="Z478" i="3" s="1"/>
  <c r="BA478" i="3" s="1"/>
  <c r="Z15" i="3"/>
  <c r="BA15" i="3" s="1"/>
  <c r="Z588" i="3"/>
  <c r="BA588" i="3" s="1"/>
  <c r="Z613" i="3"/>
  <c r="BA613" i="3" s="1"/>
  <c r="Z495" i="3"/>
  <c r="Z494" i="3" s="1"/>
  <c r="BA494" i="3" s="1"/>
  <c r="Z251" i="3"/>
  <c r="BA251" i="3" s="1"/>
  <c r="Z492" i="3"/>
  <c r="BA492" i="3" s="1"/>
  <c r="Z296" i="3"/>
  <c r="BA296" i="3" s="1"/>
  <c r="Z545" i="3"/>
  <c r="BA545" i="3" s="1"/>
  <c r="Z211" i="3"/>
  <c r="BA211" i="3" s="1"/>
  <c r="Z277" i="3"/>
  <c r="BA277" i="3" s="1"/>
  <c r="Z252" i="3"/>
  <c r="BA252" i="3" s="1"/>
  <c r="Z463" i="3"/>
  <c r="Z462" i="3" s="1"/>
  <c r="BA462" i="3" s="1"/>
  <c r="Z396" i="3"/>
  <c r="BA396" i="3" s="1"/>
  <c r="Z449" i="3"/>
  <c r="BA449" i="3" s="1"/>
  <c r="Z788" i="3"/>
  <c r="BA788" i="3" s="1"/>
  <c r="Z737" i="3"/>
  <c r="BA737" i="3" s="1"/>
  <c r="Z261" i="3"/>
  <c r="BA261" i="3" s="1"/>
  <c r="Z740" i="3"/>
  <c r="BA740" i="3" s="1"/>
  <c r="Z559" i="3"/>
  <c r="BA559" i="3" s="1"/>
  <c r="Z419" i="3"/>
  <c r="BA419" i="3" s="1"/>
  <c r="Z617" i="3"/>
  <c r="BA617" i="3" s="1"/>
  <c r="Z871" i="3"/>
  <c r="BA871" i="3" s="1"/>
  <c r="Z575" i="3"/>
  <c r="BA575" i="3" s="1"/>
  <c r="Z219" i="3"/>
  <c r="BA219" i="3" s="1"/>
  <c r="Z281" i="3"/>
  <c r="BA281" i="3" s="1"/>
  <c r="Z552" i="3"/>
  <c r="BA552" i="3" s="1"/>
  <c r="Z213" i="3"/>
  <c r="BA213" i="3" s="1"/>
  <c r="Z85" i="3"/>
  <c r="BA85" i="3" s="1"/>
  <c r="Z527" i="3"/>
  <c r="Z526" i="3" s="1"/>
  <c r="BA526" i="3" s="1"/>
  <c r="Z616" i="3"/>
  <c r="BA616" i="3" s="1"/>
  <c r="Z468" i="3"/>
  <c r="BA468" i="3" s="1"/>
  <c r="Z136" i="3"/>
  <c r="BA136" i="3" s="1"/>
  <c r="Z797" i="3"/>
  <c r="BA797" i="3" s="1"/>
  <c r="Z284" i="3"/>
  <c r="BA284" i="3" s="1"/>
  <c r="Z375" i="3"/>
  <c r="Z374" i="3" s="1"/>
  <c r="BA374" i="3" s="1"/>
  <c r="Z367" i="3"/>
  <c r="Z366" i="3" s="1"/>
  <c r="BA366" i="3" s="1"/>
  <c r="Z357" i="3"/>
  <c r="BA357" i="3" s="1"/>
  <c r="Z843" i="3"/>
  <c r="Z842" i="3" s="1"/>
  <c r="BA842" i="3" s="1"/>
  <c r="Z80" i="3"/>
  <c r="BA80" i="3" s="1"/>
  <c r="Z765" i="3"/>
  <c r="BA765" i="3" s="1"/>
  <c r="Z509" i="3"/>
  <c r="BA509" i="3" s="1"/>
  <c r="Z837" i="3"/>
  <c r="BA837" i="3" s="1"/>
  <c r="Z457" i="3"/>
  <c r="BA457" i="3" s="1"/>
  <c r="Z152" i="3"/>
  <c r="BA152" i="3" s="1"/>
  <c r="Z344" i="3"/>
  <c r="BA344" i="3" s="1"/>
  <c r="Z672" i="3"/>
  <c r="BA672" i="3" s="1"/>
  <c r="Z36" i="3"/>
  <c r="BA36" i="3" s="1"/>
  <c r="Z328" i="3"/>
  <c r="BA328" i="3" s="1"/>
  <c r="Z113" i="3"/>
  <c r="BA113" i="3" s="1"/>
  <c r="Z229" i="3"/>
  <c r="BA229" i="3" s="1"/>
  <c r="Z860" i="3"/>
  <c r="BA860" i="3" s="1"/>
  <c r="Z757" i="3"/>
  <c r="BA757" i="3" s="1"/>
  <c r="Z176" i="3"/>
  <c r="BA176" i="3" s="1"/>
  <c r="Z248" i="3"/>
  <c r="BA248" i="3" s="1"/>
  <c r="Z541" i="3"/>
  <c r="BA541" i="3" s="1"/>
  <c r="Z168" i="3"/>
  <c r="BA168" i="3" s="1"/>
  <c r="Z104" i="3"/>
  <c r="BA104" i="3" s="1"/>
  <c r="Z401" i="3"/>
  <c r="BA401" i="3" s="1"/>
  <c r="Z289" i="3"/>
  <c r="BA289" i="3" s="1"/>
  <c r="Z360" i="3"/>
  <c r="BA360" i="3" s="1"/>
  <c r="Z769" i="3"/>
  <c r="BA769" i="3" s="1"/>
  <c r="Z684" i="3"/>
  <c r="BA684" i="3" s="1"/>
  <c r="Z203" i="3"/>
  <c r="Z202" i="3" s="1"/>
  <c r="BA202" i="3" s="1"/>
  <c r="Z523" i="3"/>
  <c r="Z522" i="3" s="1"/>
  <c r="BA522" i="3" s="1"/>
  <c r="Z72" i="3"/>
  <c r="BA72" i="3" s="1"/>
  <c r="Z763" i="3"/>
  <c r="Z762" i="3" s="1"/>
  <c r="BA762" i="3" s="1"/>
  <c r="Z272" i="3"/>
  <c r="BA272" i="3" s="1"/>
  <c r="Z316" i="3"/>
  <c r="BA316" i="3" s="1"/>
  <c r="Z597" i="3"/>
  <c r="BA597" i="3" s="1"/>
  <c r="Z303" i="3"/>
  <c r="Z302" i="3" s="1"/>
  <c r="BA302" i="3" s="1"/>
  <c r="Z639" i="3"/>
  <c r="Z638" i="3" s="1"/>
  <c r="BA638" i="3" s="1"/>
  <c r="Z847" i="3"/>
  <c r="Z846" i="3" s="1"/>
  <c r="BA846" i="3" s="1"/>
  <c r="Z44" i="3"/>
  <c r="BA44" i="3" s="1"/>
  <c r="Z89" i="3"/>
  <c r="BA89" i="3" s="1"/>
  <c r="Z117" i="3"/>
  <c r="BA117" i="3" s="1"/>
  <c r="Z599" i="3"/>
  <c r="BA599" i="3" s="1"/>
  <c r="Z461" i="3"/>
  <c r="BA461" i="3" s="1"/>
  <c r="Z501" i="3"/>
  <c r="BA501" i="3" s="1"/>
  <c r="Z29" i="3"/>
  <c r="BA29" i="3" s="1"/>
  <c r="Z165" i="3"/>
  <c r="BA165" i="3" s="1"/>
  <c r="Z192" i="3"/>
  <c r="BA192" i="3" s="1"/>
  <c r="Z191" i="3"/>
  <c r="BA191" i="3" s="1"/>
  <c r="Z560" i="3"/>
  <c r="BA560" i="3" s="1"/>
  <c r="Z68" i="3"/>
  <c r="BA68" i="3" s="1"/>
  <c r="Z887" i="3"/>
  <c r="Z886" i="3" s="1"/>
  <c r="BA886" i="3" s="1"/>
  <c r="Z64" i="3"/>
  <c r="BA64" i="3" s="1"/>
  <c r="Z111" i="3"/>
  <c r="BA111" i="3" s="1"/>
  <c r="Z220" i="3"/>
  <c r="BA220" i="3" s="1"/>
  <c r="Z236" i="3"/>
  <c r="BA236" i="3" s="1"/>
  <c r="Z832" i="3"/>
  <c r="BA832" i="3" s="1"/>
  <c r="Z859" i="3"/>
  <c r="BA859" i="3" s="1"/>
  <c r="Z825" i="3"/>
  <c r="BA825" i="3" s="1"/>
  <c r="Z444" i="3"/>
  <c r="BA444" i="3" s="1"/>
  <c r="Z663" i="3"/>
  <c r="Z662" i="3" s="1"/>
  <c r="BA662" i="3" s="1"/>
  <c r="Z855" i="3"/>
  <c r="Z854" i="3" s="1"/>
  <c r="BA854" i="3" s="1"/>
  <c r="Z472" i="3"/>
  <c r="BA472" i="3" s="1"/>
  <c r="Z320" i="3"/>
  <c r="BA320" i="3" s="1"/>
  <c r="Z700" i="3"/>
  <c r="BA700" i="3" s="1"/>
  <c r="Z265" i="3"/>
  <c r="BA265" i="3" s="1"/>
  <c r="Z311" i="3"/>
  <c r="BA311" i="3" s="1"/>
  <c r="Z403" i="3"/>
  <c r="Z402" i="3" s="1"/>
  <c r="BA402" i="3" s="1"/>
  <c r="Z853" i="3"/>
  <c r="BA853" i="3" s="1"/>
  <c r="Z699" i="3"/>
  <c r="Z698" i="3" s="1"/>
  <c r="BA698" i="3" s="1"/>
  <c r="Z624" i="3"/>
  <c r="BA624" i="3" s="1"/>
  <c r="Z397" i="3"/>
  <c r="BA397" i="3" s="1"/>
  <c r="Z824" i="3"/>
  <c r="BA824" i="3" s="1"/>
  <c r="Z881" i="3"/>
  <c r="BA881" i="3" s="1"/>
  <c r="Z369" i="3"/>
  <c r="BA369" i="3" s="1"/>
  <c r="Z187" i="3"/>
  <c r="Z186" i="3" s="1"/>
  <c r="BA186" i="3" s="1"/>
  <c r="Z73" i="3"/>
  <c r="BA73" i="3" s="1"/>
  <c r="Z643" i="3"/>
  <c r="BA643" i="3" s="1"/>
  <c r="Z196" i="3"/>
  <c r="BA196" i="3" s="1"/>
  <c r="Z799" i="3"/>
  <c r="Z798" i="3" s="1"/>
  <c r="BA798" i="3" s="1"/>
  <c r="Z772" i="3"/>
  <c r="BA772" i="3" s="1"/>
  <c r="Z828" i="3"/>
  <c r="BA828" i="3" s="1"/>
  <c r="Z831" i="3"/>
  <c r="BA831" i="3" s="1"/>
  <c r="Z673" i="3"/>
  <c r="BA673" i="3" s="1"/>
  <c r="Z515" i="3"/>
  <c r="Z514" i="3" s="1"/>
  <c r="BA514" i="3" s="1"/>
  <c r="Z691" i="3"/>
  <c r="BA691" i="3" s="1"/>
  <c r="Z581" i="3"/>
  <c r="BA581" i="3" s="1"/>
  <c r="Z208" i="3"/>
  <c r="BA208" i="3" s="1"/>
  <c r="Z533" i="3"/>
  <c r="BA533" i="3" s="1"/>
  <c r="Z399" i="3"/>
  <c r="BA399" i="3" s="1"/>
  <c r="Z583" i="3"/>
  <c r="Z582" i="3" s="1"/>
  <c r="BA582" i="3" s="1"/>
  <c r="Z57" i="3"/>
  <c r="BA57" i="3" s="1"/>
  <c r="Z119" i="3"/>
  <c r="Z118" i="3" s="1"/>
  <c r="BA118" i="3" s="1"/>
  <c r="Z585" i="3"/>
  <c r="BA585" i="3" s="1"/>
  <c r="Z867" i="3"/>
  <c r="BA867" i="3" s="1"/>
  <c r="Z731" i="3"/>
  <c r="BA731" i="3" s="1"/>
  <c r="Z521" i="3"/>
  <c r="BA521" i="3" s="1"/>
  <c r="Z553" i="3"/>
  <c r="BA553" i="3" s="1"/>
  <c r="Z820" i="3"/>
  <c r="BA820" i="3" s="1"/>
  <c r="Z791" i="3"/>
  <c r="Z790" i="3" s="1"/>
  <c r="BA790" i="3" s="1"/>
  <c r="Z343" i="3"/>
  <c r="Z342" i="3" s="1"/>
  <c r="BA342" i="3" s="1"/>
  <c r="Z443" i="3"/>
  <c r="BA443" i="3" s="1"/>
  <c r="Z273" i="3"/>
  <c r="BA273" i="3" s="1"/>
  <c r="Z629" i="3"/>
  <c r="BA629" i="3" s="1"/>
  <c r="Z288" i="3"/>
  <c r="BA288" i="3" s="1"/>
  <c r="Z759" i="3"/>
  <c r="BA759" i="3" s="1"/>
  <c r="Z680" i="3"/>
  <c r="BA680" i="3" s="1"/>
  <c r="Z221" i="3"/>
  <c r="BA221" i="3" s="1"/>
  <c r="Z485" i="3"/>
  <c r="BA485" i="3" s="1"/>
  <c r="Z65" i="3"/>
  <c r="BA65" i="3" s="1"/>
  <c r="Z836" i="3"/>
  <c r="BA836" i="3" s="1"/>
  <c r="Z872" i="3"/>
  <c r="BA872" i="3" s="1"/>
  <c r="Z181" i="3"/>
  <c r="BA181" i="3" s="1"/>
  <c r="AH16" i="5"/>
  <c r="X14" i="4"/>
  <c r="AE15" i="6"/>
  <c r="AC15" i="6"/>
  <c r="AF16" i="5"/>
  <c r="V14" i="4"/>
  <c r="AH15" i="5"/>
  <c r="AE14" i="6"/>
  <c r="X13" i="4"/>
  <c r="AB16" i="6"/>
  <c r="AE17" i="5"/>
  <c r="U15" i="4"/>
  <c r="Z437" i="3"/>
  <c r="BA437" i="3" s="1"/>
  <c r="Z84" i="3"/>
  <c r="BA84" i="3" s="1"/>
  <c r="Z93" i="3"/>
  <c r="BA93" i="3" s="1"/>
  <c r="Z96" i="3"/>
  <c r="BA96" i="3" s="1"/>
  <c r="Z792" i="3"/>
  <c r="BA792" i="3" s="1"/>
  <c r="Z703" i="3"/>
  <c r="Z845" i="3"/>
  <c r="BA845" i="3" s="1"/>
  <c r="Z484" i="3"/>
  <c r="BA484" i="3" s="1"/>
  <c r="Z372" i="3"/>
  <c r="BA372" i="3" s="1"/>
  <c r="Z465" i="3"/>
  <c r="BA465" i="3" s="1"/>
  <c r="Z804" i="3"/>
  <c r="BA804" i="3" s="1"/>
  <c r="AH17" i="5"/>
  <c r="AE16" i="6"/>
  <c r="X15" i="4"/>
  <c r="Y13" i="4"/>
  <c r="AI15" i="5"/>
  <c r="AF14" i="6"/>
  <c r="AD15" i="6"/>
  <c r="W14" i="4"/>
  <c r="AG16" i="5"/>
  <c r="AB14" i="6"/>
  <c r="U13" i="4"/>
  <c r="AE15" i="5"/>
  <c r="AE16" i="5"/>
  <c r="U14" i="4"/>
  <c r="AB15" i="6"/>
  <c r="W13" i="4"/>
  <c r="AG15" i="5"/>
  <c r="AD14" i="6"/>
  <c r="Z753" i="3"/>
  <c r="BA753" i="3" s="1"/>
  <c r="Z755" i="3"/>
  <c r="Z121" i="3"/>
  <c r="BA121" i="3" s="1"/>
  <c r="Z172" i="3"/>
  <c r="BA172" i="3" s="1"/>
  <c r="Z741" i="3"/>
  <c r="BA741" i="3" s="1"/>
  <c r="Z808" i="3"/>
  <c r="BA808" i="3" s="1"/>
  <c r="AI16" i="5"/>
  <c r="Y14" i="4"/>
  <c r="AF15" i="6"/>
  <c r="Z392" i="3"/>
  <c r="BA392" i="3" s="1"/>
  <c r="Z24" i="3"/>
  <c r="BA24" i="3" s="1"/>
  <c r="Z844" i="3"/>
  <c r="BA844" i="3" s="1"/>
  <c r="Z133" i="3"/>
  <c r="BA133" i="3" s="1"/>
  <c r="Z525" i="3"/>
  <c r="BA525" i="3" s="1"/>
  <c r="Z347" i="3"/>
  <c r="Z101" i="3"/>
  <c r="BA101" i="3" s="1"/>
  <c r="Z477" i="3"/>
  <c r="BA477" i="3" s="1"/>
  <c r="Z39" i="3"/>
  <c r="V13" i="4"/>
  <c r="AC14" i="6"/>
  <c r="AF15" i="5"/>
  <c r="AI17" i="5"/>
  <c r="AF16" i="6"/>
  <c r="Y15" i="4"/>
  <c r="AD16" i="6"/>
  <c r="W15" i="4"/>
  <c r="AG17" i="5"/>
  <c r="Z688" i="3"/>
  <c r="BA688" i="3" s="1"/>
  <c r="Z13" i="3"/>
  <c r="BA13" i="3" s="1"/>
  <c r="AC16" i="6"/>
  <c r="V15" i="4"/>
  <c r="AF17" i="5"/>
  <c r="BC12" i="3"/>
  <c r="BC17" i="3"/>
  <c r="BA727" i="3" l="1"/>
  <c r="Z726" i="3"/>
  <c r="BA726" i="3" s="1"/>
  <c r="BA707" i="3"/>
  <c r="Z706" i="3"/>
  <c r="BA706" i="3" s="1"/>
  <c r="BA715" i="3"/>
  <c r="Z714" i="3"/>
  <c r="BA714" i="3" s="1"/>
  <c r="BA723" i="3"/>
  <c r="Z722" i="3"/>
  <c r="BA722" i="3" s="1"/>
  <c r="BA719" i="3"/>
  <c r="Z718" i="3"/>
  <c r="BA718" i="3" s="1"/>
  <c r="Z710" i="3"/>
  <c r="BA710" i="3" s="1"/>
  <c r="BA711" i="3"/>
  <c r="Z590" i="3"/>
  <c r="BA590" i="3" s="1"/>
  <c r="BA571" i="3"/>
  <c r="Z570" i="3"/>
  <c r="BA570" i="3" s="1"/>
  <c r="Z562" i="3"/>
  <c r="BA562" i="3" s="1"/>
  <c r="BA563" i="3"/>
  <c r="Z566" i="3"/>
  <c r="BA566" i="3" s="1"/>
  <c r="BA567" i="3"/>
  <c r="Z794" i="3"/>
  <c r="BA794" i="3" s="1"/>
  <c r="Z850" i="3"/>
  <c r="BA850" i="3" s="1"/>
  <c r="BA231" i="3"/>
  <c r="BA447" i="3"/>
  <c r="BA271" i="3"/>
  <c r="Z298" i="3"/>
  <c r="BA298" i="3" s="1"/>
  <c r="Z82" i="3"/>
  <c r="BA82" i="3" s="1"/>
  <c r="BA375" i="3"/>
  <c r="BA43" i="3"/>
  <c r="Z22" i="3"/>
  <c r="BA22" i="3" s="1"/>
  <c r="Z358" i="3"/>
  <c r="BA358" i="3" s="1"/>
  <c r="BA259" i="3"/>
  <c r="Z214" i="3"/>
  <c r="BA214" i="3" s="1"/>
  <c r="Z262" i="3"/>
  <c r="BA262" i="3" s="1"/>
  <c r="BA431" i="3"/>
  <c r="BA51" i="3"/>
  <c r="BA207" i="3"/>
  <c r="Z502" i="3"/>
  <c r="BA502" i="3" s="1"/>
  <c r="BA787" i="3"/>
  <c r="Z630" i="3"/>
  <c r="BA630" i="3" s="1"/>
  <c r="BA839" i="3"/>
  <c r="Z18" i="3"/>
  <c r="BA18" i="3" s="1"/>
  <c r="Z474" i="3"/>
  <c r="BA474" i="3" s="1"/>
  <c r="BA427" i="3"/>
  <c r="Z862" i="3"/>
  <c r="BA862" i="3" s="1"/>
  <c r="Z470" i="3"/>
  <c r="BA470" i="3" s="1"/>
  <c r="Z802" i="3"/>
  <c r="BA802" i="3" s="1"/>
  <c r="BA103" i="3"/>
  <c r="Z686" i="3"/>
  <c r="BA686" i="3" s="1"/>
  <c r="BA95" i="3"/>
  <c r="BA555" i="3"/>
  <c r="Z46" i="3"/>
  <c r="BA46" i="3" s="1"/>
  <c r="BA487" i="3"/>
  <c r="Z498" i="3"/>
  <c r="BA498" i="3" s="1"/>
  <c r="BA255" i="3"/>
  <c r="Z746" i="3"/>
  <c r="BA746" i="3" s="1"/>
  <c r="BA383" i="3"/>
  <c r="Z874" i="3"/>
  <c r="BA874" i="3" s="1"/>
  <c r="Z130" i="3"/>
  <c r="BA130" i="3" s="1"/>
  <c r="Z70" i="3"/>
  <c r="BA70" i="3" s="1"/>
  <c r="BA91" i="3"/>
  <c r="Z386" i="3"/>
  <c r="BA386" i="3" s="1"/>
  <c r="BA527" i="3"/>
  <c r="BA59" i="3"/>
  <c r="BA523" i="3"/>
  <c r="Z194" i="3"/>
  <c r="BA194" i="3" s="1"/>
  <c r="BA531" i="3"/>
  <c r="Z822" i="3"/>
  <c r="BA822" i="3" s="1"/>
  <c r="BA323" i="3"/>
  <c r="BA811" i="3"/>
  <c r="BA307" i="3"/>
  <c r="BA827" i="3"/>
  <c r="BA815" i="3"/>
  <c r="BA539" i="3"/>
  <c r="BA235" i="3"/>
  <c r="BA651" i="3"/>
  <c r="BA551" i="3"/>
  <c r="Z606" i="3"/>
  <c r="BA606" i="3" s="1"/>
  <c r="BA767" i="3"/>
  <c r="Z282" i="3"/>
  <c r="BA282" i="3" s="1"/>
  <c r="Z174" i="3"/>
  <c r="BA174" i="3" s="1"/>
  <c r="Z410" i="3"/>
  <c r="BA410" i="3" s="1"/>
  <c r="Z774" i="3"/>
  <c r="BA774" i="3" s="1"/>
  <c r="Z414" i="3"/>
  <c r="BA414" i="3" s="1"/>
  <c r="BA339" i="3"/>
  <c r="BA167" i="3"/>
  <c r="BA619" i="3"/>
  <c r="Z646" i="3"/>
  <c r="BA646" i="3" s="1"/>
  <c r="BA535" i="3"/>
  <c r="BA391" i="3"/>
  <c r="BA679" i="3"/>
  <c r="Z126" i="3"/>
  <c r="BA126" i="3" s="1"/>
  <c r="Z54" i="3"/>
  <c r="BA54" i="3" s="1"/>
  <c r="Z670" i="3"/>
  <c r="BA670" i="3" s="1"/>
  <c r="Z354" i="3"/>
  <c r="BA354" i="3" s="1"/>
  <c r="Z878" i="3"/>
  <c r="BA878" i="3" s="1"/>
  <c r="BA151" i="3"/>
  <c r="BA763" i="3"/>
  <c r="BA511" i="3"/>
  <c r="Z866" i="3"/>
  <c r="BA866" i="3" s="1"/>
  <c r="Z154" i="3"/>
  <c r="BA154" i="3" s="1"/>
  <c r="BA695" i="3"/>
  <c r="BA771" i="3"/>
  <c r="Z26" i="3"/>
  <c r="BA26" i="3" s="1"/>
  <c r="BA519" i="3"/>
  <c r="Z654" i="3"/>
  <c r="BA654" i="3" s="1"/>
  <c r="Z378" i="3"/>
  <c r="BA378" i="3" s="1"/>
  <c r="BA163" i="3"/>
  <c r="Z482" i="3"/>
  <c r="BA482" i="3" s="1"/>
  <c r="BA435" i="3"/>
  <c r="Z142" i="3"/>
  <c r="BA142" i="3" s="1"/>
  <c r="BA847" i="3"/>
  <c r="BA735" i="3"/>
  <c r="Z86" i="3"/>
  <c r="BA86" i="3" s="1"/>
  <c r="BA135" i="3"/>
  <c r="Z622" i="3"/>
  <c r="BA622" i="3" s="1"/>
  <c r="BA67" i="3"/>
  <c r="BA279" i="3"/>
  <c r="Z114" i="3"/>
  <c r="BA114" i="3" s="1"/>
  <c r="Z750" i="3"/>
  <c r="BA750" i="3" s="1"/>
  <c r="Z314" i="3"/>
  <c r="BA314" i="3" s="1"/>
  <c r="BA639" i="3"/>
  <c r="Z490" i="3"/>
  <c r="BA490" i="3" s="1"/>
  <c r="BA75" i="3"/>
  <c r="Z326" i="3"/>
  <c r="BA326" i="3" s="1"/>
  <c r="Z158" i="3"/>
  <c r="BA158" i="3" s="1"/>
  <c r="BA335" i="3"/>
  <c r="BA611" i="3"/>
  <c r="BA615" i="3"/>
  <c r="Z778" i="3"/>
  <c r="BA778" i="3" s="1"/>
  <c r="Z586" i="3"/>
  <c r="BA586" i="3" s="1"/>
  <c r="BA595" i="3"/>
  <c r="BA479" i="3"/>
  <c r="BA267" i="3"/>
  <c r="Z870" i="3"/>
  <c r="BA870" i="3" s="1"/>
  <c r="Z730" i="3"/>
  <c r="BA730" i="3" s="1"/>
  <c r="BA819" i="3"/>
  <c r="Z190" i="3"/>
  <c r="BA190" i="3" s="1"/>
  <c r="Z574" i="3"/>
  <c r="BA574" i="3" s="1"/>
  <c r="BA627" i="3"/>
  <c r="BA35" i="3"/>
  <c r="Z454" i="3"/>
  <c r="BA454" i="3" s="1"/>
  <c r="Z458" i="3"/>
  <c r="BA458" i="3" s="1"/>
  <c r="Z106" i="3"/>
  <c r="BA106" i="3" s="1"/>
  <c r="BA495" i="3"/>
  <c r="BA463" i="3"/>
  <c r="BA31" i="3"/>
  <c r="BA675" i="3"/>
  <c r="BA407" i="3"/>
  <c r="BA855" i="3"/>
  <c r="Z418" i="3"/>
  <c r="BA418" i="3" s="1"/>
  <c r="BA199" i="3"/>
  <c r="Z110" i="3"/>
  <c r="BA110" i="3" s="1"/>
  <c r="Z210" i="3"/>
  <c r="BA210" i="3" s="1"/>
  <c r="BA147" i="3"/>
  <c r="BA743" i="3"/>
  <c r="Z310" i="3"/>
  <c r="BA310" i="3" s="1"/>
  <c r="Z782" i="3"/>
  <c r="BA782" i="3" s="1"/>
  <c r="Z318" i="3"/>
  <c r="BA318" i="3" s="1"/>
  <c r="Z182" i="3"/>
  <c r="BA182" i="3" s="1"/>
  <c r="Z398" i="3"/>
  <c r="BA398" i="3" s="1"/>
  <c r="Z806" i="3"/>
  <c r="BA806" i="3" s="1"/>
  <c r="BA579" i="3"/>
  <c r="Z178" i="3"/>
  <c r="BA178" i="3" s="1"/>
  <c r="BA239" i="3"/>
  <c r="BA603" i="3"/>
  <c r="BA739" i="3"/>
  <c r="Z246" i="3"/>
  <c r="BA246" i="3" s="1"/>
  <c r="Z558" i="3"/>
  <c r="BA558" i="3" s="1"/>
  <c r="Z506" i="3"/>
  <c r="BA506" i="3" s="1"/>
  <c r="BA367" i="3"/>
  <c r="Z242" i="3"/>
  <c r="BA242" i="3" s="1"/>
  <c r="BA667" i="3"/>
  <c r="BA119" i="3"/>
  <c r="Z834" i="3"/>
  <c r="BA834" i="3" s="1"/>
  <c r="Z642" i="3"/>
  <c r="BA642" i="3" s="1"/>
  <c r="Z442" i="3"/>
  <c r="BA442" i="3" s="1"/>
  <c r="BA187" i="3"/>
  <c r="Z598" i="3"/>
  <c r="BA598" i="3" s="1"/>
  <c r="BA663" i="3"/>
  <c r="BA543" i="3"/>
  <c r="Z658" i="3"/>
  <c r="BA658" i="3" s="1"/>
  <c r="BA371" i="3"/>
  <c r="BA699" i="3"/>
  <c r="Z286" i="3"/>
  <c r="BA286" i="3" s="1"/>
  <c r="BA467" i="3"/>
  <c r="Z394" i="3"/>
  <c r="BA394" i="3" s="1"/>
  <c r="Z450" i="3"/>
  <c r="BA450" i="3" s="1"/>
  <c r="Z218" i="3"/>
  <c r="BA218" i="3" s="1"/>
  <c r="BA275" i="3"/>
  <c r="Z14" i="3"/>
  <c r="BA14" i="3" s="1"/>
  <c r="BA203" i="3"/>
  <c r="BA635" i="3"/>
  <c r="Z330" i="3"/>
  <c r="BA330" i="3" s="1"/>
  <c r="BA227" i="3"/>
  <c r="BA303" i="3"/>
  <c r="Z546" i="3"/>
  <c r="BA546" i="3" s="1"/>
  <c r="Z682" i="3"/>
  <c r="BA682" i="3" s="1"/>
  <c r="Z362" i="3"/>
  <c r="BA362" i="3" s="1"/>
  <c r="BA11" i="3"/>
  <c r="Z438" i="3"/>
  <c r="BA438" i="3" s="1"/>
  <c r="Z690" i="3"/>
  <c r="BA690" i="3" s="1"/>
  <c r="BA887" i="3"/>
  <c r="Z62" i="3"/>
  <c r="BA62" i="3" s="1"/>
  <c r="Z290" i="3"/>
  <c r="BA290" i="3" s="1"/>
  <c r="Z422" i="3"/>
  <c r="BA422" i="3" s="1"/>
  <c r="BA295" i="3"/>
  <c r="BA79" i="3"/>
  <c r="BA403" i="3"/>
  <c r="Z350" i="3"/>
  <c r="BA350" i="3" s="1"/>
  <c r="Z98" i="3"/>
  <c r="BA98" i="3" s="1"/>
  <c r="BA515" i="3"/>
  <c r="Z170" i="3"/>
  <c r="BA170" i="3" s="1"/>
  <c r="BA843" i="3"/>
  <c r="AE18" i="5"/>
  <c r="BC1" i="3"/>
  <c r="BA343" i="3"/>
  <c r="Z830" i="3"/>
  <c r="BA830" i="3" s="1"/>
  <c r="Z250" i="3"/>
  <c r="BA250" i="3" s="1"/>
  <c r="Z222" i="3"/>
  <c r="BA222" i="3" s="1"/>
  <c r="Z758" i="3"/>
  <c r="BA758" i="3" s="1"/>
  <c r="BA791" i="3"/>
  <c r="BA583" i="3"/>
  <c r="BA799" i="3"/>
  <c r="BA139" i="3"/>
  <c r="Z882" i="3"/>
  <c r="BA882" i="3" s="1"/>
  <c r="BA123" i="3"/>
  <c r="U16" i="4"/>
  <c r="AH18" i="5"/>
  <c r="AB17" i="6"/>
  <c r="Z858" i="3"/>
  <c r="BA858" i="3" s="1"/>
  <c r="BA10" i="3"/>
  <c r="Z38" i="3"/>
  <c r="BA38" i="3" s="1"/>
  <c r="BA39" i="3"/>
  <c r="AD17" i="6"/>
  <c r="AG18" i="5"/>
  <c r="AF18" i="5"/>
  <c r="W16" i="4"/>
  <c r="AF17" i="6"/>
  <c r="X16" i="4"/>
  <c r="AC17" i="6"/>
  <c r="AI18" i="5"/>
  <c r="AE17" i="6"/>
  <c r="V16" i="4"/>
  <c r="BA347" i="3"/>
  <c r="Z346" i="3"/>
  <c r="BA346" i="3" s="1"/>
  <c r="Y16" i="4"/>
  <c r="Z702" i="3"/>
  <c r="BA702" i="3" s="1"/>
  <c r="BA703" i="3"/>
  <c r="Z754" i="3"/>
  <c r="BA754" i="3" s="1"/>
  <c r="BA755" i="3"/>
  <c r="G1" i="5" l="1"/>
  <c r="C1" i="4"/>
  <c r="C1" i="6"/>
  <c r="BA1" i="3"/>
  <c r="Z1" i="3"/>
</calcChain>
</file>

<file path=xl/sharedStrings.xml><?xml version="1.0" encoding="utf-8"?>
<sst xmlns="http://schemas.openxmlformats.org/spreadsheetml/2006/main" count="3631" uniqueCount="537">
  <si>
    <t xml:space="preserve">WNIOSEK W SPRAWIE ZMIAN: </t>
  </si>
  <si>
    <t xml:space="preserve">1) WIELOLETNIEJ PROGNOZY BUDŻETÓW, W TYM: </t>
  </si>
  <si>
    <t>a) DOCHODÓW, w tym UE</t>
  </si>
  <si>
    <t>b) WYDATKÓW BIEŻĄCYCH w tym UE*</t>
  </si>
  <si>
    <t>c) PRZYCHODÓW BUDŻETU*</t>
  </si>
  <si>
    <t>d) ROZCHODÓW BUDŻETU *</t>
  </si>
  <si>
    <t>2) WIELOLETNIEJ PROGNOZY DŁUGU*, W TYM:</t>
  </si>
  <si>
    <t>a) PRZYCHODÓW BUDŻETU*</t>
  </si>
  <si>
    <t>b) ROZCHODÓW BUDŻETU *</t>
  </si>
  <si>
    <t>Stanowisko finansowe</t>
  </si>
  <si>
    <t>Pozycje finansowe</t>
  </si>
  <si>
    <t>Obszar funkcjonalny</t>
  </si>
  <si>
    <t>Program budżetowy</t>
  </si>
  <si>
    <t>Proponowane zmiany</t>
  </si>
  <si>
    <t>Plan 
po 
zmianach</t>
  </si>
  <si>
    <t>Nazwa dysponenta</t>
  </si>
  <si>
    <t>Kod</t>
  </si>
  <si>
    <t>Dział</t>
  </si>
  <si>
    <t>rozdział</t>
  </si>
  <si>
    <t>§</t>
  </si>
  <si>
    <t>Nazwa</t>
  </si>
  <si>
    <t xml:space="preserve">zmniejszenia </t>
  </si>
  <si>
    <t>zwiększenia</t>
  </si>
  <si>
    <t>Dzielnica Ursynów</t>
  </si>
  <si>
    <t>U.12.000</t>
  </si>
  <si>
    <t>600.60016.D6290+000</t>
  </si>
  <si>
    <t>GMMW</t>
  </si>
  <si>
    <t>Środki na inwestycje pozyskane  z innych źródeł</t>
  </si>
  <si>
    <t>DZM/4</t>
  </si>
  <si>
    <t>801.80101.D6300+000</t>
  </si>
  <si>
    <t>MWPO</t>
  </si>
  <si>
    <t>Pozostałe dotacje otrzymane od Marszałka Województwa</t>
  </si>
  <si>
    <t>DWM/5/MW/K</t>
  </si>
  <si>
    <t>801.80120.D6300+000</t>
  </si>
  <si>
    <t>921.92116.D6300+000</t>
  </si>
  <si>
    <t>758.75814.D2710+000</t>
  </si>
  <si>
    <t>Środki wyrównawcze z budżetu m.st. Warszawy</t>
  </si>
  <si>
    <t>SD/2/K</t>
  </si>
  <si>
    <t>RAZEM</t>
  </si>
  <si>
    <t>Sporządził:</t>
  </si>
  <si>
    <t>INFORMACJA O ZMIANIE STATUSU WIELOLETNICH PRZEDSIĘWZIĘĆ MAJĄTKOWYCH, W TYM UE</t>
  </si>
  <si>
    <t>Ogółem WPF przed zmianami:</t>
  </si>
  <si>
    <t>WNIOSEK W SPRAWIE ZMIAN W WYKAZIE WIELOLETNICH PRZEDSIĘWZIĘĆ MAJĄTKOWYCH, W TYM UE - DO WIELOLETNIEJ PROGNOZY FINANSOWEJ NA LATA 2024 - 2050</t>
  </si>
  <si>
    <t>Ogółem zmiany WPF:</t>
  </si>
  <si>
    <t>Nazwa jednostki realizującej: DZIELNICA URSYNÓW</t>
  </si>
  <si>
    <t xml:space="preserve">Zmiany WPF/PM </t>
  </si>
  <si>
    <t>[zł ]</t>
  </si>
  <si>
    <t>Zmiany WPF/UM</t>
  </si>
  <si>
    <t>Stanowisko finansowe (KOD)</t>
  </si>
  <si>
    <t>Obszar funkcjonalny dla budżetu</t>
  </si>
  <si>
    <t>Kod zadania</t>
  </si>
  <si>
    <t>Nazwa / cel przedsięwzięcia</t>
  </si>
  <si>
    <t>Pozycja finansowa</t>
  </si>
  <si>
    <t>Rok rozpocz.</t>
  </si>
  <si>
    <t>Rok zakończ.</t>
  </si>
  <si>
    <t>Obszar funkcjonalny przedsięwzięć wiloletnich</t>
  </si>
  <si>
    <t xml:space="preserve">Łączne 
nakłady 
finansowe </t>
  </si>
  <si>
    <t xml:space="preserve">Poniesione nakłady finansowe  </t>
  </si>
  <si>
    <t>Łączny limit wydatków
∑ (n; n+…)</t>
  </si>
  <si>
    <t>Dane do tabeli przestawnej - patrz arkusze: "tp inwestycje ..."</t>
  </si>
  <si>
    <t>Ogółem WPF po zmianach:</t>
  </si>
  <si>
    <t>Rozdział</t>
  </si>
  <si>
    <t>Paragraf</t>
  </si>
  <si>
    <t>do 2022 roku 
(n-2-...)</t>
  </si>
  <si>
    <t>w 2023 roku 
(n-1)</t>
  </si>
  <si>
    <t>Łącznie do 31.12.2023 roku (n-1-...)</t>
  </si>
  <si>
    <t>na 2024 rok
(n)</t>
  </si>
  <si>
    <t>na 2025 rok 
(n+1)</t>
  </si>
  <si>
    <t>na 2026 rok 
(n+2)</t>
  </si>
  <si>
    <t>na 2027 rok 
(n+3)</t>
  </si>
  <si>
    <t>na 2028 rok 
(n+4)</t>
  </si>
  <si>
    <t>na 2029 rok 
(n+5)</t>
  </si>
  <si>
    <t>na 2030 rok 
(n+6)</t>
  </si>
  <si>
    <t>na 2031 rok 
(n+7)</t>
  </si>
  <si>
    <t>na 2032 rok 
(n+8)</t>
  </si>
  <si>
    <t>na 2033 rok 
(n+9)</t>
  </si>
  <si>
    <t>Pokaż zadania ze zmianami</t>
  </si>
  <si>
    <t>Kolumna robocza do tak/nie</t>
  </si>
  <si>
    <t>Rodzaj zmian - roboczy</t>
  </si>
  <si>
    <t>Rodzaj zmian</t>
  </si>
  <si>
    <t xml:space="preserve">Zadanie </t>
  </si>
  <si>
    <t>Nazwa zadania</t>
  </si>
  <si>
    <t>Planowane, czy realizowane?</t>
  </si>
  <si>
    <t>Klasyf. szczegółowa</t>
  </si>
  <si>
    <t>Klasyf. do wyliczeń 1</t>
  </si>
  <si>
    <t>Klasyf. do wyliczeń 2</t>
  </si>
  <si>
    <t>Łączne nakłady finansowe</t>
  </si>
  <si>
    <t>do 2022</t>
  </si>
  <si>
    <t>Zmieniane zadania</t>
  </si>
  <si>
    <t>Kolumna robocza</t>
  </si>
  <si>
    <t>Tylko zmieniane pozycje!!!</t>
  </si>
  <si>
    <t>PRZED ZMIANĄ</t>
  </si>
  <si>
    <t>C/USN/I/1/1</t>
  </si>
  <si>
    <t>Modernizacja ul. Rosoła (etap I Ciszewskiego - Płaskowickiej, etap II Płaskowickiej - Jeżewskiego, etap III Jeżewskiego - Rosnowskiego)</t>
  </si>
  <si>
    <t>WPF, w tym;</t>
  </si>
  <si>
    <t>WPF/PM;</t>
  </si>
  <si>
    <t>WPF/UM;</t>
  </si>
  <si>
    <t>PROPONOWANA ZMIANA</t>
  </si>
  <si>
    <t>WPF, w tym:</t>
  </si>
  <si>
    <t>WPF/PM:</t>
  </si>
  <si>
    <t>WPF/UM:</t>
  </si>
  <si>
    <t>PO ZMIANIE</t>
  </si>
  <si>
    <t>WPF, w tym</t>
  </si>
  <si>
    <t>WPF/PM</t>
  </si>
  <si>
    <t>WPF/UM</t>
  </si>
  <si>
    <t>C/USN/I/1/8</t>
  </si>
  <si>
    <t>Przebudowa ul. Baletowej na odc. ul. Puławska - granica miasta</t>
  </si>
  <si>
    <t>C/USN/I/P2/10</t>
  </si>
  <si>
    <t>Budowa ul. Kurantów - rozliczenie z deweloperem</t>
  </si>
  <si>
    <t>C/USN/I/P2/21</t>
  </si>
  <si>
    <t>Nabycie gruntów pod budowę ul. Wędrowców - rozliczenie z deweloperem</t>
  </si>
  <si>
    <t>C/USN/I/P2/22</t>
  </si>
  <si>
    <t>Budowa ulicy 26aKD-D z m.p.z.p. Zachodniego Pasma Pyrskiego w rejonie ul. Poleczki</t>
  </si>
  <si>
    <t>C/USN/I/P2/33</t>
  </si>
  <si>
    <t>Budowa dróg publicznych ul. Flamenco i ul. Mazura - rozliczenie z deweloperem</t>
  </si>
  <si>
    <t>C/USN/I/P2/35</t>
  </si>
  <si>
    <t>Wykup nieruchomości z mpzp osiedla Stokłosy</t>
  </si>
  <si>
    <t>C/USN/I/P2/36</t>
  </si>
  <si>
    <t>Budowa i modernizacja infrastruktury drogowej na terenie Zielonego Ursynowa</t>
  </si>
  <si>
    <t>C/USN/I/P2/37</t>
  </si>
  <si>
    <t>Rozbudowa i modernizacja sieci dróg rowerowych na terenie Ursynowa</t>
  </si>
  <si>
    <t>BO/22/12/0240</t>
  </si>
  <si>
    <t>C/USN/I/P2/41</t>
  </si>
  <si>
    <t>Rozświetlmy Ursynów! Oświetlenie ciemnych miejsc na Ursynowie</t>
  </si>
  <si>
    <t>C/USN/I/P2/43</t>
  </si>
  <si>
    <t>Budowa i modernizacja infrastruktury drogowej na terenie Wysokiego Ursynowa</t>
  </si>
  <si>
    <t>C/USN/I/P2/44</t>
  </si>
  <si>
    <t>Budowa ul. Lelka i ul. Herbsta - rozliczenie z deweloperem</t>
  </si>
  <si>
    <t>C/USN/II/P5/4</t>
  </si>
  <si>
    <t>C/USN/III/3/7</t>
  </si>
  <si>
    <t>Budowa systemów kanalizacji deszczowej na terenie Zielonego Ursynowa</t>
  </si>
  <si>
    <t>C/USN/III/P3/38</t>
  </si>
  <si>
    <t>Budowa "Parku Polskich Wynalazców"</t>
  </si>
  <si>
    <t>GPOS</t>
  </si>
  <si>
    <t>C/USN/III/P3/39</t>
  </si>
  <si>
    <t>Budowa Parku R. Kozłowskiego</t>
  </si>
  <si>
    <t>C/USN/III/P3/40</t>
  </si>
  <si>
    <t>BO/22/12/0232</t>
  </si>
  <si>
    <t>C/USN/III/P3/41</t>
  </si>
  <si>
    <t>Zielona Oś Ursynowa - Nowy Park i fontanna w otoczeniu pięknych kwiatów i ziół - obok Ratusza</t>
  </si>
  <si>
    <t>C/USN/III/P3/42</t>
  </si>
  <si>
    <t>Budowa Parku przy ul. Cynamonowej</t>
  </si>
  <si>
    <t>BO/21/12/0246</t>
  </si>
  <si>
    <t>C/USN/III/P4/31</t>
  </si>
  <si>
    <t>Ursynowska ekologia - butelkomaty</t>
  </si>
  <si>
    <t>BO/21/12/0240</t>
  </si>
  <si>
    <t>C/USN/III/P4/32</t>
  </si>
  <si>
    <t>Zielone skwery na Ursynowie (kontynuacja)</t>
  </si>
  <si>
    <t>C/USN/III/P4/34</t>
  </si>
  <si>
    <t>Modernizacja urządzeń wodnych i zbiorników wodnych</t>
  </si>
  <si>
    <t>BO/22/12/0239</t>
  </si>
  <si>
    <t>C/USN/III/P4/35</t>
  </si>
  <si>
    <t>Tężnia solankowa na Natolinie</t>
  </si>
  <si>
    <t>BO/22/12/0236</t>
  </si>
  <si>
    <t>C/USN/III/P4/36</t>
  </si>
  <si>
    <t>C/USN/III/P4/37</t>
  </si>
  <si>
    <t>Budowa targowiska miejskiego u zbiegu ul. Płaskowickiej i ul. Braci Wagów nad tunelem Południowej Obwodnicy Warszawy</t>
  </si>
  <si>
    <t>C/USN/IV/P3/1</t>
  </si>
  <si>
    <t>Poprawa bezpieczeństwa - zakup systemu monitoringu i montaż kamer na terenach przeznaczonych do rekreacji i zabaw</t>
  </si>
  <si>
    <t>J.12.000</t>
  </si>
  <si>
    <t>C/USN/V/P1/4</t>
  </si>
  <si>
    <t>Zakupy inwestycyjne dla przedszkoli</t>
  </si>
  <si>
    <t>2023</t>
  </si>
  <si>
    <t>C/USN/V/P1/65</t>
  </si>
  <si>
    <t>Modernizacja budynku B Szkoły Podstawowej nr 340 wraz z adaptacją pomieszczeń na potrzeby Poradni Psychologiczno - Pedagogicznej nr 19 wraz z termomodernizacją</t>
  </si>
  <si>
    <t>C/USN/V/P1/66</t>
  </si>
  <si>
    <t>Modernizacja budynku Szkoły Podstawowej nr 319 przy ul. Wokalnej</t>
  </si>
  <si>
    <t>C/USN/V/P1/68</t>
  </si>
  <si>
    <t>Modernizacja budynków Szkoły Podstawowej nr 336 przy ul. Małcużyńskiego i Szkoły Podstawowej nr 405 przy ul. Na Uboczu 9</t>
  </si>
  <si>
    <t>C/USN/V/P1/70</t>
  </si>
  <si>
    <t>Modernizacja budynku Szkoły Podstawowej nr 96 przy ul. Sarabandy 16/22</t>
  </si>
  <si>
    <t>C/USN/V/P1/86</t>
  </si>
  <si>
    <t>Adaptacja pomieszczeń LXX LO przy ul. Dembowskiego 1 dla potrzeb FabLab wraz z modernizacją instalacji elektrycznej budynku</t>
  </si>
  <si>
    <t>C/USN/V/P1/87</t>
  </si>
  <si>
    <t>Termomodernizacja budynku Szkoły Podstawowej nr 343 przy ul. Kopcińskiego 7</t>
  </si>
  <si>
    <t>SFUE/7/23</t>
  </si>
  <si>
    <t>6056+001</t>
  </si>
  <si>
    <t>6056+002</t>
  </si>
  <si>
    <t>C/USN/V/P1/92</t>
  </si>
  <si>
    <t>Program wdrożenia systemu do zarządzania energią wraz z poprawą efektywności energetycznej w obiektach oświatowych</t>
  </si>
  <si>
    <t>C/USN/V/P1/93</t>
  </si>
  <si>
    <t>Panele fotowoltaiczne na dachach budynków szkół podstawowych</t>
  </si>
  <si>
    <t>C/USN/V/P1/94</t>
  </si>
  <si>
    <t>Panele fotowoltaiczne na dachach przedszkoli</t>
  </si>
  <si>
    <t>C/USN/V/P1/95</t>
  </si>
  <si>
    <t>Panele fotowoltaiczne na dachu budynku Przedszkola Specjalnego nr 213 przy ul. Teligi 1</t>
  </si>
  <si>
    <t>C/USN/V/P1/96</t>
  </si>
  <si>
    <t>Panele fotowoltaiczne na dachach liceów ogólnokształcących</t>
  </si>
  <si>
    <t>ZLOB</t>
  </si>
  <si>
    <t>C/USN/VI/P3/4</t>
  </si>
  <si>
    <t>Budowa żłobka przy ul. Kazury wraz z infrastrukturą komunikacyjną</t>
  </si>
  <si>
    <t>C/USN/VI/P3/7</t>
  </si>
  <si>
    <t>Budowa Centrum Opiekuńczo-Mieszkalnego "Ursynów"</t>
  </si>
  <si>
    <t>C/USN/VII/P3/9</t>
  </si>
  <si>
    <t>Aranżacja wraz z adaptacją pomieszczeń i wyposażenie Ursynowskiego Centrum Kultury "Alternatywy"</t>
  </si>
  <si>
    <t>C/USN/VII/P3/11</t>
  </si>
  <si>
    <t>Adaptacja pomieszczeń dla potrzeb Ursynoteki po przedszkolu przy ul. Polnej Róży</t>
  </si>
  <si>
    <t>SMOG</t>
  </si>
  <si>
    <t>C/USN/VIII/P1/24</t>
  </si>
  <si>
    <t>Budowa instalacji fotowoltaicznych w obiektach Ursynowskiego Centrum Sportu i Rekreacji</t>
  </si>
  <si>
    <t>C/USN/X/P2/7</t>
  </si>
  <si>
    <t>Modernizacja siedziby Urzędu Dzielnicy</t>
  </si>
  <si>
    <t>Bilans zmian</t>
  </si>
  <si>
    <t>WPF,  w tym</t>
  </si>
  <si>
    <t>WPF / PM</t>
  </si>
  <si>
    <t>WPF / UM</t>
  </si>
  <si>
    <t>Bilans (plan przed zmianą)</t>
  </si>
  <si>
    <t>Bilans (proponowana zmiana)</t>
  </si>
  <si>
    <t>Bilans (plan po zmianie)</t>
  </si>
  <si>
    <t>Sprawdzenia</t>
  </si>
  <si>
    <t>Skopiuj dane z raportu z BFEiPR "D12"</t>
  </si>
  <si>
    <t>Dane z raportu 
D12 - WPF</t>
  </si>
  <si>
    <t>Łączne nakłady finansowe 
(kol. 11+12+13)</t>
  </si>
  <si>
    <t>Łączny limit zobowiązań 
(kol. 13+…+n)</t>
  </si>
  <si>
    <t>Limity wydatków na 2024 rok</t>
  </si>
  <si>
    <t>Limity wydatków na 2025 rok</t>
  </si>
  <si>
    <t>Ogółem</t>
  </si>
  <si>
    <t>Planowane</t>
  </si>
  <si>
    <t>Realizowane</t>
  </si>
  <si>
    <t>spr</t>
  </si>
  <si>
    <t>Sprawdzenia z raportem z BFEiPR "D12 - WPF"</t>
  </si>
  <si>
    <r>
      <t xml:space="preserve">Zestawienie planów dla wieloletnich </t>
    </r>
    <r>
      <rPr>
        <b/>
        <u/>
        <sz val="14"/>
        <rFont val="Calibri"/>
        <family val="2"/>
        <charset val="238"/>
        <scheme val="minor"/>
      </rPr>
      <t>przedsięwzięć majątkowych</t>
    </r>
  </si>
  <si>
    <r>
      <rPr>
        <b/>
        <u/>
        <sz val="10"/>
        <color rgb="FFFF0000"/>
        <rFont val="Calibri"/>
        <family val="2"/>
        <charset val="238"/>
        <scheme val="minor"/>
      </rPr>
      <t>Koniecznie</t>
    </r>
    <r>
      <rPr>
        <b/>
        <sz val="10"/>
        <color rgb="FFFF0000"/>
        <rFont val="Calibri"/>
        <family val="2"/>
        <charset val="238"/>
        <scheme val="minor"/>
      </rPr>
      <t xml:space="preserve"> proszę wybrać dane z filtrów podanych poniżej:</t>
    </r>
  </si>
  <si>
    <t>(Wszystko)</t>
  </si>
  <si>
    <t>Ogółem WPF:</t>
  </si>
  <si>
    <t>Ogółem WPF/PM:</t>
  </si>
  <si>
    <t>Ogółem WPF/UM:</t>
  </si>
  <si>
    <t>Planow., czy realizow.?</t>
  </si>
  <si>
    <t xml:space="preserve">Łączne nakłady finansowe </t>
  </si>
  <si>
    <t>Plan 2023</t>
  </si>
  <si>
    <t>Plan 2024</t>
  </si>
  <si>
    <t>Plan 2025</t>
  </si>
  <si>
    <t>Plan 2026</t>
  </si>
  <si>
    <t>Plan 2027</t>
  </si>
  <si>
    <t>Sprawdzenia:</t>
  </si>
  <si>
    <t>Rodzaj 
zmian</t>
  </si>
  <si>
    <t>P, czy U?</t>
  </si>
  <si>
    <t>Plany 2023</t>
  </si>
  <si>
    <t>Plany 2024</t>
  </si>
  <si>
    <t>Plany 2025</t>
  </si>
  <si>
    <t>Plany 2026</t>
  </si>
  <si>
    <t>Plany 2027</t>
  </si>
  <si>
    <t>6050</t>
  </si>
  <si>
    <t>Dane tp:</t>
  </si>
  <si>
    <t>Dane z ark. "Inwestycje PM":</t>
  </si>
  <si>
    <t>6060</t>
  </si>
  <si>
    <t>Spr:</t>
  </si>
  <si>
    <t>6056</t>
  </si>
  <si>
    <t>6057</t>
  </si>
  <si>
    <t>6220</t>
  </si>
  <si>
    <t>6210</t>
  </si>
  <si>
    <t>Wybierz:</t>
  </si>
  <si>
    <t>Planow., czy realizowane?</t>
  </si>
  <si>
    <t>Przed zmianą</t>
  </si>
  <si>
    <t>Proponowana zmiana</t>
  </si>
  <si>
    <t>Po zmianie</t>
  </si>
  <si>
    <r>
      <rPr>
        <b/>
        <u/>
        <sz val="11"/>
        <color rgb="FFFF0000"/>
        <rFont val="Calibri"/>
        <family val="2"/>
        <charset val="238"/>
        <scheme val="minor"/>
      </rPr>
      <t>Koniecznie</t>
    </r>
    <r>
      <rPr>
        <b/>
        <sz val="11"/>
        <color rgb="FFFF0000"/>
        <rFont val="Calibri"/>
        <family val="2"/>
        <charset val="238"/>
        <scheme val="minor"/>
      </rPr>
      <t xml:space="preserve"> proszę wybrać dane z filtrów podanych poniżej:</t>
    </r>
  </si>
  <si>
    <t>Plan 2028</t>
  </si>
  <si>
    <t>Plan 2029</t>
  </si>
  <si>
    <t>Plan 2030</t>
  </si>
  <si>
    <t>Plan 2031</t>
  </si>
  <si>
    <t>Plan 2032</t>
  </si>
  <si>
    <t>Rodzaj 
zmian:</t>
  </si>
  <si>
    <t>Suma końcowa</t>
  </si>
  <si>
    <t>L. nieprawidł.:</t>
  </si>
  <si>
    <t>P, U, czy ogółem?</t>
  </si>
  <si>
    <t>Zadanie</t>
  </si>
  <si>
    <t>Razdział</t>
  </si>
  <si>
    <t>Klasyfikacja do wyliczeń</t>
  </si>
  <si>
    <t>Rok 2023</t>
  </si>
  <si>
    <t>Rok 2024</t>
  </si>
  <si>
    <t>Rok 2025</t>
  </si>
  <si>
    <t>Rok 2026</t>
  </si>
  <si>
    <t>Uwagi</t>
  </si>
  <si>
    <t>60014</t>
  </si>
  <si>
    <t>C/USN/I/1/1 60014 6050 WPF, w tym</t>
  </si>
  <si>
    <t>C/USN/I/1/1 60014 6050 WPF/PM</t>
  </si>
  <si>
    <t>C/USN/I/1/1 60014 6050 WPF/UM</t>
  </si>
  <si>
    <t>60016</t>
  </si>
  <si>
    <t>C/USN/I/P2/33 60016 6060 WPF, w tym</t>
  </si>
  <si>
    <t>C/USN/I/P2/33 60016 6060 WPF/PM</t>
  </si>
  <si>
    <t>C/USN/I/P2/35 60016 6060 WPF, w tym</t>
  </si>
  <si>
    <t>C/USN/I/P2/35 60016 6060 WPF/PM</t>
  </si>
  <si>
    <t>C/USN/I/P2/36 60016 6050 WPF, w tym</t>
  </si>
  <si>
    <t>C/USN/I/P2/36 60016 6050 WPF/PM</t>
  </si>
  <si>
    <t>C/USN/I/P2/36 60016 6050 WPF/UM</t>
  </si>
  <si>
    <t>60095</t>
  </si>
  <si>
    <t>C/USN/I/P2/37 60095 6050 WPF, w tym</t>
  </si>
  <si>
    <t>C/USN/I/P2/37 60095 6050 WPF/PM</t>
  </si>
  <si>
    <t>C/USN/I/P2/37 60095 6050 WPF/UM</t>
  </si>
  <si>
    <t>C/USN/I/P2/43 60016 6050 WPF, w tym</t>
  </si>
  <si>
    <t>C/USN/I/P2/43 60016 6050 WPF/PM</t>
  </si>
  <si>
    <t>C/USN/I/P2/43 60016 6050 WPF/UM</t>
  </si>
  <si>
    <t>C/USN/I/P2/44 60016 6060 WPF, w tym</t>
  </si>
  <si>
    <t>C/USN/I/P2/44 60016 6060 WPF/PM</t>
  </si>
  <si>
    <t>71095</t>
  </si>
  <si>
    <t>C/USN/II/P5/4 71095 6050 WPF, w tym</t>
  </si>
  <si>
    <t>C/USN/II/P5/4 71095 6050 WPF/PM</t>
  </si>
  <si>
    <t>C/USN/II/P5/4 71095 6050 WPF/UM</t>
  </si>
  <si>
    <t>90004</t>
  </si>
  <si>
    <t>C/USN/III/P3/38 90004 6050 WPF, w tym</t>
  </si>
  <si>
    <t>C/USN/III/P3/38 90004 6050 WPF/PM</t>
  </si>
  <si>
    <t>C/USN/III/P3/38 90004 6050 WPF/UM</t>
  </si>
  <si>
    <t>C/USN/III/P3/39 90004 6050 WPF, w tym</t>
  </si>
  <si>
    <t>C/USN/III/P3/39 90004 6050 WPF/PM</t>
  </si>
  <si>
    <t>C/USN/III/P3/39 90004 6050 WPF/UM</t>
  </si>
  <si>
    <t>C/USN/III/P3/40 90004 6050 WPF, w tym</t>
  </si>
  <si>
    <t>C/USN/III/P3/40 90004 6050 WPF/PM</t>
  </si>
  <si>
    <t>C/USN/III/P3/40 90004 6050 WPF/UM</t>
  </si>
  <si>
    <t>C/USN/III/P3/41 90004 6050 WPF, w tym</t>
  </si>
  <si>
    <t>C/USN/III/P3/41 90004 6050 WPF/PM</t>
  </si>
  <si>
    <t>C/USN/III/P3/41 90004 6050 WPF/UM</t>
  </si>
  <si>
    <t>C/USN/III/P3/42 90004 6050 WPF, w tym</t>
  </si>
  <si>
    <t>C/USN/III/P3/42 90004 6050 WPF/PM</t>
  </si>
  <si>
    <t>C/USN/III/P3/42 90004 6050 WPF/UM</t>
  </si>
  <si>
    <t>90001</t>
  </si>
  <si>
    <t>C/USN/III/3/7 90001 6050 WPF, w tym</t>
  </si>
  <si>
    <t>C/USN/III/3/7 90001 6050 WPF/PM</t>
  </si>
  <si>
    <t>C/USN/III/3/7 90001 6050 WPF/UM</t>
  </si>
  <si>
    <t>90095</t>
  </si>
  <si>
    <t>90026</t>
  </si>
  <si>
    <t>C/USN/III/P4/31 90026 6050 WPF, w tym</t>
  </si>
  <si>
    <t>C/USN/III/P4/31 90026 6050 WPF/PM</t>
  </si>
  <si>
    <t>C/USN/III/P4/31 90026 6050 WPF/UM</t>
  </si>
  <si>
    <t>C/USN/III/P4/32 90095 6050 WPF, w tym</t>
  </si>
  <si>
    <t>C/USN/III/P4/32 90095 6050 WPF/PM</t>
  </si>
  <si>
    <t>C/USN/III/P4/32 90095 6050 WPF/UM</t>
  </si>
  <si>
    <t>C/USN/III/P4/34 90001 6050 WPF, w tym</t>
  </si>
  <si>
    <t>C/USN/III/P4/34 90001 6050 WPF/PM</t>
  </si>
  <si>
    <t>C/USN/III/P4/34 90001 6050 WPF/UM</t>
  </si>
  <si>
    <t>C/USN/III/P4/36 90095 6050 WPF, w tym</t>
  </si>
  <si>
    <t>C/USN/III/P4/36 90095 6050 WPF/PM</t>
  </si>
  <si>
    <t>C/USN/III/P4/36 90095 6050 WPF/UM</t>
  </si>
  <si>
    <t>50095</t>
  </si>
  <si>
    <t>C/USN/III/P4/37 50095 6050 WPF, w tym</t>
  </si>
  <si>
    <t>C/USN/III/P4/37 50095 6050 WPF/PM</t>
  </si>
  <si>
    <t>C/USN/III/P4/37 50095 6050 WPF/UM</t>
  </si>
  <si>
    <t>75495</t>
  </si>
  <si>
    <t>C/USN/IV/P3/1 75495 6050 WPF, w tym</t>
  </si>
  <si>
    <t>C/USN/IV/P3/1 75495 6050 WPF/PM</t>
  </si>
  <si>
    <t>C/USN/IV/P3/1 75495 6050 WPF/UM</t>
  </si>
  <si>
    <t>80104</t>
  </si>
  <si>
    <t>C/USN/V/P1/4 80104 6060 WPF, w tym</t>
  </si>
  <si>
    <t>C/USN/V/P1/4 80104 6060 WPF/PM</t>
  </si>
  <si>
    <t>80101</t>
  </si>
  <si>
    <t>C/USN/V/P1/65 80101 6050 WPF, w tym</t>
  </si>
  <si>
    <t>C/USN/V/P1/65 80101 6050 WPF/PM</t>
  </si>
  <si>
    <t>C/USN/V/P1/65 80101 6050 WPF/UM</t>
  </si>
  <si>
    <t>C/USN/V/P1/66 80101 6050 WPF, w tym</t>
  </si>
  <si>
    <t>C/USN/V/P1/66 80101 6050 WPF/PM</t>
  </si>
  <si>
    <t>C/USN/V/P1/66 80101 6050 WPF/UM</t>
  </si>
  <si>
    <t>80105</t>
  </si>
  <si>
    <t>C/USN/V/P1/68 80101 6050 WPF, w tym</t>
  </si>
  <si>
    <t>C/USN/V/P1/68 80101 6050 WPF/PM</t>
  </si>
  <si>
    <t>C/USN/V/P1/68 80101 6050 WPF/UM</t>
  </si>
  <si>
    <t>C/USN/V/P1/70 80101 6050 WPF, w tym</t>
  </si>
  <si>
    <t>C/USN/V/P1/70 80101 6050 WPF/PM</t>
  </si>
  <si>
    <t>C/USN/V/P1/70 80101 6050 WPF/UM</t>
  </si>
  <si>
    <t>80120</t>
  </si>
  <si>
    <t>C/USN/V/P1/86 80120 6050 WPF, w tym</t>
  </si>
  <si>
    <t>C/USN/V/P1/86 80120 6050 WPF/PM</t>
  </si>
  <si>
    <t>C/USN/V/P1/86 80120 6050 WPF/UM</t>
  </si>
  <si>
    <t>C/USN/V/P1/87 80101 6050 WPF, w tym</t>
  </si>
  <si>
    <t>C/USN/V/P1/87 80101 6050 WPF/PM</t>
  </si>
  <si>
    <t>C/USN/V/P1/87 80101 6050 WPF/UM</t>
  </si>
  <si>
    <t>80195</t>
  </si>
  <si>
    <t>C/USN/V/P1/92 80195 6050 WPF, w tym</t>
  </si>
  <si>
    <t>C/USN/V/P1/92 80195 6050 WPF/PM</t>
  </si>
  <si>
    <t>C/USN/V/P1/93 80101 6050 WPF, w tym</t>
  </si>
  <si>
    <t>C/USN/V/P1/93 80101 6050 WPF/PM</t>
  </si>
  <si>
    <t>C/USN/V/P1/94 80104 6050 WPF, w tym</t>
  </si>
  <si>
    <t>C/USN/V/P1/94 80104 6050 WPF/PM</t>
  </si>
  <si>
    <t>C/USN/V/P1/95 80105 6050 WPF, w tym</t>
  </si>
  <si>
    <t>C/USN/V/P1/95 80105 6050 WPF/PM</t>
  </si>
  <si>
    <t>C/USN/V/P1/96 80120 6050 WPF, w tym</t>
  </si>
  <si>
    <t>C/USN/V/P1/96 80120 6050 WPF/PM</t>
  </si>
  <si>
    <t>85516</t>
  </si>
  <si>
    <t>C/USN/VI/P3/4 85516 6050 WPF, w tym</t>
  </si>
  <si>
    <t>C/USN/VI/P3/4 85516 6050 WPF/PM</t>
  </si>
  <si>
    <t>C/USN/VI/P3/4 85516 6050 WPF/UM</t>
  </si>
  <si>
    <t>85202</t>
  </si>
  <si>
    <t>C/USN/VI/P3/7 85202 6050 WPF, w tym</t>
  </si>
  <si>
    <t>C/USN/VI/P3/7 85202 6050 WPF/PM</t>
  </si>
  <si>
    <t>C/USN/VI/P3/7 85202 6050 WPF/UM</t>
  </si>
  <si>
    <t>92116</t>
  </si>
  <si>
    <t>C/USN/VII/P3/11 92116 6050 WPF, w tym</t>
  </si>
  <si>
    <t>C/USN/VII/P3/11 92116 6050 WPF/PM</t>
  </si>
  <si>
    <t>C/USN/VII/P3/11 92116 6050 WPF/UM</t>
  </si>
  <si>
    <t>92601</t>
  </si>
  <si>
    <t>C/USN/VIII/P1/24 92601 6210 WPF, w tym</t>
  </si>
  <si>
    <t>C/USN/VIII/P1/24 92601 6210 WPF/PM</t>
  </si>
  <si>
    <t>75023</t>
  </si>
  <si>
    <t>C/USN/X/P2/7 75023 6050 WPF, w tym</t>
  </si>
  <si>
    <t>C/USN/X/P2/7 75023 6050 WPF/PM</t>
  </si>
  <si>
    <t>C/USN/X/P2/7 75023 6050 WPF/UM</t>
  </si>
  <si>
    <t>Rok 2027</t>
  </si>
  <si>
    <t>C/USN/V/P1/4 80104 6060 WPF/UM</t>
  </si>
  <si>
    <t>C/USN/VIII/P1/24 92601 6210 WPF/UM</t>
  </si>
  <si>
    <t>C/USN/III/P3/43</t>
  </si>
  <si>
    <t>Zagospodarowanie zachodniej części terenu Parku Moczydełko wraz z renaturalizacją zbiornika wodnego "Moczydło nr 3" przy ul. Wełnianej</t>
  </si>
  <si>
    <t>Poniesione nakłady finansowe do 31.12.2022 roku</t>
  </si>
  <si>
    <t>Poniesione nakłady finansowe w 2023 roku</t>
  </si>
  <si>
    <t>Limity wydatków na 2026 rok</t>
  </si>
  <si>
    <t>Plany 
do 2022</t>
  </si>
  <si>
    <t>Zmiany dla 2025 oku</t>
  </si>
  <si>
    <t>Zmiany dla 2026 roku</t>
  </si>
  <si>
    <t>C/USN/I/P2/45</t>
  </si>
  <si>
    <t>Łączymy rowerowe szlaki - uzupełnienie sieci dróg rowerowych na Ursynowie o brakujące odcinki - edycja II</t>
  </si>
  <si>
    <t>BO/23/12/0224</t>
  </si>
  <si>
    <t>BO/23/12/0218</t>
  </si>
  <si>
    <t>C/USN/III/P4/39</t>
  </si>
  <si>
    <t>C/USN/VI/P3/10</t>
  </si>
  <si>
    <t>Modernizacja budynku Ośrodka Pomocy Społecznej</t>
  </si>
  <si>
    <t>Modernizacja ogólnodostępnych placów zabaw, dostosowanie do potrzeb różnych grup użytkowników</t>
  </si>
  <si>
    <t>Modernizacje terenów zewnętrznych przy placówkach oświatowych</t>
  </si>
  <si>
    <t>MWPO/0027</t>
  </si>
  <si>
    <t>C/USN/III/P4/40</t>
  </si>
  <si>
    <t>MWPO/0021</t>
  </si>
  <si>
    <t>MWPO/0025</t>
  </si>
  <si>
    <t>MWPO/0026</t>
  </si>
  <si>
    <t>MWPO/0023</t>
  </si>
  <si>
    <t>C/USN/V/P1/103</t>
  </si>
  <si>
    <t>MWPO/0024</t>
  </si>
  <si>
    <t>C/USN/I/1/8 60014 6050 WPF, w tym</t>
  </si>
  <si>
    <t>C/USN/I/1/8 60014 6050 WPF/PM</t>
  </si>
  <si>
    <t>C/USN/I/1/8 60014 6050 WPF/UM</t>
  </si>
  <si>
    <t>C/USN/I/P2/10 60016 6050 WPF, w tym</t>
  </si>
  <si>
    <t>C/USN/I/P2/10 60016 6050 WPF/PM</t>
  </si>
  <si>
    <t>C/USN/I/P2/10 60016 6050 WPF/UM</t>
  </si>
  <si>
    <t>C/USN/I/P2/21 60016 6060 WPF, w tym</t>
  </si>
  <si>
    <t>C/USN/I/P2/21 60016 6060 WPF/PM</t>
  </si>
  <si>
    <t>C/USN/I/P2/21 60016 6060 WPF/UM</t>
  </si>
  <si>
    <t>C/USN/I/P2/22 60016 6050 WPF, w tym</t>
  </si>
  <si>
    <t>C/USN/I/P2/22 60016 6050 WPF/PM</t>
  </si>
  <si>
    <t>C/USN/I/P2/22 60016 6050 WPF/UM</t>
  </si>
  <si>
    <t>90015</t>
  </si>
  <si>
    <t>C/USN/I/P2/41 90015 6050 WPF, w tym</t>
  </si>
  <si>
    <t>C/USN/I/P2/41 90015 6050 WPF/PM</t>
  </si>
  <si>
    <t>C/USN/I/P2/41 90015 6050 WPF/UM</t>
  </si>
  <si>
    <t>C/USN/I/P2/45 60095 6050 WPF, w tym</t>
  </si>
  <si>
    <t>C/USN/I/P2/45 60095 6050 WPF/PM</t>
  </si>
  <si>
    <t>C/USN/III/P3/43 90004 6050 WPF, w tym</t>
  </si>
  <si>
    <t>C/USN/III/P3/43 90004 6050 WPF/PM</t>
  </si>
  <si>
    <t>C/USN/III/P4/35 90095 6050 WPF, w tym</t>
  </si>
  <si>
    <t>C/USN/III/P4/35 90095 6050 WPF/PM</t>
  </si>
  <si>
    <t>C/USN/III/P4/35 90095 6050 WPF/UM</t>
  </si>
  <si>
    <t>C/USN/III/P4/39 90095 6050 WPF, w tym</t>
  </si>
  <si>
    <t>C/USN/III/P4/39 90095 6050 WPF/PM</t>
  </si>
  <si>
    <t>C/USN/III/P4/39 90095 6050 WPF/UM</t>
  </si>
  <si>
    <t>C/USN/III/P4/40 90095 6050 WPF, w tym</t>
  </si>
  <si>
    <t>C/USN/III/P4/40 90095 6050 WPF/PM</t>
  </si>
  <si>
    <t>C/USN/V/P1/87 80101 6056 WPF/UM</t>
  </si>
  <si>
    <t>C/USN/V/P1/87 80101 6057 WPF/UM</t>
  </si>
  <si>
    <t>C/USN/V/P1/103 80195 6050 WPF, w tym</t>
  </si>
  <si>
    <t>C/USN/V/P1/103 80195 6050 WPF/PM</t>
  </si>
  <si>
    <t>85219</t>
  </si>
  <si>
    <t>C/USN/VI/P3/10 85219 6050 WPF, w tym</t>
  </si>
  <si>
    <t>C/USN/VI/P3/10 85219 6050 WPF/PM</t>
  </si>
  <si>
    <t>C/USN/VI/P3/10 85219 6050 WPF/UM</t>
  </si>
  <si>
    <t>92109</t>
  </si>
  <si>
    <t>C/USN/VII/P3/9 92109 6220 WPF, w tym</t>
  </si>
  <si>
    <t>C/USN/VII/P3/9 92109 6220 WPF/PM</t>
  </si>
  <si>
    <t>C/USN/VII/P3/9 92109 6220 WPF/UM</t>
  </si>
  <si>
    <t>Pokaż nieprawidłowości</t>
  </si>
  <si>
    <t>Dane z raportu: D12-WPF z 14.03.2024 r.</t>
  </si>
  <si>
    <t>MWPO/0022</t>
  </si>
  <si>
    <t>Budowa Miejsca Aktywności Lokalnej przy ul. Karczunkowskiej 138 wraz z zagospodarowaniem terenu</t>
  </si>
  <si>
    <t>Budowa Parku Przy Bażantarni - część wschodnia wraz z modernizacją części zachodniej</t>
  </si>
  <si>
    <t>2021</t>
  </si>
  <si>
    <t>Sprawdzenia z raportem z BFEiPR "D12 - WPF" po UR z 14.03.2024 r.</t>
  </si>
  <si>
    <t>Modernizacja Szkoły Podstawowej nr 323 przy ul. Hirszfelda 11</t>
  </si>
  <si>
    <t>C/USN/V/P1/nowy 1</t>
  </si>
  <si>
    <t>2024</t>
  </si>
  <si>
    <t>C/USN/V/P1/nowy 2</t>
  </si>
  <si>
    <t>Modernizacja Szkoły Podstawowej nr 313 przy ul. Cybisa 1</t>
  </si>
  <si>
    <t>tak</t>
  </si>
  <si>
    <t>a) DOCHODÓW w tym UE*</t>
  </si>
  <si>
    <t>b) WYDATKÓW BIEŻĄCYCH w tym UE</t>
  </si>
  <si>
    <t>Zmiany dla 2025 roku</t>
  </si>
  <si>
    <t>Plan po zmianie</t>
  </si>
  <si>
    <t>Zatwierdził:</t>
  </si>
  <si>
    <t>Wydziały dla Dzielnicy Ursynów m.st. Warszawy</t>
  </si>
  <si>
    <t>Skrót</t>
  </si>
  <si>
    <t>Wydział Architektury i Budownictwa</t>
  </si>
  <si>
    <t>WAB</t>
  </si>
  <si>
    <t>Wydział Administracyjno-Gospodarczy</t>
  </si>
  <si>
    <t>WAG</t>
  </si>
  <si>
    <t>Wydział Budżetowo-Księgowy</t>
  </si>
  <si>
    <t>WBK</t>
  </si>
  <si>
    <t>Wydział Działalności Gospodarczej i Zezwoleń</t>
  </si>
  <si>
    <t>WDG</t>
  </si>
  <si>
    <t>Wydział Gospodarki Nieruchomościami</t>
  </si>
  <si>
    <t>WGN</t>
  </si>
  <si>
    <t>Wydział Informatyki</t>
  </si>
  <si>
    <t>WIN</t>
  </si>
  <si>
    <t>Wydział Infrastruktury</t>
  </si>
  <si>
    <t>WIR</t>
  </si>
  <si>
    <t>Wydział Kadr i Funduszy Europejskich</t>
  </si>
  <si>
    <t>WKF</t>
  </si>
  <si>
    <t>Wydział Komunikacji Społecznej</t>
  </si>
  <si>
    <t>WKS</t>
  </si>
  <si>
    <t>Wydział Organizacyjny</t>
  </si>
  <si>
    <t>WOD</t>
  </si>
  <si>
    <t>Wydział Obsługi Mieszkańców</t>
  </si>
  <si>
    <t>WOM</t>
  </si>
  <si>
    <t>Wydział Ochrony Środowiska</t>
  </si>
  <si>
    <t>WOŚ</t>
  </si>
  <si>
    <t>Wydział Oświaty i Wychowania</t>
  </si>
  <si>
    <t>WOW</t>
  </si>
  <si>
    <t>Wydział Prawny</t>
  </si>
  <si>
    <t>WPR</t>
  </si>
  <si>
    <t>Wydział Sportu i Rekreacji</t>
  </si>
  <si>
    <t>WSR</t>
  </si>
  <si>
    <t>Wydział Spraw Społecznych i Świadczeń</t>
  </si>
  <si>
    <t>WSS</t>
  </si>
  <si>
    <t>Wydział Zasobów Lokalowych</t>
  </si>
  <si>
    <t>WZL</t>
  </si>
  <si>
    <t>Wydział Zamówień Publicznych</t>
  </si>
  <si>
    <t>WZP</t>
  </si>
  <si>
    <t>Zespół Kultury</t>
  </si>
  <si>
    <t>ZKU</t>
  </si>
  <si>
    <t>Zespół Obsługi Rady Dzielnicy</t>
  </si>
  <si>
    <t>ZOR</t>
  </si>
  <si>
    <t>Dzielnicowe Biuro Finansów Oświaty</t>
  </si>
  <si>
    <t>DBFO</t>
  </si>
  <si>
    <t>Ośrodek Pomocy Społecznej</t>
  </si>
  <si>
    <t>OPS</t>
  </si>
  <si>
    <t>Środowiskowy Dom Samopomocy</t>
  </si>
  <si>
    <t>SDS</t>
  </si>
  <si>
    <t>801.80101.W4270+000</t>
  </si>
  <si>
    <t>Remonty w przedszkolach, szkołach i placówkach oświatowych</t>
  </si>
  <si>
    <t>B/V/1/27</t>
  </si>
  <si>
    <t>Plan wg stanu
 na dzień 
04.06.2024 r.</t>
  </si>
  <si>
    <t>Plan wg stanu
 na dzień 
04.06.2024</t>
  </si>
  <si>
    <t>Załacznik nr 1 do uchwały nr 16/2024
Zarządu Dzielnicy Ursynów m.st. Warszawy
z  10  czerwca 2024 roku</t>
  </si>
  <si>
    <t>Załacznik nr 2 do uchwały nr 16/2024
Zarządu Dzielnicy Ursynów m.st. Warszawy
z  10  czerwca 2024 roku</t>
  </si>
  <si>
    <t>Załacznik nr 1 do Uchwały nr 16/2024
Zarządu Dzielnicy Ursynów m.st. Warszawy
z  10  czerwca 2024 roku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</si>
</sst>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_ ;[Red]\-#,##0\ "/>
    <numFmt numFmtId="165" formatCode="#,##0.00_ ;[Red]\-#,##0.00\ "/>
  </numFmts>
  <fonts count="8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1"/>
      <color indexed="8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8.5"/>
      <name val="Arial"/>
      <family val="2"/>
      <charset val="238"/>
    </font>
    <font>
      <b/>
      <sz val="7"/>
      <name val="Arial"/>
      <family val="2"/>
      <charset val="238"/>
    </font>
    <font>
      <b/>
      <sz val="8"/>
      <color rgb="FF0000CC"/>
      <name val="Arial"/>
      <family val="2"/>
      <charset val="238"/>
    </font>
    <font>
      <b/>
      <sz val="8"/>
      <name val="Arial"/>
      <family val="2"/>
      <charset val="238"/>
    </font>
    <font>
      <sz val="10"/>
      <color rgb="FF0000CC"/>
      <name val="Arial"/>
      <family val="2"/>
      <charset val="238"/>
    </font>
    <font>
      <b/>
      <sz val="13"/>
      <name val="Arial"/>
      <family val="2"/>
      <charset val="238"/>
    </font>
    <font>
      <b/>
      <sz val="13"/>
      <color rgb="FF0000CC"/>
      <name val="Arial"/>
      <family val="2"/>
      <charset val="238"/>
    </font>
    <font>
      <sz val="13"/>
      <color rgb="FF0000CC"/>
      <name val="Arial"/>
      <family val="2"/>
      <charset val="238"/>
    </font>
    <font>
      <sz val="13"/>
      <name val="Arial"/>
      <family val="2"/>
      <charset val="238"/>
    </font>
    <font>
      <sz val="8"/>
      <color rgb="FF0000CC"/>
      <name val="Arial"/>
      <family val="2"/>
      <charset val="238"/>
    </font>
    <font>
      <b/>
      <sz val="8"/>
      <color rgb="FF6600CC"/>
      <name val="Arial"/>
      <family val="2"/>
      <charset val="238"/>
    </font>
    <font>
      <b/>
      <sz val="8"/>
      <color rgb="FF9B37FF"/>
      <name val="Arial"/>
      <family val="2"/>
      <charset val="238"/>
    </font>
    <font>
      <b/>
      <sz val="9"/>
      <name val="Arial"/>
      <family val="2"/>
      <charset val="238"/>
    </font>
    <font>
      <b/>
      <sz val="9"/>
      <color rgb="FF0000CC"/>
      <name val="Arial"/>
      <family val="2"/>
      <charset val="238"/>
    </font>
    <font>
      <sz val="9"/>
      <color rgb="FF0000CC"/>
      <name val="Arial"/>
      <family val="2"/>
      <charset val="238"/>
    </font>
    <font>
      <b/>
      <sz val="9"/>
      <color rgb="FF6600CC"/>
      <name val="Arial"/>
      <family val="2"/>
      <charset val="238"/>
    </font>
    <font>
      <b/>
      <sz val="9"/>
      <color rgb="FF9B37FF"/>
      <name val="Arial"/>
      <family val="2"/>
      <charset val="238"/>
    </font>
    <font>
      <sz val="9"/>
      <name val="Arial"/>
      <family val="2"/>
      <charset val="238"/>
    </font>
    <font>
      <sz val="10"/>
      <color indexed="8"/>
      <name val="Arial"/>
      <family val="2"/>
    </font>
    <font>
      <b/>
      <sz val="10"/>
      <color rgb="FF0000CC"/>
      <name val="Arial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8"/>
      <name val="Arial CE"/>
      <charset val="238"/>
    </font>
    <font>
      <sz val="8"/>
      <color rgb="FF0000CC"/>
      <name val="Arial CE"/>
      <family val="2"/>
      <charset val="238"/>
    </font>
    <font>
      <i/>
      <sz val="8"/>
      <color rgb="FF5F5F5F"/>
      <name val="Arial"/>
      <family val="2"/>
      <charset val="238"/>
    </font>
    <font>
      <i/>
      <sz val="8"/>
      <color rgb="FF808080"/>
      <name val="Arial"/>
      <family val="2"/>
      <charset val="238"/>
    </font>
    <font>
      <sz val="7"/>
      <name val="Arial"/>
      <family val="2"/>
      <charset val="238"/>
    </font>
    <font>
      <sz val="8"/>
      <name val="Arial"/>
      <family val="2"/>
    </font>
    <font>
      <sz val="6"/>
      <name val="Arial"/>
      <family val="2"/>
      <charset val="238"/>
    </font>
    <font>
      <sz val="7"/>
      <color rgb="FF0000CC"/>
      <name val="Arial"/>
      <family val="2"/>
      <charset val="238"/>
    </font>
    <font>
      <b/>
      <sz val="7.5"/>
      <color rgb="FF0000CC"/>
      <name val="Arial"/>
      <family val="2"/>
      <charset val="238"/>
    </font>
    <font>
      <b/>
      <sz val="7"/>
      <color rgb="FF0000CC"/>
      <name val="Arial"/>
      <family val="2"/>
      <charset val="238"/>
    </font>
    <font>
      <b/>
      <sz val="7"/>
      <color rgb="FF5F5F5F"/>
      <name val="Arial"/>
      <family val="2"/>
      <charset val="238"/>
    </font>
    <font>
      <b/>
      <sz val="6"/>
      <name val="Arial"/>
      <family val="2"/>
      <charset val="238"/>
    </font>
    <font>
      <b/>
      <sz val="8"/>
      <color rgb="FF0000CC"/>
      <name val="Arial CE"/>
      <charset val="238"/>
    </font>
    <font>
      <b/>
      <sz val="8"/>
      <name val="Arial CE"/>
      <charset val="238"/>
    </font>
    <font>
      <sz val="8"/>
      <color rgb="FF0000CC"/>
      <name val="Arial CE"/>
      <charset val="238"/>
    </font>
    <font>
      <sz val="8"/>
      <color rgb="FF5F5F5F"/>
      <name val="Arial"/>
      <family val="2"/>
      <charset val="238"/>
    </font>
    <font>
      <sz val="7.5"/>
      <name val="Arial"/>
      <family val="2"/>
      <charset val="238"/>
    </font>
    <font>
      <b/>
      <sz val="8"/>
      <color rgb="FFC00000"/>
      <name val="Arial CE"/>
      <charset val="238"/>
    </font>
    <font>
      <b/>
      <u/>
      <sz val="8"/>
      <name val="Arial"/>
      <family val="2"/>
      <charset val="238"/>
    </font>
    <font>
      <b/>
      <sz val="7"/>
      <name val="Arial Narrow"/>
      <family val="2"/>
      <charset val="238"/>
    </font>
    <font>
      <b/>
      <sz val="14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rgb="FF6600CC"/>
      <name val="Calibri"/>
      <family val="2"/>
      <charset val="238"/>
      <scheme val="minor"/>
    </font>
    <font>
      <b/>
      <sz val="10"/>
      <color rgb="FF0000CC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10"/>
      <color rgb="FF0000CC"/>
      <name val="Calibri"/>
      <family val="2"/>
      <charset val="238"/>
      <scheme val="minor"/>
    </font>
    <font>
      <sz val="10"/>
      <color rgb="FF6600CC"/>
      <name val="Calibri"/>
      <family val="2"/>
      <charset val="238"/>
      <scheme val="minor"/>
    </font>
    <font>
      <sz val="10"/>
      <color rgb="FFCC00CC"/>
      <name val="Calibri"/>
      <family val="2"/>
      <charset val="238"/>
      <scheme val="minor"/>
    </font>
    <font>
      <b/>
      <sz val="10"/>
      <color rgb="FF777777"/>
      <name val="Calibri"/>
      <family val="2"/>
      <charset val="238"/>
      <scheme val="minor"/>
    </font>
    <font>
      <b/>
      <i/>
      <sz val="10"/>
      <color rgb="FF777777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u/>
      <sz val="11"/>
      <color rgb="FFFF0000"/>
      <name val="Calibri"/>
      <family val="2"/>
      <charset val="238"/>
      <scheme val="minor"/>
    </font>
    <font>
      <sz val="10"/>
      <color rgb="FF0000CC"/>
      <name val="Calibri"/>
      <family val="2"/>
      <charset val="238"/>
      <scheme val="minor"/>
    </font>
    <font>
      <b/>
      <sz val="11"/>
      <color rgb="FF0000CC"/>
      <name val="Calibri"/>
      <family val="2"/>
      <charset val="238"/>
      <scheme val="minor"/>
    </font>
    <font>
      <b/>
      <sz val="11"/>
      <color rgb="FF660066"/>
      <name val="Calibri"/>
      <family val="2"/>
      <charset val="238"/>
      <scheme val="minor"/>
    </font>
    <font>
      <sz val="11"/>
      <color rgb="FFC00000"/>
      <name val="Calibri"/>
      <family val="2"/>
      <charset val="238"/>
      <scheme val="minor"/>
    </font>
    <font>
      <b/>
      <sz val="7.5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8"/>
      <color rgb="FFC00000"/>
      <name val="Arial CE"/>
      <charset val="238"/>
    </font>
    <font>
      <sz val="8"/>
      <color rgb="FFFF000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theme="1"/>
      <name val="Calibri"/>
      <scheme val="minor"/>
    </font>
    <font>
      <sz val="8"/>
      <color theme="1"/>
      <name val="Calibri"/>
      <scheme val="minor"/>
    </font>
    <font>
      <sz val="9"/>
      <color theme="1"/>
      <name val="Calibri"/>
      <scheme val="minor"/>
    </font>
    <font>
      <b/>
      <sz val="9"/>
      <color theme="1"/>
      <name val="Calibri"/>
      <scheme val="minor"/>
    </font>
    <font>
      <sz val="9"/>
      <color rgb="FF0000CC"/>
      <name val="Calibri"/>
      <scheme val="minor"/>
    </font>
    <font>
      <sz val="10"/>
      <color rgb="FFFFFFFF"/>
      <name val="Calibri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60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9"/>
      </patternFill>
    </fill>
    <fill>
      <patternFill patternType="solid">
        <fgColor rgb="FFF7F7FF"/>
        <bgColor indexed="64"/>
      </patternFill>
    </fill>
    <fill>
      <patternFill patternType="solid">
        <fgColor indexed="54"/>
      </patternFill>
    </fill>
    <fill>
      <patternFill patternType="solid">
        <fgColor rgb="FFE7FFE7"/>
        <bgColor indexed="64"/>
      </patternFill>
    </fill>
    <fill>
      <patternFill patternType="solid">
        <fgColor rgb="FFE5E5FF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33CC33"/>
        <bgColor indexed="64"/>
      </patternFill>
    </fill>
  </fills>
  <borders count="1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theme="0" tint="-0.499984740745262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theme="0" tint="-0.499984740745262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double">
        <color theme="0" tint="-0.499984740745262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/>
      <top style="medium">
        <color auto="1"/>
      </top>
      <bottom style="thin">
        <color theme="0" tint="-0.24994659260841701"/>
      </bottom>
      <diagonal/>
    </border>
    <border>
      <left/>
      <right/>
      <top style="medium">
        <color auto="1"/>
      </top>
      <bottom style="thin">
        <color theme="0" tint="-0.24994659260841701"/>
      </bottom>
      <diagonal/>
    </border>
    <border>
      <left/>
      <right style="thin">
        <color indexed="64"/>
      </right>
      <top style="medium">
        <color auto="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double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double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double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0" tint="-0.24994659260841701"/>
      </top>
      <bottom style="medium">
        <color auto="1"/>
      </bottom>
      <diagonal/>
    </border>
    <border>
      <left/>
      <right/>
      <top style="thin">
        <color theme="0" tint="-0.24994659260841701"/>
      </top>
      <bottom style="medium">
        <color auto="1"/>
      </bottom>
      <diagonal/>
    </border>
    <border>
      <left style="double">
        <color auto="1"/>
      </left>
      <right style="thin">
        <color theme="0" tint="-0.24994659260841701"/>
      </right>
      <top style="thin">
        <color theme="0" tint="-0.24994659260841701"/>
      </top>
      <bottom style="medium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auto="1"/>
      </bottom>
      <diagonal/>
    </border>
    <border>
      <left style="thin">
        <color theme="0" tint="-0.24994659260841701"/>
      </left>
      <right style="double">
        <color auto="1"/>
      </right>
      <top style="thin">
        <color theme="0" tint="-0.24994659260841701"/>
      </top>
      <bottom style="medium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medium">
        <color auto="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medium">
        <color auto="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double">
        <color auto="1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double">
        <color auto="1"/>
      </right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/>
      <top style="thin">
        <color indexed="18"/>
      </top>
      <bottom/>
      <diagonal/>
    </border>
    <border>
      <left style="medium">
        <color indexed="64"/>
      </left>
      <right style="thin">
        <color indexed="18"/>
      </right>
      <top style="thin">
        <color indexed="18"/>
      </top>
      <bottom/>
      <diagonal/>
    </border>
    <border>
      <left/>
      <right/>
      <top/>
      <bottom style="thin">
        <color rgb="FF6600CC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660066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auto="1"/>
      </right>
      <top style="thin">
        <color theme="0" tint="-0.1499679555650502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theme="0" tint="-0.499984740745262"/>
      </right>
      <top style="thin">
        <color auto="1"/>
      </top>
      <bottom style="medium">
        <color auto="1"/>
      </bottom>
      <diagonal/>
    </border>
    <border>
      <left style="thin">
        <color theme="0" tint="-0.499984740745262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2">
    <xf numFmtId="0" fontId="0" fillId="0" borderId="0"/>
    <xf numFmtId="0" fontId="3" fillId="0" borderId="0" applyNumberFormat="0" applyFill="0" applyBorder="0" applyProtection="0"/>
    <xf numFmtId="0" fontId="5" fillId="0" borderId="0"/>
    <xf numFmtId="0" fontId="10" fillId="2" borderId="0"/>
    <xf numFmtId="0" fontId="5" fillId="0" borderId="0"/>
    <xf numFmtId="0" fontId="10" fillId="2" borderId="0"/>
    <xf numFmtId="4" fontId="31" fillId="3" borderId="11" applyNumberFormat="0" applyProtection="0">
      <alignment horizontal="right" vertical="center"/>
    </xf>
    <xf numFmtId="4" fontId="31" fillId="4" borderId="11" applyNumberFormat="0" applyProtection="0">
      <alignment horizontal="left" vertical="center" indent="1"/>
    </xf>
    <xf numFmtId="4" fontId="40" fillId="5" borderId="12" applyNumberFormat="0" applyProtection="0">
      <alignment horizontal="left" vertical="center" indent="1"/>
    </xf>
    <xf numFmtId="0" fontId="5" fillId="7" borderId="30" applyNumberFormat="0" applyProtection="0">
      <alignment horizontal="left" vertical="center" indent="1"/>
    </xf>
    <xf numFmtId="0" fontId="5" fillId="7" borderId="30" applyNumberFormat="0" applyProtection="0">
      <alignment horizontal="left" vertical="center" indent="1"/>
    </xf>
    <xf numFmtId="0" fontId="5" fillId="7" borderId="30" applyNumberFormat="0" applyProtection="0">
      <alignment horizontal="left" vertical="center" indent="1"/>
    </xf>
    <xf numFmtId="0" fontId="5" fillId="7" borderId="30" applyNumberFormat="0" applyProtection="0">
      <alignment horizontal="left" vertical="center" indent="1"/>
    </xf>
    <xf numFmtId="4" fontId="40" fillId="5" borderId="12" applyNumberFormat="0" applyProtection="0">
      <alignment horizontal="left" vertical="center" indent="1"/>
    </xf>
    <xf numFmtId="4" fontId="40" fillId="5" borderId="12" applyNumberFormat="0" applyProtection="0">
      <alignment horizontal="left" vertical="center" indent="1"/>
    </xf>
    <xf numFmtId="4" fontId="40" fillId="5" borderId="88" applyNumberFormat="0" applyProtection="0">
      <alignment horizontal="left" vertical="center" indent="1"/>
    </xf>
    <xf numFmtId="0" fontId="10" fillId="2" borderId="0"/>
    <xf numFmtId="4" fontId="40" fillId="0" borderId="88" applyNumberFormat="0" applyProtection="0">
      <alignment horizontal="right" vertical="center"/>
    </xf>
    <xf numFmtId="0" fontId="10" fillId="2" borderId="0"/>
    <xf numFmtId="4" fontId="40" fillId="5" borderId="89" applyNumberFormat="0" applyProtection="0">
      <alignment horizontal="left" vertical="center" indent="1"/>
    </xf>
    <xf numFmtId="4" fontId="40" fillId="5" borderId="101" applyNumberFormat="0" applyProtection="0">
      <alignment horizontal="left" vertical="center" indent="1"/>
    </xf>
    <xf numFmtId="4" fontId="40" fillId="0" borderId="101" applyNumberFormat="0" applyProtection="0">
      <alignment horizontal="right" vertical="center"/>
    </xf>
  </cellStyleXfs>
  <cellXfs count="591">
    <xf numFmtId="0" fontId="0" fillId="0" borderId="0" xfId="0"/>
    <xf numFmtId="0" fontId="4" fillId="0" borderId="0" xfId="1" applyFont="1" applyFill="1" applyBorder="1" applyAlignment="1">
      <alignment vertical="center" wrapText="1"/>
    </xf>
    <xf numFmtId="0" fontId="4" fillId="0" borderId="0" xfId="1" applyFont="1" applyFill="1" applyBorder="1" applyAlignment="1">
      <alignment vertical="center"/>
    </xf>
    <xf numFmtId="0" fontId="4" fillId="0" borderId="0" xfId="1" applyNumberFormat="1" applyFont="1" applyFill="1"/>
    <xf numFmtId="0" fontId="6" fillId="0" borderId="0" xfId="2" applyFont="1" applyFill="1" applyAlignment="1" applyProtection="1">
      <alignment horizontal="centerContinuous" vertical="center" wrapText="1"/>
      <protection locked="0"/>
    </xf>
    <xf numFmtId="0" fontId="7" fillId="0" borderId="0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vertical="center" wrapText="1"/>
    </xf>
    <xf numFmtId="0" fontId="7" fillId="0" borderId="0" xfId="1" applyFont="1" applyFill="1" applyBorder="1" applyAlignment="1">
      <alignment horizontal="left" vertical="center" wrapText="1"/>
    </xf>
    <xf numFmtId="0" fontId="4" fillId="0" borderId="0" xfId="1" applyFont="1" applyFill="1" applyBorder="1" applyAlignment="1">
      <alignment horizontal="right" vertical="center"/>
    </xf>
    <xf numFmtId="0" fontId="4" fillId="0" borderId="0" xfId="1" applyFont="1" applyFill="1"/>
    <xf numFmtId="0" fontId="11" fillId="0" borderId="1" xfId="3" applyFont="1" applyFill="1" applyBorder="1" applyAlignment="1">
      <alignment vertical="center" wrapText="1"/>
    </xf>
    <xf numFmtId="0" fontId="11" fillId="0" borderId="1" xfId="3" applyFont="1" applyFill="1" applyBorder="1" applyAlignment="1">
      <alignment horizontal="center" vertical="center"/>
    </xf>
    <xf numFmtId="0" fontId="11" fillId="0" borderId="1" xfId="3" applyFont="1" applyFill="1" applyBorder="1" applyAlignment="1">
      <alignment vertical="center"/>
    </xf>
    <xf numFmtId="0" fontId="11" fillId="0" borderId="2" xfId="3" applyFont="1" applyFill="1" applyBorder="1" applyAlignment="1">
      <alignment horizontal="left" vertical="center"/>
    </xf>
    <xf numFmtId="3" fontId="11" fillId="0" borderId="3" xfId="3" applyNumberFormat="1" applyFont="1" applyFill="1" applyBorder="1" applyAlignment="1">
      <alignment vertical="center"/>
    </xf>
    <xf numFmtId="3" fontId="11" fillId="0" borderId="1" xfId="3" applyNumberFormat="1" applyFont="1" applyFill="1" applyBorder="1" applyAlignment="1">
      <alignment vertical="center"/>
    </xf>
    <xf numFmtId="3" fontId="11" fillId="0" borderId="4" xfId="3" applyNumberFormat="1" applyFont="1" applyFill="1" applyBorder="1" applyAlignment="1">
      <alignment vertical="center"/>
    </xf>
    <xf numFmtId="0" fontId="11" fillId="0" borderId="0" xfId="1" applyNumberFormat="1" applyFont="1" applyFill="1"/>
    <xf numFmtId="3" fontId="11" fillId="0" borderId="0" xfId="1" applyNumberFormat="1" applyFont="1" applyFill="1"/>
    <xf numFmtId="0" fontId="11" fillId="0" borderId="0" xfId="1" applyFont="1" applyFill="1"/>
    <xf numFmtId="3" fontId="8" fillId="0" borderId="3" xfId="1" applyNumberFormat="1" applyFont="1" applyFill="1" applyBorder="1" applyAlignment="1">
      <alignment vertical="center"/>
    </xf>
    <xf numFmtId="3" fontId="8" fillId="0" borderId="1" xfId="1" applyNumberFormat="1" applyFont="1" applyFill="1" applyBorder="1" applyAlignment="1">
      <alignment vertical="center"/>
    </xf>
    <xf numFmtId="3" fontId="8" fillId="0" borderId="4" xfId="1" applyNumberFormat="1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3" fontId="1" fillId="0" borderId="0" xfId="0" applyNumberFormat="1" applyFont="1" applyFill="1" applyAlignment="1">
      <alignment vertical="center"/>
    </xf>
    <xf numFmtId="3" fontId="4" fillId="0" borderId="0" xfId="1" applyNumberFormat="1" applyFont="1" applyFill="1" applyBorder="1" applyAlignment="1">
      <alignment vertical="center"/>
    </xf>
    <xf numFmtId="0" fontId="5" fillId="0" borderId="0" xfId="2" applyFont="1" applyFill="1" applyAlignment="1" applyProtection="1">
      <alignment vertical="center"/>
      <protection locked="0"/>
    </xf>
    <xf numFmtId="0" fontId="10" fillId="0" borderId="0" xfId="2" applyFont="1" applyFill="1" applyAlignment="1" applyProtection="1">
      <alignment vertical="center" wrapText="1"/>
      <protection locked="0"/>
    </xf>
    <xf numFmtId="0" fontId="10" fillId="0" borderId="0" xfId="2" applyFont="1" applyFill="1" applyAlignment="1" applyProtection="1">
      <alignment horizontal="center" vertical="center" wrapText="1"/>
      <protection locked="0"/>
    </xf>
    <xf numFmtId="164" fontId="12" fillId="0" borderId="0" xfId="2" applyNumberFormat="1" applyFont="1" applyFill="1" applyAlignment="1" applyProtection="1">
      <alignment vertical="center"/>
      <protection locked="0"/>
    </xf>
    <xf numFmtId="164" fontId="5" fillId="0" borderId="0" xfId="2" applyNumberFormat="1" applyFont="1" applyFill="1" applyAlignment="1" applyProtection="1">
      <alignment vertical="center"/>
      <protection locked="0"/>
    </xf>
    <xf numFmtId="0" fontId="5" fillId="0" borderId="0" xfId="2" applyFont="1" applyFill="1" applyAlignment="1" applyProtection="1">
      <alignment horizontal="centerContinuous" vertical="center" wrapText="1"/>
      <protection locked="0"/>
    </xf>
    <xf numFmtId="0" fontId="5" fillId="0" borderId="0" xfId="2" applyFont="1" applyFill="1" applyAlignment="1" applyProtection="1">
      <alignment vertical="center" wrapText="1"/>
      <protection locked="0"/>
    </xf>
    <xf numFmtId="3" fontId="13" fillId="0" borderId="0" xfId="4" applyNumberFormat="1" applyFont="1" applyAlignment="1">
      <alignment horizontal="left" vertical="center" wrapText="1"/>
    </xf>
    <xf numFmtId="3" fontId="13" fillId="0" borderId="0" xfId="4" applyNumberFormat="1" applyFont="1" applyAlignment="1">
      <alignment horizontal="center" vertical="center" wrapText="1"/>
    </xf>
    <xf numFmtId="3" fontId="14" fillId="0" borderId="0" xfId="4" applyNumberFormat="1" applyFont="1" applyAlignment="1">
      <alignment horizontal="center" vertical="center" wrapText="1"/>
    </xf>
    <xf numFmtId="0" fontId="5" fillId="0" borderId="0" xfId="2" applyFont="1" applyAlignment="1" applyProtection="1">
      <alignment vertical="center"/>
      <protection locked="0"/>
    </xf>
    <xf numFmtId="3" fontId="15" fillId="0" borderId="0" xfId="2" applyNumberFormat="1" applyFont="1" applyAlignment="1" applyProtection="1">
      <alignment vertical="center"/>
      <protection locked="0"/>
    </xf>
    <xf numFmtId="0" fontId="17" fillId="0" borderId="0" xfId="2" applyFont="1" applyAlignment="1" applyProtection="1">
      <alignment vertical="center"/>
      <protection locked="0"/>
    </xf>
    <xf numFmtId="0" fontId="5" fillId="0" borderId="0" xfId="2" applyFont="1" applyAlignment="1" applyProtection="1">
      <alignment horizontal="left" vertical="center"/>
      <protection locked="0"/>
    </xf>
    <xf numFmtId="0" fontId="17" fillId="0" borderId="0" xfId="2" applyFont="1" applyAlignment="1" applyProtection="1">
      <alignment horizontal="left" vertical="center"/>
      <protection locked="0"/>
    </xf>
    <xf numFmtId="0" fontId="5" fillId="0" borderId="0" xfId="2" applyFont="1" applyAlignment="1" applyProtection="1">
      <alignment horizontal="center" vertical="center"/>
      <protection locked="0"/>
    </xf>
    <xf numFmtId="0" fontId="18" fillId="0" borderId="0" xfId="2" applyFont="1" applyFill="1" applyAlignment="1" applyProtection="1">
      <alignment horizontal="centerContinuous" vertical="center"/>
      <protection locked="0"/>
    </xf>
    <xf numFmtId="0" fontId="18" fillId="0" borderId="0" xfId="2" applyFont="1" applyAlignment="1" applyProtection="1">
      <alignment horizontal="centerContinuous" vertical="center"/>
      <protection locked="0"/>
    </xf>
    <xf numFmtId="0" fontId="18" fillId="0" borderId="0" xfId="2" applyFont="1" applyAlignment="1" applyProtection="1">
      <alignment horizontal="centerContinuous" vertical="center" wrapText="1"/>
      <protection locked="0"/>
    </xf>
    <xf numFmtId="0" fontId="18" fillId="0" borderId="0" xfId="2" applyFont="1" applyFill="1" applyAlignment="1" applyProtection="1">
      <alignment vertical="center"/>
      <protection locked="0"/>
    </xf>
    <xf numFmtId="3" fontId="19" fillId="0" borderId="0" xfId="2" applyNumberFormat="1" applyFont="1" applyAlignment="1" applyProtection="1">
      <alignment vertical="center"/>
      <protection locked="0"/>
    </xf>
    <xf numFmtId="0" fontId="20" fillId="0" borderId="0" xfId="2" applyFont="1" applyAlignment="1" applyProtection="1">
      <alignment vertical="center"/>
      <protection locked="0"/>
    </xf>
    <xf numFmtId="0" fontId="18" fillId="0" borderId="0" xfId="2" applyFont="1" applyAlignment="1" applyProtection="1">
      <alignment horizontal="left" vertical="center"/>
      <protection locked="0"/>
    </xf>
    <xf numFmtId="0" fontId="20" fillId="0" borderId="0" xfId="2" applyFont="1" applyAlignment="1" applyProtection="1">
      <alignment horizontal="left" vertical="center"/>
      <protection locked="0"/>
    </xf>
    <xf numFmtId="0" fontId="18" fillId="0" borderId="0" xfId="2" applyFont="1" applyAlignment="1" applyProtection="1">
      <alignment vertical="center"/>
      <protection locked="0"/>
    </xf>
    <xf numFmtId="0" fontId="21" fillId="0" borderId="0" xfId="2" applyFont="1" applyAlignment="1" applyProtection="1">
      <alignment vertical="center"/>
      <protection locked="0"/>
    </xf>
    <xf numFmtId="0" fontId="21" fillId="0" borderId="0" xfId="2" applyFont="1" applyAlignment="1" applyProtection="1">
      <alignment horizontal="center" vertical="center"/>
      <protection locked="0"/>
    </xf>
    <xf numFmtId="0" fontId="16" fillId="0" borderId="0" xfId="2" applyFont="1" applyFill="1" applyAlignment="1" applyProtection="1">
      <alignment horizontal="center" vertical="center"/>
      <protection locked="0"/>
    </xf>
    <xf numFmtId="0" fontId="16" fillId="0" borderId="0" xfId="2" applyFont="1" applyFill="1" applyAlignment="1" applyProtection="1">
      <alignment horizontal="center" vertical="center" wrapText="1"/>
      <protection locked="0"/>
    </xf>
    <xf numFmtId="164" fontId="16" fillId="0" borderId="0" xfId="2" applyNumberFormat="1" applyFont="1" applyFill="1" applyAlignment="1" applyProtection="1">
      <alignment horizontal="center" vertical="center"/>
      <protection locked="0"/>
    </xf>
    <xf numFmtId="0" fontId="22" fillId="0" borderId="0" xfId="2" applyFont="1" applyAlignment="1" applyProtection="1">
      <alignment vertical="center"/>
      <protection locked="0"/>
    </xf>
    <xf numFmtId="0" fontId="16" fillId="0" borderId="0" xfId="2" applyFont="1" applyAlignment="1" applyProtection="1">
      <alignment horizontal="left" vertical="center"/>
      <protection locked="0"/>
    </xf>
    <xf numFmtId="0" fontId="22" fillId="0" borderId="0" xfId="2" applyFont="1" applyAlignment="1" applyProtection="1">
      <alignment horizontal="left" vertical="center"/>
      <protection locked="0"/>
    </xf>
    <xf numFmtId="0" fontId="16" fillId="0" borderId="0" xfId="2" applyFont="1" applyAlignment="1" applyProtection="1">
      <alignment horizontal="center" vertical="center"/>
      <protection locked="0"/>
    </xf>
    <xf numFmtId="0" fontId="23" fillId="0" borderId="0" xfId="5" applyFont="1" applyFill="1" applyBorder="1" applyAlignment="1">
      <alignment horizontal="right" vertical="center"/>
    </xf>
    <xf numFmtId="3" fontId="24" fillId="0" borderId="9" xfId="5" applyNumberFormat="1" applyFont="1" applyFill="1" applyBorder="1" applyAlignment="1">
      <alignment horizontal="right" vertical="center"/>
    </xf>
    <xf numFmtId="3" fontId="24" fillId="0" borderId="0" xfId="5" applyNumberFormat="1" applyFont="1" applyFill="1" applyBorder="1" applyAlignment="1">
      <alignment horizontal="right" vertical="center"/>
    </xf>
    <xf numFmtId="3" fontId="24" fillId="0" borderId="10" xfId="5" applyNumberFormat="1" applyFont="1" applyFill="1" applyBorder="1" applyAlignment="1">
      <alignment horizontal="right" vertical="center"/>
    </xf>
    <xf numFmtId="3" fontId="23" fillId="0" borderId="0" xfId="5" applyNumberFormat="1" applyFont="1" applyFill="1" applyBorder="1" applyAlignment="1">
      <alignment horizontal="right" vertical="center"/>
    </xf>
    <xf numFmtId="0" fontId="10" fillId="0" borderId="0" xfId="2" applyFont="1" applyAlignment="1" applyProtection="1">
      <alignment horizontal="center" vertical="center"/>
      <protection locked="0"/>
    </xf>
    <xf numFmtId="0" fontId="10" fillId="0" borderId="0" xfId="2" applyFont="1" applyAlignment="1" applyProtection="1">
      <alignment vertical="center"/>
      <protection locked="0"/>
    </xf>
    <xf numFmtId="0" fontId="12" fillId="0" borderId="0" xfId="2" applyFont="1" applyFill="1" applyAlignment="1" applyProtection="1">
      <alignment horizontal="centerContinuous" vertical="center"/>
      <protection locked="0"/>
    </xf>
    <xf numFmtId="0" fontId="25" fillId="0" borderId="0" xfId="2" applyFont="1" applyAlignment="1" applyProtection="1">
      <alignment horizontal="centerContinuous" vertical="center"/>
      <protection locked="0"/>
    </xf>
    <xf numFmtId="0" fontId="25" fillId="0" borderId="0" xfId="2" applyFont="1" applyAlignment="1" applyProtection="1">
      <alignment horizontal="centerContinuous" vertical="center" wrapText="1"/>
      <protection locked="0"/>
    </xf>
    <xf numFmtId="0" fontId="25" fillId="0" borderId="0" xfId="2" applyFont="1" applyFill="1" applyAlignment="1" applyProtection="1">
      <alignment vertical="center"/>
      <protection locked="0"/>
    </xf>
    <xf numFmtId="3" fontId="26" fillId="0" borderId="0" xfId="2" applyNumberFormat="1" applyFont="1" applyAlignment="1" applyProtection="1">
      <alignment vertical="center"/>
      <protection locked="0"/>
    </xf>
    <xf numFmtId="0" fontId="27" fillId="0" borderId="0" xfId="2" applyFont="1" applyAlignment="1" applyProtection="1">
      <alignment vertical="center"/>
      <protection locked="0"/>
    </xf>
    <xf numFmtId="0" fontId="25" fillId="0" borderId="0" xfId="2" applyFont="1" applyAlignment="1" applyProtection="1">
      <alignment horizontal="left" vertical="center"/>
      <protection locked="0"/>
    </xf>
    <xf numFmtId="0" fontId="27" fillId="0" borderId="0" xfId="2" applyFont="1" applyAlignment="1" applyProtection="1">
      <alignment horizontal="left" vertical="center"/>
      <protection locked="0"/>
    </xf>
    <xf numFmtId="0" fontId="25" fillId="0" borderId="0" xfId="2" applyFont="1" applyAlignment="1" applyProtection="1">
      <alignment vertical="center"/>
      <protection locked="0"/>
    </xf>
    <xf numFmtId="0" fontId="28" fillId="0" borderId="0" xfId="5" applyFont="1" applyFill="1" applyBorder="1" applyAlignment="1">
      <alignment horizontal="right" vertical="center"/>
    </xf>
    <xf numFmtId="3" fontId="29" fillId="0" borderId="9" xfId="5" applyNumberFormat="1" applyFont="1" applyFill="1" applyBorder="1" applyAlignment="1">
      <alignment horizontal="right" vertical="center"/>
    </xf>
    <xf numFmtId="3" fontId="29" fillId="0" borderId="0" xfId="5" applyNumberFormat="1" applyFont="1" applyFill="1" applyBorder="1" applyAlignment="1">
      <alignment horizontal="right" vertical="center"/>
    </xf>
    <xf numFmtId="3" fontId="29" fillId="0" borderId="10" xfId="5" applyNumberFormat="1" applyFont="1" applyFill="1" applyBorder="1" applyAlignment="1">
      <alignment horizontal="right" vertical="center"/>
    </xf>
    <xf numFmtId="3" fontId="28" fillId="0" borderId="0" xfId="5" applyNumberFormat="1" applyFont="1" applyFill="1" applyBorder="1" applyAlignment="1">
      <alignment horizontal="right" vertical="center"/>
    </xf>
    <xf numFmtId="0" fontId="30" fillId="0" borderId="0" xfId="2" applyFont="1" applyAlignment="1" applyProtection="1">
      <alignment horizontal="center" vertical="center"/>
      <protection locked="0"/>
    </xf>
    <xf numFmtId="0" fontId="30" fillId="0" borderId="0" xfId="2" applyFont="1" applyAlignment="1" applyProtection="1">
      <alignment vertical="center"/>
      <protection locked="0"/>
    </xf>
    <xf numFmtId="0" fontId="12" fillId="0" borderId="0" xfId="2" applyFont="1" applyFill="1" applyAlignment="1" applyProtection="1">
      <alignment horizontal="left" vertical="center"/>
      <protection locked="0"/>
    </xf>
    <xf numFmtId="0" fontId="12" fillId="0" borderId="0" xfId="2" applyFont="1" applyFill="1" applyAlignment="1" applyProtection="1">
      <alignment horizontal="left" vertical="center" wrapText="1"/>
      <protection locked="0"/>
    </xf>
    <xf numFmtId="0" fontId="12" fillId="0" borderId="0" xfId="2" applyFont="1" applyFill="1" applyAlignment="1" applyProtection="1">
      <alignment horizontal="center" vertical="center" wrapText="1"/>
      <protection locked="0"/>
    </xf>
    <xf numFmtId="164" fontId="12" fillId="0" borderId="0" xfId="2" applyNumberFormat="1" applyFont="1" applyFill="1" applyAlignment="1" applyProtection="1">
      <alignment horizontal="left" vertical="center"/>
      <protection locked="0"/>
    </xf>
    <xf numFmtId="164" fontId="12" fillId="0" borderId="0" xfId="6" applyNumberFormat="1" applyFont="1" applyFill="1" applyBorder="1" applyAlignment="1" applyProtection="1">
      <alignment horizontal="right" vertical="center" wrapText="1"/>
    </xf>
    <xf numFmtId="3" fontId="32" fillId="0" borderId="0" xfId="2" applyNumberFormat="1" applyFont="1" applyAlignment="1" applyProtection="1">
      <alignment vertical="center"/>
      <protection locked="0"/>
    </xf>
    <xf numFmtId="0" fontId="12" fillId="0" borderId="0" xfId="2" applyFont="1" applyAlignment="1" applyProtection="1">
      <alignment horizontal="left" vertical="center"/>
      <protection locked="0"/>
    </xf>
    <xf numFmtId="0" fontId="33" fillId="0" borderId="0" xfId="2" applyFont="1" applyFill="1" applyAlignment="1" applyProtection="1">
      <alignment horizontal="right" vertical="center"/>
      <protection locked="0"/>
    </xf>
    <xf numFmtId="0" fontId="33" fillId="0" borderId="0" xfId="2" applyFont="1" applyFill="1" applyAlignment="1" applyProtection="1">
      <alignment horizontal="right" vertical="center" wrapText="1"/>
      <protection locked="0"/>
    </xf>
    <xf numFmtId="0" fontId="33" fillId="0" borderId="0" xfId="2" applyFont="1" applyFill="1" applyAlignment="1" applyProtection="1">
      <alignment horizontal="center" vertical="center" wrapText="1"/>
      <protection locked="0"/>
    </xf>
    <xf numFmtId="164" fontId="34" fillId="0" borderId="0" xfId="2" applyNumberFormat="1" applyFont="1" applyFill="1" applyAlignment="1" applyProtection="1">
      <alignment horizontal="right" vertical="center"/>
      <protection locked="0"/>
    </xf>
    <xf numFmtId="164" fontId="33" fillId="0" borderId="0" xfId="2" applyNumberFormat="1" applyFont="1" applyFill="1" applyAlignment="1" applyProtection="1">
      <alignment horizontal="right" vertical="center"/>
      <protection locked="0"/>
    </xf>
    <xf numFmtId="164" fontId="35" fillId="0" borderId="0" xfId="2" applyNumberFormat="1" applyFont="1" applyFill="1" applyAlignment="1" applyProtection="1">
      <alignment horizontal="center" vertical="center"/>
      <protection locked="0"/>
    </xf>
    <xf numFmtId="3" fontId="33" fillId="0" borderId="0" xfId="2" applyNumberFormat="1" applyFont="1" applyFill="1" applyAlignment="1" applyProtection="1">
      <alignment horizontal="right" vertical="center"/>
      <protection locked="0"/>
    </xf>
    <xf numFmtId="0" fontId="10" fillId="0" borderId="0" xfId="2" applyFont="1" applyFill="1" applyAlignment="1" applyProtection="1">
      <alignment vertical="center"/>
      <protection locked="0"/>
    </xf>
    <xf numFmtId="0" fontId="33" fillId="0" borderId="0" xfId="2" applyFont="1" applyFill="1" applyAlignment="1" applyProtection="1">
      <alignment horizontal="center" vertical="center"/>
      <protection locked="0"/>
    </xf>
    <xf numFmtId="0" fontId="33" fillId="0" borderId="0" xfId="2" applyFont="1" applyBorder="1" applyAlignment="1" applyProtection="1">
      <alignment horizontal="left" vertical="center"/>
      <protection locked="0"/>
    </xf>
    <xf numFmtId="0" fontId="36" fillId="0" borderId="0" xfId="2" applyFont="1" applyBorder="1" applyAlignment="1" applyProtection="1">
      <alignment horizontal="left" vertical="center"/>
      <protection locked="0"/>
    </xf>
    <xf numFmtId="0" fontId="33" fillId="0" borderId="0" xfId="2" applyFont="1" applyBorder="1" applyAlignment="1" applyProtection="1">
      <alignment horizontal="right" vertical="center"/>
      <protection locked="0"/>
    </xf>
    <xf numFmtId="0" fontId="37" fillId="0" borderId="0" xfId="5" applyFont="1" applyFill="1" applyBorder="1" applyAlignment="1">
      <alignment horizontal="right" vertical="center"/>
    </xf>
    <xf numFmtId="3" fontId="38" fillId="0" borderId="9" xfId="5" applyNumberFormat="1" applyFont="1" applyFill="1" applyBorder="1" applyAlignment="1">
      <alignment horizontal="right" vertical="center"/>
    </xf>
    <xf numFmtId="3" fontId="38" fillId="0" borderId="0" xfId="5" applyNumberFormat="1" applyFont="1" applyFill="1" applyBorder="1" applyAlignment="1">
      <alignment horizontal="right" vertical="center"/>
    </xf>
    <xf numFmtId="3" fontId="38" fillId="0" borderId="10" xfId="5" applyNumberFormat="1" applyFont="1" applyFill="1" applyBorder="1" applyAlignment="1">
      <alignment horizontal="right" vertical="center"/>
    </xf>
    <xf numFmtId="3" fontId="37" fillId="0" borderId="0" xfId="5" applyNumberFormat="1" applyFont="1" applyFill="1" applyBorder="1" applyAlignment="1">
      <alignment horizontal="right" vertical="center"/>
    </xf>
    <xf numFmtId="0" fontId="10" fillId="0" borderId="0" xfId="2" applyFont="1" applyBorder="1" applyAlignment="1" applyProtection="1">
      <alignment horizontal="right" vertical="center"/>
      <protection locked="0"/>
    </xf>
    <xf numFmtId="0" fontId="10" fillId="0" borderId="0" xfId="2" applyFont="1" applyBorder="1" applyAlignment="1" applyProtection="1">
      <alignment horizontal="center" vertical="center"/>
      <protection locked="0"/>
    </xf>
    <xf numFmtId="0" fontId="10" fillId="0" borderId="0" xfId="2" applyFont="1" applyBorder="1" applyAlignment="1" applyProtection="1">
      <alignment vertical="center"/>
      <protection locked="0"/>
    </xf>
    <xf numFmtId="0" fontId="39" fillId="0" borderId="16" xfId="2" applyFont="1" applyFill="1" applyBorder="1" applyAlignment="1" applyProtection="1">
      <alignment horizontal="centerContinuous" vertical="center"/>
      <protection locked="0"/>
    </xf>
    <xf numFmtId="0" fontId="39" fillId="0" borderId="13" xfId="2" applyFont="1" applyBorder="1" applyAlignment="1" applyProtection="1">
      <alignment horizontal="centerContinuous" vertical="center"/>
      <protection locked="0"/>
    </xf>
    <xf numFmtId="0" fontId="39" fillId="0" borderId="17" xfId="2" applyFont="1" applyBorder="1" applyAlignment="1" applyProtection="1">
      <alignment horizontal="centerContinuous" vertical="center"/>
      <protection locked="0"/>
    </xf>
    <xf numFmtId="0" fontId="42" fillId="0" borderId="0" xfId="2" applyFont="1" applyAlignment="1" applyProtection="1">
      <alignment vertical="center"/>
      <protection locked="0"/>
    </xf>
    <xf numFmtId="0" fontId="12" fillId="0" borderId="18" xfId="2" applyFont="1" applyBorder="1" applyAlignment="1" applyProtection="1">
      <alignment horizontal="left" vertical="center"/>
      <protection locked="0"/>
    </xf>
    <xf numFmtId="0" fontId="39" fillId="0" borderId="18" xfId="2" applyFont="1" applyBorder="1" applyAlignment="1" applyProtection="1">
      <alignment horizontal="left" vertical="center"/>
      <protection locked="0"/>
    </xf>
    <xf numFmtId="0" fontId="42" fillId="0" borderId="18" xfId="2" applyFont="1" applyBorder="1" applyAlignment="1" applyProtection="1">
      <alignment horizontal="left" vertical="center"/>
      <protection locked="0"/>
    </xf>
    <xf numFmtId="0" fontId="39" fillId="0" borderId="18" xfId="2" applyFont="1" applyBorder="1" applyAlignment="1" applyProtection="1">
      <alignment vertical="center"/>
      <protection locked="0"/>
    </xf>
    <xf numFmtId="0" fontId="23" fillId="0" borderId="18" xfId="5" applyFont="1" applyFill="1" applyBorder="1" applyAlignment="1">
      <alignment horizontal="right" vertical="center"/>
    </xf>
    <xf numFmtId="3" fontId="24" fillId="0" borderId="19" xfId="5" applyNumberFormat="1" applyFont="1" applyFill="1" applyBorder="1" applyAlignment="1">
      <alignment horizontal="right" vertical="center"/>
    </xf>
    <xf numFmtId="3" fontId="24" fillId="0" borderId="18" xfId="5" applyNumberFormat="1" applyFont="1" applyFill="1" applyBorder="1" applyAlignment="1">
      <alignment horizontal="right" vertical="center"/>
    </xf>
    <xf numFmtId="3" fontId="24" fillId="0" borderId="20" xfId="5" applyNumberFormat="1" applyFont="1" applyFill="1" applyBorder="1" applyAlignment="1">
      <alignment horizontal="right" vertical="center"/>
    </xf>
    <xf numFmtId="3" fontId="23" fillId="0" borderId="18" xfId="5" applyNumberFormat="1" applyFont="1" applyFill="1" applyBorder="1" applyAlignment="1">
      <alignment horizontal="right" vertical="center"/>
    </xf>
    <xf numFmtId="0" fontId="10" fillId="0" borderId="18" xfId="2" applyFont="1" applyBorder="1" applyAlignment="1" applyProtection="1">
      <alignment vertical="center"/>
      <protection locked="0"/>
    </xf>
    <xf numFmtId="0" fontId="39" fillId="0" borderId="0" xfId="2" applyFont="1" applyBorder="1" applyAlignment="1" applyProtection="1">
      <alignment vertical="center"/>
      <protection locked="0"/>
    </xf>
    <xf numFmtId="0" fontId="39" fillId="0" borderId="0" xfId="2" applyFont="1" applyAlignment="1" applyProtection="1">
      <alignment vertical="center"/>
      <protection locked="0"/>
    </xf>
    <xf numFmtId="0" fontId="39" fillId="0" borderId="5" xfId="7" applyNumberFormat="1" applyFont="1" applyFill="1" applyBorder="1" applyAlignment="1" applyProtection="1">
      <alignment horizontal="center" vertical="center" textRotation="90" wrapText="1"/>
      <protection locked="0"/>
    </xf>
    <xf numFmtId="164" fontId="39" fillId="0" borderId="22" xfId="7" applyNumberFormat="1" applyFont="1" applyFill="1" applyBorder="1" applyAlignment="1" applyProtection="1">
      <alignment horizontal="center" vertical="center" wrapText="1"/>
      <protection locked="0"/>
    </xf>
    <xf numFmtId="164" fontId="39" fillId="0" borderId="23" xfId="7" applyNumberFormat="1" applyFont="1" applyFill="1" applyBorder="1" applyAlignment="1" applyProtection="1">
      <alignment horizontal="center" vertical="center" wrapText="1"/>
      <protection locked="0"/>
    </xf>
    <xf numFmtId="164" fontId="39" fillId="0" borderId="25" xfId="7" applyNumberFormat="1" applyFont="1" applyFill="1" applyBorder="1" applyAlignment="1" applyProtection="1">
      <alignment horizontal="center" vertical="center" wrapText="1"/>
      <protection locked="0"/>
    </xf>
    <xf numFmtId="164" fontId="39" fillId="0" borderId="5" xfId="7" applyNumberFormat="1" applyFont="1" applyFill="1" applyBorder="1" applyAlignment="1" applyProtection="1">
      <alignment horizontal="center" vertical="center" wrapText="1"/>
      <protection locked="0"/>
    </xf>
    <xf numFmtId="0" fontId="39" fillId="0" borderId="26" xfId="7" applyNumberFormat="1" applyFont="1" applyFill="1" applyBorder="1" applyAlignment="1" applyProtection="1">
      <alignment horizontal="center" vertical="center" wrapText="1"/>
      <protection locked="0"/>
    </xf>
    <xf numFmtId="0" fontId="39" fillId="0" borderId="5" xfId="7" applyNumberFormat="1" applyFont="1" applyFill="1" applyBorder="1" applyAlignment="1" applyProtection="1">
      <alignment horizontal="center" vertical="center" wrapText="1"/>
      <protection locked="0"/>
    </xf>
    <xf numFmtId="3" fontId="43" fillId="0" borderId="27" xfId="2" applyNumberFormat="1" applyFont="1" applyBorder="1" applyAlignment="1" applyProtection="1">
      <alignment horizontal="center" vertical="center" wrapText="1"/>
      <protection locked="0"/>
    </xf>
    <xf numFmtId="0" fontId="14" fillId="0" borderId="28" xfId="7" applyNumberFormat="1" applyFont="1" applyFill="1" applyBorder="1" applyAlignment="1" applyProtection="1">
      <alignment horizontal="center" vertical="center" wrapText="1"/>
      <protection locked="0"/>
    </xf>
    <xf numFmtId="0" fontId="44" fillId="0" borderId="28" xfId="7" applyNumberFormat="1" applyFont="1" applyFill="1" applyBorder="1" applyAlignment="1" applyProtection="1">
      <alignment horizontal="center" vertical="center" wrapText="1"/>
      <protection locked="0"/>
    </xf>
    <xf numFmtId="1" fontId="14" fillId="0" borderId="28" xfId="7" applyNumberFormat="1" applyFont="1" applyFill="1" applyBorder="1" applyAlignment="1" applyProtection="1">
      <alignment horizontal="center" vertical="center" wrapText="1"/>
      <protection locked="0"/>
    </xf>
    <xf numFmtId="0" fontId="14" fillId="0" borderId="29" xfId="7" applyNumberFormat="1" applyFont="1" applyFill="1" applyBorder="1" applyAlignment="1" applyProtection="1">
      <alignment horizontal="center" vertical="center" wrapText="1"/>
      <protection locked="0"/>
    </xf>
    <xf numFmtId="0" fontId="45" fillId="0" borderId="27" xfId="7" applyNumberFormat="1" applyFont="1" applyFill="1" applyBorder="1" applyAlignment="1" applyProtection="1">
      <alignment horizontal="center" vertical="center" wrapText="1"/>
      <protection locked="0"/>
    </xf>
    <xf numFmtId="0" fontId="45" fillId="0" borderId="28" xfId="7" applyNumberFormat="1" applyFont="1" applyFill="1" applyBorder="1" applyAlignment="1" applyProtection="1">
      <alignment horizontal="center" vertical="center" wrapText="1"/>
      <protection locked="0"/>
    </xf>
    <xf numFmtId="0" fontId="45" fillId="0" borderId="29" xfId="7" applyNumberFormat="1" applyFont="1" applyFill="1" applyBorder="1" applyAlignment="1" applyProtection="1">
      <alignment horizontal="center" vertical="center" wrapText="1"/>
      <protection locked="0"/>
    </xf>
    <xf numFmtId="0" fontId="14" fillId="0" borderId="27" xfId="7" applyNumberFormat="1" applyFont="1" applyFill="1" applyBorder="1" applyAlignment="1" applyProtection="1">
      <alignment horizontal="center" vertical="center" wrapText="1"/>
      <protection locked="0"/>
    </xf>
    <xf numFmtId="0" fontId="46" fillId="0" borderId="28" xfId="7" applyNumberFormat="1" applyFont="1" applyFill="1" applyBorder="1" applyAlignment="1" applyProtection="1">
      <alignment horizontal="center" vertical="center" wrapText="1"/>
      <protection locked="0"/>
    </xf>
    <xf numFmtId="0" fontId="16" fillId="8" borderId="31" xfId="9" applyFont="1" applyFill="1" applyBorder="1" applyAlignment="1" applyProtection="1">
      <alignment horizontal="centerContinuous" vertical="center"/>
      <protection locked="0"/>
    </xf>
    <xf numFmtId="0" fontId="16" fillId="8" borderId="32" xfId="9" applyFont="1" applyFill="1" applyBorder="1" applyAlignment="1" applyProtection="1">
      <alignment horizontal="centerContinuous" vertical="center"/>
      <protection locked="0"/>
    </xf>
    <xf numFmtId="0" fontId="16" fillId="8" borderId="32" xfId="9" applyFont="1" applyFill="1" applyBorder="1" applyAlignment="1" applyProtection="1">
      <alignment horizontal="centerContinuous" vertical="center" wrapText="1"/>
      <protection locked="0"/>
    </xf>
    <xf numFmtId="0" fontId="16" fillId="8" borderId="33" xfId="9" applyFont="1" applyFill="1" applyBorder="1" applyAlignment="1" applyProtection="1">
      <alignment horizontal="centerContinuous" vertical="center"/>
      <protection locked="0"/>
    </xf>
    <xf numFmtId="0" fontId="16" fillId="8" borderId="32" xfId="9" applyFont="1" applyFill="1" applyBorder="1" applyAlignment="1" applyProtection="1">
      <alignment vertical="center"/>
      <protection locked="0"/>
    </xf>
    <xf numFmtId="0" fontId="16" fillId="8" borderId="33" xfId="9" applyFont="1" applyFill="1" applyBorder="1" applyAlignment="1" applyProtection="1">
      <alignment vertical="center"/>
      <protection locked="0"/>
    </xf>
    <xf numFmtId="3" fontId="47" fillId="0" borderId="0" xfId="2" applyNumberFormat="1" applyFont="1" applyAlignment="1" applyProtection="1">
      <alignment horizontal="center" vertical="center" wrapText="1"/>
      <protection locked="0"/>
    </xf>
    <xf numFmtId="0" fontId="49" fillId="0" borderId="0" xfId="2" applyFont="1" applyAlignment="1">
      <alignment horizontal="left" vertical="center"/>
    </xf>
    <xf numFmtId="3" fontId="10" fillId="0" borderId="34" xfId="6" applyNumberFormat="1" applyFont="1" applyFill="1" applyBorder="1" applyAlignment="1" applyProtection="1">
      <alignment horizontal="left" vertical="center" wrapText="1"/>
    </xf>
    <xf numFmtId="3" fontId="10" fillId="0" borderId="35" xfId="6" applyNumberFormat="1" applyFont="1" applyFill="1" applyBorder="1" applyAlignment="1" applyProtection="1">
      <alignment horizontal="left" vertical="center" wrapText="1"/>
    </xf>
    <xf numFmtId="3" fontId="22" fillId="0" borderId="36" xfId="6" applyNumberFormat="1" applyFont="1" applyFill="1" applyBorder="1" applyAlignment="1" applyProtection="1">
      <alignment horizontal="left" vertical="center"/>
    </xf>
    <xf numFmtId="3" fontId="10" fillId="0" borderId="36" xfId="6" applyNumberFormat="1" applyFont="1" applyFill="1" applyBorder="1" applyAlignment="1" applyProtection="1">
      <alignment horizontal="left" vertical="center"/>
    </xf>
    <xf numFmtId="0" fontId="10" fillId="0" borderId="36" xfId="6" applyNumberFormat="1" applyFont="1" applyFill="1" applyBorder="1" applyAlignment="1" applyProtection="1">
      <alignment horizontal="center" vertical="center" wrapText="1"/>
    </xf>
    <xf numFmtId="0" fontId="10" fillId="0" borderId="36" xfId="6" applyNumberFormat="1" applyFont="1" applyFill="1" applyBorder="1" applyAlignment="1" applyProtection="1">
      <alignment horizontal="left" vertical="center" wrapText="1"/>
    </xf>
    <xf numFmtId="1" fontId="10" fillId="0" borderId="36" xfId="6" applyNumberFormat="1" applyFont="1" applyFill="1" applyBorder="1" applyAlignment="1" applyProtection="1">
      <alignment horizontal="center" vertical="center" wrapText="1"/>
    </xf>
    <xf numFmtId="0" fontId="16" fillId="9" borderId="36" xfId="9" applyFont="1" applyFill="1" applyBorder="1" applyAlignment="1" applyProtection="1">
      <alignment horizontal="left" vertical="center"/>
      <protection locked="0"/>
    </xf>
    <xf numFmtId="0" fontId="16" fillId="9" borderId="37" xfId="9" applyFont="1" applyFill="1" applyBorder="1" applyAlignment="1" applyProtection="1">
      <alignment horizontal="left" vertical="center"/>
      <protection locked="0"/>
    </xf>
    <xf numFmtId="3" fontId="50" fillId="0" borderId="38" xfId="6" applyNumberFormat="1" applyFont="1" applyFill="1" applyBorder="1" applyAlignment="1" applyProtection="1">
      <alignment horizontal="right" vertical="center" wrapText="1"/>
    </xf>
    <xf numFmtId="3" fontId="50" fillId="0" borderId="36" xfId="6" applyNumberFormat="1" applyFont="1" applyFill="1" applyBorder="1" applyAlignment="1" applyProtection="1">
      <alignment horizontal="right" vertical="center" wrapText="1"/>
    </xf>
    <xf numFmtId="3" fontId="50" fillId="0" borderId="37" xfId="6" applyNumberFormat="1" applyFont="1" applyFill="1" applyBorder="1" applyAlignment="1" applyProtection="1">
      <alignment horizontal="right" vertical="center" wrapText="1"/>
    </xf>
    <xf numFmtId="3" fontId="10" fillId="0" borderId="38" xfId="6" applyNumberFormat="1" applyFont="1" applyFill="1" applyBorder="1" applyAlignment="1" applyProtection="1">
      <alignment horizontal="right" vertical="center" wrapText="1"/>
    </xf>
    <xf numFmtId="3" fontId="10" fillId="0" borderId="36" xfId="6" applyNumberFormat="1" applyFont="1" applyFill="1" applyBorder="1" applyAlignment="1" applyProtection="1">
      <alignment horizontal="right" vertical="center" wrapText="1"/>
    </xf>
    <xf numFmtId="3" fontId="10" fillId="0" borderId="35" xfId="6" applyNumberFormat="1" applyFont="1" applyFill="1" applyBorder="1" applyAlignment="1" applyProtection="1">
      <alignment horizontal="center" vertical="center" wrapText="1"/>
    </xf>
    <xf numFmtId="3" fontId="22" fillId="0" borderId="35" xfId="6" applyNumberFormat="1" applyFont="1" applyFill="1" applyBorder="1" applyAlignment="1" applyProtection="1">
      <alignment horizontal="left" vertical="center"/>
    </xf>
    <xf numFmtId="0" fontId="35" fillId="0" borderId="0" xfId="2" applyFont="1" applyAlignment="1" applyProtection="1">
      <alignment vertical="center" wrapText="1"/>
      <protection locked="0"/>
    </xf>
    <xf numFmtId="3" fontId="16" fillId="0" borderId="40" xfId="6" applyNumberFormat="1" applyFont="1" applyFill="1" applyBorder="1" applyAlignment="1" applyProtection="1">
      <alignment horizontal="center" vertical="center" wrapText="1"/>
      <protection locked="0"/>
    </xf>
    <xf numFmtId="164" fontId="16" fillId="6" borderId="41" xfId="6" applyNumberFormat="1" applyFont="1" applyFill="1" applyBorder="1" applyAlignment="1" applyProtection="1">
      <alignment horizontal="right" vertical="center" wrapText="1"/>
    </xf>
    <xf numFmtId="164" fontId="16" fillId="0" borderId="42" xfId="6" applyNumberFormat="1" applyFont="1" applyFill="1" applyBorder="1" applyAlignment="1" applyProtection="1">
      <alignment horizontal="right" vertical="center" wrapText="1"/>
    </xf>
    <xf numFmtId="164" fontId="16" fillId="0" borderId="43" xfId="6" applyNumberFormat="1" applyFont="1" applyFill="1" applyBorder="1" applyAlignment="1" applyProtection="1">
      <alignment horizontal="right" vertical="center" wrapText="1"/>
    </xf>
    <xf numFmtId="164" fontId="16" fillId="0" borderId="44" xfId="6" applyNumberFormat="1" applyFont="1" applyFill="1" applyBorder="1" applyAlignment="1" applyProtection="1">
      <alignment horizontal="right" vertical="center" wrapText="1"/>
    </xf>
    <xf numFmtId="164" fontId="16" fillId="0" borderId="45" xfId="6" applyNumberFormat="1" applyFont="1" applyFill="1" applyBorder="1" applyAlignment="1" applyProtection="1">
      <alignment horizontal="right" vertical="center" wrapText="1"/>
    </xf>
    <xf numFmtId="164" fontId="16" fillId="0" borderId="46" xfId="6" applyNumberFormat="1" applyFont="1" applyFill="1" applyBorder="1" applyAlignment="1" applyProtection="1">
      <alignment horizontal="right" vertical="center" wrapText="1"/>
    </xf>
    <xf numFmtId="164" fontId="16" fillId="0" borderId="47" xfId="6" applyNumberFormat="1" applyFont="1" applyFill="1" applyBorder="1" applyAlignment="1" applyProtection="1">
      <alignment horizontal="right" vertical="center" wrapText="1"/>
    </xf>
    <xf numFmtId="0" fontId="48" fillId="0" borderId="0" xfId="2" applyFont="1" applyAlignment="1" applyProtection="1">
      <alignment vertical="center" wrapText="1"/>
      <protection locked="0"/>
    </xf>
    <xf numFmtId="3" fontId="10" fillId="0" borderId="40" xfId="6" applyNumberFormat="1" applyFont="1" applyFill="1" applyBorder="1" applyAlignment="1" applyProtection="1">
      <alignment horizontal="center" vertical="center" wrapText="1"/>
      <protection locked="0"/>
    </xf>
    <xf numFmtId="164" fontId="10" fillId="6" borderId="41" xfId="6" applyNumberFormat="1" applyFont="1" applyFill="1" applyBorder="1" applyAlignment="1" applyProtection="1">
      <alignment horizontal="right" vertical="center" wrapText="1"/>
    </xf>
    <xf numFmtId="164" fontId="10" fillId="0" borderId="42" xfId="6" applyNumberFormat="1" applyFont="1" applyFill="1" applyBorder="1" applyAlignment="1" applyProtection="1">
      <alignment horizontal="right" vertical="center" wrapText="1"/>
      <protection locked="0"/>
    </xf>
    <xf numFmtId="164" fontId="10" fillId="0" borderId="43" xfId="6" applyNumberFormat="1" applyFont="1" applyFill="1" applyBorder="1" applyAlignment="1" applyProtection="1">
      <alignment horizontal="right" vertical="center" wrapText="1"/>
      <protection locked="0"/>
    </xf>
    <xf numFmtId="164" fontId="10" fillId="0" borderId="45" xfId="6" applyNumberFormat="1" applyFont="1" applyFill="1" applyBorder="1" applyAlignment="1" applyProtection="1">
      <alignment horizontal="right" vertical="center" wrapText="1"/>
      <protection locked="0"/>
    </xf>
    <xf numFmtId="164" fontId="10" fillId="0" borderId="46" xfId="6" applyNumberFormat="1" applyFont="1" applyFill="1" applyBorder="1" applyAlignment="1" applyProtection="1">
      <alignment horizontal="right" vertical="center" wrapText="1"/>
      <protection locked="0"/>
    </xf>
    <xf numFmtId="164" fontId="10" fillId="0" borderId="47" xfId="6" applyNumberFormat="1" applyFont="1" applyFill="1" applyBorder="1" applyAlignment="1" applyProtection="1">
      <alignment horizontal="right" vertical="center" wrapText="1"/>
      <protection locked="0"/>
    </xf>
    <xf numFmtId="164" fontId="10" fillId="0" borderId="42" xfId="6" applyNumberFormat="1" applyFont="1" applyFill="1" applyBorder="1" applyAlignment="1" applyProtection="1">
      <alignment horizontal="right" vertical="center" wrapText="1"/>
    </xf>
    <xf numFmtId="0" fontId="16" fillId="10" borderId="48" xfId="9" applyFont="1" applyFill="1" applyBorder="1" applyAlignment="1" applyProtection="1">
      <alignment horizontal="centerContinuous" vertical="center"/>
      <protection locked="0"/>
    </xf>
    <xf numFmtId="0" fontId="16" fillId="10" borderId="41" xfId="9" applyFont="1" applyFill="1" applyBorder="1" applyAlignment="1" applyProtection="1">
      <alignment horizontal="centerContinuous" vertical="center"/>
      <protection locked="0"/>
    </xf>
    <xf numFmtId="0" fontId="16" fillId="10" borderId="41" xfId="9" applyFont="1" applyFill="1" applyBorder="1" applyAlignment="1" applyProtection="1">
      <alignment horizontal="centerContinuous" vertical="center" wrapText="1"/>
      <protection locked="0"/>
    </xf>
    <xf numFmtId="0" fontId="16" fillId="10" borderId="49" xfId="9" applyFont="1" applyFill="1" applyBorder="1" applyAlignment="1" applyProtection="1">
      <alignment horizontal="centerContinuous" vertical="center"/>
      <protection locked="0"/>
    </xf>
    <xf numFmtId="0" fontId="16" fillId="10" borderId="41" xfId="9" applyFont="1" applyFill="1" applyBorder="1" applyAlignment="1" applyProtection="1">
      <alignment vertical="center"/>
      <protection locked="0"/>
    </xf>
    <xf numFmtId="0" fontId="16" fillId="10" borderId="49" xfId="9" applyFont="1" applyFill="1" applyBorder="1" applyAlignment="1" applyProtection="1">
      <alignment vertical="center"/>
      <protection locked="0"/>
    </xf>
    <xf numFmtId="0" fontId="16" fillId="11" borderId="48" xfId="9" applyFont="1" applyFill="1" applyBorder="1" applyAlignment="1" applyProtection="1">
      <alignment horizontal="centerContinuous" vertical="center"/>
      <protection locked="0"/>
    </xf>
    <xf numFmtId="0" fontId="16" fillId="11" borderId="41" xfId="9" applyFont="1" applyFill="1" applyBorder="1" applyAlignment="1" applyProtection="1">
      <alignment horizontal="centerContinuous" vertical="center"/>
      <protection locked="0"/>
    </xf>
    <xf numFmtId="0" fontId="16" fillId="11" borderId="41" xfId="9" applyFont="1" applyFill="1" applyBorder="1" applyAlignment="1" applyProtection="1">
      <alignment horizontal="centerContinuous" vertical="center" wrapText="1"/>
      <protection locked="0"/>
    </xf>
    <xf numFmtId="0" fontId="16" fillId="11" borderId="49" xfId="9" applyFont="1" applyFill="1" applyBorder="1" applyAlignment="1" applyProtection="1">
      <alignment horizontal="centerContinuous" vertical="center"/>
      <protection locked="0"/>
    </xf>
    <xf numFmtId="0" fontId="16" fillId="11" borderId="41" xfId="9" applyFont="1" applyFill="1" applyBorder="1" applyAlignment="1" applyProtection="1">
      <alignment vertical="center"/>
      <protection locked="0"/>
    </xf>
    <xf numFmtId="0" fontId="16" fillId="11" borderId="49" xfId="9" applyFont="1" applyFill="1" applyBorder="1" applyAlignment="1" applyProtection="1">
      <alignment vertical="center"/>
      <protection locked="0"/>
    </xf>
    <xf numFmtId="3" fontId="10" fillId="0" borderId="51" xfId="6" applyNumberFormat="1" applyFont="1" applyFill="1" applyBorder="1" applyAlignment="1" applyProtection="1">
      <alignment horizontal="center" vertical="center" wrapText="1"/>
      <protection locked="0"/>
    </xf>
    <xf numFmtId="164" fontId="10" fillId="6" borderId="52" xfId="6" applyNumberFormat="1" applyFont="1" applyFill="1" applyBorder="1" applyAlignment="1" applyProtection="1">
      <alignment horizontal="right" vertical="center" wrapText="1"/>
    </xf>
    <xf numFmtId="164" fontId="10" fillId="0" borderId="53" xfId="6" applyNumberFormat="1" applyFont="1" applyFill="1" applyBorder="1" applyAlignment="1" applyProtection="1">
      <alignment horizontal="right" vertical="center" wrapText="1"/>
    </xf>
    <xf numFmtId="164" fontId="10" fillId="0" borderId="54" xfId="6" applyNumberFormat="1" applyFont="1" applyFill="1" applyBorder="1" applyAlignment="1" applyProtection="1">
      <alignment horizontal="right" vertical="center" wrapText="1"/>
      <protection locked="0"/>
    </xf>
    <xf numFmtId="164" fontId="10" fillId="0" borderId="56" xfId="6" applyNumberFormat="1" applyFont="1" applyFill="1" applyBorder="1" applyAlignment="1" applyProtection="1">
      <alignment horizontal="right" vertical="center" wrapText="1"/>
      <protection locked="0"/>
    </xf>
    <xf numFmtId="164" fontId="10" fillId="0" borderId="57" xfId="6" applyNumberFormat="1" applyFont="1" applyFill="1" applyBorder="1" applyAlignment="1" applyProtection="1">
      <alignment horizontal="right" vertical="center" wrapText="1"/>
      <protection locked="0"/>
    </xf>
    <xf numFmtId="164" fontId="10" fillId="0" borderId="58" xfId="6" applyNumberFormat="1" applyFont="1" applyFill="1" applyBorder="1" applyAlignment="1" applyProtection="1">
      <alignment horizontal="right" vertical="center" wrapText="1"/>
      <protection locked="0"/>
    </xf>
    <xf numFmtId="164" fontId="10" fillId="0" borderId="53" xfId="6" applyNumberFormat="1" applyFont="1" applyFill="1" applyBorder="1" applyAlignment="1" applyProtection="1">
      <alignment horizontal="right" vertical="center" wrapText="1"/>
      <protection locked="0"/>
    </xf>
    <xf numFmtId="0" fontId="16" fillId="10" borderId="48" xfId="11" applyFont="1" applyFill="1" applyBorder="1" applyAlignment="1" applyProtection="1">
      <alignment horizontal="centerContinuous" vertical="center"/>
      <protection locked="0"/>
    </xf>
    <xf numFmtId="0" fontId="16" fillId="10" borderId="41" xfId="11" applyFont="1" applyFill="1" applyBorder="1" applyAlignment="1" applyProtection="1">
      <alignment horizontal="centerContinuous" vertical="center"/>
      <protection locked="0"/>
    </xf>
    <xf numFmtId="0" fontId="16" fillId="10" borderId="41" xfId="11" applyFont="1" applyFill="1" applyBorder="1" applyAlignment="1" applyProtection="1">
      <alignment horizontal="centerContinuous" vertical="center" wrapText="1"/>
      <protection locked="0"/>
    </xf>
    <xf numFmtId="0" fontId="16" fillId="11" borderId="48" xfId="11" applyFont="1" applyFill="1" applyBorder="1" applyAlignment="1" applyProtection="1">
      <alignment horizontal="centerContinuous" vertical="center"/>
      <protection locked="0"/>
    </xf>
    <xf numFmtId="0" fontId="16" fillId="11" borderId="41" xfId="11" applyFont="1" applyFill="1" applyBorder="1" applyAlignment="1" applyProtection="1">
      <alignment horizontal="centerContinuous" vertical="center"/>
      <protection locked="0"/>
    </xf>
    <xf numFmtId="0" fontId="16" fillId="11" borderId="41" xfId="11" applyFont="1" applyFill="1" applyBorder="1" applyAlignment="1" applyProtection="1">
      <alignment horizontal="centerContinuous" vertical="center" wrapText="1"/>
      <protection locked="0"/>
    </xf>
    <xf numFmtId="0" fontId="16" fillId="8" borderId="31" xfId="11" applyFont="1" applyFill="1" applyBorder="1" applyAlignment="1" applyProtection="1">
      <alignment horizontal="centerContinuous" vertical="center"/>
      <protection locked="0"/>
    </xf>
    <xf numFmtId="0" fontId="16" fillId="8" borderId="32" xfId="11" applyFont="1" applyFill="1" applyBorder="1" applyAlignment="1" applyProtection="1">
      <alignment horizontal="centerContinuous" vertical="center"/>
      <protection locked="0"/>
    </xf>
    <xf numFmtId="0" fontId="16" fillId="8" borderId="32" xfId="11" applyFont="1" applyFill="1" applyBorder="1" applyAlignment="1" applyProtection="1">
      <alignment horizontal="centerContinuous" vertical="center" wrapText="1"/>
      <protection locked="0"/>
    </xf>
    <xf numFmtId="0" fontId="5" fillId="0" borderId="0" xfId="2" applyAlignment="1" applyProtection="1">
      <alignment vertical="center"/>
      <protection locked="0"/>
    </xf>
    <xf numFmtId="3" fontId="16" fillId="13" borderId="64" xfId="6" applyNumberFormat="1" applyFont="1" applyFill="1" applyBorder="1" applyAlignment="1" applyProtection="1">
      <alignment horizontal="center" vertical="center" wrapText="1"/>
      <protection locked="0"/>
    </xf>
    <xf numFmtId="164" fontId="16" fillId="13" borderId="32" xfId="6" applyNumberFormat="1" applyFont="1" applyFill="1" applyBorder="1" applyAlignment="1" applyProtection="1">
      <alignment horizontal="right" vertical="center" wrapText="1"/>
    </xf>
    <xf numFmtId="164" fontId="16" fillId="13" borderId="65" xfId="6" applyNumberFormat="1" applyFont="1" applyFill="1" applyBorder="1" applyAlignment="1" applyProtection="1">
      <alignment horizontal="right" vertical="center" wrapText="1"/>
    </xf>
    <xf numFmtId="164" fontId="16" fillId="13" borderId="66" xfId="6" applyNumberFormat="1" applyFont="1" applyFill="1" applyBorder="1" applyAlignment="1" applyProtection="1">
      <alignment horizontal="right" vertical="center" wrapText="1"/>
    </xf>
    <xf numFmtId="164" fontId="16" fillId="13" borderId="67" xfId="6" applyNumberFormat="1" applyFont="1" applyFill="1" applyBorder="1" applyAlignment="1" applyProtection="1">
      <alignment horizontal="right" vertical="center" wrapText="1"/>
    </xf>
    <xf numFmtId="164" fontId="16" fillId="13" borderId="68" xfId="6" applyNumberFormat="1" applyFont="1" applyFill="1" applyBorder="1" applyAlignment="1" applyProtection="1">
      <alignment horizontal="right" vertical="center" wrapText="1"/>
    </xf>
    <xf numFmtId="164" fontId="16" fillId="13" borderId="69" xfId="6" applyNumberFormat="1" applyFont="1" applyFill="1" applyBorder="1" applyAlignment="1" applyProtection="1">
      <alignment horizontal="right" vertical="center" wrapText="1"/>
    </xf>
    <xf numFmtId="164" fontId="16" fillId="13" borderId="70" xfId="6" applyNumberFormat="1" applyFont="1" applyFill="1" applyBorder="1" applyAlignment="1" applyProtection="1">
      <alignment horizontal="right" vertical="center" wrapText="1"/>
    </xf>
    <xf numFmtId="3" fontId="10" fillId="13" borderId="40" xfId="6" applyNumberFormat="1" applyFont="1" applyFill="1" applyBorder="1" applyAlignment="1" applyProtection="1">
      <alignment horizontal="center" vertical="center" wrapText="1"/>
      <protection locked="0"/>
    </xf>
    <xf numFmtId="164" fontId="10" fillId="13" borderId="41" xfId="6" applyNumberFormat="1" applyFont="1" applyFill="1" applyBorder="1" applyAlignment="1" applyProtection="1">
      <alignment horizontal="right" vertical="center" wrapText="1"/>
    </xf>
    <xf numFmtId="164" fontId="10" fillId="13" borderId="42" xfId="6" applyNumberFormat="1" applyFont="1" applyFill="1" applyBorder="1" applyAlignment="1" applyProtection="1">
      <alignment horizontal="right" vertical="center" wrapText="1"/>
    </xf>
    <xf numFmtId="164" fontId="10" fillId="13" borderId="43" xfId="6" applyNumberFormat="1" applyFont="1" applyFill="1" applyBorder="1" applyAlignment="1" applyProtection="1">
      <alignment horizontal="right" vertical="center" wrapText="1"/>
    </xf>
    <xf numFmtId="164" fontId="10" fillId="13" borderId="45" xfId="6" applyNumberFormat="1" applyFont="1" applyFill="1" applyBorder="1" applyAlignment="1" applyProtection="1">
      <alignment horizontal="right" vertical="center" wrapText="1"/>
    </xf>
    <xf numFmtId="164" fontId="10" fillId="13" borderId="46" xfId="6" applyNumberFormat="1" applyFont="1" applyFill="1" applyBorder="1" applyAlignment="1" applyProtection="1">
      <alignment horizontal="right" vertical="center" wrapText="1"/>
    </xf>
    <xf numFmtId="164" fontId="10" fillId="13" borderId="47" xfId="6" applyNumberFormat="1" applyFont="1" applyFill="1" applyBorder="1" applyAlignment="1" applyProtection="1">
      <alignment horizontal="right" vertical="center" wrapText="1"/>
    </xf>
    <xf numFmtId="3" fontId="10" fillId="13" borderId="51" xfId="6" applyNumberFormat="1" applyFont="1" applyFill="1" applyBorder="1" applyAlignment="1" applyProtection="1">
      <alignment horizontal="center" vertical="center" wrapText="1"/>
      <protection locked="0"/>
    </xf>
    <xf numFmtId="164" fontId="10" fillId="13" borderId="52" xfId="6" applyNumberFormat="1" applyFont="1" applyFill="1" applyBorder="1" applyAlignment="1" applyProtection="1">
      <alignment horizontal="right" vertical="center" wrapText="1"/>
    </xf>
    <xf numFmtId="164" fontId="10" fillId="13" borderId="53" xfId="6" applyNumberFormat="1" applyFont="1" applyFill="1" applyBorder="1" applyAlignment="1" applyProtection="1">
      <alignment horizontal="right" vertical="center" wrapText="1"/>
    </xf>
    <xf numFmtId="164" fontId="10" fillId="13" borderId="54" xfId="6" applyNumberFormat="1" applyFont="1" applyFill="1" applyBorder="1" applyAlignment="1" applyProtection="1">
      <alignment horizontal="right" vertical="center" wrapText="1"/>
    </xf>
    <xf numFmtId="164" fontId="10" fillId="13" borderId="56" xfId="6" applyNumberFormat="1" applyFont="1" applyFill="1" applyBorder="1" applyAlignment="1" applyProtection="1">
      <alignment horizontal="right" vertical="center" wrapText="1"/>
    </xf>
    <xf numFmtId="164" fontId="10" fillId="13" borderId="57" xfId="6" applyNumberFormat="1" applyFont="1" applyFill="1" applyBorder="1" applyAlignment="1" applyProtection="1">
      <alignment horizontal="right" vertical="center" wrapText="1"/>
    </xf>
    <xf numFmtId="164" fontId="10" fillId="13" borderId="58" xfId="6" applyNumberFormat="1" applyFont="1" applyFill="1" applyBorder="1" applyAlignment="1" applyProtection="1">
      <alignment horizontal="right" vertical="center" wrapText="1"/>
    </xf>
    <xf numFmtId="164" fontId="16" fillId="0" borderId="0" xfId="2" applyNumberFormat="1" applyFont="1" applyFill="1" applyAlignment="1" applyProtection="1">
      <alignment vertical="center"/>
      <protection locked="0"/>
    </xf>
    <xf numFmtId="164" fontId="10" fillId="0" borderId="0" xfId="2" applyNumberFormat="1" applyFont="1" applyFill="1" applyAlignment="1" applyProtection="1">
      <alignment vertical="center"/>
      <protection locked="0"/>
    </xf>
    <xf numFmtId="164" fontId="16" fillId="0" borderId="0" xfId="2" applyNumberFormat="1" applyFont="1" applyFill="1" applyAlignment="1" applyProtection="1">
      <alignment horizontal="right" vertical="center"/>
      <protection locked="0"/>
    </xf>
    <xf numFmtId="0" fontId="10" fillId="0" borderId="0" xfId="2" applyFont="1" applyAlignment="1" applyProtection="1">
      <alignment horizontal="left" vertical="center"/>
      <protection locked="0"/>
    </xf>
    <xf numFmtId="0" fontId="16" fillId="0" borderId="8" xfId="2" applyFont="1" applyFill="1" applyBorder="1" applyAlignment="1" applyProtection="1">
      <alignment horizontal="centerContinuous" vertical="center"/>
      <protection locked="0"/>
    </xf>
    <xf numFmtId="14" fontId="10" fillId="0" borderId="0" xfId="2" applyNumberFormat="1" applyFont="1" applyFill="1" applyAlignment="1" applyProtection="1">
      <alignment vertical="center"/>
      <protection locked="0"/>
    </xf>
    <xf numFmtId="164" fontId="53" fillId="0" borderId="0" xfId="2" applyNumberFormat="1" applyFont="1" applyFill="1" applyAlignment="1" applyProtection="1">
      <alignment vertical="center"/>
      <protection locked="0"/>
    </xf>
    <xf numFmtId="164" fontId="16" fillId="0" borderId="0" xfId="6" applyNumberFormat="1" applyFont="1" applyFill="1" applyBorder="1" applyAlignment="1" applyProtection="1">
      <alignment horizontal="right" vertical="center" wrapText="1"/>
    </xf>
    <xf numFmtId="3" fontId="47" fillId="0" borderId="0" xfId="2" applyNumberFormat="1" applyFont="1" applyAlignment="1" applyProtection="1">
      <alignment vertical="center" wrapText="1"/>
      <protection locked="0"/>
    </xf>
    <xf numFmtId="0" fontId="48" fillId="0" borderId="0" xfId="2" applyFont="1" applyAlignment="1" applyProtection="1">
      <alignment horizontal="left" vertical="center" wrapText="1"/>
      <protection locked="0"/>
    </xf>
    <xf numFmtId="0" fontId="49" fillId="0" borderId="0" xfId="2" applyFont="1" applyAlignment="1" applyProtection="1">
      <alignment horizontal="left" vertical="center" wrapText="1"/>
      <protection locked="0"/>
    </xf>
    <xf numFmtId="3" fontId="10" fillId="8" borderId="1" xfId="6" applyNumberFormat="1" applyFont="1" applyFill="1" applyBorder="1" applyAlignment="1" applyProtection="1">
      <alignment horizontal="center" vertical="center" wrapText="1"/>
      <protection locked="0"/>
    </xf>
    <xf numFmtId="164" fontId="16" fillId="8" borderId="1" xfId="6" applyNumberFormat="1" applyFont="1" applyFill="1" applyBorder="1" applyAlignment="1" applyProtection="1">
      <alignment horizontal="right" vertical="center" wrapText="1"/>
    </xf>
    <xf numFmtId="164" fontId="16" fillId="8" borderId="2" xfId="6" applyNumberFormat="1" applyFont="1" applyFill="1" applyBorder="1" applyAlignment="1" applyProtection="1">
      <alignment horizontal="right" vertical="center" wrapText="1"/>
    </xf>
    <xf numFmtId="164" fontId="16" fillId="8" borderId="3" xfId="6" applyNumberFormat="1" applyFont="1" applyFill="1" applyBorder="1" applyAlignment="1" applyProtection="1">
      <alignment horizontal="right" vertical="center" wrapText="1"/>
    </xf>
    <xf numFmtId="165" fontId="10" fillId="0" borderId="0" xfId="2" applyNumberFormat="1" applyFont="1" applyFill="1" applyAlignment="1" applyProtection="1">
      <alignment vertical="center"/>
      <protection locked="0"/>
    </xf>
    <xf numFmtId="3" fontId="16" fillId="0" borderId="0" xfId="2" applyNumberFormat="1" applyFont="1" applyFill="1" applyAlignment="1" applyProtection="1">
      <alignment horizontal="right" vertical="center"/>
      <protection locked="0"/>
    </xf>
    <xf numFmtId="3" fontId="10" fillId="13" borderId="1" xfId="6" applyNumberFormat="1" applyFont="1" applyFill="1" applyBorder="1" applyAlignment="1" applyProtection="1">
      <alignment horizontal="center" vertical="center" wrapText="1"/>
      <protection locked="0"/>
    </xf>
    <xf numFmtId="164" fontId="16" fillId="13" borderId="1" xfId="6" applyNumberFormat="1" applyFont="1" applyFill="1" applyBorder="1" applyAlignment="1" applyProtection="1">
      <alignment horizontal="right" vertical="center" wrapText="1"/>
    </xf>
    <xf numFmtId="164" fontId="16" fillId="13" borderId="2" xfId="6" applyNumberFormat="1" applyFont="1" applyFill="1" applyBorder="1" applyAlignment="1" applyProtection="1">
      <alignment horizontal="right" vertical="center" wrapText="1"/>
    </xf>
    <xf numFmtId="164" fontId="16" fillId="13" borderId="3" xfId="6" applyNumberFormat="1" applyFont="1" applyFill="1" applyBorder="1" applyAlignment="1" applyProtection="1">
      <alignment horizontal="right" vertical="center" wrapText="1"/>
    </xf>
    <xf numFmtId="3" fontId="10" fillId="11" borderId="1" xfId="6" applyNumberFormat="1" applyFont="1" applyFill="1" applyBorder="1" applyAlignment="1" applyProtection="1">
      <alignment horizontal="center" vertical="center" wrapText="1"/>
      <protection locked="0"/>
    </xf>
    <xf numFmtId="164" fontId="16" fillId="11" borderId="1" xfId="6" applyNumberFormat="1" applyFont="1" applyFill="1" applyBorder="1" applyAlignment="1" applyProtection="1">
      <alignment horizontal="right" vertical="center" wrapText="1"/>
    </xf>
    <xf numFmtId="164" fontId="16" fillId="11" borderId="2" xfId="6" applyNumberFormat="1" applyFont="1" applyFill="1" applyBorder="1" applyAlignment="1" applyProtection="1">
      <alignment horizontal="right" vertical="center" wrapText="1"/>
    </xf>
    <xf numFmtId="164" fontId="16" fillId="11" borderId="3" xfId="6" applyNumberFormat="1" applyFont="1" applyFill="1" applyBorder="1" applyAlignment="1" applyProtection="1">
      <alignment horizontal="right" vertical="center" wrapText="1"/>
    </xf>
    <xf numFmtId="0" fontId="15" fillId="0" borderId="0" xfId="2" applyFont="1" applyFill="1" applyAlignment="1" applyProtection="1">
      <alignment vertical="center"/>
      <protection locked="0"/>
    </xf>
    <xf numFmtId="3" fontId="10" fillId="0" borderId="0" xfId="2" applyNumberFormat="1" applyFont="1" applyFill="1" applyAlignment="1" applyProtection="1">
      <alignment horizontal="right" vertical="center"/>
      <protection locked="0"/>
    </xf>
    <xf numFmtId="0" fontId="16" fillId="0" borderId="72" xfId="2" applyFont="1" applyFill="1" applyBorder="1" applyAlignment="1" applyProtection="1">
      <alignment vertical="center"/>
      <protection locked="0"/>
    </xf>
    <xf numFmtId="164" fontId="16" fillId="0" borderId="73" xfId="2" applyNumberFormat="1" applyFont="1" applyFill="1" applyBorder="1" applyAlignment="1" applyProtection="1">
      <alignment vertical="center"/>
      <protection locked="0"/>
    </xf>
    <xf numFmtId="164" fontId="10" fillId="0" borderId="73" xfId="2" applyNumberFormat="1" applyFont="1" applyFill="1" applyBorder="1" applyAlignment="1" applyProtection="1">
      <alignment vertical="center"/>
      <protection locked="0"/>
    </xf>
    <xf numFmtId="164" fontId="10" fillId="0" borderId="74" xfId="2" applyNumberFormat="1" applyFont="1" applyFill="1" applyBorder="1" applyAlignment="1" applyProtection="1">
      <alignment vertical="center"/>
      <protection locked="0"/>
    </xf>
    <xf numFmtId="164" fontId="54" fillId="14" borderId="0" xfId="2" applyNumberFormat="1" applyFont="1" applyFill="1" applyAlignment="1" applyProtection="1">
      <alignment horizontal="center" vertical="center" wrapText="1"/>
      <protection locked="0"/>
    </xf>
    <xf numFmtId="164" fontId="16" fillId="0" borderId="72" xfId="2" applyNumberFormat="1" applyFont="1" applyFill="1" applyBorder="1" applyAlignment="1" applyProtection="1">
      <alignment vertical="center"/>
      <protection locked="0"/>
    </xf>
    <xf numFmtId="0" fontId="14" fillId="0" borderId="75" xfId="13" applyNumberFormat="1" applyFont="1" applyFill="1" applyBorder="1" applyAlignment="1">
      <alignment horizontal="center" vertical="center" wrapText="1"/>
    </xf>
    <xf numFmtId="0" fontId="14" fillId="0" borderId="75" xfId="14" applyNumberFormat="1" applyFont="1" applyFill="1" applyBorder="1" applyAlignment="1">
      <alignment horizontal="center" vertical="center" wrapText="1"/>
    </xf>
    <xf numFmtId="164" fontId="14" fillId="14" borderId="0" xfId="2" applyNumberFormat="1" applyFont="1" applyFill="1" applyAlignment="1" applyProtection="1">
      <alignment horizontal="center" vertical="center" wrapText="1"/>
      <protection locked="0"/>
    </xf>
    <xf numFmtId="0" fontId="14" fillId="0" borderId="76" xfId="14" applyNumberFormat="1" applyFont="1" applyFill="1" applyBorder="1" applyAlignment="1">
      <alignment horizontal="center" vertical="center" wrapText="1"/>
    </xf>
    <xf numFmtId="0" fontId="14" fillId="0" borderId="77" xfId="14" applyNumberFormat="1" applyFont="1" applyFill="1" applyBorder="1" applyAlignment="1">
      <alignment horizontal="center" vertical="center" wrapText="1"/>
    </xf>
    <xf numFmtId="0" fontId="54" fillId="0" borderId="75" xfId="14" applyNumberFormat="1" applyFont="1" applyFill="1" applyBorder="1" applyAlignment="1">
      <alignment horizontal="center" vertical="center" wrapText="1"/>
    </xf>
    <xf numFmtId="0" fontId="10" fillId="0" borderId="1" xfId="2" applyFont="1" applyFill="1" applyBorder="1" applyAlignment="1" applyProtection="1">
      <alignment vertical="center"/>
      <protection locked="0"/>
    </xf>
    <xf numFmtId="164" fontId="10" fillId="0" borderId="1" xfId="2" applyNumberFormat="1" applyFont="1" applyFill="1" applyBorder="1" applyAlignment="1" applyProtection="1">
      <alignment horizontal="right" vertical="center"/>
      <protection locked="0"/>
    </xf>
    <xf numFmtId="164" fontId="23" fillId="14" borderId="1" xfId="2" applyNumberFormat="1" applyFont="1" applyFill="1" applyBorder="1" applyAlignment="1" applyProtection="1">
      <alignment horizontal="right" vertical="center"/>
      <protection locked="0"/>
    </xf>
    <xf numFmtId="164" fontId="10" fillId="0" borderId="2" xfId="2" applyNumberFormat="1" applyFont="1" applyFill="1" applyBorder="1" applyAlignment="1" applyProtection="1">
      <alignment horizontal="right" vertical="center"/>
      <protection locked="0"/>
    </xf>
    <xf numFmtId="164" fontId="10" fillId="0" borderId="3" xfId="2" applyNumberFormat="1" applyFont="1" applyFill="1" applyBorder="1" applyAlignment="1" applyProtection="1">
      <alignment horizontal="right" vertical="center"/>
      <protection locked="0"/>
    </xf>
    <xf numFmtId="0" fontId="10" fillId="0" borderId="0" xfId="2" applyFont="1" applyFill="1" applyAlignment="1" applyProtection="1">
      <alignment horizontal="right" vertical="center"/>
      <protection locked="0"/>
    </xf>
    <xf numFmtId="0" fontId="55" fillId="0" borderId="0" xfId="5" applyFont="1" applyFill="1" applyAlignment="1">
      <alignment vertical="center"/>
    </xf>
    <xf numFmtId="3" fontId="6" fillId="0" borderId="0" xfId="5" applyNumberFormat="1" applyFont="1" applyFill="1" applyAlignment="1">
      <alignment horizontal="center" vertical="center"/>
    </xf>
    <xf numFmtId="0" fontId="57" fillId="0" borderId="0" xfId="0" applyFont="1" applyAlignment="1">
      <alignment horizontal="left" vertical="center"/>
    </xf>
    <xf numFmtId="0" fontId="6" fillId="0" borderId="0" xfId="5" applyFont="1" applyFill="1" applyAlignment="1">
      <alignment horizontal="center" vertical="center"/>
    </xf>
    <xf numFmtId="0" fontId="9" fillId="0" borderId="0" xfId="5" applyFont="1" applyFill="1" applyAlignment="1">
      <alignment vertical="center"/>
    </xf>
    <xf numFmtId="3" fontId="6" fillId="0" borderId="0" xfId="5" applyNumberFormat="1" applyFont="1" applyFill="1" applyAlignment="1">
      <alignment vertical="center"/>
    </xf>
    <xf numFmtId="0" fontId="6" fillId="0" borderId="0" xfId="5" applyFont="1" applyFill="1" applyAlignment="1">
      <alignment vertical="center"/>
    </xf>
    <xf numFmtId="0" fontId="58" fillId="0" borderId="0" xfId="5" applyFont="1" applyFill="1" applyAlignment="1">
      <alignment vertical="center"/>
    </xf>
    <xf numFmtId="3" fontId="60" fillId="0" borderId="0" xfId="5" applyNumberFormat="1" applyFont="1" applyFill="1" applyAlignment="1">
      <alignment horizontal="center" vertical="center"/>
    </xf>
    <xf numFmtId="3" fontId="6" fillId="0" borderId="0" xfId="5" applyNumberFormat="1" applyFont="1" applyFill="1" applyAlignment="1">
      <alignment horizontal="left" vertical="center"/>
    </xf>
    <xf numFmtId="0" fontId="6" fillId="0" borderId="0" xfId="5" applyFont="1" applyFill="1" applyAlignment="1">
      <alignment horizontal="left" vertical="center"/>
    </xf>
    <xf numFmtId="0" fontId="62" fillId="0" borderId="0" xfId="5" applyFont="1" applyFill="1" applyAlignment="1">
      <alignment horizontal="center" vertical="center"/>
    </xf>
    <xf numFmtId="0" fontId="62" fillId="0" borderId="78" xfId="5" applyFont="1" applyFill="1" applyBorder="1" applyAlignment="1">
      <alignment horizontal="right" vertical="center"/>
    </xf>
    <xf numFmtId="3" fontId="62" fillId="0" borderId="78" xfId="5" applyNumberFormat="1" applyFont="1" applyFill="1" applyBorder="1" applyAlignment="1">
      <alignment horizontal="right" vertical="center"/>
    </xf>
    <xf numFmtId="3" fontId="62" fillId="0" borderId="0" xfId="5" applyNumberFormat="1" applyFont="1" applyFill="1" applyBorder="1" applyAlignment="1">
      <alignment horizontal="right" vertical="center"/>
    </xf>
    <xf numFmtId="0" fontId="62" fillId="0" borderId="0" xfId="5" applyFont="1" applyFill="1" applyAlignment="1">
      <alignment horizontal="right" vertical="center"/>
    </xf>
    <xf numFmtId="3" fontId="62" fillId="0" borderId="0" xfId="5" applyNumberFormat="1" applyFont="1" applyFill="1" applyAlignment="1">
      <alignment vertical="center"/>
    </xf>
    <xf numFmtId="3" fontId="62" fillId="0" borderId="0" xfId="5" applyNumberFormat="1" applyFont="1" applyFill="1" applyBorder="1" applyAlignment="1">
      <alignment vertical="center"/>
    </xf>
    <xf numFmtId="0" fontId="6" fillId="0" borderId="1" xfId="5" applyFont="1" applyFill="1" applyBorder="1" applyAlignment="1">
      <alignment vertical="center"/>
    </xf>
    <xf numFmtId="0" fontId="6" fillId="0" borderId="0" xfId="5" applyFont="1" applyFill="1" applyBorder="1" applyAlignment="1">
      <alignment horizontal="center" vertical="center"/>
    </xf>
    <xf numFmtId="0" fontId="63" fillId="0" borderId="79" xfId="0" applyFont="1" applyBorder="1" applyAlignment="1">
      <alignment horizontal="right" vertical="center"/>
    </xf>
    <xf numFmtId="0" fontId="65" fillId="0" borderId="0" xfId="0" applyFont="1"/>
    <xf numFmtId="0" fontId="66" fillId="0" borderId="0" xfId="0" applyFont="1" applyAlignment="1">
      <alignment horizontal="right" vertical="center"/>
    </xf>
    <xf numFmtId="3" fontId="67" fillId="0" borderId="0" xfId="0" applyNumberFormat="1" applyFont="1" applyAlignment="1">
      <alignment vertical="center"/>
    </xf>
    <xf numFmtId="0" fontId="6" fillId="0" borderId="0" xfId="5" applyFont="1" applyFill="1" applyAlignment="1">
      <alignment horizontal="center" vertical="center" wrapText="1"/>
    </xf>
    <xf numFmtId="3" fontId="68" fillId="0" borderId="0" xfId="0" applyNumberFormat="1" applyFont="1" applyAlignment="1">
      <alignment vertical="center"/>
    </xf>
    <xf numFmtId="0" fontId="66" fillId="0" borderId="0" xfId="0" applyFont="1" applyBorder="1" applyAlignment="1">
      <alignment horizontal="right" vertical="center"/>
    </xf>
    <xf numFmtId="0" fontId="9" fillId="0" borderId="0" xfId="5" applyFont="1" applyFill="1" applyBorder="1" applyAlignment="1">
      <alignment vertical="center"/>
    </xf>
    <xf numFmtId="3" fontId="6" fillId="0" borderId="0" xfId="5" applyNumberFormat="1" applyFont="1" applyFill="1" applyBorder="1" applyAlignment="1">
      <alignment vertical="center"/>
    </xf>
    <xf numFmtId="3" fontId="67" fillId="0" borderId="0" xfId="0" applyNumberFormat="1" applyFont="1" applyBorder="1"/>
    <xf numFmtId="0" fontId="6" fillId="0" borderId="0" xfId="5" applyFont="1" applyFill="1" applyBorder="1" applyAlignment="1">
      <alignment vertical="center"/>
    </xf>
    <xf numFmtId="3" fontId="68" fillId="0" borderId="0" xfId="5" applyNumberFormat="1" applyFont="1" applyFill="1" applyBorder="1" applyAlignment="1">
      <alignment vertical="center"/>
    </xf>
    <xf numFmtId="0" fontId="66" fillId="0" borderId="18" xfId="0" applyFont="1" applyBorder="1" applyAlignment="1">
      <alignment horizontal="right" vertical="center"/>
    </xf>
    <xf numFmtId="0" fontId="9" fillId="0" borderId="18" xfId="5" applyFont="1" applyFill="1" applyBorder="1" applyAlignment="1">
      <alignment vertical="center"/>
    </xf>
    <xf numFmtId="0" fontId="6" fillId="0" borderId="18" xfId="5" applyFont="1" applyFill="1" applyBorder="1" applyAlignment="1">
      <alignment vertical="center"/>
    </xf>
    <xf numFmtId="3" fontId="68" fillId="0" borderId="18" xfId="5" applyNumberFormat="1" applyFont="1" applyFill="1" applyBorder="1" applyAlignment="1">
      <alignment vertical="center"/>
    </xf>
    <xf numFmtId="0" fontId="69" fillId="0" borderId="0" xfId="0" applyFont="1" applyFill="1" applyBorder="1" applyAlignment="1">
      <alignment horizontal="right" vertical="center"/>
    </xf>
    <xf numFmtId="4" fontId="70" fillId="0" borderId="0" xfId="0" applyNumberFormat="1" applyFont="1" applyFill="1" applyBorder="1" applyAlignment="1">
      <alignment horizontal="right" vertical="center"/>
    </xf>
    <xf numFmtId="0" fontId="62" fillId="0" borderId="0" xfId="5" applyFont="1" applyFill="1" applyAlignment="1">
      <alignment vertical="center"/>
    </xf>
    <xf numFmtId="0" fontId="6" fillId="0" borderId="0" xfId="0" applyFont="1" applyAlignment="1">
      <alignment vertical="center"/>
    </xf>
    <xf numFmtId="0" fontId="71" fillId="0" borderId="0" xfId="0" applyFont="1" applyAlignment="1">
      <alignment vertical="center" wrapText="1"/>
    </xf>
    <xf numFmtId="0" fontId="62" fillId="0" borderId="82" xfId="5" applyFont="1" applyFill="1" applyBorder="1" applyAlignment="1">
      <alignment horizontal="right" vertical="center"/>
    </xf>
    <xf numFmtId="3" fontId="62" fillId="0" borderId="82" xfId="5" applyNumberFormat="1" applyFont="1" applyFill="1" applyBorder="1" applyAlignment="1">
      <alignment horizontal="right" vertical="center"/>
    </xf>
    <xf numFmtId="3" fontId="62" fillId="0" borderId="0" xfId="5" applyNumberFormat="1" applyFont="1" applyFill="1" applyAlignment="1">
      <alignment horizontal="right" vertical="center"/>
    </xf>
    <xf numFmtId="3" fontId="65" fillId="0" borderId="0" xfId="0" applyNumberFormat="1" applyFont="1"/>
    <xf numFmtId="0" fontId="69" fillId="0" borderId="8" xfId="0" applyFont="1" applyFill="1" applyBorder="1" applyAlignment="1">
      <alignment horizontal="right" vertical="center"/>
    </xf>
    <xf numFmtId="0" fontId="57" fillId="0" borderId="0" xfId="0" applyFont="1" applyAlignment="1">
      <alignment vertical="center"/>
    </xf>
    <xf numFmtId="0" fontId="72" fillId="0" borderId="0" xfId="5" applyFont="1" applyFill="1" applyAlignment="1">
      <alignment vertical="center"/>
    </xf>
    <xf numFmtId="3" fontId="74" fillId="0" borderId="0" xfId="5" applyNumberFormat="1" applyFont="1" applyFill="1" applyAlignment="1">
      <alignment horizontal="center" vertical="center"/>
    </xf>
    <xf numFmtId="0" fontId="74" fillId="0" borderId="0" xfId="5" applyFont="1" applyFill="1" applyAlignment="1">
      <alignment horizontal="center" vertical="center"/>
    </xf>
    <xf numFmtId="0" fontId="58" fillId="0" borderId="0" xfId="5" applyFont="1" applyFill="1" applyAlignment="1">
      <alignment horizontal="center" vertical="center"/>
    </xf>
    <xf numFmtId="0" fontId="65" fillId="0" borderId="0" xfId="0" applyFont="1" applyFill="1" applyBorder="1" applyAlignment="1">
      <alignment horizontal="center" vertical="center" wrapText="1"/>
    </xf>
    <xf numFmtId="3" fontId="65" fillId="0" borderId="0" xfId="0" applyNumberFormat="1" applyFont="1" applyFill="1" applyAlignment="1">
      <alignment vertical="center"/>
    </xf>
    <xf numFmtId="0" fontId="75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3" fontId="0" fillId="0" borderId="0" xfId="0" applyNumberFormat="1" applyFont="1" applyAlignment="1">
      <alignment vertical="center"/>
    </xf>
    <xf numFmtId="0" fontId="76" fillId="18" borderId="18" xfId="0" applyFont="1" applyFill="1" applyBorder="1" applyAlignment="1">
      <alignment horizontal="right" vertical="center"/>
    </xf>
    <xf numFmtId="3" fontId="76" fillId="18" borderId="18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3" fontId="7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2" fillId="0" borderId="28" xfId="0" applyFont="1" applyBorder="1" applyAlignment="1">
      <alignment vertical="center" wrapText="1"/>
    </xf>
    <xf numFmtId="0" fontId="2" fillId="0" borderId="28" xfId="0" applyFont="1" applyBorder="1" applyAlignment="1">
      <alignment horizontal="center" vertical="center" wrapText="1"/>
    </xf>
    <xf numFmtId="3" fontId="2" fillId="0" borderId="28" xfId="0" applyNumberFormat="1" applyFont="1" applyBorder="1" applyAlignment="1">
      <alignment horizontal="center" vertical="center" wrapText="1"/>
    </xf>
    <xf numFmtId="3" fontId="2" fillId="0" borderId="79" xfId="0" applyNumberFormat="1" applyFont="1" applyBorder="1" applyAlignment="1">
      <alignment horizontal="center" vertical="center" wrapText="1"/>
    </xf>
    <xf numFmtId="4" fontId="0" fillId="0" borderId="79" xfId="0" applyNumberFormat="1" applyBorder="1" applyAlignment="1">
      <alignment vertical="center" wrapText="1"/>
    </xf>
    <xf numFmtId="4" fontId="0" fillId="0" borderId="79" xfId="0" applyNumberForma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60" xfId="0" applyBorder="1" applyAlignment="1">
      <alignment vertical="center"/>
    </xf>
    <xf numFmtId="0" fontId="0" fillId="0" borderId="60" xfId="0" applyBorder="1" applyAlignment="1">
      <alignment horizontal="center" vertical="center"/>
    </xf>
    <xf numFmtId="3" fontId="0" fillId="0" borderId="60" xfId="0" applyNumberFormat="1" applyBorder="1" applyAlignment="1">
      <alignment vertical="center"/>
    </xf>
    <xf numFmtId="3" fontId="0" fillId="0" borderId="0" xfId="0" applyNumberFormat="1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39" xfId="0" applyBorder="1" applyAlignment="1">
      <alignment horizontal="center" vertical="center"/>
    </xf>
    <xf numFmtId="3" fontId="0" fillId="0" borderId="39" xfId="0" applyNumberFormat="1" applyBorder="1" applyAlignment="1">
      <alignment vertical="center"/>
    </xf>
    <xf numFmtId="0" fontId="77" fillId="0" borderId="0" xfId="0" applyFont="1" applyAlignment="1">
      <alignment vertical="center"/>
    </xf>
    <xf numFmtId="3" fontId="0" fillId="0" borderId="0" xfId="0" applyNumberFormat="1" applyAlignment="1">
      <alignment vertical="center"/>
    </xf>
    <xf numFmtId="0" fontId="64" fillId="0" borderId="79" xfId="0" pivotButton="1" applyFont="1" applyBorder="1" applyAlignment="1">
      <alignment horizontal="center" vertical="center" wrapText="1"/>
    </xf>
    <xf numFmtId="0" fontId="11" fillId="0" borderId="39" xfId="0" applyFont="1" applyFill="1" applyBorder="1" applyAlignment="1">
      <alignment vertical="center"/>
    </xf>
    <xf numFmtId="0" fontId="11" fillId="0" borderId="39" xfId="0" applyFont="1" applyFill="1" applyBorder="1" applyAlignment="1">
      <alignment horizontal="center" vertical="center"/>
    </xf>
    <xf numFmtId="3" fontId="11" fillId="0" borderId="39" xfId="0" applyNumberFormat="1" applyFont="1" applyFill="1" applyBorder="1" applyAlignment="1">
      <alignment vertical="center"/>
    </xf>
    <xf numFmtId="3" fontId="11" fillId="0" borderId="0" xfId="0" applyNumberFormat="1" applyFont="1" applyFill="1" applyBorder="1" applyAlignment="1">
      <alignment vertical="center"/>
    </xf>
    <xf numFmtId="3" fontId="48" fillId="0" borderId="0" xfId="2" applyNumberFormat="1" applyFont="1" applyAlignment="1" applyProtection="1">
      <alignment horizontal="center" vertical="center" wrapText="1"/>
      <protection locked="0"/>
    </xf>
    <xf numFmtId="3" fontId="78" fillId="0" borderId="27" xfId="2" applyNumberFormat="1" applyFont="1" applyBorder="1" applyAlignment="1" applyProtection="1">
      <alignment horizontal="center" vertical="center" wrapText="1"/>
      <protection locked="0"/>
    </xf>
    <xf numFmtId="3" fontId="52" fillId="0" borderId="0" xfId="2" applyNumberFormat="1" applyFont="1" applyAlignment="1" applyProtection="1">
      <alignment horizontal="center" vertical="center" wrapText="1"/>
      <protection locked="0"/>
    </xf>
    <xf numFmtId="3" fontId="0" fillId="0" borderId="0" xfId="0" applyNumberFormat="1" applyBorder="1" applyAlignment="1">
      <alignment horizontal="left" vertical="center" wrapText="1"/>
    </xf>
    <xf numFmtId="164" fontId="14" fillId="0" borderId="24" xfId="7" applyNumberFormat="1" applyFont="1" applyFill="1" applyBorder="1" applyAlignment="1" applyProtection="1">
      <alignment horizontal="center" vertical="center" wrapText="1"/>
      <protection locked="0"/>
    </xf>
    <xf numFmtId="164" fontId="16" fillId="0" borderId="55" xfId="6" applyNumberFormat="1" applyFont="1" applyFill="1" applyBorder="1" applyAlignment="1" applyProtection="1">
      <alignment horizontal="right" vertical="center" wrapText="1"/>
    </xf>
    <xf numFmtId="164" fontId="16" fillId="13" borderId="44" xfId="6" applyNumberFormat="1" applyFont="1" applyFill="1" applyBorder="1" applyAlignment="1" applyProtection="1">
      <alignment horizontal="right" vertical="center" wrapText="1"/>
    </xf>
    <xf numFmtId="164" fontId="16" fillId="13" borderId="55" xfId="6" applyNumberFormat="1" applyFont="1" applyFill="1" applyBorder="1" applyAlignment="1" applyProtection="1">
      <alignment horizontal="right" vertical="center" wrapText="1"/>
    </xf>
    <xf numFmtId="0" fontId="61" fillId="0" borderId="0" xfId="0" applyFont="1" applyAlignment="1">
      <alignment vertical="center"/>
    </xf>
    <xf numFmtId="3" fontId="61" fillId="0" borderId="0" xfId="0" applyNumberFormat="1" applyFont="1" applyAlignment="1">
      <alignment vertical="center"/>
    </xf>
    <xf numFmtId="0" fontId="61" fillId="0" borderId="79" xfId="0" pivotButton="1" applyFont="1" applyBorder="1" applyAlignment="1">
      <alignment horizontal="center" vertical="center"/>
    </xf>
    <xf numFmtId="3" fontId="61" fillId="0" borderId="79" xfId="0" applyNumberFormat="1" applyFont="1" applyBorder="1" applyAlignment="1">
      <alignment horizontal="center" vertical="center"/>
    </xf>
    <xf numFmtId="0" fontId="61" fillId="0" borderId="79" xfId="0" pivotButton="1" applyFont="1" applyBorder="1" applyAlignment="1">
      <alignment horizontal="center" vertical="center" wrapText="1"/>
    </xf>
    <xf numFmtId="3" fontId="13" fillId="0" borderId="0" xfId="4" applyNumberFormat="1" applyFont="1" applyAlignment="1">
      <alignment horizontal="right" vertical="center" wrapText="1"/>
    </xf>
    <xf numFmtId="3" fontId="16" fillId="0" borderId="0" xfId="2" applyNumberFormat="1" applyFont="1" applyAlignment="1" applyProtection="1">
      <alignment horizontal="right" vertical="center"/>
      <protection locked="0"/>
    </xf>
    <xf numFmtId="3" fontId="18" fillId="0" borderId="0" xfId="2" applyNumberFormat="1" applyFont="1" applyAlignment="1" applyProtection="1">
      <alignment horizontal="right" vertical="center"/>
      <protection locked="0"/>
    </xf>
    <xf numFmtId="3" fontId="25" fillId="0" borderId="0" xfId="2" applyNumberFormat="1" applyFont="1" applyAlignment="1" applyProtection="1">
      <alignment horizontal="right" vertical="center"/>
      <protection locked="0"/>
    </xf>
    <xf numFmtId="3" fontId="12" fillId="0" borderId="0" xfId="2" applyNumberFormat="1" applyFont="1" applyAlignment="1" applyProtection="1">
      <alignment horizontal="right" vertical="center"/>
      <protection locked="0"/>
    </xf>
    <xf numFmtId="3" fontId="48" fillId="0" borderId="0" xfId="2" applyNumberFormat="1" applyFont="1" applyAlignment="1" applyProtection="1">
      <alignment horizontal="right" vertical="center" wrapText="1"/>
      <protection locked="0"/>
    </xf>
    <xf numFmtId="0" fontId="0" fillId="0" borderId="0" xfId="0" applyBorder="1"/>
    <xf numFmtId="3" fontId="65" fillId="0" borderId="0" xfId="0" applyNumberFormat="1" applyFont="1" applyFill="1" applyBorder="1" applyAlignment="1">
      <alignment vertical="center"/>
    </xf>
    <xf numFmtId="0" fontId="65" fillId="0" borderId="0" xfId="0" applyFont="1" applyFill="1" applyBorder="1" applyAlignment="1">
      <alignment vertical="center"/>
    </xf>
    <xf numFmtId="3" fontId="6" fillId="0" borderId="0" xfId="5" applyNumberFormat="1" applyFont="1" applyFill="1" applyBorder="1" applyAlignment="1">
      <alignment horizontal="center" vertical="center"/>
    </xf>
    <xf numFmtId="0" fontId="0" fillId="0" borderId="39" xfId="0" applyFill="1" applyBorder="1" applyAlignment="1">
      <alignment vertical="center"/>
    </xf>
    <xf numFmtId="0" fontId="0" fillId="0" borderId="39" xfId="0" applyFill="1" applyBorder="1" applyAlignment="1">
      <alignment horizontal="center" vertical="center"/>
    </xf>
    <xf numFmtId="3" fontId="0" fillId="0" borderId="39" xfId="0" applyNumberFormat="1" applyFill="1" applyBorder="1" applyAlignment="1">
      <alignment vertical="center"/>
    </xf>
    <xf numFmtId="0" fontId="0" fillId="19" borderId="39" xfId="0" applyFill="1" applyBorder="1" applyAlignment="1">
      <alignment vertical="center"/>
    </xf>
    <xf numFmtId="0" fontId="0" fillId="19" borderId="39" xfId="0" applyFill="1" applyBorder="1" applyAlignment="1">
      <alignment horizontal="center" vertical="center"/>
    </xf>
    <xf numFmtId="3" fontId="0" fillId="19" borderId="39" xfId="0" applyNumberFormat="1" applyFill="1" applyBorder="1" applyAlignment="1">
      <alignment vertical="center"/>
    </xf>
    <xf numFmtId="0" fontId="79" fillId="0" borderId="0" xfId="0" applyFont="1" applyAlignment="1">
      <alignment horizontal="center" vertical="center" wrapText="1"/>
    </xf>
    <xf numFmtId="3" fontId="80" fillId="0" borderId="0" xfId="2" applyNumberFormat="1" applyFont="1" applyAlignment="1" applyProtection="1">
      <alignment horizontal="left" vertical="center"/>
      <protection locked="0"/>
    </xf>
    <xf numFmtId="0" fontId="1" fillId="0" borderId="9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1" fillId="0" borderId="0" xfId="1" applyFont="1" applyFill="1" applyBorder="1" applyAlignment="1">
      <alignment vertical="center" wrapText="1"/>
    </xf>
    <xf numFmtId="0" fontId="11" fillId="0" borderId="0" xfId="1" applyFont="1" applyFill="1" applyBorder="1" applyAlignment="1">
      <alignment vertical="center"/>
    </xf>
    <xf numFmtId="3" fontId="11" fillId="0" borderId="0" xfId="1" applyNumberFormat="1" applyFont="1" applyFill="1" applyAlignment="1">
      <alignment vertical="center"/>
    </xf>
    <xf numFmtId="0" fontId="11" fillId="0" borderId="0" xfId="1" applyNumberFormat="1" applyFont="1" applyFill="1" applyAlignment="1">
      <alignment vertical="center"/>
    </xf>
    <xf numFmtId="49" fontId="8" fillId="0" borderId="0" xfId="1" applyNumberFormat="1" applyFont="1" applyFill="1" applyBorder="1" applyAlignment="1">
      <alignment horizontal="centerContinuous" vertical="center" wrapText="1"/>
    </xf>
    <xf numFmtId="0" fontId="8" fillId="0" borderId="0" xfId="1" applyFont="1" applyFill="1" applyBorder="1" applyAlignment="1">
      <alignment horizontal="centerContinuous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vertical="center" wrapText="1"/>
    </xf>
    <xf numFmtId="0" fontId="8" fillId="0" borderId="0" xfId="1" applyFont="1" applyFill="1" applyBorder="1" applyAlignment="1">
      <alignment vertical="center"/>
    </xf>
    <xf numFmtId="0" fontId="8" fillId="0" borderId="0" xfId="1" applyFont="1" applyFill="1" applyBorder="1" applyAlignment="1">
      <alignment horizontal="left" vertical="center" wrapText="1"/>
    </xf>
    <xf numFmtId="0" fontId="11" fillId="0" borderId="0" xfId="1" applyFont="1" applyFill="1" applyBorder="1" applyAlignment="1">
      <alignment horizontal="right" vertical="center"/>
    </xf>
    <xf numFmtId="0" fontId="2" fillId="0" borderId="95" xfId="0" applyFont="1" applyFill="1" applyBorder="1" applyAlignment="1">
      <alignment horizontal="center" vertical="center" wrapText="1"/>
    </xf>
    <xf numFmtId="0" fontId="11" fillId="0" borderId="0" xfId="1" applyFont="1" applyFill="1" applyAlignment="1">
      <alignment vertical="center"/>
    </xf>
    <xf numFmtId="3" fontId="8" fillId="0" borderId="0" xfId="1" applyNumberFormat="1" applyFont="1" applyFill="1" applyAlignment="1">
      <alignment horizontal="center" vertical="center"/>
    </xf>
    <xf numFmtId="0" fontId="11" fillId="0" borderId="95" xfId="20" quotePrefix="1" applyNumberFormat="1" applyFont="1" applyFill="1" applyBorder="1" applyAlignment="1">
      <alignment horizontal="left" vertical="center" wrapText="1"/>
    </xf>
    <xf numFmtId="0" fontId="11" fillId="0" borderId="95" xfId="20" quotePrefix="1" applyNumberFormat="1" applyFont="1" applyFill="1" applyBorder="1" applyAlignment="1">
      <alignment horizontal="center" vertical="center"/>
    </xf>
    <xf numFmtId="0" fontId="11" fillId="0" borderId="95" xfId="20" quotePrefix="1" applyNumberFormat="1" applyFont="1" applyFill="1" applyBorder="1" applyAlignment="1">
      <alignment horizontal="centerContinuous" vertical="center"/>
    </xf>
    <xf numFmtId="0" fontId="11" fillId="0" borderId="95" xfId="20" quotePrefix="1" applyNumberFormat="1" applyFont="1" applyFill="1" applyBorder="1" applyAlignment="1">
      <alignment horizontal="left" vertical="center"/>
    </xf>
    <xf numFmtId="0" fontId="11" fillId="0" borderId="96" xfId="20" quotePrefix="1" applyNumberFormat="1" applyFont="1" applyFill="1" applyBorder="1" applyAlignment="1">
      <alignment vertical="center"/>
    </xf>
    <xf numFmtId="3" fontId="11" fillId="0" borderId="98" xfId="1" applyNumberFormat="1" applyFont="1" applyFill="1" applyBorder="1" applyAlignment="1">
      <alignment horizontal="right" vertical="center"/>
    </xf>
    <xf numFmtId="3" fontId="11" fillId="0" borderId="95" xfId="1" applyNumberFormat="1" applyFont="1" applyFill="1" applyBorder="1" applyAlignment="1">
      <alignment horizontal="right" vertical="center"/>
    </xf>
    <xf numFmtId="3" fontId="11" fillId="0" borderId="99" xfId="1" applyNumberFormat="1" applyFont="1" applyFill="1" applyBorder="1" applyAlignment="1">
      <alignment vertical="center"/>
    </xf>
    <xf numFmtId="4" fontId="11" fillId="0" borderId="0" xfId="1" applyNumberFormat="1" applyFont="1" applyFill="1" applyAlignment="1">
      <alignment vertical="center"/>
    </xf>
    <xf numFmtId="0" fontId="1" fillId="0" borderId="0" xfId="0" applyFont="1" applyAlignment="1">
      <alignment vertical="center"/>
    </xf>
    <xf numFmtId="0" fontId="8" fillId="0" borderId="95" xfId="20" quotePrefix="1" applyNumberFormat="1" applyFont="1" applyFill="1" applyBorder="1" applyAlignment="1">
      <alignment horizontal="centerContinuous" vertical="center"/>
    </xf>
    <xf numFmtId="0" fontId="8" fillId="0" borderId="96" xfId="20" quotePrefix="1" applyNumberFormat="1" applyFont="1" applyFill="1" applyBorder="1" applyAlignment="1">
      <alignment horizontal="centerContinuous" vertical="center"/>
    </xf>
    <xf numFmtId="3" fontId="8" fillId="0" borderId="98" xfId="21" applyNumberFormat="1" applyFont="1" applyBorder="1" applyAlignment="1">
      <alignment horizontal="right" vertical="center"/>
    </xf>
    <xf numFmtId="3" fontId="8" fillId="0" borderId="95" xfId="21" applyNumberFormat="1" applyFont="1" applyBorder="1" applyAlignment="1">
      <alignment horizontal="right" vertical="center"/>
    </xf>
    <xf numFmtId="3" fontId="8" fillId="0" borderId="99" xfId="21" applyNumberFormat="1" applyFont="1" applyBorder="1" applyAlignment="1">
      <alignment horizontal="right" vertical="center"/>
    </xf>
    <xf numFmtId="3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0" fontId="0" fillId="0" borderId="0" xfId="0" applyBorder="1" applyAlignment="1">
      <alignment vertical="center"/>
    </xf>
    <xf numFmtId="0" fontId="0" fillId="0" borderId="93" xfId="0" applyBorder="1" applyAlignment="1">
      <alignment horizontal="center" vertical="center"/>
    </xf>
    <xf numFmtId="0" fontId="1" fillId="0" borderId="18" xfId="0" applyFont="1" applyBorder="1" applyAlignment="1">
      <alignment vertical="center"/>
    </xf>
    <xf numFmtId="0" fontId="83" fillId="0" borderId="0" xfId="0" applyFont="1" applyFill="1" applyAlignment="1">
      <alignment vertical="center"/>
    </xf>
    <xf numFmtId="0" fontId="83" fillId="0" borderId="0" xfId="0" applyFont="1" applyFill="1" applyAlignment="1">
      <alignment horizontal="center" vertical="center"/>
    </xf>
    <xf numFmtId="3" fontId="83" fillId="0" borderId="0" xfId="0" applyNumberFormat="1" applyFont="1" applyFill="1" applyAlignment="1">
      <alignment vertical="center"/>
    </xf>
    <xf numFmtId="0" fontId="83" fillId="0" borderId="80" xfId="0" applyFont="1" applyFill="1" applyBorder="1" applyAlignment="1">
      <alignment vertical="center"/>
    </xf>
    <xf numFmtId="0" fontId="83" fillId="0" borderId="81" xfId="0" applyFont="1" applyFill="1" applyBorder="1" applyAlignment="1">
      <alignment vertical="center"/>
    </xf>
    <xf numFmtId="0" fontId="83" fillId="0" borderId="87" xfId="0" applyFont="1" applyFill="1" applyBorder="1" applyAlignment="1">
      <alignment vertical="center"/>
    </xf>
    <xf numFmtId="0" fontId="83" fillId="0" borderId="0" xfId="0" applyFont="1" applyFill="1" applyBorder="1" applyAlignment="1">
      <alignment vertical="center"/>
    </xf>
    <xf numFmtId="0" fontId="83" fillId="0" borderId="18" xfId="0" applyFont="1" applyFill="1" applyBorder="1" applyAlignment="1">
      <alignment vertical="center"/>
    </xf>
    <xf numFmtId="0" fontId="83" fillId="0" borderId="83" xfId="0" applyFont="1" applyFill="1" applyBorder="1" applyAlignment="1">
      <alignment vertical="center"/>
    </xf>
    <xf numFmtId="0" fontId="83" fillId="0" borderId="84" xfId="0" applyFont="1" applyFill="1" applyBorder="1" applyAlignment="1">
      <alignment vertical="center"/>
    </xf>
    <xf numFmtId="0" fontId="83" fillId="0" borderId="85" xfId="0" applyFont="1" applyFill="1" applyBorder="1" applyAlignment="1">
      <alignment vertical="center"/>
    </xf>
    <xf numFmtId="0" fontId="83" fillId="0" borderId="86" xfId="0" applyFont="1" applyFill="1" applyBorder="1" applyAlignment="1">
      <alignment vertical="center"/>
    </xf>
    <xf numFmtId="3" fontId="88" fillId="16" borderId="18" xfId="0" applyNumberFormat="1" applyFont="1" applyFill="1" applyBorder="1" applyAlignment="1">
      <alignment horizontal="center" vertical="center"/>
    </xf>
    <xf numFmtId="0" fontId="85" fillId="17" borderId="0" xfId="0" applyFont="1" applyFill="1" applyAlignment="1">
      <alignment vertical="center"/>
    </xf>
    <xf numFmtId="0" fontId="82" fillId="0" borderId="0" xfId="0" applyFont="1" applyFill="1" applyAlignment="1">
      <alignment vertical="center"/>
    </xf>
    <xf numFmtId="0" fontId="83" fillId="0" borderId="103" xfId="0" applyFont="1" applyFill="1" applyBorder="1" applyAlignment="1">
      <alignment vertical="center"/>
    </xf>
    <xf numFmtId="0" fontId="83" fillId="0" borderId="105" xfId="0" applyFont="1" applyFill="1" applyBorder="1" applyAlignment="1">
      <alignment horizontal="center" vertical="center" wrapText="1"/>
    </xf>
    <xf numFmtId="0" fontId="83" fillId="0" borderId="102" xfId="0" applyFont="1" applyFill="1" applyBorder="1" applyAlignment="1">
      <alignment horizontal="center" vertical="center" wrapText="1"/>
    </xf>
    <xf numFmtId="0" fontId="83" fillId="0" borderId="106" xfId="0" applyFont="1" applyFill="1" applyBorder="1" applyAlignment="1">
      <alignment horizontal="center" vertical="center" wrapText="1"/>
    </xf>
    <xf numFmtId="0" fontId="85" fillId="15" borderId="102" xfId="0" applyFont="1" applyFill="1" applyBorder="1" applyAlignment="1">
      <alignment horizontal="center" vertical="center" wrapText="1"/>
    </xf>
    <xf numFmtId="0" fontId="86" fillId="15" borderId="102" xfId="0" applyFont="1" applyFill="1" applyBorder="1" applyAlignment="1">
      <alignment horizontal="center" vertical="center" wrapText="1"/>
    </xf>
    <xf numFmtId="3" fontId="83" fillId="0" borderId="106" xfId="0" applyNumberFormat="1" applyFont="1" applyFill="1" applyBorder="1" applyAlignment="1">
      <alignment horizontal="center" vertical="center" wrapText="1"/>
    </xf>
    <xf numFmtId="0" fontId="87" fillId="15" borderId="102" xfId="0" applyFont="1" applyFill="1" applyBorder="1" applyAlignment="1">
      <alignment horizontal="center" vertical="center" wrapText="1"/>
    </xf>
    <xf numFmtId="3" fontId="84" fillId="0" borderId="106" xfId="0" applyNumberFormat="1" applyFont="1" applyFill="1" applyBorder="1" applyAlignment="1">
      <alignment horizontal="center" vertical="center" wrapText="1"/>
    </xf>
    <xf numFmtId="0" fontId="83" fillId="0" borderId="103" xfId="0" applyFont="1" applyFill="1" applyBorder="1" applyAlignment="1">
      <alignment horizontal="center" vertical="center"/>
    </xf>
    <xf numFmtId="0" fontId="83" fillId="15" borderId="102" xfId="0" applyFont="1" applyFill="1" applyBorder="1" applyAlignment="1">
      <alignment horizontal="center" vertical="center" wrapText="1"/>
    </xf>
    <xf numFmtId="0" fontId="85" fillId="15" borderId="104" xfId="0" applyFont="1" applyFill="1" applyBorder="1" applyAlignment="1">
      <alignment horizontal="center" vertical="center" wrapText="1"/>
    </xf>
    <xf numFmtId="0" fontId="83" fillId="0" borderId="107" xfId="0" applyFont="1" applyFill="1" applyBorder="1" applyAlignment="1">
      <alignment horizontal="center" vertical="center" wrapText="1"/>
    </xf>
    <xf numFmtId="0" fontId="83" fillId="0" borderId="108" xfId="0" applyFont="1" applyFill="1" applyBorder="1" applyAlignment="1">
      <alignment horizontal="center" vertical="center" wrapText="1"/>
    </xf>
    <xf numFmtId="0" fontId="83" fillId="0" borderId="109" xfId="0" applyFont="1" applyFill="1" applyBorder="1" applyAlignment="1">
      <alignment horizontal="center" vertical="center" wrapText="1"/>
    </xf>
    <xf numFmtId="0" fontId="83" fillId="0" borderId="110" xfId="0" applyFont="1" applyFill="1" applyBorder="1" applyAlignment="1">
      <alignment vertical="center"/>
    </xf>
    <xf numFmtId="0" fontId="83" fillId="0" borderId="110" xfId="0" applyFont="1" applyFill="1" applyBorder="1" applyAlignment="1">
      <alignment horizontal="center" vertical="center"/>
    </xf>
    <xf numFmtId="0" fontId="83" fillId="0" borderId="111" xfId="0" applyFont="1" applyFill="1" applyBorder="1" applyAlignment="1">
      <alignment vertical="center"/>
    </xf>
    <xf numFmtId="0" fontId="83" fillId="0" borderId="111" xfId="0" applyFont="1" applyFill="1" applyBorder="1" applyAlignment="1">
      <alignment horizontal="center" vertical="center"/>
    </xf>
    <xf numFmtId="49" fontId="7" fillId="0" borderId="0" xfId="1" applyNumberFormat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center" wrapText="1"/>
    </xf>
    <xf numFmtId="49" fontId="7" fillId="0" borderId="0" xfId="1" applyNumberFormat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49" fontId="7" fillId="0" borderId="1" xfId="1" applyNumberFormat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49" fontId="8" fillId="0" borderId="3" xfId="1" applyNumberFormat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center" vertical="center"/>
    </xf>
    <xf numFmtId="0" fontId="8" fillId="0" borderId="4" xfId="1" applyFont="1" applyFill="1" applyBorder="1" applyAlignment="1">
      <alignment horizontal="center" vertical="center"/>
    </xf>
    <xf numFmtId="49" fontId="9" fillId="0" borderId="3" xfId="1" applyNumberFormat="1" applyFont="1" applyFill="1" applyBorder="1" applyAlignment="1">
      <alignment horizontal="center" vertical="center" wrapText="1"/>
    </xf>
    <xf numFmtId="0" fontId="9" fillId="0" borderId="3" xfId="1" applyFont="1" applyFill="1" applyBorder="1" applyAlignment="1">
      <alignment horizontal="center" vertical="center" wrapText="1"/>
    </xf>
    <xf numFmtId="49" fontId="8" fillId="0" borderId="1" xfId="1" applyNumberFormat="1" applyFont="1" applyFill="1" applyBorder="1" applyAlignment="1">
      <alignment horizontal="center" vertical="center"/>
    </xf>
    <xf numFmtId="49" fontId="9" fillId="0" borderId="4" xfId="1" applyNumberFormat="1" applyFont="1" applyFill="1" applyBorder="1" applyAlignment="1">
      <alignment horizontal="center" vertical="center" wrapText="1"/>
    </xf>
    <xf numFmtId="0" fontId="9" fillId="0" borderId="4" xfId="1" applyFont="1" applyFill="1" applyBorder="1" applyAlignment="1">
      <alignment horizontal="center" vertical="center" wrapText="1"/>
    </xf>
    <xf numFmtId="49" fontId="8" fillId="0" borderId="1" xfId="1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49" fontId="7" fillId="0" borderId="5" xfId="1" applyNumberFormat="1" applyFont="1" applyFill="1" applyBorder="1" applyAlignment="1">
      <alignment horizontal="center" vertical="center"/>
    </xf>
    <xf numFmtId="49" fontId="7" fillId="0" borderId="6" xfId="1" applyNumberFormat="1" applyFont="1" applyFill="1" applyBorder="1" applyAlignment="1">
      <alignment horizontal="center" vertical="center"/>
    </xf>
    <xf numFmtId="49" fontId="7" fillId="0" borderId="7" xfId="1" applyNumberFormat="1" applyFont="1" applyFill="1" applyBorder="1" applyAlignment="1">
      <alignment horizontal="center" vertical="center"/>
    </xf>
    <xf numFmtId="49" fontId="7" fillId="0" borderId="2" xfId="1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0" fontId="11" fillId="0" borderId="1" xfId="3" applyFont="1" applyFill="1" applyBorder="1" applyAlignment="1">
      <alignment horizontal="center" vertical="center"/>
    </xf>
    <xf numFmtId="49" fontId="7" fillId="0" borderId="1" xfId="1" applyNumberFormat="1" applyFont="1" applyFill="1" applyBorder="1" applyAlignment="1">
      <alignment horizontal="center" vertical="center"/>
    </xf>
    <xf numFmtId="0" fontId="7" fillId="0" borderId="2" xfId="1" applyFont="1" applyFill="1" applyBorder="1" applyAlignment="1">
      <alignment horizontal="center" vertical="center"/>
    </xf>
    <xf numFmtId="0" fontId="10" fillId="0" borderId="39" xfId="9" applyFont="1" applyFill="1" applyBorder="1" applyAlignment="1" applyProtection="1">
      <alignment horizontal="center" vertical="center" textRotation="90" wrapText="1"/>
      <protection locked="0"/>
    </xf>
    <xf numFmtId="0" fontId="10" fillId="0" borderId="39" xfId="9" applyFont="1" applyFill="1" applyBorder="1" applyAlignment="1" applyProtection="1">
      <alignment horizontal="center" vertical="center" wrapText="1"/>
      <protection locked="0"/>
    </xf>
    <xf numFmtId="0" fontId="81" fillId="0" borderId="39" xfId="2" quotePrefix="1" applyFont="1" applyFill="1" applyBorder="1" applyAlignment="1">
      <alignment horizontal="center" vertical="center" wrapText="1"/>
    </xf>
    <xf numFmtId="0" fontId="81" fillId="0" borderId="39" xfId="2" quotePrefix="1" applyFont="1" applyBorder="1" applyAlignment="1">
      <alignment horizontal="center" vertical="center" wrapText="1"/>
    </xf>
    <xf numFmtId="0" fontId="10" fillId="0" borderId="39" xfId="10" applyFont="1" applyFill="1" applyBorder="1" applyAlignment="1" applyProtection="1">
      <alignment horizontal="center" vertical="center" textRotation="90" wrapText="1"/>
      <protection locked="0"/>
    </xf>
    <xf numFmtId="49" fontId="10" fillId="0" borderId="39" xfId="10" applyNumberFormat="1" applyFont="1" applyFill="1" applyBorder="1" applyAlignment="1" applyProtection="1">
      <alignment horizontal="center" vertical="center" wrapText="1"/>
      <protection locked="0"/>
    </xf>
    <xf numFmtId="2" fontId="10" fillId="0" borderId="39" xfId="10" applyNumberFormat="1" applyFont="1" applyFill="1" applyBorder="1" applyAlignment="1" applyProtection="1">
      <alignment horizontal="center" vertical="center" wrapText="1"/>
      <protection locked="0"/>
    </xf>
    <xf numFmtId="0" fontId="10" fillId="0" borderId="50" xfId="9" applyFont="1" applyFill="1" applyBorder="1" applyAlignment="1" applyProtection="1">
      <alignment horizontal="center" vertical="center" textRotation="90" wrapText="1"/>
      <protection locked="0"/>
    </xf>
    <xf numFmtId="0" fontId="10" fillId="0" borderId="50" xfId="9" applyFont="1" applyFill="1" applyBorder="1" applyAlignment="1" applyProtection="1">
      <alignment horizontal="center" vertical="center" wrapText="1"/>
      <protection locked="0"/>
    </xf>
    <xf numFmtId="0" fontId="81" fillId="0" borderId="50" xfId="2" quotePrefix="1" applyFont="1" applyBorder="1" applyAlignment="1">
      <alignment horizontal="center" vertical="center" wrapText="1"/>
    </xf>
    <xf numFmtId="0" fontId="10" fillId="0" borderId="50" xfId="10" applyFont="1" applyFill="1" applyBorder="1" applyAlignment="1" applyProtection="1">
      <alignment horizontal="center" vertical="center" textRotation="90" wrapText="1"/>
      <protection locked="0"/>
    </xf>
    <xf numFmtId="49" fontId="10" fillId="0" borderId="50" xfId="10" applyNumberFormat="1" applyFont="1" applyFill="1" applyBorder="1" applyAlignment="1" applyProtection="1">
      <alignment horizontal="center" vertical="center" wrapText="1"/>
      <protection locked="0"/>
    </xf>
    <xf numFmtId="0" fontId="10" fillId="0" borderId="39" xfId="2" quotePrefix="1" applyFont="1" applyFill="1" applyBorder="1" applyAlignment="1">
      <alignment horizontal="center" vertical="center" wrapText="1"/>
    </xf>
    <xf numFmtId="0" fontId="10" fillId="0" borderId="39" xfId="2" quotePrefix="1" applyFont="1" applyBorder="1" applyAlignment="1">
      <alignment horizontal="center" vertical="center" wrapText="1"/>
    </xf>
    <xf numFmtId="0" fontId="10" fillId="0" borderId="39" xfId="10" applyNumberFormat="1" applyFont="1" applyFill="1" applyBorder="1" applyAlignment="1" applyProtection="1">
      <alignment horizontal="center" vertical="center" wrapText="1"/>
      <protection locked="0"/>
    </xf>
    <xf numFmtId="0" fontId="51" fillId="0" borderId="39" xfId="2" applyFont="1" applyFill="1" applyBorder="1" applyAlignment="1">
      <alignment horizontal="center" vertical="center" wrapText="1"/>
    </xf>
    <xf numFmtId="0" fontId="51" fillId="0" borderId="39" xfId="2" applyFont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10" fillId="0" borderId="39" xfId="2" applyFont="1" applyFill="1" applyBorder="1" applyAlignment="1">
      <alignment horizontal="center" vertical="center" wrapText="1"/>
    </xf>
    <xf numFmtId="0" fontId="10" fillId="0" borderId="39" xfId="2" applyFont="1" applyBorder="1" applyAlignment="1">
      <alignment horizontal="center" vertical="center" wrapText="1"/>
    </xf>
    <xf numFmtId="0" fontId="10" fillId="0" borderId="50" xfId="2" quotePrefix="1" applyFont="1" applyBorder="1" applyAlignment="1">
      <alignment horizontal="center" vertical="center" wrapText="1"/>
    </xf>
    <xf numFmtId="0" fontId="39" fillId="0" borderId="1" xfId="7" applyNumberFormat="1" applyFont="1" applyFill="1" applyBorder="1" applyAlignment="1" applyProtection="1">
      <alignment horizontal="center" vertical="center" textRotation="90" wrapText="1"/>
      <protection locked="0"/>
    </xf>
    <xf numFmtId="0" fontId="39" fillId="0" borderId="5" xfId="7" applyNumberFormat="1" applyFont="1" applyFill="1" applyBorder="1" applyAlignment="1" applyProtection="1">
      <alignment horizontal="center" vertical="center" textRotation="90" wrapText="1"/>
      <protection locked="0"/>
    </xf>
    <xf numFmtId="0" fontId="39" fillId="0" borderId="4" xfId="7" applyNumberFormat="1" applyFont="1" applyFill="1" applyBorder="1" applyAlignment="1" applyProtection="1">
      <alignment horizontal="center" vertical="center" wrapText="1"/>
      <protection locked="0"/>
    </xf>
    <xf numFmtId="0" fontId="39" fillId="0" borderId="21" xfId="7" applyNumberFormat="1" applyFont="1" applyFill="1" applyBorder="1" applyAlignment="1" applyProtection="1">
      <alignment horizontal="center" vertical="center" wrapText="1"/>
      <protection locked="0"/>
    </xf>
    <xf numFmtId="164" fontId="14" fillId="6" borderId="13" xfId="7" applyNumberFormat="1" applyFont="1" applyFill="1" applyBorder="1" applyAlignment="1" applyProtection="1">
      <alignment horizontal="center" vertical="center" wrapText="1"/>
      <protection locked="0"/>
    </xf>
    <xf numFmtId="164" fontId="14" fillId="6" borderId="8" xfId="7" applyNumberFormat="1" applyFont="1" applyFill="1" applyBorder="1" applyAlignment="1" applyProtection="1">
      <alignment horizontal="center" vertical="center" wrapText="1"/>
      <protection locked="0"/>
    </xf>
    <xf numFmtId="164" fontId="39" fillId="0" borderId="14" xfId="2" applyNumberFormat="1" applyFont="1" applyFill="1" applyBorder="1" applyAlignment="1" applyProtection="1">
      <alignment horizontal="center" vertical="center"/>
      <protection locked="0"/>
    </xf>
    <xf numFmtId="164" fontId="39" fillId="0" borderId="1" xfId="2" applyNumberFormat="1" applyFont="1" applyBorder="1" applyAlignment="1" applyProtection="1">
      <alignment horizontal="center" vertical="center"/>
      <protection locked="0"/>
    </xf>
    <xf numFmtId="164" fontId="39" fillId="0" borderId="15" xfId="2" applyNumberFormat="1" applyFont="1" applyBorder="1" applyAlignment="1" applyProtection="1">
      <alignment horizontal="center" vertical="center"/>
      <protection locked="0"/>
    </xf>
    <xf numFmtId="0" fontId="10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0" fillId="0" borderId="5" xfId="7" applyNumberFormat="1" applyFont="1" applyFill="1" applyBorder="1" applyAlignment="1" applyProtection="1">
      <alignment horizontal="center" vertical="center" wrapText="1"/>
      <protection locked="0"/>
    </xf>
    <xf numFmtId="0" fontId="39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39" fillId="0" borderId="5" xfId="8" applyNumberFormat="1" applyFont="1" applyFill="1" applyBorder="1" applyAlignment="1" applyProtection="1">
      <alignment horizontal="center" vertical="center" wrapText="1"/>
      <protection locked="0"/>
    </xf>
    <xf numFmtId="0" fontId="41" fillId="0" borderId="1" xfId="2" applyFont="1" applyFill="1" applyBorder="1" applyAlignment="1" applyProtection="1">
      <alignment horizontal="center" vertical="center"/>
      <protection locked="0"/>
    </xf>
    <xf numFmtId="0" fontId="41" fillId="0" borderId="1" xfId="2" applyFont="1" applyBorder="1" applyAlignment="1" applyProtection="1">
      <alignment horizontal="center" vertical="center"/>
      <protection locked="0"/>
    </xf>
    <xf numFmtId="0" fontId="10" fillId="0" borderId="50" xfId="2" applyFont="1" applyBorder="1" applyAlignment="1">
      <alignment horizontal="center" vertical="center" wrapText="1"/>
    </xf>
    <xf numFmtId="0" fontId="10" fillId="0" borderId="39" xfId="9" quotePrefix="1" applyFont="1" applyFill="1" applyBorder="1" applyAlignment="1" applyProtection="1">
      <alignment horizontal="center" vertical="center" wrapText="1"/>
      <protection locked="0"/>
    </xf>
    <xf numFmtId="0" fontId="10" fillId="0" borderId="50" xfId="9" quotePrefix="1" applyFont="1" applyFill="1" applyBorder="1" applyAlignment="1" applyProtection="1">
      <alignment horizontal="center" vertical="center" wrapText="1"/>
      <protection locked="0"/>
    </xf>
    <xf numFmtId="0" fontId="51" fillId="0" borderId="39" xfId="2" quotePrefix="1" applyFont="1" applyFill="1" applyBorder="1" applyAlignment="1">
      <alignment horizontal="center" vertical="center" wrapText="1"/>
    </xf>
    <xf numFmtId="0" fontId="51" fillId="0" borderId="39" xfId="2" quotePrefix="1" applyFont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10" fillId="0" borderId="59" xfId="10" applyFont="1" applyFill="1" applyBorder="1" applyAlignment="1" applyProtection="1">
      <alignment horizontal="center" vertical="center" textRotation="90" wrapText="1"/>
      <protection locked="0"/>
    </xf>
    <xf numFmtId="0" fontId="10" fillId="0" borderId="6" xfId="10" applyFont="1" applyFill="1" applyBorder="1" applyAlignment="1" applyProtection="1">
      <alignment horizontal="center" vertical="center" textRotation="90" wrapText="1"/>
      <protection locked="0"/>
    </xf>
    <xf numFmtId="0" fontId="10" fillId="0" borderId="60" xfId="10" applyFont="1" applyFill="1" applyBorder="1" applyAlignment="1" applyProtection="1">
      <alignment horizontal="center" vertical="center" textRotation="90" wrapText="1"/>
      <protection locked="0"/>
    </xf>
    <xf numFmtId="0" fontId="10" fillId="0" borderId="39" xfId="9" quotePrefix="1" applyFont="1" applyFill="1" applyBorder="1" applyAlignment="1" applyProtection="1">
      <alignment horizontal="center" vertical="center" textRotation="90" wrapText="1"/>
      <protection locked="0"/>
    </xf>
    <xf numFmtId="0" fontId="10" fillId="0" borderId="50" xfId="9" quotePrefix="1" applyFont="1" applyFill="1" applyBorder="1" applyAlignment="1" applyProtection="1">
      <alignment horizontal="center" vertical="center" textRotation="90" wrapText="1"/>
      <protection locked="0"/>
    </xf>
    <xf numFmtId="0" fontId="39" fillId="0" borderId="39" xfId="2" quotePrefix="1" applyFont="1" applyFill="1" applyBorder="1" applyAlignment="1">
      <alignment horizontal="center" vertical="center" wrapText="1"/>
    </xf>
    <xf numFmtId="0" fontId="39" fillId="0" borderId="50" xfId="2" quotePrefix="1" applyFont="1" applyFill="1" applyBorder="1" applyAlignment="1">
      <alignment horizontal="center" vertical="center" wrapText="1"/>
    </xf>
    <xf numFmtId="0" fontId="10" fillId="0" borderId="50" xfId="2" quotePrefix="1" applyFont="1" applyFill="1" applyBorder="1" applyAlignment="1">
      <alignment horizontal="center" vertical="center" wrapText="1"/>
    </xf>
    <xf numFmtId="0" fontId="10" fillId="0" borderId="39" xfId="11" applyFont="1" applyFill="1" applyBorder="1" applyAlignment="1" applyProtection="1">
      <alignment horizontal="center" vertical="center" textRotation="90" wrapText="1"/>
      <protection locked="0"/>
    </xf>
    <xf numFmtId="0" fontId="10" fillId="0" borderId="39" xfId="11" applyFont="1" applyFill="1" applyBorder="1" applyAlignment="1" applyProtection="1">
      <alignment horizontal="center" vertical="center" wrapText="1"/>
      <protection locked="0"/>
    </xf>
    <xf numFmtId="0" fontId="10" fillId="0" borderId="39" xfId="12" applyFont="1" applyFill="1" applyBorder="1" applyAlignment="1" applyProtection="1">
      <alignment horizontal="center" vertical="center" textRotation="90" wrapText="1"/>
      <protection locked="0"/>
    </xf>
    <xf numFmtId="49" fontId="10" fillId="0" borderId="59" xfId="10" applyNumberFormat="1" applyFont="1" applyFill="1" applyBorder="1" applyAlignment="1" applyProtection="1">
      <alignment horizontal="center" vertical="center" wrapText="1"/>
      <protection locked="0"/>
    </xf>
    <xf numFmtId="0" fontId="10" fillId="0" borderId="50" xfId="12" applyFont="1" applyFill="1" applyBorder="1" applyAlignment="1" applyProtection="1">
      <alignment horizontal="center" vertical="center" textRotation="90" wrapText="1"/>
      <protection locked="0"/>
    </xf>
    <xf numFmtId="0" fontId="10" fillId="0" borderId="50" xfId="11" applyFont="1" applyFill="1" applyBorder="1" applyAlignment="1" applyProtection="1">
      <alignment horizontal="center" vertical="center" textRotation="90" wrapText="1"/>
      <protection locked="0"/>
    </xf>
    <xf numFmtId="0" fontId="10" fillId="0" borderId="50" xfId="11" applyFont="1" applyFill="1" applyBorder="1" applyAlignment="1" applyProtection="1">
      <alignment horizontal="center" vertical="center" wrapText="1"/>
      <protection locked="0"/>
    </xf>
    <xf numFmtId="0" fontId="10" fillId="0" borderId="59" xfId="9" applyFont="1" applyFill="1" applyBorder="1" applyAlignment="1" applyProtection="1">
      <alignment horizontal="center" vertical="center" textRotation="90" wrapText="1"/>
      <protection locked="0"/>
    </xf>
    <xf numFmtId="0" fontId="10" fillId="0" borderId="59" xfId="9" applyFont="1" applyFill="1" applyBorder="1" applyAlignment="1" applyProtection="1">
      <alignment horizontal="center" vertical="center" wrapText="1"/>
      <protection locked="0"/>
    </xf>
    <xf numFmtId="0" fontId="10" fillId="0" borderId="59" xfId="2" quotePrefix="1" applyFont="1" applyBorder="1" applyAlignment="1">
      <alignment horizontal="center" vertical="center" wrapText="1"/>
    </xf>
    <xf numFmtId="0" fontId="10" fillId="0" borderId="6" xfId="2" quotePrefix="1" applyFont="1" applyBorder="1" applyAlignment="1">
      <alignment horizontal="center" vertical="center" wrapText="1"/>
    </xf>
    <xf numFmtId="0" fontId="10" fillId="0" borderId="60" xfId="2" quotePrefix="1" applyFont="1" applyBorder="1" applyAlignment="1">
      <alignment horizontal="center" vertical="center" wrapText="1"/>
    </xf>
    <xf numFmtId="0" fontId="10" fillId="0" borderId="61" xfId="2" quotePrefix="1" applyFont="1" applyBorder="1" applyAlignment="1">
      <alignment horizontal="center" vertical="center" wrapText="1"/>
    </xf>
    <xf numFmtId="0" fontId="16" fillId="11" borderId="1" xfId="9" applyFont="1" applyFill="1" applyBorder="1" applyAlignment="1" applyProtection="1">
      <alignment horizontal="center" vertical="center" wrapText="1"/>
      <protection locked="0"/>
    </xf>
    <xf numFmtId="0" fontId="16" fillId="8" borderId="1" xfId="9" applyFont="1" applyFill="1" applyBorder="1" applyAlignment="1" applyProtection="1">
      <alignment horizontal="center" vertical="center" wrapText="1"/>
      <protection locked="0"/>
    </xf>
    <xf numFmtId="0" fontId="16" fillId="13" borderId="62" xfId="9" applyFont="1" applyFill="1" applyBorder="1" applyAlignment="1" applyProtection="1">
      <alignment horizontal="center" vertical="center" wrapText="1"/>
      <protection locked="0"/>
    </xf>
    <xf numFmtId="0" fontId="16" fillId="13" borderId="63" xfId="9" applyFont="1" applyFill="1" applyBorder="1" applyAlignment="1" applyProtection="1">
      <alignment horizontal="center" vertical="center" wrapText="1"/>
      <protection locked="0"/>
    </xf>
    <xf numFmtId="0" fontId="16" fillId="13" borderId="3" xfId="9" applyFont="1" applyFill="1" applyBorder="1" applyAlignment="1" applyProtection="1">
      <alignment horizontal="center" vertical="center" wrapText="1"/>
      <protection locked="0"/>
    </xf>
    <xf numFmtId="0" fontId="16" fillId="13" borderId="1" xfId="9" applyFont="1" applyFill="1" applyBorder="1" applyAlignment="1" applyProtection="1">
      <alignment horizontal="center" vertical="center" wrapText="1"/>
      <protection locked="0"/>
    </xf>
    <xf numFmtId="0" fontId="16" fillId="13" borderId="71" xfId="9" applyFont="1" applyFill="1" applyBorder="1" applyAlignment="1" applyProtection="1">
      <alignment horizontal="center" vertical="center" wrapText="1"/>
      <protection locked="0"/>
    </xf>
    <xf numFmtId="0" fontId="16" fillId="13" borderId="28" xfId="9" applyFont="1" applyFill="1" applyBorder="1" applyAlignment="1" applyProtection="1">
      <alignment horizontal="center" vertical="center" wrapText="1"/>
      <protection locked="0"/>
    </xf>
    <xf numFmtId="0" fontId="10" fillId="0" borderId="61" xfId="10" applyFont="1" applyFill="1" applyBorder="1" applyAlignment="1" applyProtection="1">
      <alignment horizontal="center" vertical="center" textRotation="90" wrapText="1"/>
      <protection locked="0"/>
    </xf>
    <xf numFmtId="0" fontId="10" fillId="12" borderId="39" xfId="9" applyFont="1" applyFill="1" applyBorder="1" applyAlignment="1" applyProtection="1">
      <alignment horizontal="center" vertical="center" wrapText="1"/>
      <protection locked="0"/>
    </xf>
    <xf numFmtId="0" fontId="10" fillId="12" borderId="50" xfId="9" applyFont="1" applyFill="1" applyBorder="1" applyAlignment="1" applyProtection="1">
      <alignment horizontal="center" vertical="center" wrapText="1"/>
      <protection locked="0"/>
    </xf>
    <xf numFmtId="49" fontId="8" fillId="0" borderId="0" xfId="1" applyNumberFormat="1" applyFont="1" applyFill="1" applyBorder="1" applyAlignment="1">
      <alignment horizontal="left" vertical="center" wrapText="1"/>
    </xf>
    <xf numFmtId="0" fontId="8" fillId="0" borderId="0" xfId="1" applyFont="1" applyFill="1" applyBorder="1" applyAlignment="1">
      <alignment horizontal="left" vertical="center" wrapText="1"/>
    </xf>
    <xf numFmtId="0" fontId="11" fillId="0" borderId="0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2" fillId="0" borderId="96" xfId="0" applyFont="1" applyFill="1" applyBorder="1" applyAlignment="1">
      <alignment horizontal="center" vertical="center" wrapText="1"/>
    </xf>
    <xf numFmtId="0" fontId="2" fillId="0" borderId="94" xfId="0" applyFont="1" applyFill="1" applyBorder="1" applyAlignment="1">
      <alignment horizontal="center" vertical="center" wrapText="1"/>
    </xf>
    <xf numFmtId="0" fontId="2" fillId="0" borderId="97" xfId="0" applyFont="1" applyFill="1" applyBorder="1" applyAlignment="1">
      <alignment horizontal="center" vertical="center" wrapText="1"/>
    </xf>
    <xf numFmtId="49" fontId="8" fillId="0" borderId="99" xfId="1" applyNumberFormat="1" applyFont="1" applyFill="1" applyBorder="1" applyAlignment="1">
      <alignment horizontal="center" vertical="center" wrapText="1"/>
    </xf>
    <xf numFmtId="0" fontId="8" fillId="0" borderId="99" xfId="1" applyFont="1" applyFill="1" applyBorder="1" applyAlignment="1">
      <alignment horizontal="center" vertical="center" wrapText="1"/>
    </xf>
    <xf numFmtId="49" fontId="8" fillId="0" borderId="95" xfId="1" applyNumberFormat="1" applyFont="1" applyFill="1" applyBorder="1" applyAlignment="1">
      <alignment horizontal="center" vertical="center" wrapText="1"/>
    </xf>
    <xf numFmtId="0" fontId="8" fillId="0" borderId="95" xfId="1" applyFont="1" applyFill="1" applyBorder="1" applyAlignment="1">
      <alignment horizontal="center" vertical="center" wrapText="1"/>
    </xf>
    <xf numFmtId="0" fontId="2" fillId="0" borderId="91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49" fontId="8" fillId="0" borderId="98" xfId="1" applyNumberFormat="1" applyFont="1" applyFill="1" applyBorder="1" applyAlignment="1">
      <alignment horizontal="center" vertical="center"/>
    </xf>
    <xf numFmtId="0" fontId="8" fillId="0" borderId="95" xfId="1" applyFont="1" applyFill="1" applyBorder="1" applyAlignment="1">
      <alignment horizontal="center" vertical="center"/>
    </xf>
    <xf numFmtId="0" fontId="8" fillId="0" borderId="99" xfId="1" applyFont="1" applyFill="1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2" fillId="0" borderId="92" xfId="0" applyFont="1" applyFill="1" applyBorder="1" applyAlignment="1">
      <alignment horizontal="center" vertical="center" wrapText="1"/>
    </xf>
    <xf numFmtId="0" fontId="2" fillId="0" borderId="87" xfId="0" applyFont="1" applyFill="1" applyBorder="1" applyAlignment="1">
      <alignment horizontal="center" vertical="center" wrapText="1"/>
    </xf>
    <xf numFmtId="0" fontId="2" fillId="0" borderId="100" xfId="0" applyFont="1" applyFill="1" applyBorder="1" applyAlignment="1">
      <alignment horizontal="center" vertical="center" wrapText="1"/>
    </xf>
    <xf numFmtId="49" fontId="8" fillId="0" borderId="98" xfId="1" applyNumberFormat="1" applyFont="1" applyFill="1" applyBorder="1" applyAlignment="1">
      <alignment horizontal="center" vertical="center" wrapText="1"/>
    </xf>
    <xf numFmtId="0" fontId="8" fillId="0" borderId="98" xfId="1" applyFont="1" applyFill="1" applyBorder="1" applyAlignment="1">
      <alignment horizontal="center" vertical="center" wrapText="1"/>
    </xf>
    <xf numFmtId="49" fontId="8" fillId="0" borderId="95" xfId="1" applyNumberFormat="1" applyFont="1" applyFill="1" applyBorder="1" applyAlignment="1">
      <alignment horizontal="center" vertical="center"/>
    </xf>
  </cellXfs>
  <cellStyles count="22">
    <cellStyle name="Normalny" xfId="0" builtinId="0"/>
    <cellStyle name="Normalny 10" xfId="5" xr:uid="{D49DD199-D5A3-43E8-A7D8-74EF2B3A91D9}"/>
    <cellStyle name="Normalny 2" xfId="18" xr:uid="{5528D773-3539-4268-BFB5-9C750DB1D979}"/>
    <cellStyle name="Normalny 3 3 2" xfId="4" xr:uid="{7DDA711A-0CB8-46C1-8C20-521BE2CC58F3}"/>
    <cellStyle name="Normalny 4" xfId="16" xr:uid="{7ED7B526-5FD8-425B-8D7E-BD33BD1FBD70}"/>
    <cellStyle name="Normalny 5" xfId="1" xr:uid="{8BD20F30-DA0F-4522-A91E-4FE775763CB0}"/>
    <cellStyle name="Normalny 7 2" xfId="3" xr:uid="{2D7C8D54-C7F0-4A93-97CA-5895024C103F}"/>
    <cellStyle name="Normalny_121_1205_UZ703_WPF_INWESTYCJE_XI" xfId="2" xr:uid="{5823B67A-06F9-4179-A5D5-E83238A8FEF9}"/>
    <cellStyle name="SAPBEXchaText" xfId="13" xr:uid="{9083CA5A-8DCC-4C1E-97C5-2EC399B2ECA8}"/>
    <cellStyle name="SAPBEXchaText 2" xfId="19" xr:uid="{E4AB9983-8F2B-46A0-8F97-E14ED6866ED5}"/>
    <cellStyle name="SAPBEXchaText_Ogólnomiejskie" xfId="8" xr:uid="{EE71CCEF-7544-4E16-B20A-5B8C28ABD240}"/>
    <cellStyle name="SAPBEXHLevel0_121_1205_UZ703_WPF_INWESTYCJE_XI" xfId="9" xr:uid="{1FCDE02A-E3CF-4F06-81CB-BCC8D9C60820}"/>
    <cellStyle name="SAPBEXHLevel0_121_1205_UZ703_WPF_INWESTYCJE_XI 2" xfId="11" xr:uid="{BBA36F2E-2F26-4BE8-AC5C-D5EF8246A62F}"/>
    <cellStyle name="SAPBEXHLevel0_Zmiany 2009-2014_DN 2" xfId="10" xr:uid="{414348EC-E2B6-4C56-8428-949899113983}"/>
    <cellStyle name="SAPBEXHLevel0_Zmiany 2009-2014_DN 2 2" xfId="12" xr:uid="{36709A36-BCB4-4507-92AE-18E4D6759C78}"/>
    <cellStyle name="SAPBEXstdData" xfId="17" xr:uid="{072B2CA0-1AB6-48B3-9671-8A5162C57EE5}"/>
    <cellStyle name="SAPBEXstdData 2" xfId="21" xr:uid="{C5FBC01D-E1AF-430D-A4B6-EB43B7F8155F}"/>
    <cellStyle name="SAPBEXstdData_121_1205_UZ703_WPF_INWESTYCJE_XI" xfId="6" xr:uid="{EF6419FA-2CC8-45B1-A7C7-D50EE8E280BE}"/>
    <cellStyle name="SAPBEXstdItem" xfId="14" xr:uid="{B60A7110-5469-420F-BBA1-26E7FCE2AF70}"/>
    <cellStyle name="SAPBEXstdItem 2" xfId="15" xr:uid="{8C8EE18F-2C1E-4F2A-BC70-2070F2B3679D}"/>
    <cellStyle name="SAPBEXstdItem 2 2" xfId="20" xr:uid="{C1BE4305-E4AB-4051-AE37-AB5AC61E5C64}"/>
    <cellStyle name="SAPBEXstdItem_121_1205_UZ703_WPF_INWESTYCJE_XI" xfId="7" xr:uid="{F3A1E628-0FFB-4B7C-A706-6A372B586F85}"/>
  </cellStyles>
  <dxfs count="4334">
    <dxf>
      <fill>
        <patternFill patternType="none">
          <bgColor auto="1"/>
        </patternFill>
      </fill>
    </dxf>
    <dxf>
      <numFmt numFmtId="4" formatCode="#,##0.00"/>
    </dxf>
    <dxf>
      <numFmt numFmtId="3" formatCode="#,##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7"/>
      </font>
    </dxf>
    <dxf>
      <font>
        <sz val="7"/>
      </font>
    </dxf>
    <dxf>
      <font>
        <sz val="7"/>
      </font>
    </dxf>
    <dxf>
      <font>
        <sz val="7"/>
      </font>
    </dxf>
    <dxf>
      <font>
        <sz val="7"/>
      </font>
    </dxf>
    <dxf>
      <font>
        <sz val="7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right/>
        <vertical/>
      </border>
    </dxf>
    <dxf>
      <border>
        <right/>
        <vertical/>
      </border>
    </dxf>
    <dxf>
      <border>
        <top style="thin">
          <color indexed="64"/>
        </top>
        <bottom style="medium">
          <color indexed="64"/>
        </bottom>
      </border>
    </dxf>
    <dxf>
      <font>
        <sz val="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horizontal="center" readingOrder="0"/>
    </dxf>
    <dxf>
      <font>
        <sz val="9"/>
      </font>
    </dxf>
    <dxf>
      <border>
        <top style="thin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" formatCode="#,##0"/>
    </dxf>
    <dxf>
      <alignment wrapText="0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wrapText="1" readingOrder="0"/>
    </dxf>
    <dxf>
      <border>
        <bottom style="medium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wrapText="1" readingOrder="0"/>
    </dxf>
    <dxf>
      <alignment horizontal="center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bottom style="medium">
          <color indexed="64"/>
        </bottom>
      </border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ont>
        <color rgb="FF0000CC"/>
      </font>
    </dxf>
    <dxf>
      <alignment wrapText="1"/>
    </dxf>
    <dxf>
      <alignment horizontal="center"/>
    </dxf>
    <dxf>
      <border>
        <right style="thin">
          <color indexed="64"/>
        </right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bottom style="medium">
          <color auto="1"/>
        </bottom>
      </border>
    </dxf>
    <dxf>
      <border>
        <bottom style="medium">
          <color auto="1"/>
        </bottom>
      </border>
    </dxf>
    <dxf>
      <alignment wrapText="1"/>
    </dxf>
    <dxf>
      <alignment horizontal="center"/>
    </dxf>
    <dxf>
      <font>
        <sz val="9"/>
      </font>
    </dxf>
    <dxf>
      <border>
        <bottom style="medium">
          <color auto="1"/>
        </bottom>
      </border>
    </dxf>
    <dxf>
      <font>
        <color rgb="FFCC00CC"/>
      </font>
    </dxf>
    <dxf>
      <font>
        <color rgb="FF6600CC"/>
      </font>
    </dxf>
    <dxf>
      <fill>
        <patternFill patternType="none">
          <bgColor auto="1"/>
        </patternFill>
      </fill>
    </dxf>
    <dxf>
      <numFmt numFmtId="4" formatCode="#,##0.00"/>
    </dxf>
    <dxf>
      <numFmt numFmtId="3" formatCode="#,##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7"/>
      </font>
    </dxf>
    <dxf>
      <font>
        <sz val="7"/>
      </font>
    </dxf>
    <dxf>
      <font>
        <sz val="7"/>
      </font>
    </dxf>
    <dxf>
      <font>
        <sz val="7"/>
      </font>
    </dxf>
    <dxf>
      <font>
        <sz val="7"/>
      </font>
    </dxf>
    <dxf>
      <font>
        <sz val="7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right/>
        <vertical/>
      </border>
    </dxf>
    <dxf>
      <border>
        <right/>
        <vertical/>
      </border>
    </dxf>
    <dxf>
      <border>
        <top style="thin">
          <color indexed="64"/>
        </top>
        <bottom style="medium">
          <color indexed="64"/>
        </bottom>
      </border>
    </dxf>
    <dxf>
      <font>
        <sz val="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horizontal="center" readingOrder="0"/>
    </dxf>
    <dxf>
      <font>
        <sz val="9"/>
      </font>
    </dxf>
    <dxf>
      <border>
        <top style="thin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9"/>
      </font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>
          <bgColor auto="1"/>
        </patternFill>
      </fill>
    </dxf>
    <dxf>
      <border>
        <left/>
        <right/>
        <top/>
      </border>
    </dxf>
    <dxf>
      <border>
        <left/>
        <right/>
        <top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C00000"/>
      </font>
    </dxf>
    <dxf>
      <fill>
        <patternFill patternType="solid">
          <bgColor rgb="FFFF0066"/>
        </patternFill>
      </fill>
    </dxf>
    <dxf>
      <font>
        <color auto="1"/>
      </font>
    </dxf>
    <dxf>
      <alignment horizontal="center"/>
    </dxf>
    <dxf>
      <border>
        <left style="thin">
          <color theme="0" tint="-0.14996795556505021"/>
        </left>
        <right style="thin">
          <color auto="1"/>
        </right>
        <top style="thin">
          <color theme="0" tint="-0.14996795556505021"/>
        </top>
        <vertical style="thin">
          <color theme="0" tint="-0.14996795556505021"/>
        </vertical>
        <horizontal style="thin">
          <color theme="0" tint="-0.14996795556505021"/>
        </horizontal>
      </border>
    </dxf>
    <dxf>
      <fill>
        <patternFill>
          <bgColor rgb="FF660066"/>
        </patternFill>
      </fill>
    </dxf>
    <dxf>
      <font>
        <color rgb="FFFFFFFF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</border>
    </dxf>
    <dxf>
      <border>
        <bottom style="medium">
          <color auto="1"/>
        </bottom>
      </border>
    </dxf>
    <dxf>
      <border>
        <bottom style="medium">
          <color auto="1"/>
        </bottom>
      </border>
    </dxf>
    <dxf>
      <border>
        <bottom style="medium">
          <color auto="1"/>
        </bottom>
      </border>
    </dxf>
    <dxf>
      <border>
        <bottom style="medium">
          <color auto="1"/>
        </bottom>
      </border>
    </dxf>
    <dxf>
      <border>
        <bottom style="medium">
          <color auto="1"/>
        </bottom>
      </border>
    </dxf>
    <dxf>
      <border>
        <top style="thin">
          <color auto="1"/>
        </top>
      </border>
    </dxf>
    <dxf>
      <border>
        <top style="thin">
          <color auto="1"/>
        </top>
      </border>
    </dxf>
    <dxf>
      <border>
        <top style="thin">
          <color auto="1"/>
        </top>
      </border>
    </dxf>
    <dxf>
      <border>
        <top style="thin">
          <color auto="1"/>
        </top>
      </border>
    </dxf>
    <dxf>
      <border>
        <top style="thin">
          <color auto="1"/>
        </top>
      </border>
    </dxf>
    <dxf>
      <fill>
        <patternFill patternType="solid">
          <bgColor rgb="FF9999FF"/>
        </patternFill>
      </fill>
    </dxf>
    <dxf>
      <font>
        <sz val="9"/>
      </font>
    </dxf>
    <dxf>
      <border>
        <left style="thin">
          <color auto="1"/>
        </left>
        <right style="thin">
          <color auto="1"/>
        </right>
      </border>
    </dxf>
    <dxf>
      <border>
        <left style="thin">
          <color auto="1"/>
        </left>
        <right style="thin">
          <color auto="1"/>
        </right>
      </border>
    </dxf>
    <dxf>
      <border>
        <left style="thin">
          <color auto="1"/>
        </left>
        <right style="thin">
          <color auto="1"/>
        </right>
      </border>
    </dxf>
    <dxf>
      <border>
        <left style="thin">
          <color auto="1"/>
        </left>
        <right style="thin">
          <color auto="1"/>
        </right>
      </border>
    </dxf>
    <dxf>
      <border>
        <left style="thin">
          <color auto="1"/>
        </left>
        <right style="thin">
          <color auto="1"/>
        </right>
      </border>
    </dxf>
    <dxf>
      <alignment vertical="center"/>
    </dxf>
    <dxf>
      <alignment vertical="center"/>
    </dxf>
    <dxf>
      <alignment vertical="center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bottom style="medium">
          <color auto="1"/>
        </bottom>
      </border>
    </dxf>
    <dxf>
      <border>
        <bottom style="medium">
          <color auto="1"/>
        </bottom>
      </border>
    </dxf>
    <dxf>
      <alignment wrapText="1"/>
    </dxf>
    <dxf>
      <alignment horizontal="center"/>
    </dxf>
    <dxf>
      <font>
        <color rgb="FF6600CC"/>
      </font>
    </dxf>
    <dxf>
      <font>
        <color rgb="FFCC00CC"/>
      </font>
    </dxf>
    <dxf>
      <border>
        <bottom style="medium">
          <color auto="1"/>
        </bottom>
      </border>
    </dxf>
    <dxf>
      <fill>
        <patternFill patternType="none">
          <bgColor auto="1"/>
        </patternFill>
      </fill>
    </dxf>
    <dxf>
      <numFmt numFmtId="4" formatCode="#,##0.00"/>
    </dxf>
    <dxf>
      <numFmt numFmtId="3" formatCode="#,##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7"/>
      </font>
    </dxf>
    <dxf>
      <font>
        <sz val="7"/>
      </font>
    </dxf>
    <dxf>
      <font>
        <sz val="7"/>
      </font>
    </dxf>
    <dxf>
      <font>
        <sz val="7"/>
      </font>
    </dxf>
    <dxf>
      <font>
        <sz val="7"/>
      </font>
    </dxf>
    <dxf>
      <font>
        <sz val="7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right/>
        <vertical/>
      </border>
    </dxf>
    <dxf>
      <border>
        <right/>
        <vertical/>
      </border>
    </dxf>
    <dxf>
      <border>
        <top style="thin">
          <color indexed="64"/>
        </top>
        <bottom style="medium">
          <color indexed="64"/>
        </bottom>
      </border>
    </dxf>
    <dxf>
      <font>
        <sz val="9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horizontal="center" readingOrder="0"/>
    </dxf>
    <dxf>
      <font>
        <sz val="9"/>
      </font>
    </dxf>
    <dxf>
      <border>
        <top style="thin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" formatCode="#,##0"/>
    </dxf>
    <dxf>
      <alignment wrapText="0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wrapText="1" readingOrder="0"/>
    </dxf>
    <dxf>
      <border>
        <bottom style="medium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wrapText="1" readingOrder="0"/>
    </dxf>
    <dxf>
      <alignment horizontal="center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bottom style="medium">
          <color indexed="64"/>
        </bottom>
      </border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sz val="9"/>
      </font>
    </dxf>
    <dxf>
      <alignment wrapText="1"/>
    </dxf>
    <dxf>
      <alignment horizontal="center"/>
    </dxf>
    <dxf>
      <border>
        <bottom style="medium">
          <color indexed="64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center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sz val="8"/>
      </font>
    </dxf>
    <dxf>
      <fill>
        <patternFill patternType="solid">
          <bgColor rgb="FFCCCCFF"/>
        </patternFill>
      </fill>
      <border>
        <left style="thin">
          <color indexed="64"/>
        </left>
        <bottom style="medium">
          <color indexed="64"/>
        </bottom>
      </border>
    </dxf>
    <dxf>
      <alignment horizontal="center"/>
    </dxf>
    <dxf>
      <alignment wrapText="1"/>
    </dxf>
    <dxf>
      <alignment horizontal="center"/>
    </dxf>
    <dxf>
      <border>
        <right style="thin">
          <color indexed="64"/>
        </right>
        <bottom style="medium">
          <color indexed="64"/>
        </bottom>
      </border>
    </dxf>
    <dxf>
      <alignment vertical="center"/>
    </dxf>
    <dxf>
      <alignment vertical="center"/>
    </dxf>
    <dxf>
      <alignment vertical="center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bottom style="medium">
          <color auto="1"/>
        </bottom>
      </border>
    </dxf>
    <dxf>
      <border>
        <bottom style="medium">
          <color auto="1"/>
        </bottom>
      </border>
    </dxf>
    <dxf>
      <font>
        <color rgb="FF6600CC"/>
      </font>
    </dxf>
    <dxf>
      <font>
        <color rgb="FFCC00CC"/>
      </font>
    </dxf>
    <dxf>
      <alignment wrapText="1"/>
    </dxf>
    <dxf>
      <alignment horizontal="center"/>
    </dxf>
    <dxf>
      <border>
        <bottom style="medium">
          <color auto="1"/>
        </bottom>
      </border>
    </dxf>
    <dxf>
      <font>
        <sz val="9"/>
      </font>
    </dxf>
    <dxf>
      <font>
        <b/>
        <i val="0"/>
        <color rgb="FFC00000"/>
      </font>
      <fill>
        <patternFill>
          <bgColor rgb="FFFF7C80"/>
        </patternFill>
      </fill>
    </dxf>
    <dxf>
      <font>
        <b/>
        <i val="0"/>
        <color rgb="FFC00000"/>
      </font>
      <fill>
        <patternFill>
          <bgColor rgb="FFFF7C80"/>
        </patternFill>
      </fill>
    </dxf>
    <dxf>
      <font>
        <b/>
        <i val="0"/>
        <color rgb="FFC00000"/>
      </font>
      <fill>
        <patternFill>
          <bgColor rgb="FFFF7C80"/>
        </patternFill>
      </fill>
    </dxf>
    <dxf>
      <font>
        <color rgb="FF6600CC"/>
      </font>
    </dxf>
    <dxf>
      <font>
        <color rgb="FFCC00CC"/>
      </font>
    </dxf>
    <dxf>
      <border>
        <bottom style="medium">
          <color auto="1"/>
        </bottom>
      </border>
    </dxf>
    <dxf>
      <font>
        <sz val="9"/>
      </font>
    </dxf>
    <dxf>
      <alignment horizontal="center"/>
    </dxf>
    <dxf>
      <alignment wrapText="1"/>
    </dxf>
    <dxf>
      <border>
        <bottom style="medium">
          <color auto="1"/>
        </bottom>
      </border>
    </dxf>
    <dxf>
      <border>
        <bottom style="medium">
          <color auto="1"/>
        </bottom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alignment vertical="center"/>
    </dxf>
    <dxf>
      <alignment vertical="center"/>
    </dxf>
    <dxf>
      <alignment vertical="center"/>
    </dxf>
    <dxf>
      <border>
        <right style="thin">
          <color indexed="64"/>
        </right>
        <bottom style="medium">
          <color indexed="64"/>
        </bottom>
      </border>
    </dxf>
    <dxf>
      <alignment horizontal="center"/>
    </dxf>
    <dxf>
      <alignment wrapText="1"/>
    </dxf>
    <dxf>
      <font>
        <color rgb="FF0000CC"/>
      </font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border>
        <bottom style="medium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wrapText="1" readingOrder="0"/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medium">
          <color indexed="64"/>
        </bottom>
      </border>
    </dxf>
    <dxf>
      <alignment wrapText="1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wrapText="0" readingOrder="0"/>
    </dxf>
    <dxf>
      <numFmt numFmtId="3" formatCode="#,##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top style="thin">
          <color indexed="64"/>
        </top>
        <bottom style="medium">
          <color indexed="64"/>
        </bottom>
      </border>
    </dxf>
    <dxf>
      <font>
        <sz val="9"/>
      </font>
    </dxf>
    <dxf>
      <alignment horizontal="center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9"/>
      </font>
    </dxf>
    <dxf>
      <border>
        <top style="thin">
          <color indexed="64"/>
        </top>
        <bottom style="medium">
          <color indexed="64"/>
        </bottom>
      </border>
    </dxf>
    <dxf>
      <border>
        <right/>
        <vertical/>
      </border>
    </dxf>
    <dxf>
      <border>
        <right/>
        <vertic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7"/>
      </font>
    </dxf>
    <dxf>
      <font>
        <sz val="7"/>
      </font>
    </dxf>
    <dxf>
      <font>
        <sz val="7"/>
      </font>
    </dxf>
    <dxf>
      <font>
        <sz val="7"/>
      </font>
    </dxf>
    <dxf>
      <font>
        <sz val="7"/>
      </font>
    </dxf>
    <dxf>
      <font>
        <sz val="7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" formatCode="#,##0"/>
    </dxf>
    <dxf>
      <numFmt numFmtId="4" formatCode="#,##0.00"/>
    </dxf>
    <dxf>
      <fill>
        <patternFill patternType="none">
          <bgColor auto="1"/>
        </patternFill>
      </fill>
    </dxf>
    <dxf>
      <font>
        <b/>
        <i/>
        <color rgb="FFC00000"/>
      </font>
      <fill>
        <patternFill>
          <bgColor rgb="FFFF7C80"/>
        </patternFill>
      </fill>
    </dxf>
    <dxf>
      <font>
        <b/>
        <i/>
        <color rgb="FF006600"/>
      </font>
      <fill>
        <patternFill>
          <bgColor rgb="FFCCFF99"/>
        </patternFill>
      </fill>
    </dxf>
    <dxf>
      <font>
        <b/>
        <i val="0"/>
        <color rgb="FF0066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rgb="FFFF7C80"/>
        </patternFill>
      </fill>
    </dxf>
    <dxf>
      <font>
        <b/>
        <i val="0"/>
        <color rgb="FFC00000"/>
      </font>
      <fill>
        <patternFill>
          <bgColor rgb="FFFF7C80"/>
        </patternFill>
      </fill>
    </dxf>
    <dxf>
      <font>
        <b/>
        <i/>
        <color rgb="FF006600"/>
      </font>
      <fill>
        <patternFill>
          <bgColor rgb="FFCCFF99"/>
        </patternFill>
      </fill>
    </dxf>
    <dxf>
      <border>
        <bottom style="medium">
          <color auto="1"/>
        </bottom>
      </border>
    </dxf>
    <dxf>
      <font>
        <color rgb="FFCC00CC"/>
      </font>
    </dxf>
    <dxf>
      <font>
        <color rgb="FF6600CC"/>
      </font>
    </dxf>
    <dxf>
      <alignment horizontal="center"/>
    </dxf>
    <dxf>
      <alignment wrapText="1"/>
    </dxf>
    <dxf>
      <border>
        <bottom style="medium">
          <color auto="1"/>
        </bottom>
      </border>
    </dxf>
    <dxf>
      <border>
        <bottom style="medium">
          <color auto="1"/>
        </bottom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alignment vertical="center"/>
    </dxf>
    <dxf>
      <alignment vertical="center"/>
    </dxf>
    <dxf>
      <alignment vertical="center"/>
    </dxf>
    <dxf>
      <border>
        <left style="thin">
          <color auto="1"/>
        </left>
        <right style="thin">
          <color auto="1"/>
        </right>
      </border>
    </dxf>
    <dxf>
      <border>
        <left style="thin">
          <color auto="1"/>
        </left>
        <right style="thin">
          <color auto="1"/>
        </right>
      </border>
    </dxf>
    <dxf>
      <border>
        <left style="thin">
          <color auto="1"/>
        </left>
        <right style="thin">
          <color auto="1"/>
        </right>
      </border>
    </dxf>
    <dxf>
      <border>
        <left style="thin">
          <color auto="1"/>
        </left>
        <right style="thin">
          <color auto="1"/>
        </right>
      </border>
    </dxf>
    <dxf>
      <border>
        <left style="thin">
          <color auto="1"/>
        </left>
        <right style="thin">
          <color auto="1"/>
        </right>
      </border>
    </dxf>
    <dxf>
      <font>
        <sz val="9"/>
      </font>
    </dxf>
    <dxf>
      <fill>
        <patternFill patternType="solid">
          <bgColor rgb="FF9999FF"/>
        </patternFill>
      </fill>
    </dxf>
    <dxf>
      <border>
        <top style="thin">
          <color auto="1"/>
        </top>
      </border>
    </dxf>
    <dxf>
      <border>
        <top style="thin">
          <color auto="1"/>
        </top>
      </border>
    </dxf>
    <dxf>
      <border>
        <top style="thin">
          <color auto="1"/>
        </top>
      </border>
    </dxf>
    <dxf>
      <border>
        <top style="thin">
          <color auto="1"/>
        </top>
      </border>
    </dxf>
    <dxf>
      <border>
        <top style="thin">
          <color auto="1"/>
        </top>
      </border>
    </dxf>
    <dxf>
      <border>
        <bottom style="medium">
          <color auto="1"/>
        </bottom>
      </border>
    </dxf>
    <dxf>
      <border>
        <bottom style="medium">
          <color auto="1"/>
        </bottom>
      </border>
    </dxf>
    <dxf>
      <border>
        <bottom style="medium">
          <color auto="1"/>
        </bottom>
      </border>
    </dxf>
    <dxf>
      <border>
        <bottom style="medium">
          <color auto="1"/>
        </bottom>
      </border>
    </dxf>
    <dxf>
      <border>
        <bottom style="medium">
          <color auto="1"/>
        </bottom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 style="thin">
          <color theme="0" tint="-0.499984740745262"/>
        </vertic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color rgb="FFFFFFFF"/>
      </font>
    </dxf>
    <dxf>
      <fill>
        <patternFill>
          <bgColor rgb="FF660066"/>
        </patternFill>
      </fill>
    </dxf>
    <dxf>
      <border>
        <left style="thin">
          <color theme="0" tint="-0.14996795556505021"/>
        </left>
        <right style="thin">
          <color auto="1"/>
        </right>
        <top style="thin">
          <color theme="0" tint="-0.14996795556505021"/>
        </top>
        <vertical style="thin">
          <color theme="0" tint="-0.14996795556505021"/>
        </vertical>
        <horizontal style="thin">
          <color theme="0" tint="-0.14996795556505021"/>
        </horizontal>
      </border>
    </dxf>
    <dxf>
      <alignment horizontal="center"/>
    </dxf>
    <dxf>
      <font>
        <color auto="1"/>
      </font>
    </dxf>
    <dxf>
      <fill>
        <patternFill patternType="solid">
          <bgColor rgb="FFFF0066"/>
        </patternFill>
      </fill>
    </dxf>
    <dxf>
      <font>
        <color rgb="FFC0000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  <top/>
      </border>
    </dxf>
    <dxf>
      <border>
        <left/>
        <right/>
        <top/>
      </border>
    </dxf>
    <dxf>
      <fill>
        <patternFill>
          <bgColor auto="1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ont>
        <sz val="9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3" formatCode="#,##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top style="thin">
          <color indexed="64"/>
        </top>
        <bottom style="medium">
          <color indexed="64"/>
        </bottom>
      </border>
    </dxf>
    <dxf>
      <font>
        <sz val="9"/>
      </font>
    </dxf>
    <dxf>
      <alignment horizontal="center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9"/>
      </font>
    </dxf>
    <dxf>
      <border>
        <top style="thin">
          <color indexed="64"/>
        </top>
        <bottom style="medium">
          <color indexed="64"/>
        </bottom>
      </border>
    </dxf>
    <dxf>
      <border>
        <right/>
        <vertical/>
      </border>
    </dxf>
    <dxf>
      <border>
        <right/>
        <vertic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7"/>
      </font>
    </dxf>
    <dxf>
      <font>
        <sz val="7"/>
      </font>
    </dxf>
    <dxf>
      <font>
        <sz val="7"/>
      </font>
    </dxf>
    <dxf>
      <font>
        <sz val="7"/>
      </font>
    </dxf>
    <dxf>
      <font>
        <sz val="7"/>
      </font>
    </dxf>
    <dxf>
      <font>
        <sz val="7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" formatCode="#,##0"/>
    </dxf>
    <dxf>
      <numFmt numFmtId="4" formatCode="#,##0.00"/>
    </dxf>
    <dxf>
      <fill>
        <patternFill patternType="none">
          <bgColor auto="1"/>
        </patternFill>
      </fill>
    </dxf>
    <dxf>
      <font>
        <b/>
        <i/>
        <color rgb="FFC00000"/>
      </font>
      <fill>
        <patternFill>
          <bgColor rgb="FFFF7C80"/>
        </patternFill>
      </fill>
    </dxf>
    <dxf>
      <font>
        <b/>
        <i/>
        <color rgb="FF006600"/>
      </font>
      <fill>
        <patternFill>
          <bgColor rgb="FFCCFF99"/>
        </patternFill>
      </fill>
    </dxf>
    <dxf>
      <font>
        <b/>
        <i val="0"/>
        <color rgb="FF0066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rgb="FFFF7C80"/>
        </patternFill>
      </fill>
    </dxf>
    <dxf>
      <font>
        <b/>
        <i val="0"/>
        <color rgb="FFC00000"/>
      </font>
      <fill>
        <patternFill>
          <bgColor rgb="FFFF7C80"/>
        </patternFill>
      </fill>
    </dxf>
    <dxf>
      <font>
        <b/>
        <i/>
        <color rgb="FF006600"/>
      </font>
      <fill>
        <patternFill>
          <bgColor rgb="FFCCFF99"/>
        </patternFill>
      </fill>
    </dxf>
    <dxf>
      <font>
        <sz val="9"/>
      </font>
    </dxf>
    <dxf>
      <border>
        <bottom style="medium">
          <color auto="1"/>
        </bottom>
      </border>
    </dxf>
    <dxf>
      <alignment horizontal="center"/>
    </dxf>
    <dxf>
      <alignment wrapText="1"/>
    </dxf>
    <dxf>
      <font>
        <color rgb="FFCC00CC"/>
      </font>
    </dxf>
    <dxf>
      <font>
        <color rgb="FF6600CC"/>
      </font>
    </dxf>
    <dxf>
      <border>
        <bottom style="medium">
          <color auto="1"/>
        </bottom>
      </border>
    </dxf>
    <dxf>
      <border>
        <bottom style="medium">
          <color auto="1"/>
        </bottom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alignment vertical="center"/>
    </dxf>
    <dxf>
      <alignment vertical="center"/>
    </dxf>
    <dxf>
      <alignment vertical="center"/>
    </dxf>
    <dxf>
      <border>
        <right style="thin">
          <color indexed="64"/>
        </right>
        <bottom style="medium">
          <color indexed="64"/>
        </bottom>
      </border>
    </dxf>
    <dxf>
      <alignment horizontal="center"/>
    </dxf>
    <dxf>
      <alignment wrapText="1"/>
    </dxf>
    <dxf>
      <alignment horizontal="center"/>
    </dxf>
    <dxf>
      <fill>
        <patternFill patternType="solid">
          <bgColor rgb="FFCCCCFF"/>
        </patternFill>
      </fill>
      <border>
        <left style="thin">
          <color indexed="64"/>
        </left>
        <bottom style="medium">
          <color indexed="64"/>
        </bottom>
      </border>
    </dxf>
    <dxf>
      <font>
        <sz val="8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bottom style="medium">
          <color indexed="64"/>
        </bottom>
      </border>
    </dxf>
    <dxf>
      <alignment horizontal="center"/>
    </dxf>
    <dxf>
      <alignment wrapText="1"/>
    </dxf>
    <dxf>
      <font>
        <sz val="9"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fill>
        <patternFill patternType="solid">
          <bgColor rgb="FFCCCCFF"/>
        </patternFill>
      </fill>
    </dxf>
    <dxf>
      <border>
        <bottom style="medium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wrapText="1" readingOrder="0"/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medium">
          <color indexed="64"/>
        </bottom>
      </border>
    </dxf>
    <dxf>
      <alignment wrapText="1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wrapText="0" readingOrder="0"/>
    </dxf>
    <dxf>
      <numFmt numFmtId="3" formatCode="#,##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top style="thin">
          <color indexed="64"/>
        </top>
        <bottom style="medium">
          <color indexed="64"/>
        </bottom>
      </border>
    </dxf>
    <dxf>
      <font>
        <sz val="9"/>
      </font>
    </dxf>
    <dxf>
      <alignment horizontal="center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9"/>
      </font>
    </dxf>
    <dxf>
      <border>
        <top style="thin">
          <color indexed="64"/>
        </top>
        <bottom style="medium">
          <color indexed="64"/>
        </bottom>
      </border>
    </dxf>
    <dxf>
      <border>
        <right/>
        <vertical/>
      </border>
    </dxf>
    <dxf>
      <border>
        <right/>
        <vertic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thin">
          <color indexed="64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  <vertical style="thin">
          <color auto="1"/>
        </vertical>
      </border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7"/>
      </font>
    </dxf>
    <dxf>
      <font>
        <sz val="7"/>
      </font>
    </dxf>
    <dxf>
      <font>
        <sz val="7"/>
      </font>
    </dxf>
    <dxf>
      <font>
        <sz val="7"/>
      </font>
    </dxf>
    <dxf>
      <font>
        <sz val="7"/>
      </font>
    </dxf>
    <dxf>
      <font>
        <sz val="7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" formatCode="#,##0"/>
    </dxf>
    <dxf>
      <numFmt numFmtId="4" formatCode="#,##0.00"/>
    </dxf>
    <dxf>
      <fill>
        <patternFill patternType="none">
          <bgColor auto="1"/>
        </patternFill>
      </fill>
    </dxf>
    <dxf>
      <font>
        <b/>
        <i val="0"/>
        <color rgb="FF0066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rgb="FFFF7C80"/>
        </patternFill>
      </fill>
    </dxf>
    <dxf>
      <font>
        <b/>
        <i val="0"/>
        <color rgb="FFC00000"/>
      </font>
      <fill>
        <patternFill>
          <bgColor rgb="FFFF7C80"/>
        </patternFill>
      </fill>
    </dxf>
    <dxf>
      <font>
        <b/>
        <i/>
        <color rgb="FF006600"/>
      </font>
      <fill>
        <patternFill>
          <bgColor rgb="FFCCFF99"/>
        </patternFill>
      </fill>
    </dxf>
    <dxf>
      <font>
        <b/>
        <i/>
        <color rgb="FFC00000"/>
      </font>
      <fill>
        <patternFill>
          <bgColor rgb="FFFF7C80"/>
        </patternFill>
      </fill>
    </dxf>
    <dxf>
      <font>
        <b/>
        <i/>
        <color rgb="FF006600"/>
      </font>
      <fill>
        <patternFill>
          <bgColor rgb="FFCCFF99"/>
        </patternFill>
      </fill>
    </dxf>
    <dxf>
      <font>
        <b/>
        <i val="0"/>
        <color rgb="FFC00000"/>
      </font>
    </dxf>
    <dxf>
      <font>
        <b/>
        <i val="0"/>
        <condense val="0"/>
        <extend val="0"/>
        <color indexed="39"/>
      </font>
    </dxf>
    <dxf>
      <font>
        <color rgb="FF006600"/>
      </font>
      <fill>
        <patternFill>
          <bgColor rgb="FF00FF00"/>
        </patternFill>
      </fill>
    </dxf>
    <dxf>
      <font>
        <color rgb="FFC00000"/>
      </font>
      <fill>
        <patternFill>
          <bgColor rgb="FFFF9999"/>
        </patternFill>
      </fill>
    </dxf>
    <dxf>
      <fill>
        <patternFill>
          <bgColor rgb="FFCCCC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</font>
      <fill>
        <patternFill>
          <bgColor rgb="FFCCCCFF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color auto="1"/>
      </font>
      <fill>
        <patternFill>
          <bgColor rgb="FFF3F3FF"/>
        </patternFill>
      </fill>
    </dxf>
    <dxf>
      <font>
        <b/>
        <color theme="1"/>
      </font>
      <fill>
        <patternFill>
          <bgColor rgb="FFF3F3FF"/>
        </patternFill>
      </fill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ont>
        <b/>
        <color theme="1"/>
      </font>
      <fill>
        <patternFill patternType="solid">
          <fgColor theme="0" tint="-0.14993743705557422"/>
          <bgColor rgb="FFF3F3FF"/>
        </patternFill>
      </fill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>
          <bgColor rgb="FFCCCCFF"/>
        </patternFill>
      </fill>
      <border>
        <top style="thin">
          <color theme="0" tint="-0.34998626667073579"/>
        </top>
      </border>
    </dxf>
    <dxf>
      <fill>
        <patternFill>
          <bgColor rgb="FF9696FF"/>
        </patternFill>
      </fill>
      <border>
        <vertical/>
      </border>
    </dxf>
    <dxf>
      <font>
        <b/>
        <color theme="1"/>
      </font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  <border>
        <top style="thin">
          <color theme="0" tint="-0.34998626667073579"/>
        </top>
        <bottom style="thin">
          <color theme="0" tint="-0.34998626667073579"/>
        </bottom>
      </border>
    </dxf>
    <dxf>
      <fill>
        <patternFill patternType="none">
          <bgColor auto="1"/>
        </patternFill>
      </fill>
      <border>
        <left/>
        <top/>
        <vertical/>
        <horizontal/>
      </border>
    </dxf>
    <dxf>
      <fill>
        <patternFill patternType="none">
          <bgColor auto="1"/>
        </patternFill>
      </fill>
      <border>
        <left style="thin">
          <color theme="0" tint="-0.24994659260841701"/>
        </left>
        <right style="thin">
          <color theme="0" tint="-0.24994659260841701"/>
        </right>
        <vertical style="thin">
          <color theme="0" tint="-0.24994659260841701"/>
        </vertical>
      </border>
    </dxf>
    <dxf>
      <font>
        <b val="0"/>
        <i val="0"/>
      </font>
      <fill>
        <patternFill patternType="none">
          <bgColor auto="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44999542222357858"/>
        </top>
        <bottom style="thin">
          <color theme="0" tint="-0.44999542222357858"/>
        </bottom>
        <vertical/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auto="1"/>
      </font>
      <fill>
        <patternFill>
          <bgColor rgb="FFF3F3FF"/>
        </patternFill>
      </fill>
      <border>
        <left style="thin">
          <color auto="1"/>
        </left>
        <right style="medium">
          <color auto="1"/>
        </right>
        <vertical style="thin">
          <color auto="1"/>
        </vertical>
      </border>
    </dxf>
    <dxf>
      <font>
        <b/>
        <color theme="1"/>
      </font>
      <border>
        <left style="medium">
          <color theme="1" tint="0.499984740745262"/>
        </left>
        <right style="medium">
          <color theme="1" tint="0.499984740745262"/>
        </right>
        <top style="medium">
          <color theme="1" tint="0.499984740745262"/>
        </top>
        <bottom style="medium">
          <color theme="1" tint="0.499984740745262"/>
        </bottom>
      </border>
    </dxf>
    <dxf>
      <font>
        <b/>
        <color theme="1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font>
        <color theme="1"/>
      </font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auto="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</dxfs>
  <tableStyles count="1" defaultTableStyle="TableStyleMedium2" defaultPivotStyle="PivotStyleLight16">
    <tableStyle name="abcdef" table="0" count="17" xr9:uid="{CDAA3503-2084-4B8F-B507-8BD0D709C67C}">
      <tableStyleElement type="wholeTable" dxfId="4333"/>
      <tableStyleElement type="headerRow" dxfId="4332"/>
      <tableStyleElement type="totalRow" dxfId="4331"/>
      <tableStyleElement type="firstColumn" dxfId="4330"/>
      <tableStyleElement type="firstRowStripe" dxfId="4329"/>
      <tableStyleElement type="firstColumnStripe" dxfId="4328"/>
      <tableStyleElement type="secondColumnStripe" dxfId="4327"/>
      <tableStyleElement type="firstHeaderCell" dxfId="4326"/>
      <tableStyleElement type="firstSubtotalRow" dxfId="4325"/>
      <tableStyleElement type="secondSubtotalRow" dxfId="4324"/>
      <tableStyleElement type="firstColumnSubheading" dxfId="4323"/>
      <tableStyleElement type="secondColumnSubheading" dxfId="4322"/>
      <tableStyleElement type="firstRowSubheading" dxfId="4321"/>
      <tableStyleElement type="secondRowSubheading" dxfId="4320"/>
      <tableStyleElement type="thirdRowSubheading" dxfId="4319"/>
      <tableStyleElement type="pageFieldLabels" dxfId="4318"/>
      <tableStyleElement type="pageFieldValues" dxfId="4317"/>
    </tableStyle>
  </tableStyles>
  <colors>
    <mruColors>
      <color rgb="FFFF9999"/>
      <color rgb="FF33CC33"/>
      <color rgb="FF008000"/>
      <color rgb="FF006600"/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10" Type="http://schemas.openxmlformats.org/officeDocument/2006/relationships/externalLink" Target="externalLinks/externalLink3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11430</xdr:colOff>
      <xdr:row>17</xdr:row>
      <xdr:rowOff>1905</xdr:rowOff>
    </xdr:from>
    <xdr:ext cx="59531" cy="829901"/>
    <xdr:pic>
      <xdr:nvPicPr>
        <xdr:cNvPr id="2" name="BExMO7VFCN4EL59982UR4AJ25JNJ" descr="XX6TINEJADZGKR0CTM7ZRT0RA" hidden="1">
          <a:extLst>
            <a:ext uri="{FF2B5EF4-FFF2-40B4-BE49-F238E27FC236}">
              <a16:creationId xmlns:a16="http://schemas.microsoft.com/office/drawing/2014/main" id="{86DD2EDD-2DA2-4746-B899-55BB63F85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17</xdr:row>
      <xdr:rowOff>0</xdr:rowOff>
    </xdr:from>
    <xdr:ext cx="59531" cy="295275"/>
    <xdr:pic>
      <xdr:nvPicPr>
        <xdr:cNvPr id="3" name="BExU3EX5JJCXCII4YKUJBFBGIJR2" descr="OF5ZI9PI5WH36VPANJ2DYLNMI" hidden="1">
          <a:extLst>
            <a:ext uri="{FF2B5EF4-FFF2-40B4-BE49-F238E27FC236}">
              <a16:creationId xmlns:a16="http://schemas.microsoft.com/office/drawing/2014/main" id="{46B5845E-A2C9-44D2-AB31-17FF2C8C5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209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4" name="BEx1KD7H6UB1VYCJ7O61P562EIUY" descr="IQGV9140X0K0UPBL8OGU3I44J" hidden="1">
          <a:extLst>
            <a:ext uri="{FF2B5EF4-FFF2-40B4-BE49-F238E27FC236}">
              <a16:creationId xmlns:a16="http://schemas.microsoft.com/office/drawing/2014/main" id="{FD1AA3EB-593F-40A9-9E56-020793064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0</xdr:rowOff>
    </xdr:from>
    <xdr:ext cx="59531" cy="295275"/>
    <xdr:pic>
      <xdr:nvPicPr>
        <xdr:cNvPr id="5" name="BEx5BJQWS6YWHH4ZMSUAMD641V6Y" descr="ZTMFMXCIQSECDX38ALEFHUB00" hidden="1">
          <a:extLst>
            <a:ext uri="{FF2B5EF4-FFF2-40B4-BE49-F238E27FC236}">
              <a16:creationId xmlns:a16="http://schemas.microsoft.com/office/drawing/2014/main" id="{4E32F69F-D17A-468C-9106-C16397CE2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209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17</xdr:row>
      <xdr:rowOff>1905</xdr:rowOff>
    </xdr:from>
    <xdr:ext cx="59531" cy="829901"/>
    <xdr:pic>
      <xdr:nvPicPr>
        <xdr:cNvPr id="6" name="BExVTO5Q8G2M7BPL4B2584LQS0R0" descr="OB6Q8NA4LZFE4GM9Y3V56BPMQ" hidden="1">
          <a:extLst>
            <a:ext uri="{FF2B5EF4-FFF2-40B4-BE49-F238E27FC236}">
              <a16:creationId xmlns:a16="http://schemas.microsoft.com/office/drawing/2014/main" id="{F2D2BFA6-6277-4F8D-8EBC-72EADC37B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17</xdr:row>
      <xdr:rowOff>0</xdr:rowOff>
    </xdr:from>
    <xdr:ext cx="59531" cy="295275"/>
    <xdr:pic>
      <xdr:nvPicPr>
        <xdr:cNvPr id="7" name="BExIFSCLN1G86X78PFLTSMRP0US5" descr="9JK4SPV4DG7VTCZIILWHXQU5J" hidden="1">
          <a:extLst>
            <a:ext uri="{FF2B5EF4-FFF2-40B4-BE49-F238E27FC236}">
              <a16:creationId xmlns:a16="http://schemas.microsoft.com/office/drawing/2014/main" id="{A38A8793-8C00-4E5F-9729-C887913F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2209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17</xdr:row>
      <xdr:rowOff>1905</xdr:rowOff>
    </xdr:from>
    <xdr:ext cx="59531" cy="829901"/>
    <xdr:pic>
      <xdr:nvPicPr>
        <xdr:cNvPr id="8" name="BEx1I152WN2D3A85O2XN0DGXCWHN" descr="KHBZFMANRA4UMJR1AB4M5NJNT" hidden="1">
          <a:extLst>
            <a:ext uri="{FF2B5EF4-FFF2-40B4-BE49-F238E27FC236}">
              <a16:creationId xmlns:a16="http://schemas.microsoft.com/office/drawing/2014/main" id="{C77E00EA-4FE0-4436-B2B5-0A945F087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17</xdr:row>
      <xdr:rowOff>0</xdr:rowOff>
    </xdr:from>
    <xdr:ext cx="59531" cy="295275"/>
    <xdr:pic>
      <xdr:nvPicPr>
        <xdr:cNvPr id="9" name="BExW9676P0SKCVKK25QCGHPA3PAD" descr="9A4PWZ20RMSRF0PNECCDM75CA" hidden="1">
          <a:extLst>
            <a:ext uri="{FF2B5EF4-FFF2-40B4-BE49-F238E27FC236}">
              <a16:creationId xmlns:a16="http://schemas.microsoft.com/office/drawing/2014/main" id="{87524451-DE5D-40AA-8C67-4402690B2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209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17</xdr:row>
      <xdr:rowOff>1905</xdr:rowOff>
    </xdr:from>
    <xdr:ext cx="59531" cy="829901"/>
    <xdr:pic>
      <xdr:nvPicPr>
        <xdr:cNvPr id="10" name="BExS5CPQ8P8JOQPK7ANNKHLSGOKU" hidden="1">
          <a:extLst>
            <a:ext uri="{FF2B5EF4-FFF2-40B4-BE49-F238E27FC236}">
              <a16:creationId xmlns:a16="http://schemas.microsoft.com/office/drawing/2014/main" id="{A1F91D6D-EE88-4343-B296-68D9C6DBD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17</xdr:row>
      <xdr:rowOff>0</xdr:rowOff>
    </xdr:from>
    <xdr:ext cx="59531" cy="295275"/>
    <xdr:pic>
      <xdr:nvPicPr>
        <xdr:cNvPr id="11" name="BExMM0AVUAIRNJLXB1FW8R0YB4ZZ" hidden="1">
          <a:extLst>
            <a:ext uri="{FF2B5EF4-FFF2-40B4-BE49-F238E27FC236}">
              <a16:creationId xmlns:a16="http://schemas.microsoft.com/office/drawing/2014/main" id="{E1C3D7A0-B425-4EA0-8801-1DD377CE9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209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17</xdr:row>
      <xdr:rowOff>1905</xdr:rowOff>
    </xdr:from>
    <xdr:ext cx="59531" cy="829901"/>
    <xdr:pic>
      <xdr:nvPicPr>
        <xdr:cNvPr id="12" name="BExXZ7Y09CBS0XA7IPB3IRJ8RJM4" hidden="1">
          <a:extLst>
            <a:ext uri="{FF2B5EF4-FFF2-40B4-BE49-F238E27FC236}">
              <a16:creationId xmlns:a16="http://schemas.microsoft.com/office/drawing/2014/main" id="{3D750456-9937-494F-8FF6-04ECCD615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17</xdr:row>
      <xdr:rowOff>0</xdr:rowOff>
    </xdr:from>
    <xdr:ext cx="59531" cy="295275"/>
    <xdr:pic>
      <xdr:nvPicPr>
        <xdr:cNvPr id="13" name="BExQ7SXS9VUG7P6CACU2J7R2SGIZ" hidden="1">
          <a:extLst>
            <a:ext uri="{FF2B5EF4-FFF2-40B4-BE49-F238E27FC236}">
              <a16:creationId xmlns:a16="http://schemas.microsoft.com/office/drawing/2014/main" id="{3DD13E9F-CD2A-43ED-9F9B-7F6F43229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209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14" name="BEx5AQZ4ETQ9LMY5EBWVH20Z7VXQ" hidden="1">
          <a:extLst>
            <a:ext uri="{FF2B5EF4-FFF2-40B4-BE49-F238E27FC236}">
              <a16:creationId xmlns:a16="http://schemas.microsoft.com/office/drawing/2014/main" id="{475D3059-7661-4BC8-AAD5-F26342E32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0</xdr:rowOff>
    </xdr:from>
    <xdr:ext cx="59531" cy="295275"/>
    <xdr:pic>
      <xdr:nvPicPr>
        <xdr:cNvPr id="15" name="BExUBK0YZ5VYFY8TTITJGJU9S06A" hidden="1">
          <a:extLst>
            <a:ext uri="{FF2B5EF4-FFF2-40B4-BE49-F238E27FC236}">
              <a16:creationId xmlns:a16="http://schemas.microsoft.com/office/drawing/2014/main" id="{DC6505DD-2427-4436-B360-D58F82821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209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17</xdr:row>
      <xdr:rowOff>1905</xdr:rowOff>
    </xdr:from>
    <xdr:ext cx="47625" cy="829901"/>
    <xdr:pic>
      <xdr:nvPicPr>
        <xdr:cNvPr id="16" name="BExUEZCSSJ7RN4J18I2NUIQR2FZS" hidden="1">
          <a:extLst>
            <a:ext uri="{FF2B5EF4-FFF2-40B4-BE49-F238E27FC236}">
              <a16:creationId xmlns:a16="http://schemas.microsoft.com/office/drawing/2014/main" id="{8EA3680C-800B-42C0-8CCD-714C9FE5D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2211705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17</xdr:row>
      <xdr:rowOff>0</xdr:rowOff>
    </xdr:from>
    <xdr:ext cx="47625" cy="295275"/>
    <xdr:pic>
      <xdr:nvPicPr>
        <xdr:cNvPr id="17" name="BExS3JDQWF7U3F5JTEVOE16ASIYK" hidden="1">
          <a:extLst>
            <a:ext uri="{FF2B5EF4-FFF2-40B4-BE49-F238E27FC236}">
              <a16:creationId xmlns:a16="http://schemas.microsoft.com/office/drawing/2014/main" id="{D57E2B64-1930-49AB-A492-18D396BC9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22098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8" name="BEx1KD7H6UB1VYCJ7O61P562EIUY" descr="IQGV9140X0K0UPBL8OGU3I44J" hidden="1">
          <a:extLst>
            <a:ext uri="{FF2B5EF4-FFF2-40B4-BE49-F238E27FC236}">
              <a16:creationId xmlns:a16="http://schemas.microsoft.com/office/drawing/2014/main" id="{65A324D5-C07A-432B-89B0-EA63BE5BC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19" name="BEx5BJQWS6YWHH4ZMSUAMD641V6Y" descr="ZTMFMXCIQSECDX38ALEFHUB00" hidden="1">
          <a:extLst>
            <a:ext uri="{FF2B5EF4-FFF2-40B4-BE49-F238E27FC236}">
              <a16:creationId xmlns:a16="http://schemas.microsoft.com/office/drawing/2014/main" id="{EA3363EE-6D0D-4926-B7C3-0B345BA3A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20" name="BEx5AQZ4ETQ9LMY5EBWVH20Z7VXQ" hidden="1">
          <a:extLst>
            <a:ext uri="{FF2B5EF4-FFF2-40B4-BE49-F238E27FC236}">
              <a16:creationId xmlns:a16="http://schemas.microsoft.com/office/drawing/2014/main" id="{F2188A92-9671-496A-9B2A-184A2857A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21" name="BExUBK0YZ5VYFY8TTITJGJU9S06A" hidden="1">
          <a:extLst>
            <a:ext uri="{FF2B5EF4-FFF2-40B4-BE49-F238E27FC236}">
              <a16:creationId xmlns:a16="http://schemas.microsoft.com/office/drawing/2014/main" id="{BCA9AAF0-37CC-4794-A325-BACAFA17C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2" name="BEx5BJQWS6YWHH4ZMSUAMD641V6Y" descr="ZTMFMXCIQSECDX38ALEFHUB00" hidden="1">
          <a:extLst>
            <a:ext uri="{FF2B5EF4-FFF2-40B4-BE49-F238E27FC236}">
              <a16:creationId xmlns:a16="http://schemas.microsoft.com/office/drawing/2014/main" id="{D2620A28-10CC-4C20-845D-8D90D951A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3" name="BExUBK0YZ5VYFY8TTITJGJU9S06A" hidden="1">
          <a:extLst>
            <a:ext uri="{FF2B5EF4-FFF2-40B4-BE49-F238E27FC236}">
              <a16:creationId xmlns:a16="http://schemas.microsoft.com/office/drawing/2014/main" id="{C6194E95-27D5-4DBC-867B-9BE794BFB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4" name="BEx5BJQWS6YWHH4ZMSUAMD641V6Y" descr="ZTMFMXCIQSECDX38ALEFHUB00" hidden="1">
          <a:extLst>
            <a:ext uri="{FF2B5EF4-FFF2-40B4-BE49-F238E27FC236}">
              <a16:creationId xmlns:a16="http://schemas.microsoft.com/office/drawing/2014/main" id="{22C7D4A6-D688-48EC-A2C4-2EC81196E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5" name="BExUBK0YZ5VYFY8TTITJGJU9S06A" hidden="1">
          <a:extLst>
            <a:ext uri="{FF2B5EF4-FFF2-40B4-BE49-F238E27FC236}">
              <a16:creationId xmlns:a16="http://schemas.microsoft.com/office/drawing/2014/main" id="{B17B288F-B5EF-4BCC-8096-CA5ED0398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" name="BEx5BJQWS6YWHH4ZMSUAMD641V6Y" descr="ZTMFMXCIQSECDX38ALEFHUB00" hidden="1">
          <a:extLst>
            <a:ext uri="{FF2B5EF4-FFF2-40B4-BE49-F238E27FC236}">
              <a16:creationId xmlns:a16="http://schemas.microsoft.com/office/drawing/2014/main" id="{26ECE7CB-4360-4CB8-86BF-383AD40DB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" name="BExUBK0YZ5VYFY8TTITJGJU9S06A" hidden="1">
          <a:extLst>
            <a:ext uri="{FF2B5EF4-FFF2-40B4-BE49-F238E27FC236}">
              <a16:creationId xmlns:a16="http://schemas.microsoft.com/office/drawing/2014/main" id="{75E7D7CA-C35C-47D6-8DEC-A51261025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" name="BEx5BJQWS6YWHH4ZMSUAMD641V6Y" descr="ZTMFMXCIQSECDX38ALEFHUB00" hidden="1">
          <a:extLst>
            <a:ext uri="{FF2B5EF4-FFF2-40B4-BE49-F238E27FC236}">
              <a16:creationId xmlns:a16="http://schemas.microsoft.com/office/drawing/2014/main" id="{2FE01C20-4867-4F44-918F-62291CEDF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" name="BExUBK0YZ5VYFY8TTITJGJU9S06A" hidden="1">
          <a:extLst>
            <a:ext uri="{FF2B5EF4-FFF2-40B4-BE49-F238E27FC236}">
              <a16:creationId xmlns:a16="http://schemas.microsoft.com/office/drawing/2014/main" id="{3E0C40ED-0FEA-42A4-94EB-ACA106BCB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1905</xdr:rowOff>
    </xdr:from>
    <xdr:ext cx="59531" cy="829901"/>
    <xdr:pic>
      <xdr:nvPicPr>
        <xdr:cNvPr id="30" name="BExMO7VFCN4EL59982UR4AJ25JNJ" descr="XX6TINEJADZGKR0CTM7ZRT0RA" hidden="1">
          <a:extLst>
            <a:ext uri="{FF2B5EF4-FFF2-40B4-BE49-F238E27FC236}">
              <a16:creationId xmlns:a16="http://schemas.microsoft.com/office/drawing/2014/main" id="{3D10A624-AA58-4A5A-9804-E22B0D5FF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0</xdr:rowOff>
    </xdr:from>
    <xdr:ext cx="59531" cy="295275"/>
    <xdr:pic>
      <xdr:nvPicPr>
        <xdr:cNvPr id="31" name="BExU3EX5JJCXCII4YKUJBFBGIJR2" descr="OF5ZI9PI5WH36VPANJ2DYLNMI" hidden="1">
          <a:extLst>
            <a:ext uri="{FF2B5EF4-FFF2-40B4-BE49-F238E27FC236}">
              <a16:creationId xmlns:a16="http://schemas.microsoft.com/office/drawing/2014/main" id="{89C56CE1-AE42-4E39-B8CD-34E5F640B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1905</xdr:rowOff>
    </xdr:from>
    <xdr:ext cx="59531" cy="829901"/>
    <xdr:pic>
      <xdr:nvPicPr>
        <xdr:cNvPr id="32" name="BEx1I152WN2D3A85O2XN0DGXCWHN" descr="KHBZFMANRA4UMJR1AB4M5NJNT" hidden="1">
          <a:extLst>
            <a:ext uri="{FF2B5EF4-FFF2-40B4-BE49-F238E27FC236}">
              <a16:creationId xmlns:a16="http://schemas.microsoft.com/office/drawing/2014/main" id="{C7107CFE-4A01-4C47-AC05-229A1A581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0</xdr:rowOff>
    </xdr:from>
    <xdr:ext cx="59531" cy="295275"/>
    <xdr:pic>
      <xdr:nvPicPr>
        <xdr:cNvPr id="33" name="BExW9676P0SKCVKK25QCGHPA3PAD" descr="9A4PWZ20RMSRF0PNECCDM75CA" hidden="1">
          <a:extLst>
            <a:ext uri="{FF2B5EF4-FFF2-40B4-BE49-F238E27FC236}">
              <a16:creationId xmlns:a16="http://schemas.microsoft.com/office/drawing/2014/main" id="{67F5631F-0A2E-4D08-9D06-DED825E3C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1905</xdr:rowOff>
    </xdr:from>
    <xdr:ext cx="59531" cy="829901"/>
    <xdr:pic>
      <xdr:nvPicPr>
        <xdr:cNvPr id="34" name="BExS5CPQ8P8JOQPK7ANNKHLSGOKU" hidden="1">
          <a:extLst>
            <a:ext uri="{FF2B5EF4-FFF2-40B4-BE49-F238E27FC236}">
              <a16:creationId xmlns:a16="http://schemas.microsoft.com/office/drawing/2014/main" id="{545BC0AB-0B4C-4EFC-A31F-023BD38F3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0</xdr:rowOff>
    </xdr:from>
    <xdr:ext cx="59531" cy="295275"/>
    <xdr:pic>
      <xdr:nvPicPr>
        <xdr:cNvPr id="35" name="BExMM0AVUAIRNJLXB1FW8R0YB4ZZ" hidden="1">
          <a:extLst>
            <a:ext uri="{FF2B5EF4-FFF2-40B4-BE49-F238E27FC236}">
              <a16:creationId xmlns:a16="http://schemas.microsoft.com/office/drawing/2014/main" id="{E932F93E-B50A-4868-A725-3E46FC60A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18</xdr:row>
      <xdr:rowOff>1905</xdr:rowOff>
    </xdr:from>
    <xdr:ext cx="59531" cy="829901"/>
    <xdr:pic>
      <xdr:nvPicPr>
        <xdr:cNvPr id="36" name="BExXZ7Y09CBS0XA7IPB3IRJ8RJM4" hidden="1">
          <a:extLst>
            <a:ext uri="{FF2B5EF4-FFF2-40B4-BE49-F238E27FC236}">
              <a16:creationId xmlns:a16="http://schemas.microsoft.com/office/drawing/2014/main" id="{128BDB22-9400-4883-8842-8041AE30A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0</xdr:rowOff>
    </xdr:from>
    <xdr:ext cx="59531" cy="295275"/>
    <xdr:pic>
      <xdr:nvPicPr>
        <xdr:cNvPr id="37" name="BExQ7SXS9VUG7P6CACU2J7R2SGIZ" hidden="1">
          <a:extLst>
            <a:ext uri="{FF2B5EF4-FFF2-40B4-BE49-F238E27FC236}">
              <a16:creationId xmlns:a16="http://schemas.microsoft.com/office/drawing/2014/main" id="{35357765-8117-4CA0-9207-89E9D3F64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38" name="BExMO7VFCN4EL59982UR4AJ25JNJ" descr="XX6TINEJADZGKR0CTM7ZRT0RA" hidden="1">
          <a:extLst>
            <a:ext uri="{FF2B5EF4-FFF2-40B4-BE49-F238E27FC236}">
              <a16:creationId xmlns:a16="http://schemas.microsoft.com/office/drawing/2014/main" id="{AA75E55E-07F5-430F-BEE5-2E0D2F5BC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9" name="BExU3EX5JJCXCII4YKUJBFBGIJR2" descr="OF5ZI9PI5WH36VPANJ2DYLNMI" hidden="1">
          <a:extLst>
            <a:ext uri="{FF2B5EF4-FFF2-40B4-BE49-F238E27FC236}">
              <a16:creationId xmlns:a16="http://schemas.microsoft.com/office/drawing/2014/main" id="{F5BFA1A7-2EAF-415B-807A-6FDFA40B3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0" name="BEx1I152WN2D3A85O2XN0DGXCWHN" descr="KHBZFMANRA4UMJR1AB4M5NJNT" hidden="1">
          <a:extLst>
            <a:ext uri="{FF2B5EF4-FFF2-40B4-BE49-F238E27FC236}">
              <a16:creationId xmlns:a16="http://schemas.microsoft.com/office/drawing/2014/main" id="{D73C5D75-E85A-4D6F-8AB5-96546C490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" name="BExW9676P0SKCVKK25QCGHPA3PAD" descr="9A4PWZ20RMSRF0PNECCDM75CA" hidden="1">
          <a:extLst>
            <a:ext uri="{FF2B5EF4-FFF2-40B4-BE49-F238E27FC236}">
              <a16:creationId xmlns:a16="http://schemas.microsoft.com/office/drawing/2014/main" id="{45FD916C-AB87-4ED5-B5B5-B100A7F5C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2" name="BExS5CPQ8P8JOQPK7ANNKHLSGOKU" hidden="1">
          <a:extLst>
            <a:ext uri="{FF2B5EF4-FFF2-40B4-BE49-F238E27FC236}">
              <a16:creationId xmlns:a16="http://schemas.microsoft.com/office/drawing/2014/main" id="{ED0C67E1-5CFA-40EB-9963-2820F5280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3" name="BExMM0AVUAIRNJLXB1FW8R0YB4ZZ" hidden="1">
          <a:extLst>
            <a:ext uri="{FF2B5EF4-FFF2-40B4-BE49-F238E27FC236}">
              <a16:creationId xmlns:a16="http://schemas.microsoft.com/office/drawing/2014/main" id="{BBE4D4BC-9196-48DC-93EF-23B195751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4" name="BExXZ7Y09CBS0XA7IPB3IRJ8RJM4" hidden="1">
          <a:extLst>
            <a:ext uri="{FF2B5EF4-FFF2-40B4-BE49-F238E27FC236}">
              <a16:creationId xmlns:a16="http://schemas.microsoft.com/office/drawing/2014/main" id="{4AE26240-DCE7-494C-9490-0E0A4E029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5" name="BExQ7SXS9VUG7P6CACU2J7R2SGIZ" hidden="1">
          <a:extLst>
            <a:ext uri="{FF2B5EF4-FFF2-40B4-BE49-F238E27FC236}">
              <a16:creationId xmlns:a16="http://schemas.microsoft.com/office/drawing/2014/main" id="{F3368F52-AB31-455E-91D8-79886A7EB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6" name="BExU3EX5JJCXCII4YKUJBFBGIJR2" descr="OF5ZI9PI5WH36VPANJ2DYLNMI" hidden="1">
          <a:extLst>
            <a:ext uri="{FF2B5EF4-FFF2-40B4-BE49-F238E27FC236}">
              <a16:creationId xmlns:a16="http://schemas.microsoft.com/office/drawing/2014/main" id="{3B8CCBDD-0836-45DC-B835-BE0BFD043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7" name="BExW9676P0SKCVKK25QCGHPA3PAD" descr="9A4PWZ20RMSRF0PNECCDM75CA" hidden="1">
          <a:extLst>
            <a:ext uri="{FF2B5EF4-FFF2-40B4-BE49-F238E27FC236}">
              <a16:creationId xmlns:a16="http://schemas.microsoft.com/office/drawing/2014/main" id="{59E30EBC-FD90-400E-9902-3ABB8F249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8" name="BExMM0AVUAIRNJLXB1FW8R0YB4ZZ" hidden="1">
          <a:extLst>
            <a:ext uri="{FF2B5EF4-FFF2-40B4-BE49-F238E27FC236}">
              <a16:creationId xmlns:a16="http://schemas.microsoft.com/office/drawing/2014/main" id="{E8336B0A-88A6-4338-BC2B-36D2E1C79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9" name="BExQ7SXS9VUG7P6CACU2J7R2SGIZ" hidden="1">
          <a:extLst>
            <a:ext uri="{FF2B5EF4-FFF2-40B4-BE49-F238E27FC236}">
              <a16:creationId xmlns:a16="http://schemas.microsoft.com/office/drawing/2014/main" id="{7779B2D5-183A-491B-83BB-7C3616CC2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0" name="BEx5BJQWS6YWHH4ZMSUAMD641V6Y" descr="ZTMFMXCIQSECDX38ALEFHUB00" hidden="1">
          <a:extLst>
            <a:ext uri="{FF2B5EF4-FFF2-40B4-BE49-F238E27FC236}">
              <a16:creationId xmlns:a16="http://schemas.microsoft.com/office/drawing/2014/main" id="{38D97827-D35E-4B99-B2B2-5A7872D8D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1" name="BExUBK0YZ5VYFY8TTITJGJU9S06A" hidden="1">
          <a:extLst>
            <a:ext uri="{FF2B5EF4-FFF2-40B4-BE49-F238E27FC236}">
              <a16:creationId xmlns:a16="http://schemas.microsoft.com/office/drawing/2014/main" id="{6E596E66-CA9C-45EE-AABA-92F9E42C7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2" name="BEx5BJQWS6YWHH4ZMSUAMD641V6Y" descr="ZTMFMXCIQSECDX38ALEFHUB00" hidden="1">
          <a:extLst>
            <a:ext uri="{FF2B5EF4-FFF2-40B4-BE49-F238E27FC236}">
              <a16:creationId xmlns:a16="http://schemas.microsoft.com/office/drawing/2014/main" id="{890370D6-2BD6-403D-8D9B-6340DF73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3" name="BExUBK0YZ5VYFY8TTITJGJU9S06A" hidden="1">
          <a:extLst>
            <a:ext uri="{FF2B5EF4-FFF2-40B4-BE49-F238E27FC236}">
              <a16:creationId xmlns:a16="http://schemas.microsoft.com/office/drawing/2014/main" id="{7F6102D1-EB84-4572-8993-FAE11D803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54" name="BEx1KD7H6UB1VYCJ7O61P562EIUY" descr="IQGV9140X0K0UPBL8OGU3I44J" hidden="1">
          <a:extLst>
            <a:ext uri="{FF2B5EF4-FFF2-40B4-BE49-F238E27FC236}">
              <a16:creationId xmlns:a16="http://schemas.microsoft.com/office/drawing/2014/main" id="{0EC18400-3170-4230-B568-30EB31CD7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55" name="BEx5BJQWS6YWHH4ZMSUAMD641V6Y" descr="ZTMFMXCIQSECDX38ALEFHUB00" hidden="1">
          <a:extLst>
            <a:ext uri="{FF2B5EF4-FFF2-40B4-BE49-F238E27FC236}">
              <a16:creationId xmlns:a16="http://schemas.microsoft.com/office/drawing/2014/main" id="{5D33E605-1755-45B0-B444-67B75C98A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56" name="BEx5AQZ4ETQ9LMY5EBWVH20Z7VXQ" hidden="1">
          <a:extLst>
            <a:ext uri="{FF2B5EF4-FFF2-40B4-BE49-F238E27FC236}">
              <a16:creationId xmlns:a16="http://schemas.microsoft.com/office/drawing/2014/main" id="{B307A0E1-8E68-4158-9313-E6BC80EBC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57" name="BExUBK0YZ5VYFY8TTITJGJU9S06A" hidden="1">
          <a:extLst>
            <a:ext uri="{FF2B5EF4-FFF2-40B4-BE49-F238E27FC236}">
              <a16:creationId xmlns:a16="http://schemas.microsoft.com/office/drawing/2014/main" id="{D32E5BD6-2DBA-4B08-9123-0C9A0BE79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" name="BEx1KD7H6UB1VYCJ7O61P562EIUY" descr="IQGV9140X0K0UPBL8OGU3I44J" hidden="1">
          <a:extLst>
            <a:ext uri="{FF2B5EF4-FFF2-40B4-BE49-F238E27FC236}">
              <a16:creationId xmlns:a16="http://schemas.microsoft.com/office/drawing/2014/main" id="{5A46B93E-42BD-45D5-ADCC-67169505A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9" name="BEx5BJQWS6YWHH4ZMSUAMD641V6Y" descr="ZTMFMXCIQSECDX38ALEFHUB00" hidden="1">
          <a:extLst>
            <a:ext uri="{FF2B5EF4-FFF2-40B4-BE49-F238E27FC236}">
              <a16:creationId xmlns:a16="http://schemas.microsoft.com/office/drawing/2014/main" id="{1ACA5251-9A11-49D2-A1D2-5192BAE19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" name="BEx5AQZ4ETQ9LMY5EBWVH20Z7VXQ" hidden="1">
          <a:extLst>
            <a:ext uri="{FF2B5EF4-FFF2-40B4-BE49-F238E27FC236}">
              <a16:creationId xmlns:a16="http://schemas.microsoft.com/office/drawing/2014/main" id="{2E053C66-687C-4E7B-952D-789E4B9CF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61" name="BExUBK0YZ5VYFY8TTITJGJU9S06A" hidden="1">
          <a:extLst>
            <a:ext uri="{FF2B5EF4-FFF2-40B4-BE49-F238E27FC236}">
              <a16:creationId xmlns:a16="http://schemas.microsoft.com/office/drawing/2014/main" id="{9EC7A333-335A-4C68-8CA1-69AB3F333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2" name="BEx1KD7H6UB1VYCJ7O61P562EIUY" descr="IQGV9140X0K0UPBL8OGU3I44J" hidden="1">
          <a:extLst>
            <a:ext uri="{FF2B5EF4-FFF2-40B4-BE49-F238E27FC236}">
              <a16:creationId xmlns:a16="http://schemas.microsoft.com/office/drawing/2014/main" id="{48A70412-7CE1-441B-A6E9-E992DF20F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3" name="BEx5BJQWS6YWHH4ZMSUAMD641V6Y" descr="ZTMFMXCIQSECDX38ALEFHUB00" hidden="1">
          <a:extLst>
            <a:ext uri="{FF2B5EF4-FFF2-40B4-BE49-F238E27FC236}">
              <a16:creationId xmlns:a16="http://schemas.microsoft.com/office/drawing/2014/main" id="{2DA6FB95-6C87-4B2D-869C-362736C2D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4" name="BEx5AQZ4ETQ9LMY5EBWVH20Z7VXQ" hidden="1">
          <a:extLst>
            <a:ext uri="{FF2B5EF4-FFF2-40B4-BE49-F238E27FC236}">
              <a16:creationId xmlns:a16="http://schemas.microsoft.com/office/drawing/2014/main" id="{EE1D9CED-4FB0-4385-AEE2-5E70BC489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5" name="BExUBK0YZ5VYFY8TTITJGJU9S06A" hidden="1">
          <a:extLst>
            <a:ext uri="{FF2B5EF4-FFF2-40B4-BE49-F238E27FC236}">
              <a16:creationId xmlns:a16="http://schemas.microsoft.com/office/drawing/2014/main" id="{049ABBAF-A8AA-4C6B-A1B4-5A4E94877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" name="BEx1KD7H6UB1VYCJ7O61P562EIUY" descr="IQGV9140X0K0UPBL8OGU3I44J" hidden="1">
          <a:extLst>
            <a:ext uri="{FF2B5EF4-FFF2-40B4-BE49-F238E27FC236}">
              <a16:creationId xmlns:a16="http://schemas.microsoft.com/office/drawing/2014/main" id="{E1CDA175-BCB0-416F-88AB-2E1A25AED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67" name="BEx5BJQWS6YWHH4ZMSUAMD641V6Y" descr="ZTMFMXCIQSECDX38ALEFHUB00" hidden="1">
          <a:extLst>
            <a:ext uri="{FF2B5EF4-FFF2-40B4-BE49-F238E27FC236}">
              <a16:creationId xmlns:a16="http://schemas.microsoft.com/office/drawing/2014/main" id="{901109FD-162E-4374-9DF6-1C2BB3B61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" name="BEx5AQZ4ETQ9LMY5EBWVH20Z7VXQ" hidden="1">
          <a:extLst>
            <a:ext uri="{FF2B5EF4-FFF2-40B4-BE49-F238E27FC236}">
              <a16:creationId xmlns:a16="http://schemas.microsoft.com/office/drawing/2014/main" id="{515F9F3E-F454-48CF-BBCC-4039396CA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69" name="BExUBK0YZ5VYFY8TTITJGJU9S06A" hidden="1">
          <a:extLst>
            <a:ext uri="{FF2B5EF4-FFF2-40B4-BE49-F238E27FC236}">
              <a16:creationId xmlns:a16="http://schemas.microsoft.com/office/drawing/2014/main" id="{ED60B51F-EDDA-4675-B4CF-6669A0962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0" name="BEx1KD7H6UB1VYCJ7O61P562EIUY" descr="IQGV9140X0K0UPBL8OGU3I44J" hidden="1">
          <a:extLst>
            <a:ext uri="{FF2B5EF4-FFF2-40B4-BE49-F238E27FC236}">
              <a16:creationId xmlns:a16="http://schemas.microsoft.com/office/drawing/2014/main" id="{9582A559-7891-4F02-9F2A-B56DFC1A1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71" name="BEx5BJQWS6YWHH4ZMSUAMD641V6Y" descr="ZTMFMXCIQSECDX38ALEFHUB00" hidden="1">
          <a:extLst>
            <a:ext uri="{FF2B5EF4-FFF2-40B4-BE49-F238E27FC236}">
              <a16:creationId xmlns:a16="http://schemas.microsoft.com/office/drawing/2014/main" id="{C3339162-A98E-449E-B633-77F76311E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2" name="BEx5AQZ4ETQ9LMY5EBWVH20Z7VXQ" hidden="1">
          <a:extLst>
            <a:ext uri="{FF2B5EF4-FFF2-40B4-BE49-F238E27FC236}">
              <a16:creationId xmlns:a16="http://schemas.microsoft.com/office/drawing/2014/main" id="{213D7A23-D9AD-469E-B163-C40DBC37F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73" name="BExUBK0YZ5VYFY8TTITJGJU9S06A" hidden="1">
          <a:extLst>
            <a:ext uri="{FF2B5EF4-FFF2-40B4-BE49-F238E27FC236}">
              <a16:creationId xmlns:a16="http://schemas.microsoft.com/office/drawing/2014/main" id="{DA938D72-4E76-41FC-AD74-3ACD0DE1C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74" name="BEx1KD7H6UB1VYCJ7O61P562EIUY" descr="IQGV9140X0K0UPBL8OGU3I44J" hidden="1">
          <a:extLst>
            <a:ext uri="{FF2B5EF4-FFF2-40B4-BE49-F238E27FC236}">
              <a16:creationId xmlns:a16="http://schemas.microsoft.com/office/drawing/2014/main" id="{422CF257-F6F2-4E08-A11C-05B7D0173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75" name="BEx5BJQWS6YWHH4ZMSUAMD641V6Y" descr="ZTMFMXCIQSECDX38ALEFHUB00" hidden="1">
          <a:extLst>
            <a:ext uri="{FF2B5EF4-FFF2-40B4-BE49-F238E27FC236}">
              <a16:creationId xmlns:a16="http://schemas.microsoft.com/office/drawing/2014/main" id="{D3E27B8C-5B0C-4F87-8493-319D11B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76" name="BEx5AQZ4ETQ9LMY5EBWVH20Z7VXQ" hidden="1">
          <a:extLst>
            <a:ext uri="{FF2B5EF4-FFF2-40B4-BE49-F238E27FC236}">
              <a16:creationId xmlns:a16="http://schemas.microsoft.com/office/drawing/2014/main" id="{DD86131B-60A6-4C6A-999E-0B9D51483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77" name="BExUBK0YZ5VYFY8TTITJGJU9S06A" hidden="1">
          <a:extLst>
            <a:ext uri="{FF2B5EF4-FFF2-40B4-BE49-F238E27FC236}">
              <a16:creationId xmlns:a16="http://schemas.microsoft.com/office/drawing/2014/main" id="{2A364CCF-B2A7-41E6-80EF-BD9510613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8" name="BEx1KD7H6UB1VYCJ7O61P562EIUY" descr="IQGV9140X0K0UPBL8OGU3I44J" hidden="1">
          <a:extLst>
            <a:ext uri="{FF2B5EF4-FFF2-40B4-BE49-F238E27FC236}">
              <a16:creationId xmlns:a16="http://schemas.microsoft.com/office/drawing/2014/main" id="{9584D0C2-8295-45CA-848D-A92A90C51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79" name="BEx5BJQWS6YWHH4ZMSUAMD641V6Y" descr="ZTMFMXCIQSECDX38ALEFHUB00" hidden="1">
          <a:extLst>
            <a:ext uri="{FF2B5EF4-FFF2-40B4-BE49-F238E27FC236}">
              <a16:creationId xmlns:a16="http://schemas.microsoft.com/office/drawing/2014/main" id="{8496EF5C-ECF5-4654-B175-C94D5C24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80" name="BEx5AQZ4ETQ9LMY5EBWVH20Z7VXQ" hidden="1">
          <a:extLst>
            <a:ext uri="{FF2B5EF4-FFF2-40B4-BE49-F238E27FC236}">
              <a16:creationId xmlns:a16="http://schemas.microsoft.com/office/drawing/2014/main" id="{DF3A2C79-48E7-468B-9430-76A96ECA0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81" name="BExUBK0YZ5VYFY8TTITJGJU9S06A" hidden="1">
          <a:extLst>
            <a:ext uri="{FF2B5EF4-FFF2-40B4-BE49-F238E27FC236}">
              <a16:creationId xmlns:a16="http://schemas.microsoft.com/office/drawing/2014/main" id="{7DFCD6DC-1464-4D37-AD0D-167161E8E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82" name="BEx1KD7H6UB1VYCJ7O61P562EIUY" descr="IQGV9140X0K0UPBL8OGU3I44J" hidden="1">
          <a:extLst>
            <a:ext uri="{FF2B5EF4-FFF2-40B4-BE49-F238E27FC236}">
              <a16:creationId xmlns:a16="http://schemas.microsoft.com/office/drawing/2014/main" id="{33C78CA5-AB3E-4811-B71E-FF0FDB0C1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83" name="BEx5BJQWS6YWHH4ZMSUAMD641V6Y" descr="ZTMFMXCIQSECDX38ALEFHUB00" hidden="1">
          <a:extLst>
            <a:ext uri="{FF2B5EF4-FFF2-40B4-BE49-F238E27FC236}">
              <a16:creationId xmlns:a16="http://schemas.microsoft.com/office/drawing/2014/main" id="{8BB75B95-9E4C-4E76-848B-FAAD1B1CF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84" name="BEx5AQZ4ETQ9LMY5EBWVH20Z7VXQ" hidden="1">
          <a:extLst>
            <a:ext uri="{FF2B5EF4-FFF2-40B4-BE49-F238E27FC236}">
              <a16:creationId xmlns:a16="http://schemas.microsoft.com/office/drawing/2014/main" id="{39C56F62-8CB2-429C-BC8C-885BCA11E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85" name="BExUBK0YZ5VYFY8TTITJGJU9S06A" hidden="1">
          <a:extLst>
            <a:ext uri="{FF2B5EF4-FFF2-40B4-BE49-F238E27FC236}">
              <a16:creationId xmlns:a16="http://schemas.microsoft.com/office/drawing/2014/main" id="{26D93036-A171-44C9-8CED-54876065C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86" name="BEx1KD7H6UB1VYCJ7O61P562EIUY" descr="IQGV9140X0K0UPBL8OGU3I44J" hidden="1">
          <a:extLst>
            <a:ext uri="{FF2B5EF4-FFF2-40B4-BE49-F238E27FC236}">
              <a16:creationId xmlns:a16="http://schemas.microsoft.com/office/drawing/2014/main" id="{F3DD472A-62A2-4227-B42B-2D066C738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87" name="BEx5BJQWS6YWHH4ZMSUAMD641V6Y" descr="ZTMFMXCIQSECDX38ALEFHUB00" hidden="1">
          <a:extLst>
            <a:ext uri="{FF2B5EF4-FFF2-40B4-BE49-F238E27FC236}">
              <a16:creationId xmlns:a16="http://schemas.microsoft.com/office/drawing/2014/main" id="{01E9802C-F3BD-43B7-8BD5-23E60E557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88" name="BEx5AQZ4ETQ9LMY5EBWVH20Z7VXQ" hidden="1">
          <a:extLst>
            <a:ext uri="{FF2B5EF4-FFF2-40B4-BE49-F238E27FC236}">
              <a16:creationId xmlns:a16="http://schemas.microsoft.com/office/drawing/2014/main" id="{E5C3A502-827F-4551-9125-FF5A3830E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89" name="BExUBK0YZ5VYFY8TTITJGJU9S06A" hidden="1">
          <a:extLst>
            <a:ext uri="{FF2B5EF4-FFF2-40B4-BE49-F238E27FC236}">
              <a16:creationId xmlns:a16="http://schemas.microsoft.com/office/drawing/2014/main" id="{274F7266-6009-4A2C-AB43-42FD71D3A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1905</xdr:rowOff>
    </xdr:from>
    <xdr:ext cx="59531" cy="829901"/>
    <xdr:pic>
      <xdr:nvPicPr>
        <xdr:cNvPr id="90" name="BExMO7VFCN4EL59982UR4AJ25JNJ" descr="XX6TINEJADZGKR0CTM7ZRT0RA" hidden="1">
          <a:extLst>
            <a:ext uri="{FF2B5EF4-FFF2-40B4-BE49-F238E27FC236}">
              <a16:creationId xmlns:a16="http://schemas.microsoft.com/office/drawing/2014/main" id="{D0B0ADAF-02E9-4B3A-9B5B-DC6FBC537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0</xdr:rowOff>
    </xdr:from>
    <xdr:ext cx="59531" cy="295275"/>
    <xdr:pic>
      <xdr:nvPicPr>
        <xdr:cNvPr id="91" name="BExU3EX5JJCXCII4YKUJBFBGIJR2" descr="OF5ZI9PI5WH36VPANJ2DYLNMI" hidden="1">
          <a:extLst>
            <a:ext uri="{FF2B5EF4-FFF2-40B4-BE49-F238E27FC236}">
              <a16:creationId xmlns:a16="http://schemas.microsoft.com/office/drawing/2014/main" id="{5BBC0E7C-1168-4D8E-B9B6-3BBC74032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1905</xdr:rowOff>
    </xdr:from>
    <xdr:ext cx="59531" cy="829901"/>
    <xdr:pic>
      <xdr:nvPicPr>
        <xdr:cNvPr id="92" name="BEx1I152WN2D3A85O2XN0DGXCWHN" descr="KHBZFMANRA4UMJR1AB4M5NJNT" hidden="1">
          <a:extLst>
            <a:ext uri="{FF2B5EF4-FFF2-40B4-BE49-F238E27FC236}">
              <a16:creationId xmlns:a16="http://schemas.microsoft.com/office/drawing/2014/main" id="{F41DB3D3-A319-4837-9812-FA7545B89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0</xdr:rowOff>
    </xdr:from>
    <xdr:ext cx="59531" cy="295275"/>
    <xdr:pic>
      <xdr:nvPicPr>
        <xdr:cNvPr id="93" name="BExW9676P0SKCVKK25QCGHPA3PAD" descr="9A4PWZ20RMSRF0PNECCDM75CA" hidden="1">
          <a:extLst>
            <a:ext uri="{FF2B5EF4-FFF2-40B4-BE49-F238E27FC236}">
              <a16:creationId xmlns:a16="http://schemas.microsoft.com/office/drawing/2014/main" id="{98C15386-B974-4A18-A869-FEF5C445C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1905</xdr:rowOff>
    </xdr:from>
    <xdr:ext cx="59531" cy="829901"/>
    <xdr:pic>
      <xdr:nvPicPr>
        <xdr:cNvPr id="94" name="BExS5CPQ8P8JOQPK7ANNKHLSGOKU" hidden="1">
          <a:extLst>
            <a:ext uri="{FF2B5EF4-FFF2-40B4-BE49-F238E27FC236}">
              <a16:creationId xmlns:a16="http://schemas.microsoft.com/office/drawing/2014/main" id="{9D535341-0E30-4CEA-B7E0-300F11255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0</xdr:rowOff>
    </xdr:from>
    <xdr:ext cx="59531" cy="295275"/>
    <xdr:pic>
      <xdr:nvPicPr>
        <xdr:cNvPr id="95" name="BExMM0AVUAIRNJLXB1FW8R0YB4ZZ" hidden="1">
          <a:extLst>
            <a:ext uri="{FF2B5EF4-FFF2-40B4-BE49-F238E27FC236}">
              <a16:creationId xmlns:a16="http://schemas.microsoft.com/office/drawing/2014/main" id="{4C531A91-8AD6-4D86-88B0-AEC766244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18</xdr:row>
      <xdr:rowOff>1905</xdr:rowOff>
    </xdr:from>
    <xdr:ext cx="59531" cy="829901"/>
    <xdr:pic>
      <xdr:nvPicPr>
        <xdr:cNvPr id="96" name="BExXZ7Y09CBS0XA7IPB3IRJ8RJM4" hidden="1">
          <a:extLst>
            <a:ext uri="{FF2B5EF4-FFF2-40B4-BE49-F238E27FC236}">
              <a16:creationId xmlns:a16="http://schemas.microsoft.com/office/drawing/2014/main" id="{5C5AF8F8-4C40-473A-9C5A-F9596B3BE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0</xdr:rowOff>
    </xdr:from>
    <xdr:ext cx="59531" cy="295275"/>
    <xdr:pic>
      <xdr:nvPicPr>
        <xdr:cNvPr id="97" name="BExQ7SXS9VUG7P6CACU2J7R2SGIZ" hidden="1">
          <a:extLst>
            <a:ext uri="{FF2B5EF4-FFF2-40B4-BE49-F238E27FC236}">
              <a16:creationId xmlns:a16="http://schemas.microsoft.com/office/drawing/2014/main" id="{9DB00382-2DA8-43C7-8819-757C9DAD4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98" name="BExMO7VFCN4EL59982UR4AJ25JNJ" descr="XX6TINEJADZGKR0CTM7ZRT0RA" hidden="1">
          <a:extLst>
            <a:ext uri="{FF2B5EF4-FFF2-40B4-BE49-F238E27FC236}">
              <a16:creationId xmlns:a16="http://schemas.microsoft.com/office/drawing/2014/main" id="{FE6E3BA0-01CE-46F2-8A92-55D1E235A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99" name="BExU3EX5JJCXCII4YKUJBFBGIJR2" descr="OF5ZI9PI5WH36VPANJ2DYLNMI" hidden="1">
          <a:extLst>
            <a:ext uri="{FF2B5EF4-FFF2-40B4-BE49-F238E27FC236}">
              <a16:creationId xmlns:a16="http://schemas.microsoft.com/office/drawing/2014/main" id="{F6353CC1-B118-47B7-BBBA-AE2D77BDC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00" name="BEx1I152WN2D3A85O2XN0DGXCWHN" descr="KHBZFMANRA4UMJR1AB4M5NJNT" hidden="1">
          <a:extLst>
            <a:ext uri="{FF2B5EF4-FFF2-40B4-BE49-F238E27FC236}">
              <a16:creationId xmlns:a16="http://schemas.microsoft.com/office/drawing/2014/main" id="{C7BAD6EB-0DB0-41B0-BD4A-EBF493FC2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01" name="BExW9676P0SKCVKK25QCGHPA3PAD" descr="9A4PWZ20RMSRF0PNECCDM75CA" hidden="1">
          <a:extLst>
            <a:ext uri="{FF2B5EF4-FFF2-40B4-BE49-F238E27FC236}">
              <a16:creationId xmlns:a16="http://schemas.microsoft.com/office/drawing/2014/main" id="{B5824B65-5391-4ECB-B416-F52A2E5A3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02" name="BExS5CPQ8P8JOQPK7ANNKHLSGOKU" hidden="1">
          <a:extLst>
            <a:ext uri="{FF2B5EF4-FFF2-40B4-BE49-F238E27FC236}">
              <a16:creationId xmlns:a16="http://schemas.microsoft.com/office/drawing/2014/main" id="{6FEB9CA9-AF16-4F87-BC48-089EAD922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03" name="BExMM0AVUAIRNJLXB1FW8R0YB4ZZ" hidden="1">
          <a:extLst>
            <a:ext uri="{FF2B5EF4-FFF2-40B4-BE49-F238E27FC236}">
              <a16:creationId xmlns:a16="http://schemas.microsoft.com/office/drawing/2014/main" id="{F654B059-9CB4-48E3-9C71-E06F41C54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04" name="BExXZ7Y09CBS0XA7IPB3IRJ8RJM4" hidden="1">
          <a:extLst>
            <a:ext uri="{FF2B5EF4-FFF2-40B4-BE49-F238E27FC236}">
              <a16:creationId xmlns:a16="http://schemas.microsoft.com/office/drawing/2014/main" id="{90354F6E-6D98-460A-AEE3-F9C96827D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05" name="BExQ7SXS9VUG7P6CACU2J7R2SGIZ" hidden="1">
          <a:extLst>
            <a:ext uri="{FF2B5EF4-FFF2-40B4-BE49-F238E27FC236}">
              <a16:creationId xmlns:a16="http://schemas.microsoft.com/office/drawing/2014/main" id="{F6CE944C-C3CE-4679-8B69-48A927431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06" name="BEx1KD7H6UB1VYCJ7O61P562EIUY" descr="IQGV9140X0K0UPBL8OGU3I44J" hidden="1">
          <a:extLst>
            <a:ext uri="{FF2B5EF4-FFF2-40B4-BE49-F238E27FC236}">
              <a16:creationId xmlns:a16="http://schemas.microsoft.com/office/drawing/2014/main" id="{FA609CF3-9748-426C-8D65-429F37936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07" name="BEx5AQZ4ETQ9LMY5EBWVH20Z7VXQ" hidden="1">
          <a:extLst>
            <a:ext uri="{FF2B5EF4-FFF2-40B4-BE49-F238E27FC236}">
              <a16:creationId xmlns:a16="http://schemas.microsoft.com/office/drawing/2014/main" id="{305661E3-AA53-4D80-8783-CA61B36B8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08" name="BExMO7VFCN4EL59982UR4AJ25JNJ" descr="XX6TINEJADZGKR0CTM7ZRT0RA" hidden="1">
          <a:extLst>
            <a:ext uri="{FF2B5EF4-FFF2-40B4-BE49-F238E27FC236}">
              <a16:creationId xmlns:a16="http://schemas.microsoft.com/office/drawing/2014/main" id="{4B03B53D-0962-407C-89DE-6DEBC8276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09" name="BEx1I152WN2D3A85O2XN0DGXCWHN" descr="KHBZFMANRA4UMJR1AB4M5NJNT" hidden="1">
          <a:extLst>
            <a:ext uri="{FF2B5EF4-FFF2-40B4-BE49-F238E27FC236}">
              <a16:creationId xmlns:a16="http://schemas.microsoft.com/office/drawing/2014/main" id="{E88176DF-19E9-41D8-9370-9780BEB19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10" name="BExS5CPQ8P8JOQPK7ANNKHLSGOKU" hidden="1">
          <a:extLst>
            <a:ext uri="{FF2B5EF4-FFF2-40B4-BE49-F238E27FC236}">
              <a16:creationId xmlns:a16="http://schemas.microsoft.com/office/drawing/2014/main" id="{D6405482-A0EF-4598-ABFB-002E9B762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11" name="BExXZ7Y09CBS0XA7IPB3IRJ8RJM4" hidden="1">
          <a:extLst>
            <a:ext uri="{FF2B5EF4-FFF2-40B4-BE49-F238E27FC236}">
              <a16:creationId xmlns:a16="http://schemas.microsoft.com/office/drawing/2014/main" id="{B758A382-51B3-48ED-942A-DA599DE98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12" name="BExU3EX5JJCXCII4YKUJBFBGIJR2" descr="OF5ZI9PI5WH36VPANJ2DYLNMI" hidden="1">
          <a:extLst>
            <a:ext uri="{FF2B5EF4-FFF2-40B4-BE49-F238E27FC236}">
              <a16:creationId xmlns:a16="http://schemas.microsoft.com/office/drawing/2014/main" id="{99862756-D889-4C12-A27D-1C7552EF6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13" name="BExW9676P0SKCVKK25QCGHPA3PAD" descr="9A4PWZ20RMSRF0PNECCDM75CA" hidden="1">
          <a:extLst>
            <a:ext uri="{FF2B5EF4-FFF2-40B4-BE49-F238E27FC236}">
              <a16:creationId xmlns:a16="http://schemas.microsoft.com/office/drawing/2014/main" id="{2FCFD959-EAFC-4870-99A3-C80C56AB4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14" name="BExMM0AVUAIRNJLXB1FW8R0YB4ZZ" hidden="1">
          <a:extLst>
            <a:ext uri="{FF2B5EF4-FFF2-40B4-BE49-F238E27FC236}">
              <a16:creationId xmlns:a16="http://schemas.microsoft.com/office/drawing/2014/main" id="{F01DA470-E758-43B2-B72F-23C781D60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15" name="BExQ7SXS9VUG7P6CACU2J7R2SGIZ" hidden="1">
          <a:extLst>
            <a:ext uri="{FF2B5EF4-FFF2-40B4-BE49-F238E27FC236}">
              <a16:creationId xmlns:a16="http://schemas.microsoft.com/office/drawing/2014/main" id="{9022B786-4C76-4C64-A93B-9EB21ADA2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16" name="BEx1KD7H6UB1VYCJ7O61P562EIUY" descr="IQGV9140X0K0UPBL8OGU3I44J" hidden="1">
          <a:extLst>
            <a:ext uri="{FF2B5EF4-FFF2-40B4-BE49-F238E27FC236}">
              <a16:creationId xmlns:a16="http://schemas.microsoft.com/office/drawing/2014/main" id="{1CDD6B05-ACA2-4673-A1E2-3330C382D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17" name="BEx5AQZ4ETQ9LMY5EBWVH20Z7VXQ" hidden="1">
          <a:extLst>
            <a:ext uri="{FF2B5EF4-FFF2-40B4-BE49-F238E27FC236}">
              <a16:creationId xmlns:a16="http://schemas.microsoft.com/office/drawing/2014/main" id="{171206C7-A167-4A5A-8486-E94C72CC7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8" name="BEx5BJQWS6YWHH4ZMSUAMD641V6Y" descr="ZTMFMXCIQSECDX38ALEFHUB00" hidden="1">
          <a:extLst>
            <a:ext uri="{FF2B5EF4-FFF2-40B4-BE49-F238E27FC236}">
              <a16:creationId xmlns:a16="http://schemas.microsoft.com/office/drawing/2014/main" id="{F8A67E19-A8DC-4CD8-9A3A-756D29E63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9" name="BExUBK0YZ5VYFY8TTITJGJU9S06A" hidden="1">
          <a:extLst>
            <a:ext uri="{FF2B5EF4-FFF2-40B4-BE49-F238E27FC236}">
              <a16:creationId xmlns:a16="http://schemas.microsoft.com/office/drawing/2014/main" id="{C4D8F125-682C-4A0C-9D56-E17395E0E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0" name="BEx1KD7H6UB1VYCJ7O61P562EIUY" descr="IQGV9140X0K0UPBL8OGU3I44J" hidden="1">
          <a:extLst>
            <a:ext uri="{FF2B5EF4-FFF2-40B4-BE49-F238E27FC236}">
              <a16:creationId xmlns:a16="http://schemas.microsoft.com/office/drawing/2014/main" id="{BB1F8A4A-CC47-4DED-BF8C-E60899384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1" name="BEx5AQZ4ETQ9LMY5EBWVH20Z7VXQ" hidden="1">
          <a:extLst>
            <a:ext uri="{FF2B5EF4-FFF2-40B4-BE49-F238E27FC236}">
              <a16:creationId xmlns:a16="http://schemas.microsoft.com/office/drawing/2014/main" id="{FA53093D-3C6E-4A5B-896F-B41155737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22" name="BEx5BJQWS6YWHH4ZMSUAMD641V6Y" descr="ZTMFMXCIQSECDX38ALEFHUB00" hidden="1">
          <a:extLst>
            <a:ext uri="{FF2B5EF4-FFF2-40B4-BE49-F238E27FC236}">
              <a16:creationId xmlns:a16="http://schemas.microsoft.com/office/drawing/2014/main" id="{D2E52EE7-A14B-434A-8CCF-19A08903C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23" name="BExUBK0YZ5VYFY8TTITJGJU9S06A" hidden="1">
          <a:extLst>
            <a:ext uri="{FF2B5EF4-FFF2-40B4-BE49-F238E27FC236}">
              <a16:creationId xmlns:a16="http://schemas.microsoft.com/office/drawing/2014/main" id="{F5A94674-8CA9-4E1C-8A58-1779CF74B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24" name="BEx5BJQWS6YWHH4ZMSUAMD641V6Y" descr="ZTMFMXCIQSECDX38ALEFHUB00" hidden="1">
          <a:extLst>
            <a:ext uri="{FF2B5EF4-FFF2-40B4-BE49-F238E27FC236}">
              <a16:creationId xmlns:a16="http://schemas.microsoft.com/office/drawing/2014/main" id="{9277F4F6-E526-4397-9823-5481048A9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25" name="BExUBK0YZ5VYFY8TTITJGJU9S06A" hidden="1">
          <a:extLst>
            <a:ext uri="{FF2B5EF4-FFF2-40B4-BE49-F238E27FC236}">
              <a16:creationId xmlns:a16="http://schemas.microsoft.com/office/drawing/2014/main" id="{A32E690D-BC94-4068-9D5D-D5F61827F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6" name="BEx1KD7H6UB1VYCJ7O61P562EIUY" descr="IQGV9140X0K0UPBL8OGU3I44J" hidden="1">
          <a:extLst>
            <a:ext uri="{FF2B5EF4-FFF2-40B4-BE49-F238E27FC236}">
              <a16:creationId xmlns:a16="http://schemas.microsoft.com/office/drawing/2014/main" id="{F52CBF6F-CE30-43F0-97DF-C7EC83F37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7" name="BEx5AQZ4ETQ9LMY5EBWVH20Z7VXQ" hidden="1">
          <a:extLst>
            <a:ext uri="{FF2B5EF4-FFF2-40B4-BE49-F238E27FC236}">
              <a16:creationId xmlns:a16="http://schemas.microsoft.com/office/drawing/2014/main" id="{64B814E5-E0A3-4D1C-B7BC-A8BA73F50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28" name="BEx5BJQWS6YWHH4ZMSUAMD641V6Y" descr="ZTMFMXCIQSECDX38ALEFHUB00" hidden="1">
          <a:extLst>
            <a:ext uri="{FF2B5EF4-FFF2-40B4-BE49-F238E27FC236}">
              <a16:creationId xmlns:a16="http://schemas.microsoft.com/office/drawing/2014/main" id="{428E00DC-4D2E-4DD1-BB8E-8F8A8DA22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29" name="BExUBK0YZ5VYFY8TTITJGJU9S06A" hidden="1">
          <a:extLst>
            <a:ext uri="{FF2B5EF4-FFF2-40B4-BE49-F238E27FC236}">
              <a16:creationId xmlns:a16="http://schemas.microsoft.com/office/drawing/2014/main" id="{BC23F09C-349F-42C3-97DD-4A4D3E4A2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30" name="BEx5BJQWS6YWHH4ZMSUAMD641V6Y" descr="ZTMFMXCIQSECDX38ALEFHUB00" hidden="1">
          <a:extLst>
            <a:ext uri="{FF2B5EF4-FFF2-40B4-BE49-F238E27FC236}">
              <a16:creationId xmlns:a16="http://schemas.microsoft.com/office/drawing/2014/main" id="{EBBEB64A-1D5D-45F2-8489-C8014321D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31" name="BExUBK0YZ5VYFY8TTITJGJU9S06A" hidden="1">
          <a:extLst>
            <a:ext uri="{FF2B5EF4-FFF2-40B4-BE49-F238E27FC236}">
              <a16:creationId xmlns:a16="http://schemas.microsoft.com/office/drawing/2014/main" id="{0A3B7774-D308-486D-80FE-3BE4275EF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32" name="BEx5BJQWS6YWHH4ZMSUAMD641V6Y" descr="ZTMFMXCIQSECDX38ALEFHUB00" hidden="1">
          <a:extLst>
            <a:ext uri="{FF2B5EF4-FFF2-40B4-BE49-F238E27FC236}">
              <a16:creationId xmlns:a16="http://schemas.microsoft.com/office/drawing/2014/main" id="{6AEF40A1-5E39-4D18-B4E6-B518C51D2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33" name="BExUBK0YZ5VYFY8TTITJGJU9S06A" hidden="1">
          <a:extLst>
            <a:ext uri="{FF2B5EF4-FFF2-40B4-BE49-F238E27FC236}">
              <a16:creationId xmlns:a16="http://schemas.microsoft.com/office/drawing/2014/main" id="{4B2ABDA8-1A69-4D46-8BB7-D493F42D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34" name="BExMO7VFCN4EL59982UR4AJ25JNJ" descr="XX6TINEJADZGKR0CTM7ZRT0RA" hidden="1">
          <a:extLst>
            <a:ext uri="{FF2B5EF4-FFF2-40B4-BE49-F238E27FC236}">
              <a16:creationId xmlns:a16="http://schemas.microsoft.com/office/drawing/2014/main" id="{D8AB81CD-25C5-4022-9900-A388E5E04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35" name="BEx1I152WN2D3A85O2XN0DGXCWHN" descr="KHBZFMANRA4UMJR1AB4M5NJNT" hidden="1">
          <a:extLst>
            <a:ext uri="{FF2B5EF4-FFF2-40B4-BE49-F238E27FC236}">
              <a16:creationId xmlns:a16="http://schemas.microsoft.com/office/drawing/2014/main" id="{EDEE9762-39EE-49C1-A77E-AD07CCE4C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36" name="BExS5CPQ8P8JOQPK7ANNKHLSGOKU" hidden="1">
          <a:extLst>
            <a:ext uri="{FF2B5EF4-FFF2-40B4-BE49-F238E27FC236}">
              <a16:creationId xmlns:a16="http://schemas.microsoft.com/office/drawing/2014/main" id="{136941C1-AAA4-418B-AC34-ECDB3B0EB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37" name="BExXZ7Y09CBS0XA7IPB3IRJ8RJM4" hidden="1">
          <a:extLst>
            <a:ext uri="{FF2B5EF4-FFF2-40B4-BE49-F238E27FC236}">
              <a16:creationId xmlns:a16="http://schemas.microsoft.com/office/drawing/2014/main" id="{9F9CB1E1-8730-44C6-9E0A-B91AE3F17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38" name="BExU3EX5JJCXCII4YKUJBFBGIJR2" descr="OF5ZI9PI5WH36VPANJ2DYLNMI" hidden="1">
          <a:extLst>
            <a:ext uri="{FF2B5EF4-FFF2-40B4-BE49-F238E27FC236}">
              <a16:creationId xmlns:a16="http://schemas.microsoft.com/office/drawing/2014/main" id="{32990F8A-ACDE-434B-9394-AFAC550E3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39" name="BExW9676P0SKCVKK25QCGHPA3PAD" descr="9A4PWZ20RMSRF0PNECCDM75CA" hidden="1">
          <a:extLst>
            <a:ext uri="{FF2B5EF4-FFF2-40B4-BE49-F238E27FC236}">
              <a16:creationId xmlns:a16="http://schemas.microsoft.com/office/drawing/2014/main" id="{1CE48608-B5A9-469F-9ADB-08BD002A8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40" name="BExMM0AVUAIRNJLXB1FW8R0YB4ZZ" hidden="1">
          <a:extLst>
            <a:ext uri="{FF2B5EF4-FFF2-40B4-BE49-F238E27FC236}">
              <a16:creationId xmlns:a16="http://schemas.microsoft.com/office/drawing/2014/main" id="{7AC467C6-4B13-44FA-99F3-1815264C6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41" name="BExQ7SXS9VUG7P6CACU2J7R2SGIZ" hidden="1">
          <a:extLst>
            <a:ext uri="{FF2B5EF4-FFF2-40B4-BE49-F238E27FC236}">
              <a16:creationId xmlns:a16="http://schemas.microsoft.com/office/drawing/2014/main" id="{9EDB7225-FE56-4E32-9B6C-ABA4CDEC1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42" name="BExU3EX5JJCXCII4YKUJBFBGIJR2" descr="OF5ZI9PI5WH36VPANJ2DYLNMI" hidden="1">
          <a:extLst>
            <a:ext uri="{FF2B5EF4-FFF2-40B4-BE49-F238E27FC236}">
              <a16:creationId xmlns:a16="http://schemas.microsoft.com/office/drawing/2014/main" id="{DE847979-F42A-4E76-B81B-78A839952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43" name="BExW9676P0SKCVKK25QCGHPA3PAD" descr="9A4PWZ20RMSRF0PNECCDM75CA" hidden="1">
          <a:extLst>
            <a:ext uri="{FF2B5EF4-FFF2-40B4-BE49-F238E27FC236}">
              <a16:creationId xmlns:a16="http://schemas.microsoft.com/office/drawing/2014/main" id="{F3106A5F-0F63-4159-95F4-47E28E672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44" name="BExMM0AVUAIRNJLXB1FW8R0YB4ZZ" hidden="1">
          <a:extLst>
            <a:ext uri="{FF2B5EF4-FFF2-40B4-BE49-F238E27FC236}">
              <a16:creationId xmlns:a16="http://schemas.microsoft.com/office/drawing/2014/main" id="{8B0DFD35-A722-4E58-985C-DA0C02A38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45" name="BExQ7SXS9VUG7P6CACU2J7R2SGIZ" hidden="1">
          <a:extLst>
            <a:ext uri="{FF2B5EF4-FFF2-40B4-BE49-F238E27FC236}">
              <a16:creationId xmlns:a16="http://schemas.microsoft.com/office/drawing/2014/main" id="{D1D77021-B883-4460-9DB8-1996FADCA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46" name="BEx5BJQWS6YWHH4ZMSUAMD641V6Y" descr="ZTMFMXCIQSECDX38ALEFHUB00" hidden="1">
          <a:extLst>
            <a:ext uri="{FF2B5EF4-FFF2-40B4-BE49-F238E27FC236}">
              <a16:creationId xmlns:a16="http://schemas.microsoft.com/office/drawing/2014/main" id="{282969EC-A233-47D1-BACC-9229E8710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47" name="BExUBK0YZ5VYFY8TTITJGJU9S06A" hidden="1">
          <a:extLst>
            <a:ext uri="{FF2B5EF4-FFF2-40B4-BE49-F238E27FC236}">
              <a16:creationId xmlns:a16="http://schemas.microsoft.com/office/drawing/2014/main" id="{98F9E628-0D50-4798-B261-06E255303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48" name="BEx5BJQWS6YWHH4ZMSUAMD641V6Y" descr="ZTMFMXCIQSECDX38ALEFHUB00" hidden="1">
          <a:extLst>
            <a:ext uri="{FF2B5EF4-FFF2-40B4-BE49-F238E27FC236}">
              <a16:creationId xmlns:a16="http://schemas.microsoft.com/office/drawing/2014/main" id="{EF33D90B-0847-4395-80E1-6E83B9335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49" name="BExUBK0YZ5VYFY8TTITJGJU9S06A" hidden="1">
          <a:extLst>
            <a:ext uri="{FF2B5EF4-FFF2-40B4-BE49-F238E27FC236}">
              <a16:creationId xmlns:a16="http://schemas.microsoft.com/office/drawing/2014/main" id="{E3D247DB-8931-477B-A318-A7FC326C1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50" name="BEx5BJQWS6YWHH4ZMSUAMD641V6Y" descr="ZTMFMXCIQSECDX38ALEFHUB00" hidden="1">
          <a:extLst>
            <a:ext uri="{FF2B5EF4-FFF2-40B4-BE49-F238E27FC236}">
              <a16:creationId xmlns:a16="http://schemas.microsoft.com/office/drawing/2014/main" id="{A0C14FCB-E5AB-434B-9EEC-EC47748BF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51" name="BExUBK0YZ5VYFY8TTITJGJU9S06A" hidden="1">
          <a:extLst>
            <a:ext uri="{FF2B5EF4-FFF2-40B4-BE49-F238E27FC236}">
              <a16:creationId xmlns:a16="http://schemas.microsoft.com/office/drawing/2014/main" id="{C1EC95EB-25D5-41C4-822D-8B29C8F25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52" name="BEx5BJQWS6YWHH4ZMSUAMD641V6Y" descr="ZTMFMXCIQSECDX38ALEFHUB00" hidden="1">
          <a:extLst>
            <a:ext uri="{FF2B5EF4-FFF2-40B4-BE49-F238E27FC236}">
              <a16:creationId xmlns:a16="http://schemas.microsoft.com/office/drawing/2014/main" id="{E254D47F-8DEE-45F2-AEDF-113FA86FF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53" name="BExUBK0YZ5VYFY8TTITJGJU9S06A" hidden="1">
          <a:extLst>
            <a:ext uri="{FF2B5EF4-FFF2-40B4-BE49-F238E27FC236}">
              <a16:creationId xmlns:a16="http://schemas.microsoft.com/office/drawing/2014/main" id="{4B411B98-3726-4711-971B-A2CEB9E6F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54" name="BEx5BJQWS6YWHH4ZMSUAMD641V6Y" descr="ZTMFMXCIQSECDX38ALEFHUB00" hidden="1">
          <a:extLst>
            <a:ext uri="{FF2B5EF4-FFF2-40B4-BE49-F238E27FC236}">
              <a16:creationId xmlns:a16="http://schemas.microsoft.com/office/drawing/2014/main" id="{6AD29070-388D-4240-AE96-6397BF0B1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55" name="BExUBK0YZ5VYFY8TTITJGJU9S06A" hidden="1">
          <a:extLst>
            <a:ext uri="{FF2B5EF4-FFF2-40B4-BE49-F238E27FC236}">
              <a16:creationId xmlns:a16="http://schemas.microsoft.com/office/drawing/2014/main" id="{377C5C7E-7E5C-4B81-8D14-349FCA580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56" name="BEx5BJQWS6YWHH4ZMSUAMD641V6Y" descr="ZTMFMXCIQSECDX38ALEFHUB00" hidden="1">
          <a:extLst>
            <a:ext uri="{FF2B5EF4-FFF2-40B4-BE49-F238E27FC236}">
              <a16:creationId xmlns:a16="http://schemas.microsoft.com/office/drawing/2014/main" id="{29414A2B-2467-4516-840F-E0B2AE214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57" name="BExUBK0YZ5VYFY8TTITJGJU9S06A" hidden="1">
          <a:extLst>
            <a:ext uri="{FF2B5EF4-FFF2-40B4-BE49-F238E27FC236}">
              <a16:creationId xmlns:a16="http://schemas.microsoft.com/office/drawing/2014/main" id="{2B74323E-CFD2-4068-860F-3B3129E9D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58" name="BExU3EX5JJCXCII4YKUJBFBGIJR2" descr="OF5ZI9PI5WH36VPANJ2DYLNMI" hidden="1">
          <a:extLst>
            <a:ext uri="{FF2B5EF4-FFF2-40B4-BE49-F238E27FC236}">
              <a16:creationId xmlns:a16="http://schemas.microsoft.com/office/drawing/2014/main" id="{70F0A2F4-7EB3-4782-8837-FAF2FF864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59" name="BExW9676P0SKCVKK25QCGHPA3PAD" descr="9A4PWZ20RMSRF0PNECCDM75CA" hidden="1">
          <a:extLst>
            <a:ext uri="{FF2B5EF4-FFF2-40B4-BE49-F238E27FC236}">
              <a16:creationId xmlns:a16="http://schemas.microsoft.com/office/drawing/2014/main" id="{589F4E88-FFE9-4E4D-B3B9-878A3F57F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60" name="BExMM0AVUAIRNJLXB1FW8R0YB4ZZ" hidden="1">
          <a:extLst>
            <a:ext uri="{FF2B5EF4-FFF2-40B4-BE49-F238E27FC236}">
              <a16:creationId xmlns:a16="http://schemas.microsoft.com/office/drawing/2014/main" id="{EF57840A-F358-465C-BCA5-D5BB80F4F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61" name="BExQ7SXS9VUG7P6CACU2J7R2SGIZ" hidden="1">
          <a:extLst>
            <a:ext uri="{FF2B5EF4-FFF2-40B4-BE49-F238E27FC236}">
              <a16:creationId xmlns:a16="http://schemas.microsoft.com/office/drawing/2014/main" id="{3263FF9F-6B27-49CA-9319-C6DB59A0F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62" name="BExU3EX5JJCXCII4YKUJBFBGIJR2" descr="OF5ZI9PI5WH36VPANJ2DYLNMI" hidden="1">
          <a:extLst>
            <a:ext uri="{FF2B5EF4-FFF2-40B4-BE49-F238E27FC236}">
              <a16:creationId xmlns:a16="http://schemas.microsoft.com/office/drawing/2014/main" id="{F1B22061-28EA-49B5-AD6F-92A1DC332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63" name="BExW9676P0SKCVKK25QCGHPA3PAD" descr="9A4PWZ20RMSRF0PNECCDM75CA" hidden="1">
          <a:extLst>
            <a:ext uri="{FF2B5EF4-FFF2-40B4-BE49-F238E27FC236}">
              <a16:creationId xmlns:a16="http://schemas.microsoft.com/office/drawing/2014/main" id="{080BC702-0F5F-4D17-BBBA-B77E43494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64" name="BExMM0AVUAIRNJLXB1FW8R0YB4ZZ" hidden="1">
          <a:extLst>
            <a:ext uri="{FF2B5EF4-FFF2-40B4-BE49-F238E27FC236}">
              <a16:creationId xmlns:a16="http://schemas.microsoft.com/office/drawing/2014/main" id="{87DF5712-EF47-45DC-BF11-FE6AB0471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65" name="BExQ7SXS9VUG7P6CACU2J7R2SGIZ" hidden="1">
          <a:extLst>
            <a:ext uri="{FF2B5EF4-FFF2-40B4-BE49-F238E27FC236}">
              <a16:creationId xmlns:a16="http://schemas.microsoft.com/office/drawing/2014/main" id="{3FCDBA84-E0DA-4025-A945-39EA8BC8D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66" name="BEx5BJQWS6YWHH4ZMSUAMD641V6Y" descr="ZTMFMXCIQSECDX38ALEFHUB00" hidden="1">
          <a:extLst>
            <a:ext uri="{FF2B5EF4-FFF2-40B4-BE49-F238E27FC236}">
              <a16:creationId xmlns:a16="http://schemas.microsoft.com/office/drawing/2014/main" id="{3090D883-4F45-4032-B0A9-2295C8BCF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67" name="BExUBK0YZ5VYFY8TTITJGJU9S06A" hidden="1">
          <a:extLst>
            <a:ext uri="{FF2B5EF4-FFF2-40B4-BE49-F238E27FC236}">
              <a16:creationId xmlns:a16="http://schemas.microsoft.com/office/drawing/2014/main" id="{DF4DCD91-6AA4-4CFE-9B92-388E502CD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68" name="BEx5BJQWS6YWHH4ZMSUAMD641V6Y" descr="ZTMFMXCIQSECDX38ALEFHUB00" hidden="1">
          <a:extLst>
            <a:ext uri="{FF2B5EF4-FFF2-40B4-BE49-F238E27FC236}">
              <a16:creationId xmlns:a16="http://schemas.microsoft.com/office/drawing/2014/main" id="{ACA7D49E-0307-4EE1-A4E9-EE36D3E2C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69" name="BExUBK0YZ5VYFY8TTITJGJU9S06A" hidden="1">
          <a:extLst>
            <a:ext uri="{FF2B5EF4-FFF2-40B4-BE49-F238E27FC236}">
              <a16:creationId xmlns:a16="http://schemas.microsoft.com/office/drawing/2014/main" id="{504F1DBE-E7A6-49E0-A6F4-C482F357C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70" name="BEx5BJQWS6YWHH4ZMSUAMD641V6Y" descr="ZTMFMXCIQSECDX38ALEFHUB00" hidden="1">
          <a:extLst>
            <a:ext uri="{FF2B5EF4-FFF2-40B4-BE49-F238E27FC236}">
              <a16:creationId xmlns:a16="http://schemas.microsoft.com/office/drawing/2014/main" id="{DD04915C-08FC-4E59-BA51-A135E6DD7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71" name="BExUBK0YZ5VYFY8TTITJGJU9S06A" hidden="1">
          <a:extLst>
            <a:ext uri="{FF2B5EF4-FFF2-40B4-BE49-F238E27FC236}">
              <a16:creationId xmlns:a16="http://schemas.microsoft.com/office/drawing/2014/main" id="{6F3AA970-D9F6-4720-9056-40C84D122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72" name="BEx5BJQWS6YWHH4ZMSUAMD641V6Y" descr="ZTMFMXCIQSECDX38ALEFHUB00" hidden="1">
          <a:extLst>
            <a:ext uri="{FF2B5EF4-FFF2-40B4-BE49-F238E27FC236}">
              <a16:creationId xmlns:a16="http://schemas.microsoft.com/office/drawing/2014/main" id="{06525A0C-28B2-4D1F-A30E-F698E7D25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73" name="BExUBK0YZ5VYFY8TTITJGJU9S06A" hidden="1">
          <a:extLst>
            <a:ext uri="{FF2B5EF4-FFF2-40B4-BE49-F238E27FC236}">
              <a16:creationId xmlns:a16="http://schemas.microsoft.com/office/drawing/2014/main" id="{B68161BE-6023-4857-8C57-CB10D74DB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74" name="BEx5BJQWS6YWHH4ZMSUAMD641V6Y" descr="ZTMFMXCIQSECDX38ALEFHUB00" hidden="1">
          <a:extLst>
            <a:ext uri="{FF2B5EF4-FFF2-40B4-BE49-F238E27FC236}">
              <a16:creationId xmlns:a16="http://schemas.microsoft.com/office/drawing/2014/main" id="{170BB98A-BB5B-4D8F-8042-5D64FECC9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75" name="BExUBK0YZ5VYFY8TTITJGJU9S06A" hidden="1">
          <a:extLst>
            <a:ext uri="{FF2B5EF4-FFF2-40B4-BE49-F238E27FC236}">
              <a16:creationId xmlns:a16="http://schemas.microsoft.com/office/drawing/2014/main" id="{F06AD3FC-63E2-4882-9AF0-D5DC63A79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76" name="BEx5BJQWS6YWHH4ZMSUAMD641V6Y" descr="ZTMFMXCIQSECDX38ALEFHUB00" hidden="1">
          <a:extLst>
            <a:ext uri="{FF2B5EF4-FFF2-40B4-BE49-F238E27FC236}">
              <a16:creationId xmlns:a16="http://schemas.microsoft.com/office/drawing/2014/main" id="{2C7AA190-E15D-45AA-A2EC-421C80711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77" name="BExUBK0YZ5VYFY8TTITJGJU9S06A" hidden="1">
          <a:extLst>
            <a:ext uri="{FF2B5EF4-FFF2-40B4-BE49-F238E27FC236}">
              <a16:creationId xmlns:a16="http://schemas.microsoft.com/office/drawing/2014/main" id="{BF0E0C48-EF36-4F28-A11C-561327F36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78" name="BExU3EX5JJCXCII4YKUJBFBGIJR2" descr="OF5ZI9PI5WH36VPANJ2DYLNMI" hidden="1">
          <a:extLst>
            <a:ext uri="{FF2B5EF4-FFF2-40B4-BE49-F238E27FC236}">
              <a16:creationId xmlns:a16="http://schemas.microsoft.com/office/drawing/2014/main" id="{7137EB16-4A88-4745-84FD-46E108405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79" name="BExW9676P0SKCVKK25QCGHPA3PAD" descr="9A4PWZ20RMSRF0PNECCDM75CA" hidden="1">
          <a:extLst>
            <a:ext uri="{FF2B5EF4-FFF2-40B4-BE49-F238E27FC236}">
              <a16:creationId xmlns:a16="http://schemas.microsoft.com/office/drawing/2014/main" id="{D575C110-E700-45C2-A7CC-880A835FF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80" name="BExMM0AVUAIRNJLXB1FW8R0YB4ZZ" hidden="1">
          <a:extLst>
            <a:ext uri="{FF2B5EF4-FFF2-40B4-BE49-F238E27FC236}">
              <a16:creationId xmlns:a16="http://schemas.microsoft.com/office/drawing/2014/main" id="{D7BFB15C-3C4F-4170-9367-C1C9627A6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181" name="BExQ7SXS9VUG7P6CACU2J7R2SGIZ" hidden="1">
          <a:extLst>
            <a:ext uri="{FF2B5EF4-FFF2-40B4-BE49-F238E27FC236}">
              <a16:creationId xmlns:a16="http://schemas.microsoft.com/office/drawing/2014/main" id="{A3F6C3E5-B1C9-4760-A28C-BB36BCD49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82" name="BEx5BJQWS6YWHH4ZMSUAMD641V6Y" descr="ZTMFMXCIQSECDX38ALEFHUB00" hidden="1">
          <a:extLst>
            <a:ext uri="{FF2B5EF4-FFF2-40B4-BE49-F238E27FC236}">
              <a16:creationId xmlns:a16="http://schemas.microsoft.com/office/drawing/2014/main" id="{041A8872-F26E-4748-B48B-E52B1ED48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83" name="BExUBK0YZ5VYFY8TTITJGJU9S06A" hidden="1">
          <a:extLst>
            <a:ext uri="{FF2B5EF4-FFF2-40B4-BE49-F238E27FC236}">
              <a16:creationId xmlns:a16="http://schemas.microsoft.com/office/drawing/2014/main" id="{AA753B10-3225-45DB-9BD1-96406173F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84" name="BEx5BJQWS6YWHH4ZMSUAMD641V6Y" descr="ZTMFMXCIQSECDX38ALEFHUB00" hidden="1">
          <a:extLst>
            <a:ext uri="{FF2B5EF4-FFF2-40B4-BE49-F238E27FC236}">
              <a16:creationId xmlns:a16="http://schemas.microsoft.com/office/drawing/2014/main" id="{185FBBBA-B4E9-4419-A08A-8D49D2AFD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85" name="BExUBK0YZ5VYFY8TTITJGJU9S06A" hidden="1">
          <a:extLst>
            <a:ext uri="{FF2B5EF4-FFF2-40B4-BE49-F238E27FC236}">
              <a16:creationId xmlns:a16="http://schemas.microsoft.com/office/drawing/2014/main" id="{99D788FF-CF43-4F96-970E-C15AC0147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86" name="BEx5BJQWS6YWHH4ZMSUAMD641V6Y" descr="ZTMFMXCIQSECDX38ALEFHUB00" hidden="1">
          <a:extLst>
            <a:ext uri="{FF2B5EF4-FFF2-40B4-BE49-F238E27FC236}">
              <a16:creationId xmlns:a16="http://schemas.microsoft.com/office/drawing/2014/main" id="{ED7CE4B9-507D-4D47-AC2B-713AED232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87" name="BExUBK0YZ5VYFY8TTITJGJU9S06A" hidden="1">
          <a:extLst>
            <a:ext uri="{FF2B5EF4-FFF2-40B4-BE49-F238E27FC236}">
              <a16:creationId xmlns:a16="http://schemas.microsoft.com/office/drawing/2014/main" id="{0CDD8CFE-0582-424F-8D8A-A1BA8ABAD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88" name="BEx5BJQWS6YWHH4ZMSUAMD641V6Y" descr="ZTMFMXCIQSECDX38ALEFHUB00" hidden="1">
          <a:extLst>
            <a:ext uri="{FF2B5EF4-FFF2-40B4-BE49-F238E27FC236}">
              <a16:creationId xmlns:a16="http://schemas.microsoft.com/office/drawing/2014/main" id="{AD9909E7-E7F3-4DD7-83D5-DDFAB036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89" name="BExUBK0YZ5VYFY8TTITJGJU9S06A" hidden="1">
          <a:extLst>
            <a:ext uri="{FF2B5EF4-FFF2-40B4-BE49-F238E27FC236}">
              <a16:creationId xmlns:a16="http://schemas.microsoft.com/office/drawing/2014/main" id="{1EEA02F2-B0F3-4CAC-9924-D5C365F0E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90" name="BEx5BJQWS6YWHH4ZMSUAMD641V6Y" descr="ZTMFMXCIQSECDX38ALEFHUB00" hidden="1">
          <a:extLst>
            <a:ext uri="{FF2B5EF4-FFF2-40B4-BE49-F238E27FC236}">
              <a16:creationId xmlns:a16="http://schemas.microsoft.com/office/drawing/2014/main" id="{8DAC75AF-64E0-408C-9D79-72713B962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91" name="BExUBK0YZ5VYFY8TTITJGJU9S06A" hidden="1">
          <a:extLst>
            <a:ext uri="{FF2B5EF4-FFF2-40B4-BE49-F238E27FC236}">
              <a16:creationId xmlns:a16="http://schemas.microsoft.com/office/drawing/2014/main" id="{A958E8C4-346C-4A80-9C8C-E1E25951A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92" name="BEx5BJQWS6YWHH4ZMSUAMD641V6Y" descr="ZTMFMXCIQSECDX38ALEFHUB00" hidden="1">
          <a:extLst>
            <a:ext uri="{FF2B5EF4-FFF2-40B4-BE49-F238E27FC236}">
              <a16:creationId xmlns:a16="http://schemas.microsoft.com/office/drawing/2014/main" id="{C221F72F-5118-4AA7-83EC-4921FE664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93" name="BExUBK0YZ5VYFY8TTITJGJU9S06A" hidden="1">
          <a:extLst>
            <a:ext uri="{FF2B5EF4-FFF2-40B4-BE49-F238E27FC236}">
              <a16:creationId xmlns:a16="http://schemas.microsoft.com/office/drawing/2014/main" id="{FB5E0B19-CB4B-4C4D-867C-007D7F400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94" name="BEx1KD7H6UB1VYCJ7O61P562EIUY" descr="IQGV9140X0K0UPBL8OGU3I44J" hidden="1">
          <a:extLst>
            <a:ext uri="{FF2B5EF4-FFF2-40B4-BE49-F238E27FC236}">
              <a16:creationId xmlns:a16="http://schemas.microsoft.com/office/drawing/2014/main" id="{68A34B60-3DD5-41FB-BAE3-360964C02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195" name="BEx5BJQWS6YWHH4ZMSUAMD641V6Y" descr="ZTMFMXCIQSECDX38ALEFHUB00" hidden="1">
          <a:extLst>
            <a:ext uri="{FF2B5EF4-FFF2-40B4-BE49-F238E27FC236}">
              <a16:creationId xmlns:a16="http://schemas.microsoft.com/office/drawing/2014/main" id="{AFBB87E4-7038-42DA-AD6C-8C8A1A93E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96" name="BEx5AQZ4ETQ9LMY5EBWVH20Z7VXQ" hidden="1">
          <a:extLst>
            <a:ext uri="{FF2B5EF4-FFF2-40B4-BE49-F238E27FC236}">
              <a16:creationId xmlns:a16="http://schemas.microsoft.com/office/drawing/2014/main" id="{317C04B7-0FF8-49C3-AF2F-A6F9CCB8F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197" name="BExUBK0YZ5VYFY8TTITJGJU9S06A" hidden="1">
          <a:extLst>
            <a:ext uri="{FF2B5EF4-FFF2-40B4-BE49-F238E27FC236}">
              <a16:creationId xmlns:a16="http://schemas.microsoft.com/office/drawing/2014/main" id="{B16A44B6-9E3C-497A-B756-561363FCD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98" name="BEx1KD7H6UB1VYCJ7O61P562EIUY" descr="IQGV9140X0K0UPBL8OGU3I44J" hidden="1">
          <a:extLst>
            <a:ext uri="{FF2B5EF4-FFF2-40B4-BE49-F238E27FC236}">
              <a16:creationId xmlns:a16="http://schemas.microsoft.com/office/drawing/2014/main" id="{F0264436-2ED3-4A11-AD19-1153BF711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99" name="BEx5BJQWS6YWHH4ZMSUAMD641V6Y" descr="ZTMFMXCIQSECDX38ALEFHUB00" hidden="1">
          <a:extLst>
            <a:ext uri="{FF2B5EF4-FFF2-40B4-BE49-F238E27FC236}">
              <a16:creationId xmlns:a16="http://schemas.microsoft.com/office/drawing/2014/main" id="{8E01262C-4AC5-4923-84AE-C24951DF5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200" name="BEx5AQZ4ETQ9LMY5EBWVH20Z7VXQ" hidden="1">
          <a:extLst>
            <a:ext uri="{FF2B5EF4-FFF2-40B4-BE49-F238E27FC236}">
              <a16:creationId xmlns:a16="http://schemas.microsoft.com/office/drawing/2014/main" id="{60910949-7F37-4227-8138-B53740CFA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01" name="BExUBK0YZ5VYFY8TTITJGJU9S06A" hidden="1">
          <a:extLst>
            <a:ext uri="{FF2B5EF4-FFF2-40B4-BE49-F238E27FC236}">
              <a16:creationId xmlns:a16="http://schemas.microsoft.com/office/drawing/2014/main" id="{0F892C7C-50BA-496F-A42B-BACBE6F45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202" name="BEx1KD7H6UB1VYCJ7O61P562EIUY" descr="IQGV9140X0K0UPBL8OGU3I44J" hidden="1">
          <a:extLst>
            <a:ext uri="{FF2B5EF4-FFF2-40B4-BE49-F238E27FC236}">
              <a16:creationId xmlns:a16="http://schemas.microsoft.com/office/drawing/2014/main" id="{A49D63CD-C250-4BD4-AB9F-780B0280B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03" name="BEx5BJQWS6YWHH4ZMSUAMD641V6Y" descr="ZTMFMXCIQSECDX38ALEFHUB00" hidden="1">
          <a:extLst>
            <a:ext uri="{FF2B5EF4-FFF2-40B4-BE49-F238E27FC236}">
              <a16:creationId xmlns:a16="http://schemas.microsoft.com/office/drawing/2014/main" id="{E37DC1DF-51D1-455C-9C5D-0C0179E15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204" name="BEx5AQZ4ETQ9LMY5EBWVH20Z7VXQ" hidden="1">
          <a:extLst>
            <a:ext uri="{FF2B5EF4-FFF2-40B4-BE49-F238E27FC236}">
              <a16:creationId xmlns:a16="http://schemas.microsoft.com/office/drawing/2014/main" id="{18EB679A-B4F3-4DDC-BE43-6C0894D51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05" name="BExUBK0YZ5VYFY8TTITJGJU9S06A" hidden="1">
          <a:extLst>
            <a:ext uri="{FF2B5EF4-FFF2-40B4-BE49-F238E27FC236}">
              <a16:creationId xmlns:a16="http://schemas.microsoft.com/office/drawing/2014/main" id="{E1A50DA4-E1B0-4AEB-ACFE-4B37FD6C8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206" name="BEx1KD7H6UB1VYCJ7O61P562EIUY" descr="IQGV9140X0K0UPBL8OGU3I44J" hidden="1">
          <a:extLst>
            <a:ext uri="{FF2B5EF4-FFF2-40B4-BE49-F238E27FC236}">
              <a16:creationId xmlns:a16="http://schemas.microsoft.com/office/drawing/2014/main" id="{371310D1-2DD9-4AEE-9775-181F3562A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07" name="BEx5BJQWS6YWHH4ZMSUAMD641V6Y" descr="ZTMFMXCIQSECDX38ALEFHUB00" hidden="1">
          <a:extLst>
            <a:ext uri="{FF2B5EF4-FFF2-40B4-BE49-F238E27FC236}">
              <a16:creationId xmlns:a16="http://schemas.microsoft.com/office/drawing/2014/main" id="{AC659825-9AF5-4DF1-B20B-49624A87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208" name="BEx5AQZ4ETQ9LMY5EBWVH20Z7VXQ" hidden="1">
          <a:extLst>
            <a:ext uri="{FF2B5EF4-FFF2-40B4-BE49-F238E27FC236}">
              <a16:creationId xmlns:a16="http://schemas.microsoft.com/office/drawing/2014/main" id="{092B28D6-09E2-4030-9D44-E0863618E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09" name="BExUBK0YZ5VYFY8TTITJGJU9S06A" hidden="1">
          <a:extLst>
            <a:ext uri="{FF2B5EF4-FFF2-40B4-BE49-F238E27FC236}">
              <a16:creationId xmlns:a16="http://schemas.microsoft.com/office/drawing/2014/main" id="{FB8BB38C-FB17-42A1-BFEE-8AEC92525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210" name="BEx1KD7H6UB1VYCJ7O61P562EIUY" descr="IQGV9140X0K0UPBL8OGU3I44J" hidden="1">
          <a:extLst>
            <a:ext uri="{FF2B5EF4-FFF2-40B4-BE49-F238E27FC236}">
              <a16:creationId xmlns:a16="http://schemas.microsoft.com/office/drawing/2014/main" id="{B5FC865D-72DF-495E-AEFA-2C35D46CE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11" name="BEx5BJQWS6YWHH4ZMSUAMD641V6Y" descr="ZTMFMXCIQSECDX38ALEFHUB00" hidden="1">
          <a:extLst>
            <a:ext uri="{FF2B5EF4-FFF2-40B4-BE49-F238E27FC236}">
              <a16:creationId xmlns:a16="http://schemas.microsoft.com/office/drawing/2014/main" id="{2B057A29-357B-4B4B-A9C8-6C5192D2E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212" name="BEx5AQZ4ETQ9LMY5EBWVH20Z7VXQ" hidden="1">
          <a:extLst>
            <a:ext uri="{FF2B5EF4-FFF2-40B4-BE49-F238E27FC236}">
              <a16:creationId xmlns:a16="http://schemas.microsoft.com/office/drawing/2014/main" id="{ACA148BF-5E8D-428B-95D3-39CFBC342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13" name="BExUBK0YZ5VYFY8TTITJGJU9S06A" hidden="1">
          <a:extLst>
            <a:ext uri="{FF2B5EF4-FFF2-40B4-BE49-F238E27FC236}">
              <a16:creationId xmlns:a16="http://schemas.microsoft.com/office/drawing/2014/main" id="{12586F93-625C-4F05-82AD-632F86BD3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214" name="BExMO7VFCN4EL59982UR4AJ25JNJ" descr="XX6TINEJADZGKR0CTM7ZRT0RA" hidden="1">
          <a:extLst>
            <a:ext uri="{FF2B5EF4-FFF2-40B4-BE49-F238E27FC236}">
              <a16:creationId xmlns:a16="http://schemas.microsoft.com/office/drawing/2014/main" id="{02517C7E-6C7A-469A-938E-6DEFF2C07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215" name="BExU3EX5JJCXCII4YKUJBFBGIJR2" descr="OF5ZI9PI5WH36VPANJ2DYLNMI" hidden="1">
          <a:extLst>
            <a:ext uri="{FF2B5EF4-FFF2-40B4-BE49-F238E27FC236}">
              <a16:creationId xmlns:a16="http://schemas.microsoft.com/office/drawing/2014/main" id="{460D2C7F-8AA9-4C9D-8E5A-DA85ED616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216" name="BEx1KD7H6UB1VYCJ7O61P562EIUY" descr="IQGV9140X0K0UPBL8OGU3I44J" hidden="1">
          <a:extLst>
            <a:ext uri="{FF2B5EF4-FFF2-40B4-BE49-F238E27FC236}">
              <a16:creationId xmlns:a16="http://schemas.microsoft.com/office/drawing/2014/main" id="{85858D3A-F6F7-4E84-8BDD-EE3F828A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17" name="BEx5BJQWS6YWHH4ZMSUAMD641V6Y" descr="ZTMFMXCIQSECDX38ALEFHUB00" hidden="1">
          <a:extLst>
            <a:ext uri="{FF2B5EF4-FFF2-40B4-BE49-F238E27FC236}">
              <a16:creationId xmlns:a16="http://schemas.microsoft.com/office/drawing/2014/main" id="{A36A5CC6-019F-47CF-B90F-97AC40B20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218" name="BExVTO5Q8G2M7BPL4B2584LQS0R0" descr="OB6Q8NA4LZFE4GM9Y3V56BPMQ" hidden="1">
          <a:extLst>
            <a:ext uri="{FF2B5EF4-FFF2-40B4-BE49-F238E27FC236}">
              <a16:creationId xmlns:a16="http://schemas.microsoft.com/office/drawing/2014/main" id="{A3E4085C-0C2D-43D6-B44E-CB09FDDAD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219" name="BExIFSCLN1G86X78PFLTSMRP0US5" descr="9JK4SPV4DG7VTCZIILWHXQU5J" hidden="1">
          <a:extLst>
            <a:ext uri="{FF2B5EF4-FFF2-40B4-BE49-F238E27FC236}">
              <a16:creationId xmlns:a16="http://schemas.microsoft.com/office/drawing/2014/main" id="{2E1E533E-9243-491F-B581-10075860F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220" name="BEx1I152WN2D3A85O2XN0DGXCWHN" descr="KHBZFMANRA4UMJR1AB4M5NJNT" hidden="1">
          <a:extLst>
            <a:ext uri="{FF2B5EF4-FFF2-40B4-BE49-F238E27FC236}">
              <a16:creationId xmlns:a16="http://schemas.microsoft.com/office/drawing/2014/main" id="{BDCCC3B7-51F8-43B6-875D-AC5325386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221" name="BExW9676P0SKCVKK25QCGHPA3PAD" descr="9A4PWZ20RMSRF0PNECCDM75CA" hidden="1">
          <a:extLst>
            <a:ext uri="{FF2B5EF4-FFF2-40B4-BE49-F238E27FC236}">
              <a16:creationId xmlns:a16="http://schemas.microsoft.com/office/drawing/2014/main" id="{1CAB96E6-9E7C-4441-9C42-FF93680B1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222" name="BExS5CPQ8P8JOQPK7ANNKHLSGOKU" hidden="1">
          <a:extLst>
            <a:ext uri="{FF2B5EF4-FFF2-40B4-BE49-F238E27FC236}">
              <a16:creationId xmlns:a16="http://schemas.microsoft.com/office/drawing/2014/main" id="{4C29CA72-E9A2-42C5-8428-CC40414B8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223" name="BExMM0AVUAIRNJLXB1FW8R0YB4ZZ" hidden="1">
          <a:extLst>
            <a:ext uri="{FF2B5EF4-FFF2-40B4-BE49-F238E27FC236}">
              <a16:creationId xmlns:a16="http://schemas.microsoft.com/office/drawing/2014/main" id="{35E92707-723A-48D9-9F0C-5B642591E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224" name="BExXZ7Y09CBS0XA7IPB3IRJ8RJM4" hidden="1">
          <a:extLst>
            <a:ext uri="{FF2B5EF4-FFF2-40B4-BE49-F238E27FC236}">
              <a16:creationId xmlns:a16="http://schemas.microsoft.com/office/drawing/2014/main" id="{AE760DFE-F0CB-4C95-BEBB-A03A05096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225" name="BExQ7SXS9VUG7P6CACU2J7R2SGIZ" hidden="1">
          <a:extLst>
            <a:ext uri="{FF2B5EF4-FFF2-40B4-BE49-F238E27FC236}">
              <a16:creationId xmlns:a16="http://schemas.microsoft.com/office/drawing/2014/main" id="{3668FAA0-69C3-48AA-9FEF-CA6202A88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226" name="BEx5AQZ4ETQ9LMY5EBWVH20Z7VXQ" hidden="1">
          <a:extLst>
            <a:ext uri="{FF2B5EF4-FFF2-40B4-BE49-F238E27FC236}">
              <a16:creationId xmlns:a16="http://schemas.microsoft.com/office/drawing/2014/main" id="{97E7C55D-7D57-41DA-B4F2-7FDD02808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27" name="BExUBK0YZ5VYFY8TTITJGJU9S06A" hidden="1">
          <a:extLst>
            <a:ext uri="{FF2B5EF4-FFF2-40B4-BE49-F238E27FC236}">
              <a16:creationId xmlns:a16="http://schemas.microsoft.com/office/drawing/2014/main" id="{2FE2A0D8-CBE2-481A-B24A-4C2D9C39C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228" name="BExUEZCSSJ7RN4J18I2NUIQR2FZS" hidden="1">
          <a:extLst>
            <a:ext uri="{FF2B5EF4-FFF2-40B4-BE49-F238E27FC236}">
              <a16:creationId xmlns:a16="http://schemas.microsoft.com/office/drawing/2014/main" id="{B22681A8-C908-458B-BB7B-22F5FB2B3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2592705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229" name="BExS3JDQWF7U3F5JTEVOE16ASIYK" hidden="1">
          <a:extLst>
            <a:ext uri="{FF2B5EF4-FFF2-40B4-BE49-F238E27FC236}">
              <a16:creationId xmlns:a16="http://schemas.microsoft.com/office/drawing/2014/main" id="{0A2138E3-585D-4883-98F8-3D7EEC4D9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25908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30" name="BEx5BJQWS6YWHH4ZMSUAMD641V6Y" descr="ZTMFMXCIQSECDX38ALEFHUB00" hidden="1">
          <a:extLst>
            <a:ext uri="{FF2B5EF4-FFF2-40B4-BE49-F238E27FC236}">
              <a16:creationId xmlns:a16="http://schemas.microsoft.com/office/drawing/2014/main" id="{FC0E8C26-8549-4640-A051-67F537DF7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31" name="BExUBK0YZ5VYFY8TTITJGJU9S06A" hidden="1">
          <a:extLst>
            <a:ext uri="{FF2B5EF4-FFF2-40B4-BE49-F238E27FC236}">
              <a16:creationId xmlns:a16="http://schemas.microsoft.com/office/drawing/2014/main" id="{5960E480-347E-4903-8E95-CE4C640D9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32" name="BExU3EX5JJCXCII4YKUJBFBGIJR2" descr="OF5ZI9PI5WH36VPANJ2DYLNMI" hidden="1">
          <a:extLst>
            <a:ext uri="{FF2B5EF4-FFF2-40B4-BE49-F238E27FC236}">
              <a16:creationId xmlns:a16="http://schemas.microsoft.com/office/drawing/2014/main" id="{451F96CC-526C-4275-B022-C2D527D80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33" name="BExW9676P0SKCVKK25QCGHPA3PAD" descr="9A4PWZ20RMSRF0PNECCDM75CA" hidden="1">
          <a:extLst>
            <a:ext uri="{FF2B5EF4-FFF2-40B4-BE49-F238E27FC236}">
              <a16:creationId xmlns:a16="http://schemas.microsoft.com/office/drawing/2014/main" id="{7D358871-7FE5-4801-B71C-B10E381FF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34" name="BExMM0AVUAIRNJLXB1FW8R0YB4ZZ" hidden="1">
          <a:extLst>
            <a:ext uri="{FF2B5EF4-FFF2-40B4-BE49-F238E27FC236}">
              <a16:creationId xmlns:a16="http://schemas.microsoft.com/office/drawing/2014/main" id="{7598F6E1-158A-474A-8A4A-827CCFD18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35" name="BExQ7SXS9VUG7P6CACU2J7R2SGIZ" hidden="1">
          <a:extLst>
            <a:ext uri="{FF2B5EF4-FFF2-40B4-BE49-F238E27FC236}">
              <a16:creationId xmlns:a16="http://schemas.microsoft.com/office/drawing/2014/main" id="{75DF5DBF-0C76-4C70-91FF-32E14CB57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36" name="BExU3EX5JJCXCII4YKUJBFBGIJR2" descr="OF5ZI9PI5WH36VPANJ2DYLNMI" hidden="1">
          <a:extLst>
            <a:ext uri="{FF2B5EF4-FFF2-40B4-BE49-F238E27FC236}">
              <a16:creationId xmlns:a16="http://schemas.microsoft.com/office/drawing/2014/main" id="{659C8C7F-66B9-4F2C-825F-6DD65C1C8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37" name="BExW9676P0SKCVKK25QCGHPA3PAD" descr="9A4PWZ20RMSRF0PNECCDM75CA" hidden="1">
          <a:extLst>
            <a:ext uri="{FF2B5EF4-FFF2-40B4-BE49-F238E27FC236}">
              <a16:creationId xmlns:a16="http://schemas.microsoft.com/office/drawing/2014/main" id="{BD3EF297-3883-489E-93CC-DC19C7231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38" name="BExMM0AVUAIRNJLXB1FW8R0YB4ZZ" hidden="1">
          <a:extLst>
            <a:ext uri="{FF2B5EF4-FFF2-40B4-BE49-F238E27FC236}">
              <a16:creationId xmlns:a16="http://schemas.microsoft.com/office/drawing/2014/main" id="{E151F093-41DB-4357-A890-F22A05AF0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39" name="BExQ7SXS9VUG7P6CACU2J7R2SGIZ" hidden="1">
          <a:extLst>
            <a:ext uri="{FF2B5EF4-FFF2-40B4-BE49-F238E27FC236}">
              <a16:creationId xmlns:a16="http://schemas.microsoft.com/office/drawing/2014/main" id="{8C04AC92-A8D2-4E94-A1EF-87C73284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40" name="BEx5BJQWS6YWHH4ZMSUAMD641V6Y" descr="ZTMFMXCIQSECDX38ALEFHUB00" hidden="1">
          <a:extLst>
            <a:ext uri="{FF2B5EF4-FFF2-40B4-BE49-F238E27FC236}">
              <a16:creationId xmlns:a16="http://schemas.microsoft.com/office/drawing/2014/main" id="{7E4F021B-2890-4866-9C6E-94839FDBC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41" name="BExUBK0YZ5VYFY8TTITJGJU9S06A" hidden="1">
          <a:extLst>
            <a:ext uri="{FF2B5EF4-FFF2-40B4-BE49-F238E27FC236}">
              <a16:creationId xmlns:a16="http://schemas.microsoft.com/office/drawing/2014/main" id="{707D6DAF-3FA5-4F31-81CE-97F629347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42" name="BEx5BJQWS6YWHH4ZMSUAMD641V6Y" descr="ZTMFMXCIQSECDX38ALEFHUB00" hidden="1">
          <a:extLst>
            <a:ext uri="{FF2B5EF4-FFF2-40B4-BE49-F238E27FC236}">
              <a16:creationId xmlns:a16="http://schemas.microsoft.com/office/drawing/2014/main" id="{9CC18E3D-2031-4764-97A4-5A914BFFD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43" name="BExUBK0YZ5VYFY8TTITJGJU9S06A" hidden="1">
          <a:extLst>
            <a:ext uri="{FF2B5EF4-FFF2-40B4-BE49-F238E27FC236}">
              <a16:creationId xmlns:a16="http://schemas.microsoft.com/office/drawing/2014/main" id="{77398F61-5774-4F58-A28F-C80B3897D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44" name="BEx5BJQWS6YWHH4ZMSUAMD641V6Y" descr="ZTMFMXCIQSECDX38ALEFHUB00" hidden="1">
          <a:extLst>
            <a:ext uri="{FF2B5EF4-FFF2-40B4-BE49-F238E27FC236}">
              <a16:creationId xmlns:a16="http://schemas.microsoft.com/office/drawing/2014/main" id="{EF4218B6-AA2A-458C-908A-795024678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45" name="BExUBK0YZ5VYFY8TTITJGJU9S06A" hidden="1">
          <a:extLst>
            <a:ext uri="{FF2B5EF4-FFF2-40B4-BE49-F238E27FC236}">
              <a16:creationId xmlns:a16="http://schemas.microsoft.com/office/drawing/2014/main" id="{31FC6A4D-0E12-4DD7-830C-8AB2D2A37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46" name="BEx5BJQWS6YWHH4ZMSUAMD641V6Y" descr="ZTMFMXCIQSECDX38ALEFHUB00" hidden="1">
          <a:extLst>
            <a:ext uri="{FF2B5EF4-FFF2-40B4-BE49-F238E27FC236}">
              <a16:creationId xmlns:a16="http://schemas.microsoft.com/office/drawing/2014/main" id="{0EA1C4F2-7083-4911-A114-94F3F8EB3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47" name="BExUBK0YZ5VYFY8TTITJGJU9S06A" hidden="1">
          <a:extLst>
            <a:ext uri="{FF2B5EF4-FFF2-40B4-BE49-F238E27FC236}">
              <a16:creationId xmlns:a16="http://schemas.microsoft.com/office/drawing/2014/main" id="{B0AF7305-88BF-4449-A806-A426965F6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48" name="BEx5BJQWS6YWHH4ZMSUAMD641V6Y" descr="ZTMFMXCIQSECDX38ALEFHUB00" hidden="1">
          <a:extLst>
            <a:ext uri="{FF2B5EF4-FFF2-40B4-BE49-F238E27FC236}">
              <a16:creationId xmlns:a16="http://schemas.microsoft.com/office/drawing/2014/main" id="{B6269E0B-4612-4CFF-B849-E19E544DC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49" name="BExUBK0YZ5VYFY8TTITJGJU9S06A" hidden="1">
          <a:extLst>
            <a:ext uri="{FF2B5EF4-FFF2-40B4-BE49-F238E27FC236}">
              <a16:creationId xmlns:a16="http://schemas.microsoft.com/office/drawing/2014/main" id="{8FD979AE-DB49-40EF-B992-EB04FB35C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50" name="BEx5BJQWS6YWHH4ZMSUAMD641V6Y" descr="ZTMFMXCIQSECDX38ALEFHUB00" hidden="1">
          <a:extLst>
            <a:ext uri="{FF2B5EF4-FFF2-40B4-BE49-F238E27FC236}">
              <a16:creationId xmlns:a16="http://schemas.microsoft.com/office/drawing/2014/main" id="{7B8442C0-450E-4F70-9E30-D7978B017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51" name="BExUBK0YZ5VYFY8TTITJGJU9S06A" hidden="1">
          <a:extLst>
            <a:ext uri="{FF2B5EF4-FFF2-40B4-BE49-F238E27FC236}">
              <a16:creationId xmlns:a16="http://schemas.microsoft.com/office/drawing/2014/main" id="{0C8F8E67-07A9-4505-BFEE-E14F13247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52" name="BEx5BJQWS6YWHH4ZMSUAMD641V6Y" descr="ZTMFMXCIQSECDX38ALEFHUB00" hidden="1">
          <a:extLst>
            <a:ext uri="{FF2B5EF4-FFF2-40B4-BE49-F238E27FC236}">
              <a16:creationId xmlns:a16="http://schemas.microsoft.com/office/drawing/2014/main" id="{5020B169-19B5-47F9-B66F-2A351BAE9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53" name="BExUBK0YZ5VYFY8TTITJGJU9S06A" hidden="1">
          <a:extLst>
            <a:ext uri="{FF2B5EF4-FFF2-40B4-BE49-F238E27FC236}">
              <a16:creationId xmlns:a16="http://schemas.microsoft.com/office/drawing/2014/main" id="{54CEAF93-D789-4559-BAA6-1AAEFD235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54" name="BEx5BJQWS6YWHH4ZMSUAMD641V6Y" descr="ZTMFMXCIQSECDX38ALEFHUB00" hidden="1">
          <a:extLst>
            <a:ext uri="{FF2B5EF4-FFF2-40B4-BE49-F238E27FC236}">
              <a16:creationId xmlns:a16="http://schemas.microsoft.com/office/drawing/2014/main" id="{071E1CF3-361F-4D36-86D5-6875828C2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55" name="BExUBK0YZ5VYFY8TTITJGJU9S06A" hidden="1">
          <a:extLst>
            <a:ext uri="{FF2B5EF4-FFF2-40B4-BE49-F238E27FC236}">
              <a16:creationId xmlns:a16="http://schemas.microsoft.com/office/drawing/2014/main" id="{509C6B21-C3E2-4300-9F0C-E4D6A3BB2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56" name="BEx5BJQWS6YWHH4ZMSUAMD641V6Y" descr="ZTMFMXCIQSECDX38ALEFHUB00" hidden="1">
          <a:extLst>
            <a:ext uri="{FF2B5EF4-FFF2-40B4-BE49-F238E27FC236}">
              <a16:creationId xmlns:a16="http://schemas.microsoft.com/office/drawing/2014/main" id="{2EDBE173-337A-4C7A-A043-BC9A0EE31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57" name="BExUBK0YZ5VYFY8TTITJGJU9S06A" hidden="1">
          <a:extLst>
            <a:ext uri="{FF2B5EF4-FFF2-40B4-BE49-F238E27FC236}">
              <a16:creationId xmlns:a16="http://schemas.microsoft.com/office/drawing/2014/main" id="{B7517025-21FB-4302-B9BE-EA89DE2CB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58" name="BExU3EX5JJCXCII4YKUJBFBGIJR2" descr="OF5ZI9PI5WH36VPANJ2DYLNMI" hidden="1">
          <a:extLst>
            <a:ext uri="{FF2B5EF4-FFF2-40B4-BE49-F238E27FC236}">
              <a16:creationId xmlns:a16="http://schemas.microsoft.com/office/drawing/2014/main" id="{DA28FB24-EEC8-4106-AB13-9ABBB2EB6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59" name="BExW9676P0SKCVKK25QCGHPA3PAD" descr="9A4PWZ20RMSRF0PNECCDM75CA" hidden="1">
          <a:extLst>
            <a:ext uri="{FF2B5EF4-FFF2-40B4-BE49-F238E27FC236}">
              <a16:creationId xmlns:a16="http://schemas.microsoft.com/office/drawing/2014/main" id="{01E358C6-7E57-480C-B1AF-B7FE7D829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0" name="BExMM0AVUAIRNJLXB1FW8R0YB4ZZ" hidden="1">
          <a:extLst>
            <a:ext uri="{FF2B5EF4-FFF2-40B4-BE49-F238E27FC236}">
              <a16:creationId xmlns:a16="http://schemas.microsoft.com/office/drawing/2014/main" id="{EBC189D3-9197-4A44-BB6D-BF7D55B76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1" name="BExQ7SXS9VUG7P6CACU2J7R2SGIZ" hidden="1">
          <a:extLst>
            <a:ext uri="{FF2B5EF4-FFF2-40B4-BE49-F238E27FC236}">
              <a16:creationId xmlns:a16="http://schemas.microsoft.com/office/drawing/2014/main" id="{C39440D7-BFFB-48AC-A3E6-06FDA59A4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2" name="BExU3EX5JJCXCII4YKUJBFBGIJR2" descr="OF5ZI9PI5WH36VPANJ2DYLNMI" hidden="1">
          <a:extLst>
            <a:ext uri="{FF2B5EF4-FFF2-40B4-BE49-F238E27FC236}">
              <a16:creationId xmlns:a16="http://schemas.microsoft.com/office/drawing/2014/main" id="{424E96E4-C1A1-42FE-BFEC-3212A436C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3" name="BExW9676P0SKCVKK25QCGHPA3PAD" descr="9A4PWZ20RMSRF0PNECCDM75CA" hidden="1">
          <a:extLst>
            <a:ext uri="{FF2B5EF4-FFF2-40B4-BE49-F238E27FC236}">
              <a16:creationId xmlns:a16="http://schemas.microsoft.com/office/drawing/2014/main" id="{29B8C1CE-627E-441B-B244-1B298C358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4" name="BExMM0AVUAIRNJLXB1FW8R0YB4ZZ" hidden="1">
          <a:extLst>
            <a:ext uri="{FF2B5EF4-FFF2-40B4-BE49-F238E27FC236}">
              <a16:creationId xmlns:a16="http://schemas.microsoft.com/office/drawing/2014/main" id="{9F3F02BD-E72F-4936-A320-482D45194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5" name="BExQ7SXS9VUG7P6CACU2J7R2SGIZ" hidden="1">
          <a:extLst>
            <a:ext uri="{FF2B5EF4-FFF2-40B4-BE49-F238E27FC236}">
              <a16:creationId xmlns:a16="http://schemas.microsoft.com/office/drawing/2014/main" id="{BC097B1B-43F0-4889-8CC0-D8C67802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6" name="BEx5BJQWS6YWHH4ZMSUAMD641V6Y" descr="ZTMFMXCIQSECDX38ALEFHUB00" hidden="1">
          <a:extLst>
            <a:ext uri="{FF2B5EF4-FFF2-40B4-BE49-F238E27FC236}">
              <a16:creationId xmlns:a16="http://schemas.microsoft.com/office/drawing/2014/main" id="{A284C8F2-A37B-42B4-9905-24480F261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7" name="BExUBK0YZ5VYFY8TTITJGJU9S06A" hidden="1">
          <a:extLst>
            <a:ext uri="{FF2B5EF4-FFF2-40B4-BE49-F238E27FC236}">
              <a16:creationId xmlns:a16="http://schemas.microsoft.com/office/drawing/2014/main" id="{DEBFF7BE-9899-41E5-A408-D7A5B320E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8" name="BEx5BJQWS6YWHH4ZMSUAMD641V6Y" descr="ZTMFMXCIQSECDX38ALEFHUB00" hidden="1">
          <a:extLst>
            <a:ext uri="{FF2B5EF4-FFF2-40B4-BE49-F238E27FC236}">
              <a16:creationId xmlns:a16="http://schemas.microsoft.com/office/drawing/2014/main" id="{CACFC929-92B1-4660-88E7-07A070DB0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9" name="BExUBK0YZ5VYFY8TTITJGJU9S06A" hidden="1">
          <a:extLst>
            <a:ext uri="{FF2B5EF4-FFF2-40B4-BE49-F238E27FC236}">
              <a16:creationId xmlns:a16="http://schemas.microsoft.com/office/drawing/2014/main" id="{D0D62320-184E-4256-8410-C7F133C3E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0" name="BEx5BJQWS6YWHH4ZMSUAMD641V6Y" descr="ZTMFMXCIQSECDX38ALEFHUB00" hidden="1">
          <a:extLst>
            <a:ext uri="{FF2B5EF4-FFF2-40B4-BE49-F238E27FC236}">
              <a16:creationId xmlns:a16="http://schemas.microsoft.com/office/drawing/2014/main" id="{9AEAB8C1-A182-4B63-8475-DD0687108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1" name="BExUBK0YZ5VYFY8TTITJGJU9S06A" hidden="1">
          <a:extLst>
            <a:ext uri="{FF2B5EF4-FFF2-40B4-BE49-F238E27FC236}">
              <a16:creationId xmlns:a16="http://schemas.microsoft.com/office/drawing/2014/main" id="{1F408A59-E2D1-430B-BD72-F5134A319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2" name="BEx5BJQWS6YWHH4ZMSUAMD641V6Y" descr="ZTMFMXCIQSECDX38ALEFHUB00" hidden="1">
          <a:extLst>
            <a:ext uri="{FF2B5EF4-FFF2-40B4-BE49-F238E27FC236}">
              <a16:creationId xmlns:a16="http://schemas.microsoft.com/office/drawing/2014/main" id="{410AD375-4FDF-49E0-AB24-91F62F91B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3" name="BExUBK0YZ5VYFY8TTITJGJU9S06A" hidden="1">
          <a:extLst>
            <a:ext uri="{FF2B5EF4-FFF2-40B4-BE49-F238E27FC236}">
              <a16:creationId xmlns:a16="http://schemas.microsoft.com/office/drawing/2014/main" id="{7B718808-EAC4-4478-8193-FC7199C09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4" name="BEx5BJQWS6YWHH4ZMSUAMD641V6Y" descr="ZTMFMXCIQSECDX38ALEFHUB00" hidden="1">
          <a:extLst>
            <a:ext uri="{FF2B5EF4-FFF2-40B4-BE49-F238E27FC236}">
              <a16:creationId xmlns:a16="http://schemas.microsoft.com/office/drawing/2014/main" id="{BD8C88D3-6F4B-4FD1-884F-5FA06B6C5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5" name="BExUBK0YZ5VYFY8TTITJGJU9S06A" hidden="1">
          <a:extLst>
            <a:ext uri="{FF2B5EF4-FFF2-40B4-BE49-F238E27FC236}">
              <a16:creationId xmlns:a16="http://schemas.microsoft.com/office/drawing/2014/main" id="{FC126031-7844-45B1-99D2-5F1F53C6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76" name="BExU3EX5JJCXCII4YKUJBFBGIJR2" descr="OF5ZI9PI5WH36VPANJ2DYLNMI" hidden="1">
          <a:extLst>
            <a:ext uri="{FF2B5EF4-FFF2-40B4-BE49-F238E27FC236}">
              <a16:creationId xmlns:a16="http://schemas.microsoft.com/office/drawing/2014/main" id="{E6222C36-EF9E-409F-B951-867614BE9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7" name="BEx5BJQWS6YWHH4ZMSUAMD641V6Y" descr="ZTMFMXCIQSECDX38ALEFHUB00" hidden="1">
          <a:extLst>
            <a:ext uri="{FF2B5EF4-FFF2-40B4-BE49-F238E27FC236}">
              <a16:creationId xmlns:a16="http://schemas.microsoft.com/office/drawing/2014/main" id="{35F8CD5B-A700-4DD9-A7A7-11D4A959D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24</xdr:row>
      <xdr:rowOff>0</xdr:rowOff>
    </xdr:from>
    <xdr:ext cx="59531" cy="295275"/>
    <xdr:pic>
      <xdr:nvPicPr>
        <xdr:cNvPr id="278" name="BExIFSCLN1G86X78PFLTSMRP0US5" descr="9JK4SPV4DG7VTCZIILWHXQU5J" hidden="1">
          <a:extLst>
            <a:ext uri="{FF2B5EF4-FFF2-40B4-BE49-F238E27FC236}">
              <a16:creationId xmlns:a16="http://schemas.microsoft.com/office/drawing/2014/main" id="{4A8AB591-ACE3-4066-8CEB-23E62D97D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79" name="BExW9676P0SKCVKK25QCGHPA3PAD" descr="9A4PWZ20RMSRF0PNECCDM75CA" hidden="1">
          <a:extLst>
            <a:ext uri="{FF2B5EF4-FFF2-40B4-BE49-F238E27FC236}">
              <a16:creationId xmlns:a16="http://schemas.microsoft.com/office/drawing/2014/main" id="{ACD6699B-CA61-47C9-A0F1-B0A188E88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80" name="BExMM0AVUAIRNJLXB1FW8R0YB4ZZ" hidden="1">
          <a:extLst>
            <a:ext uri="{FF2B5EF4-FFF2-40B4-BE49-F238E27FC236}">
              <a16:creationId xmlns:a16="http://schemas.microsoft.com/office/drawing/2014/main" id="{02F88863-4331-471C-B4B8-1E1BE7814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81" name="BExQ7SXS9VUG7P6CACU2J7R2SGIZ" hidden="1">
          <a:extLst>
            <a:ext uri="{FF2B5EF4-FFF2-40B4-BE49-F238E27FC236}">
              <a16:creationId xmlns:a16="http://schemas.microsoft.com/office/drawing/2014/main" id="{3BD88D27-BCFE-491C-9A7F-5D3D2BB49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2" name="BExUBK0YZ5VYFY8TTITJGJU9S06A" hidden="1">
          <a:extLst>
            <a:ext uri="{FF2B5EF4-FFF2-40B4-BE49-F238E27FC236}">
              <a16:creationId xmlns:a16="http://schemas.microsoft.com/office/drawing/2014/main" id="{F485EFAE-EAA5-400E-A27E-3B59AEBF5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24</xdr:row>
      <xdr:rowOff>0</xdr:rowOff>
    </xdr:from>
    <xdr:ext cx="47625" cy="295275"/>
    <xdr:pic>
      <xdr:nvPicPr>
        <xdr:cNvPr id="283" name="BExS3JDQWF7U3F5JTEVOE16ASIYK" hidden="1">
          <a:extLst>
            <a:ext uri="{FF2B5EF4-FFF2-40B4-BE49-F238E27FC236}">
              <a16:creationId xmlns:a16="http://schemas.microsoft.com/office/drawing/2014/main" id="{5921EB60-BACC-4C1C-A3B3-A123B8346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577215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4" name="BEx5BJQWS6YWHH4ZMSUAMD641V6Y" descr="ZTMFMXCIQSECDX38ALEFHUB00" hidden="1">
          <a:extLst>
            <a:ext uri="{FF2B5EF4-FFF2-40B4-BE49-F238E27FC236}">
              <a16:creationId xmlns:a16="http://schemas.microsoft.com/office/drawing/2014/main" id="{26C3C0F3-87F2-4EE1-9613-6E0178EDB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5" name="BExUBK0YZ5VYFY8TTITJGJU9S06A" hidden="1">
          <a:extLst>
            <a:ext uri="{FF2B5EF4-FFF2-40B4-BE49-F238E27FC236}">
              <a16:creationId xmlns:a16="http://schemas.microsoft.com/office/drawing/2014/main" id="{0A723BEF-4E2E-4C67-B085-53747A808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86" name="BExU3EX5JJCXCII4YKUJBFBGIJR2" descr="OF5ZI9PI5WH36VPANJ2DYLNMI" hidden="1">
          <a:extLst>
            <a:ext uri="{FF2B5EF4-FFF2-40B4-BE49-F238E27FC236}">
              <a16:creationId xmlns:a16="http://schemas.microsoft.com/office/drawing/2014/main" id="{9593FA0C-0CEA-4D35-9529-C31A50678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87" name="BExW9676P0SKCVKK25QCGHPA3PAD" descr="9A4PWZ20RMSRF0PNECCDM75CA" hidden="1">
          <a:extLst>
            <a:ext uri="{FF2B5EF4-FFF2-40B4-BE49-F238E27FC236}">
              <a16:creationId xmlns:a16="http://schemas.microsoft.com/office/drawing/2014/main" id="{DFAC5FD5-73A7-4817-A5D6-308F05FBB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88" name="BExMM0AVUAIRNJLXB1FW8R0YB4ZZ" hidden="1">
          <a:extLst>
            <a:ext uri="{FF2B5EF4-FFF2-40B4-BE49-F238E27FC236}">
              <a16:creationId xmlns:a16="http://schemas.microsoft.com/office/drawing/2014/main" id="{65CC7282-F737-46E2-9FBF-E224EA791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89" name="BExQ7SXS9VUG7P6CACU2J7R2SGIZ" hidden="1">
          <a:extLst>
            <a:ext uri="{FF2B5EF4-FFF2-40B4-BE49-F238E27FC236}">
              <a16:creationId xmlns:a16="http://schemas.microsoft.com/office/drawing/2014/main" id="{A4580E7B-49B8-4D72-A8B7-CABED0523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90" name="BExU3EX5JJCXCII4YKUJBFBGIJR2" descr="OF5ZI9PI5WH36VPANJ2DYLNMI" hidden="1">
          <a:extLst>
            <a:ext uri="{FF2B5EF4-FFF2-40B4-BE49-F238E27FC236}">
              <a16:creationId xmlns:a16="http://schemas.microsoft.com/office/drawing/2014/main" id="{C1425075-F61E-40F5-B1AE-90DD7DB57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91" name="BExW9676P0SKCVKK25QCGHPA3PAD" descr="9A4PWZ20RMSRF0PNECCDM75CA" hidden="1">
          <a:extLst>
            <a:ext uri="{FF2B5EF4-FFF2-40B4-BE49-F238E27FC236}">
              <a16:creationId xmlns:a16="http://schemas.microsoft.com/office/drawing/2014/main" id="{1054BFAF-6386-4BD3-A097-FAA407506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92" name="BExMM0AVUAIRNJLXB1FW8R0YB4ZZ" hidden="1">
          <a:extLst>
            <a:ext uri="{FF2B5EF4-FFF2-40B4-BE49-F238E27FC236}">
              <a16:creationId xmlns:a16="http://schemas.microsoft.com/office/drawing/2014/main" id="{8CF87D33-EACA-448C-B279-8F865DCC2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93" name="BExQ7SXS9VUG7P6CACU2J7R2SGIZ" hidden="1">
          <a:extLst>
            <a:ext uri="{FF2B5EF4-FFF2-40B4-BE49-F238E27FC236}">
              <a16:creationId xmlns:a16="http://schemas.microsoft.com/office/drawing/2014/main" id="{CBD9CFC2-FBAD-4357-8EDF-D01D09AC7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4" name="BEx5BJQWS6YWHH4ZMSUAMD641V6Y" descr="ZTMFMXCIQSECDX38ALEFHUB00" hidden="1">
          <a:extLst>
            <a:ext uri="{FF2B5EF4-FFF2-40B4-BE49-F238E27FC236}">
              <a16:creationId xmlns:a16="http://schemas.microsoft.com/office/drawing/2014/main" id="{D7BBA392-EF54-4171-8062-3C5E739D2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5" name="BExUBK0YZ5VYFY8TTITJGJU9S06A" hidden="1">
          <a:extLst>
            <a:ext uri="{FF2B5EF4-FFF2-40B4-BE49-F238E27FC236}">
              <a16:creationId xmlns:a16="http://schemas.microsoft.com/office/drawing/2014/main" id="{0F493D99-B4EB-4C63-9162-D361C012A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6" name="BEx5BJQWS6YWHH4ZMSUAMD641V6Y" descr="ZTMFMXCIQSECDX38ALEFHUB00" hidden="1">
          <a:extLst>
            <a:ext uri="{FF2B5EF4-FFF2-40B4-BE49-F238E27FC236}">
              <a16:creationId xmlns:a16="http://schemas.microsoft.com/office/drawing/2014/main" id="{64F490D0-C800-4305-9C4E-D18C0B8A3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7" name="BExUBK0YZ5VYFY8TTITJGJU9S06A" hidden="1">
          <a:extLst>
            <a:ext uri="{FF2B5EF4-FFF2-40B4-BE49-F238E27FC236}">
              <a16:creationId xmlns:a16="http://schemas.microsoft.com/office/drawing/2014/main" id="{66822432-FD31-42E4-8A5A-A32634796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8" name="BEx5BJQWS6YWHH4ZMSUAMD641V6Y" descr="ZTMFMXCIQSECDX38ALEFHUB00" hidden="1">
          <a:extLst>
            <a:ext uri="{FF2B5EF4-FFF2-40B4-BE49-F238E27FC236}">
              <a16:creationId xmlns:a16="http://schemas.microsoft.com/office/drawing/2014/main" id="{306071F4-8879-4DE3-9CE6-FBB7CDEF7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9" name="BExUBK0YZ5VYFY8TTITJGJU9S06A" hidden="1">
          <a:extLst>
            <a:ext uri="{FF2B5EF4-FFF2-40B4-BE49-F238E27FC236}">
              <a16:creationId xmlns:a16="http://schemas.microsoft.com/office/drawing/2014/main" id="{DBCC98E1-F8A6-441B-8715-95D3D6785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00" name="BEx5BJQWS6YWHH4ZMSUAMD641V6Y" descr="ZTMFMXCIQSECDX38ALEFHUB00" hidden="1">
          <a:extLst>
            <a:ext uri="{FF2B5EF4-FFF2-40B4-BE49-F238E27FC236}">
              <a16:creationId xmlns:a16="http://schemas.microsoft.com/office/drawing/2014/main" id="{EFE5CECD-7240-4921-86FD-B142F50E6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01" name="BExUBK0YZ5VYFY8TTITJGJU9S06A" hidden="1">
          <a:extLst>
            <a:ext uri="{FF2B5EF4-FFF2-40B4-BE49-F238E27FC236}">
              <a16:creationId xmlns:a16="http://schemas.microsoft.com/office/drawing/2014/main" id="{BAEE8904-70F9-4BA3-845F-C0CA5B51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02" name="BEx5BJQWS6YWHH4ZMSUAMD641V6Y" descr="ZTMFMXCIQSECDX38ALEFHUB00" hidden="1">
          <a:extLst>
            <a:ext uri="{FF2B5EF4-FFF2-40B4-BE49-F238E27FC236}">
              <a16:creationId xmlns:a16="http://schemas.microsoft.com/office/drawing/2014/main" id="{741B5DDD-3F10-40F5-9D01-1FD04973A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03" name="BExUBK0YZ5VYFY8TTITJGJU9S06A" hidden="1">
          <a:extLst>
            <a:ext uri="{FF2B5EF4-FFF2-40B4-BE49-F238E27FC236}">
              <a16:creationId xmlns:a16="http://schemas.microsoft.com/office/drawing/2014/main" id="{C53DB296-95EA-4CB2-8175-BFDB2D04C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04" name="BEx5BJQWS6YWHH4ZMSUAMD641V6Y" descr="ZTMFMXCIQSECDX38ALEFHUB00" hidden="1">
          <a:extLst>
            <a:ext uri="{FF2B5EF4-FFF2-40B4-BE49-F238E27FC236}">
              <a16:creationId xmlns:a16="http://schemas.microsoft.com/office/drawing/2014/main" id="{9BA3258C-F7A2-48CF-9376-1A74DF756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05" name="BExUBK0YZ5VYFY8TTITJGJU9S06A" hidden="1">
          <a:extLst>
            <a:ext uri="{FF2B5EF4-FFF2-40B4-BE49-F238E27FC236}">
              <a16:creationId xmlns:a16="http://schemas.microsoft.com/office/drawing/2014/main" id="{61CDCC3A-5242-4218-81CB-880C7AA25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06" name="BEx5BJQWS6YWHH4ZMSUAMD641V6Y" descr="ZTMFMXCIQSECDX38ALEFHUB00" hidden="1">
          <a:extLst>
            <a:ext uri="{FF2B5EF4-FFF2-40B4-BE49-F238E27FC236}">
              <a16:creationId xmlns:a16="http://schemas.microsoft.com/office/drawing/2014/main" id="{B0B7680D-EBF7-428B-81F8-83E13D13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07" name="BExUBK0YZ5VYFY8TTITJGJU9S06A" hidden="1">
          <a:extLst>
            <a:ext uri="{FF2B5EF4-FFF2-40B4-BE49-F238E27FC236}">
              <a16:creationId xmlns:a16="http://schemas.microsoft.com/office/drawing/2014/main" id="{8C01C139-5782-413F-B07B-2C8459123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08" name="BEx5BJQWS6YWHH4ZMSUAMD641V6Y" descr="ZTMFMXCIQSECDX38ALEFHUB00" hidden="1">
          <a:extLst>
            <a:ext uri="{FF2B5EF4-FFF2-40B4-BE49-F238E27FC236}">
              <a16:creationId xmlns:a16="http://schemas.microsoft.com/office/drawing/2014/main" id="{4403B159-3F0D-4B76-8B23-6C73CE370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09" name="BExUBK0YZ5VYFY8TTITJGJU9S06A" hidden="1">
          <a:extLst>
            <a:ext uri="{FF2B5EF4-FFF2-40B4-BE49-F238E27FC236}">
              <a16:creationId xmlns:a16="http://schemas.microsoft.com/office/drawing/2014/main" id="{2749BD32-DF3F-414A-882A-E38267A29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10" name="BEx5BJQWS6YWHH4ZMSUAMD641V6Y" descr="ZTMFMXCIQSECDX38ALEFHUB00" hidden="1">
          <a:extLst>
            <a:ext uri="{FF2B5EF4-FFF2-40B4-BE49-F238E27FC236}">
              <a16:creationId xmlns:a16="http://schemas.microsoft.com/office/drawing/2014/main" id="{5A051254-C155-4B4B-80A8-B1E7A36D3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11" name="BExUBK0YZ5VYFY8TTITJGJU9S06A" hidden="1">
          <a:extLst>
            <a:ext uri="{FF2B5EF4-FFF2-40B4-BE49-F238E27FC236}">
              <a16:creationId xmlns:a16="http://schemas.microsoft.com/office/drawing/2014/main" id="{D8FEF063-245C-49BB-B463-C02800D81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12" name="BExU3EX5JJCXCII4YKUJBFBGIJR2" descr="OF5ZI9PI5WH36VPANJ2DYLNMI" hidden="1">
          <a:extLst>
            <a:ext uri="{FF2B5EF4-FFF2-40B4-BE49-F238E27FC236}">
              <a16:creationId xmlns:a16="http://schemas.microsoft.com/office/drawing/2014/main" id="{655CA9D7-D9AA-4499-99EF-51CB0212B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13" name="BExW9676P0SKCVKK25QCGHPA3PAD" descr="9A4PWZ20RMSRF0PNECCDM75CA" hidden="1">
          <a:extLst>
            <a:ext uri="{FF2B5EF4-FFF2-40B4-BE49-F238E27FC236}">
              <a16:creationId xmlns:a16="http://schemas.microsoft.com/office/drawing/2014/main" id="{CC163543-FEC3-4EEA-9CB8-4C952E6B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14" name="BExMM0AVUAIRNJLXB1FW8R0YB4ZZ" hidden="1">
          <a:extLst>
            <a:ext uri="{FF2B5EF4-FFF2-40B4-BE49-F238E27FC236}">
              <a16:creationId xmlns:a16="http://schemas.microsoft.com/office/drawing/2014/main" id="{6E1859D3-23EC-4D67-BF0A-AFC51E5DB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15" name="BExQ7SXS9VUG7P6CACU2J7R2SGIZ" hidden="1">
          <a:extLst>
            <a:ext uri="{FF2B5EF4-FFF2-40B4-BE49-F238E27FC236}">
              <a16:creationId xmlns:a16="http://schemas.microsoft.com/office/drawing/2014/main" id="{7A6FFD47-E82A-4599-B9C8-61857FFC2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16" name="BExU3EX5JJCXCII4YKUJBFBGIJR2" descr="OF5ZI9PI5WH36VPANJ2DYLNMI" hidden="1">
          <a:extLst>
            <a:ext uri="{FF2B5EF4-FFF2-40B4-BE49-F238E27FC236}">
              <a16:creationId xmlns:a16="http://schemas.microsoft.com/office/drawing/2014/main" id="{8013D7CE-FF85-442B-8B4B-EC017FEC0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17" name="BExW9676P0SKCVKK25QCGHPA3PAD" descr="9A4PWZ20RMSRF0PNECCDM75CA" hidden="1">
          <a:extLst>
            <a:ext uri="{FF2B5EF4-FFF2-40B4-BE49-F238E27FC236}">
              <a16:creationId xmlns:a16="http://schemas.microsoft.com/office/drawing/2014/main" id="{5E67FF48-F216-4DE4-90B3-FEA1E021B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18" name="BExMM0AVUAIRNJLXB1FW8R0YB4ZZ" hidden="1">
          <a:extLst>
            <a:ext uri="{FF2B5EF4-FFF2-40B4-BE49-F238E27FC236}">
              <a16:creationId xmlns:a16="http://schemas.microsoft.com/office/drawing/2014/main" id="{7896FB08-B00C-433C-AFAA-5345E7744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19" name="BExQ7SXS9VUG7P6CACU2J7R2SGIZ" hidden="1">
          <a:extLst>
            <a:ext uri="{FF2B5EF4-FFF2-40B4-BE49-F238E27FC236}">
              <a16:creationId xmlns:a16="http://schemas.microsoft.com/office/drawing/2014/main" id="{227EEAED-3732-46B9-83C8-B190E839B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20" name="BEx5BJQWS6YWHH4ZMSUAMD641V6Y" descr="ZTMFMXCIQSECDX38ALEFHUB00" hidden="1">
          <a:extLst>
            <a:ext uri="{FF2B5EF4-FFF2-40B4-BE49-F238E27FC236}">
              <a16:creationId xmlns:a16="http://schemas.microsoft.com/office/drawing/2014/main" id="{87DF42E3-9488-41F9-BE62-B9C54FF83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21" name="BExUBK0YZ5VYFY8TTITJGJU9S06A" hidden="1">
          <a:extLst>
            <a:ext uri="{FF2B5EF4-FFF2-40B4-BE49-F238E27FC236}">
              <a16:creationId xmlns:a16="http://schemas.microsoft.com/office/drawing/2014/main" id="{33482DB6-FB2A-4AE0-9D18-A92CD70DE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22" name="BEx5BJQWS6YWHH4ZMSUAMD641V6Y" descr="ZTMFMXCIQSECDX38ALEFHUB00" hidden="1">
          <a:extLst>
            <a:ext uri="{FF2B5EF4-FFF2-40B4-BE49-F238E27FC236}">
              <a16:creationId xmlns:a16="http://schemas.microsoft.com/office/drawing/2014/main" id="{ADCFA8FE-FFDC-479F-AF64-F148A6DF6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23" name="BExUBK0YZ5VYFY8TTITJGJU9S06A" hidden="1">
          <a:extLst>
            <a:ext uri="{FF2B5EF4-FFF2-40B4-BE49-F238E27FC236}">
              <a16:creationId xmlns:a16="http://schemas.microsoft.com/office/drawing/2014/main" id="{5C498C37-2942-4AC0-A0A6-0EF0222AD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24" name="BEx5BJQWS6YWHH4ZMSUAMD641V6Y" descr="ZTMFMXCIQSECDX38ALEFHUB00" hidden="1">
          <a:extLst>
            <a:ext uri="{FF2B5EF4-FFF2-40B4-BE49-F238E27FC236}">
              <a16:creationId xmlns:a16="http://schemas.microsoft.com/office/drawing/2014/main" id="{43A2157D-A095-4085-B01F-7898BEF7E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25" name="BExUBK0YZ5VYFY8TTITJGJU9S06A" hidden="1">
          <a:extLst>
            <a:ext uri="{FF2B5EF4-FFF2-40B4-BE49-F238E27FC236}">
              <a16:creationId xmlns:a16="http://schemas.microsoft.com/office/drawing/2014/main" id="{9D5EC926-D02B-4019-A2BF-B6C1642BC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26" name="BEx5BJQWS6YWHH4ZMSUAMD641V6Y" descr="ZTMFMXCIQSECDX38ALEFHUB00" hidden="1">
          <a:extLst>
            <a:ext uri="{FF2B5EF4-FFF2-40B4-BE49-F238E27FC236}">
              <a16:creationId xmlns:a16="http://schemas.microsoft.com/office/drawing/2014/main" id="{5DEA423F-B1F7-4071-B774-F90487FB6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27" name="BExUBK0YZ5VYFY8TTITJGJU9S06A" hidden="1">
          <a:extLst>
            <a:ext uri="{FF2B5EF4-FFF2-40B4-BE49-F238E27FC236}">
              <a16:creationId xmlns:a16="http://schemas.microsoft.com/office/drawing/2014/main" id="{9C3FCEB5-868B-465A-86EF-20AD7D24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28" name="BEx5BJQWS6YWHH4ZMSUAMD641V6Y" descr="ZTMFMXCIQSECDX38ALEFHUB00" hidden="1">
          <a:extLst>
            <a:ext uri="{FF2B5EF4-FFF2-40B4-BE49-F238E27FC236}">
              <a16:creationId xmlns:a16="http://schemas.microsoft.com/office/drawing/2014/main" id="{64194F68-F989-47F6-8E49-1233709D6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29" name="BExUBK0YZ5VYFY8TTITJGJU9S06A" hidden="1">
          <a:extLst>
            <a:ext uri="{FF2B5EF4-FFF2-40B4-BE49-F238E27FC236}">
              <a16:creationId xmlns:a16="http://schemas.microsoft.com/office/drawing/2014/main" id="{02F10102-C6AD-44D9-B138-89AF921AA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30" name="BExU3EX5JJCXCII4YKUJBFBGIJR2" descr="OF5ZI9PI5WH36VPANJ2DYLNMI" hidden="1">
          <a:extLst>
            <a:ext uri="{FF2B5EF4-FFF2-40B4-BE49-F238E27FC236}">
              <a16:creationId xmlns:a16="http://schemas.microsoft.com/office/drawing/2014/main" id="{7919B724-4DDA-4074-9ABF-452122D20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31" name="BEx5BJQWS6YWHH4ZMSUAMD641V6Y" descr="ZTMFMXCIQSECDX38ALEFHUB00" hidden="1">
          <a:extLst>
            <a:ext uri="{FF2B5EF4-FFF2-40B4-BE49-F238E27FC236}">
              <a16:creationId xmlns:a16="http://schemas.microsoft.com/office/drawing/2014/main" id="{6B006622-D944-431B-8FD3-1420651E1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24</xdr:row>
      <xdr:rowOff>0</xdr:rowOff>
    </xdr:from>
    <xdr:ext cx="59531" cy="295275"/>
    <xdr:pic>
      <xdr:nvPicPr>
        <xdr:cNvPr id="332" name="BExIFSCLN1G86X78PFLTSMRP0US5" descr="9JK4SPV4DG7VTCZIILWHXQU5J" hidden="1">
          <a:extLst>
            <a:ext uri="{FF2B5EF4-FFF2-40B4-BE49-F238E27FC236}">
              <a16:creationId xmlns:a16="http://schemas.microsoft.com/office/drawing/2014/main" id="{09086CD4-7144-4421-B347-50F8789A5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33" name="BExW9676P0SKCVKK25QCGHPA3PAD" descr="9A4PWZ20RMSRF0PNECCDM75CA" hidden="1">
          <a:extLst>
            <a:ext uri="{FF2B5EF4-FFF2-40B4-BE49-F238E27FC236}">
              <a16:creationId xmlns:a16="http://schemas.microsoft.com/office/drawing/2014/main" id="{CFC27692-FED1-4D44-9318-A8B9D9CC3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34" name="BExMM0AVUAIRNJLXB1FW8R0YB4ZZ" hidden="1">
          <a:extLst>
            <a:ext uri="{FF2B5EF4-FFF2-40B4-BE49-F238E27FC236}">
              <a16:creationId xmlns:a16="http://schemas.microsoft.com/office/drawing/2014/main" id="{38CFA49C-E1A4-4B84-8DED-B384BB64C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35" name="BExQ7SXS9VUG7P6CACU2J7R2SGIZ" hidden="1">
          <a:extLst>
            <a:ext uri="{FF2B5EF4-FFF2-40B4-BE49-F238E27FC236}">
              <a16:creationId xmlns:a16="http://schemas.microsoft.com/office/drawing/2014/main" id="{C6B370C4-8425-4ACA-B0E0-FB3A56670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36" name="BExUBK0YZ5VYFY8TTITJGJU9S06A" hidden="1">
          <a:extLst>
            <a:ext uri="{FF2B5EF4-FFF2-40B4-BE49-F238E27FC236}">
              <a16:creationId xmlns:a16="http://schemas.microsoft.com/office/drawing/2014/main" id="{AAD9BCB2-7AEF-4E2A-8177-C599A6D07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24</xdr:row>
      <xdr:rowOff>0</xdr:rowOff>
    </xdr:from>
    <xdr:ext cx="47625" cy="295275"/>
    <xdr:pic>
      <xdr:nvPicPr>
        <xdr:cNvPr id="337" name="BExS3JDQWF7U3F5JTEVOE16ASIYK" hidden="1">
          <a:extLst>
            <a:ext uri="{FF2B5EF4-FFF2-40B4-BE49-F238E27FC236}">
              <a16:creationId xmlns:a16="http://schemas.microsoft.com/office/drawing/2014/main" id="{8CB3EC61-C245-4BD2-8CBB-C5A10D350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577215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38" name="BEx5BJQWS6YWHH4ZMSUAMD641V6Y" descr="ZTMFMXCIQSECDX38ALEFHUB00" hidden="1">
          <a:extLst>
            <a:ext uri="{FF2B5EF4-FFF2-40B4-BE49-F238E27FC236}">
              <a16:creationId xmlns:a16="http://schemas.microsoft.com/office/drawing/2014/main" id="{51A8BE40-9C88-41F4-B74B-ECAEE6689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39" name="BExUBK0YZ5VYFY8TTITJGJU9S06A" hidden="1">
          <a:extLst>
            <a:ext uri="{FF2B5EF4-FFF2-40B4-BE49-F238E27FC236}">
              <a16:creationId xmlns:a16="http://schemas.microsoft.com/office/drawing/2014/main" id="{C48120C4-2C15-4A79-957E-D2C1E0137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40" name="BExU3EX5JJCXCII4YKUJBFBGIJR2" descr="OF5ZI9PI5WH36VPANJ2DYLNMI" hidden="1">
          <a:extLst>
            <a:ext uri="{FF2B5EF4-FFF2-40B4-BE49-F238E27FC236}">
              <a16:creationId xmlns:a16="http://schemas.microsoft.com/office/drawing/2014/main" id="{26F84F7C-8A7E-4D90-96B3-78D2D7FD1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41" name="BExW9676P0SKCVKK25QCGHPA3PAD" descr="9A4PWZ20RMSRF0PNECCDM75CA" hidden="1">
          <a:extLst>
            <a:ext uri="{FF2B5EF4-FFF2-40B4-BE49-F238E27FC236}">
              <a16:creationId xmlns:a16="http://schemas.microsoft.com/office/drawing/2014/main" id="{0638FDF3-A5F2-404A-B549-B2FCFA538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42" name="BExMM0AVUAIRNJLXB1FW8R0YB4ZZ" hidden="1">
          <a:extLst>
            <a:ext uri="{FF2B5EF4-FFF2-40B4-BE49-F238E27FC236}">
              <a16:creationId xmlns:a16="http://schemas.microsoft.com/office/drawing/2014/main" id="{1FB0A9C3-40B0-43DA-A012-B952CE0E8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43" name="BExQ7SXS9VUG7P6CACU2J7R2SGIZ" hidden="1">
          <a:extLst>
            <a:ext uri="{FF2B5EF4-FFF2-40B4-BE49-F238E27FC236}">
              <a16:creationId xmlns:a16="http://schemas.microsoft.com/office/drawing/2014/main" id="{538510DF-7BFD-4177-BAE0-0FB1A03E1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44" name="BExU3EX5JJCXCII4YKUJBFBGIJR2" descr="OF5ZI9PI5WH36VPANJ2DYLNMI" hidden="1">
          <a:extLst>
            <a:ext uri="{FF2B5EF4-FFF2-40B4-BE49-F238E27FC236}">
              <a16:creationId xmlns:a16="http://schemas.microsoft.com/office/drawing/2014/main" id="{F0EE9454-48DA-4785-8BA8-C79A0BBE6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45" name="BExW9676P0SKCVKK25QCGHPA3PAD" descr="9A4PWZ20RMSRF0PNECCDM75CA" hidden="1">
          <a:extLst>
            <a:ext uri="{FF2B5EF4-FFF2-40B4-BE49-F238E27FC236}">
              <a16:creationId xmlns:a16="http://schemas.microsoft.com/office/drawing/2014/main" id="{29763165-334E-4BF8-AA7D-6A9946EB9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46" name="BExMM0AVUAIRNJLXB1FW8R0YB4ZZ" hidden="1">
          <a:extLst>
            <a:ext uri="{FF2B5EF4-FFF2-40B4-BE49-F238E27FC236}">
              <a16:creationId xmlns:a16="http://schemas.microsoft.com/office/drawing/2014/main" id="{735CB911-D7D4-442E-9A5D-00E6A2016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47" name="BExQ7SXS9VUG7P6CACU2J7R2SGIZ" hidden="1">
          <a:extLst>
            <a:ext uri="{FF2B5EF4-FFF2-40B4-BE49-F238E27FC236}">
              <a16:creationId xmlns:a16="http://schemas.microsoft.com/office/drawing/2014/main" id="{CED9A904-2EBD-4FD4-B9FF-615242A64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48" name="BEx5BJQWS6YWHH4ZMSUAMD641V6Y" descr="ZTMFMXCIQSECDX38ALEFHUB00" hidden="1">
          <a:extLst>
            <a:ext uri="{FF2B5EF4-FFF2-40B4-BE49-F238E27FC236}">
              <a16:creationId xmlns:a16="http://schemas.microsoft.com/office/drawing/2014/main" id="{9394ACDF-B8CD-40AE-8190-299F9DB2C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49" name="BExUBK0YZ5VYFY8TTITJGJU9S06A" hidden="1">
          <a:extLst>
            <a:ext uri="{FF2B5EF4-FFF2-40B4-BE49-F238E27FC236}">
              <a16:creationId xmlns:a16="http://schemas.microsoft.com/office/drawing/2014/main" id="{1613B2B9-1C28-4224-AA87-31D1F7F4B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50" name="BEx5BJQWS6YWHH4ZMSUAMD641V6Y" descr="ZTMFMXCIQSECDX38ALEFHUB00" hidden="1">
          <a:extLst>
            <a:ext uri="{FF2B5EF4-FFF2-40B4-BE49-F238E27FC236}">
              <a16:creationId xmlns:a16="http://schemas.microsoft.com/office/drawing/2014/main" id="{F4AA9A48-15DC-4C44-BF7C-8BCAFB201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51" name="BExUBK0YZ5VYFY8TTITJGJU9S06A" hidden="1">
          <a:extLst>
            <a:ext uri="{FF2B5EF4-FFF2-40B4-BE49-F238E27FC236}">
              <a16:creationId xmlns:a16="http://schemas.microsoft.com/office/drawing/2014/main" id="{D6A05F25-D84B-46F9-A9E7-CCF9CA6F8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52" name="BEx5BJQWS6YWHH4ZMSUAMD641V6Y" descr="ZTMFMXCIQSECDX38ALEFHUB00" hidden="1">
          <a:extLst>
            <a:ext uri="{FF2B5EF4-FFF2-40B4-BE49-F238E27FC236}">
              <a16:creationId xmlns:a16="http://schemas.microsoft.com/office/drawing/2014/main" id="{4B428E80-F8E2-4654-80BD-B44B8EAA4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53" name="BExUBK0YZ5VYFY8TTITJGJU9S06A" hidden="1">
          <a:extLst>
            <a:ext uri="{FF2B5EF4-FFF2-40B4-BE49-F238E27FC236}">
              <a16:creationId xmlns:a16="http://schemas.microsoft.com/office/drawing/2014/main" id="{C9955922-DBEE-4906-9E9B-8F3066995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54" name="BEx5BJQWS6YWHH4ZMSUAMD641V6Y" descr="ZTMFMXCIQSECDX38ALEFHUB00" hidden="1">
          <a:extLst>
            <a:ext uri="{FF2B5EF4-FFF2-40B4-BE49-F238E27FC236}">
              <a16:creationId xmlns:a16="http://schemas.microsoft.com/office/drawing/2014/main" id="{838B6ACC-2FD8-4600-B017-361A56EAB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55" name="BExUBK0YZ5VYFY8TTITJGJU9S06A" hidden="1">
          <a:extLst>
            <a:ext uri="{FF2B5EF4-FFF2-40B4-BE49-F238E27FC236}">
              <a16:creationId xmlns:a16="http://schemas.microsoft.com/office/drawing/2014/main" id="{E5B3670E-E087-4792-B516-72F878C9E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56" name="BEx5BJQWS6YWHH4ZMSUAMD641V6Y" descr="ZTMFMXCIQSECDX38ALEFHUB00" hidden="1">
          <a:extLst>
            <a:ext uri="{FF2B5EF4-FFF2-40B4-BE49-F238E27FC236}">
              <a16:creationId xmlns:a16="http://schemas.microsoft.com/office/drawing/2014/main" id="{D1B883C7-0E8E-444E-AB27-1F3685351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57" name="BExUBK0YZ5VYFY8TTITJGJU9S06A" hidden="1">
          <a:extLst>
            <a:ext uri="{FF2B5EF4-FFF2-40B4-BE49-F238E27FC236}">
              <a16:creationId xmlns:a16="http://schemas.microsoft.com/office/drawing/2014/main" id="{FC94E369-17FE-4166-B841-7D9B8DABF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58" name="BEx5BJQWS6YWHH4ZMSUAMD641V6Y" descr="ZTMFMXCIQSECDX38ALEFHUB00" hidden="1">
          <a:extLst>
            <a:ext uri="{FF2B5EF4-FFF2-40B4-BE49-F238E27FC236}">
              <a16:creationId xmlns:a16="http://schemas.microsoft.com/office/drawing/2014/main" id="{34F3CD61-1DCC-487E-A0AF-09B4219D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59" name="BExUBK0YZ5VYFY8TTITJGJU9S06A" hidden="1">
          <a:extLst>
            <a:ext uri="{FF2B5EF4-FFF2-40B4-BE49-F238E27FC236}">
              <a16:creationId xmlns:a16="http://schemas.microsoft.com/office/drawing/2014/main" id="{FF15DB95-333C-4635-90CD-7A97D3D5B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60" name="BEx5BJQWS6YWHH4ZMSUAMD641V6Y" descr="ZTMFMXCIQSECDX38ALEFHUB00" hidden="1">
          <a:extLst>
            <a:ext uri="{FF2B5EF4-FFF2-40B4-BE49-F238E27FC236}">
              <a16:creationId xmlns:a16="http://schemas.microsoft.com/office/drawing/2014/main" id="{9F07CD86-1FFF-4F2A-AC4A-49E15A5B3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61" name="BExUBK0YZ5VYFY8TTITJGJU9S06A" hidden="1">
          <a:extLst>
            <a:ext uri="{FF2B5EF4-FFF2-40B4-BE49-F238E27FC236}">
              <a16:creationId xmlns:a16="http://schemas.microsoft.com/office/drawing/2014/main" id="{0B83F096-B524-4B21-BBC4-E9901B136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62" name="BEx5BJQWS6YWHH4ZMSUAMD641V6Y" descr="ZTMFMXCIQSECDX38ALEFHUB00" hidden="1">
          <a:extLst>
            <a:ext uri="{FF2B5EF4-FFF2-40B4-BE49-F238E27FC236}">
              <a16:creationId xmlns:a16="http://schemas.microsoft.com/office/drawing/2014/main" id="{59EDF2E5-4DFB-4594-996A-B2DA170D9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63" name="BExUBK0YZ5VYFY8TTITJGJU9S06A" hidden="1">
          <a:extLst>
            <a:ext uri="{FF2B5EF4-FFF2-40B4-BE49-F238E27FC236}">
              <a16:creationId xmlns:a16="http://schemas.microsoft.com/office/drawing/2014/main" id="{C6DFFFFA-7324-4E4B-A8A0-22ED124B2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64" name="BEx5BJQWS6YWHH4ZMSUAMD641V6Y" descr="ZTMFMXCIQSECDX38ALEFHUB00" hidden="1">
          <a:extLst>
            <a:ext uri="{FF2B5EF4-FFF2-40B4-BE49-F238E27FC236}">
              <a16:creationId xmlns:a16="http://schemas.microsoft.com/office/drawing/2014/main" id="{B4F384A9-788E-4A71-91FE-69992D1F6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65" name="BExUBK0YZ5VYFY8TTITJGJU9S06A" hidden="1">
          <a:extLst>
            <a:ext uri="{FF2B5EF4-FFF2-40B4-BE49-F238E27FC236}">
              <a16:creationId xmlns:a16="http://schemas.microsoft.com/office/drawing/2014/main" id="{AD297DF9-9ECC-433E-8AD6-6C8441097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66" name="BExU3EX5JJCXCII4YKUJBFBGIJR2" descr="OF5ZI9PI5WH36VPANJ2DYLNMI" hidden="1">
          <a:extLst>
            <a:ext uri="{FF2B5EF4-FFF2-40B4-BE49-F238E27FC236}">
              <a16:creationId xmlns:a16="http://schemas.microsoft.com/office/drawing/2014/main" id="{92EEE4FA-84E1-43A6-A1A0-5C3FC63FF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67" name="BExW9676P0SKCVKK25QCGHPA3PAD" descr="9A4PWZ20RMSRF0PNECCDM75CA" hidden="1">
          <a:extLst>
            <a:ext uri="{FF2B5EF4-FFF2-40B4-BE49-F238E27FC236}">
              <a16:creationId xmlns:a16="http://schemas.microsoft.com/office/drawing/2014/main" id="{82011A47-9606-42C4-8672-491AE0E51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68" name="BExMM0AVUAIRNJLXB1FW8R0YB4ZZ" hidden="1">
          <a:extLst>
            <a:ext uri="{FF2B5EF4-FFF2-40B4-BE49-F238E27FC236}">
              <a16:creationId xmlns:a16="http://schemas.microsoft.com/office/drawing/2014/main" id="{C8FDE02D-269E-48AB-B802-A77D24097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69" name="BExQ7SXS9VUG7P6CACU2J7R2SGIZ" hidden="1">
          <a:extLst>
            <a:ext uri="{FF2B5EF4-FFF2-40B4-BE49-F238E27FC236}">
              <a16:creationId xmlns:a16="http://schemas.microsoft.com/office/drawing/2014/main" id="{42182584-9F0A-4726-BFBF-9D0ED98DC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70" name="BExU3EX5JJCXCII4YKUJBFBGIJR2" descr="OF5ZI9PI5WH36VPANJ2DYLNMI" hidden="1">
          <a:extLst>
            <a:ext uri="{FF2B5EF4-FFF2-40B4-BE49-F238E27FC236}">
              <a16:creationId xmlns:a16="http://schemas.microsoft.com/office/drawing/2014/main" id="{25B35DCC-FCEB-4C80-8D52-C2C7DC044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71" name="BExW9676P0SKCVKK25QCGHPA3PAD" descr="9A4PWZ20RMSRF0PNECCDM75CA" hidden="1">
          <a:extLst>
            <a:ext uri="{FF2B5EF4-FFF2-40B4-BE49-F238E27FC236}">
              <a16:creationId xmlns:a16="http://schemas.microsoft.com/office/drawing/2014/main" id="{BD8D343C-DFD1-404B-9E1D-1718F0A43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72" name="BExMM0AVUAIRNJLXB1FW8R0YB4ZZ" hidden="1">
          <a:extLst>
            <a:ext uri="{FF2B5EF4-FFF2-40B4-BE49-F238E27FC236}">
              <a16:creationId xmlns:a16="http://schemas.microsoft.com/office/drawing/2014/main" id="{161C7136-47EE-4591-8A13-AF000D3FC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73" name="BExQ7SXS9VUG7P6CACU2J7R2SGIZ" hidden="1">
          <a:extLst>
            <a:ext uri="{FF2B5EF4-FFF2-40B4-BE49-F238E27FC236}">
              <a16:creationId xmlns:a16="http://schemas.microsoft.com/office/drawing/2014/main" id="{CF0F8113-2C11-49FD-A197-77B7B87C9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74" name="BEx5BJQWS6YWHH4ZMSUAMD641V6Y" descr="ZTMFMXCIQSECDX38ALEFHUB00" hidden="1">
          <a:extLst>
            <a:ext uri="{FF2B5EF4-FFF2-40B4-BE49-F238E27FC236}">
              <a16:creationId xmlns:a16="http://schemas.microsoft.com/office/drawing/2014/main" id="{0E08E2C4-724D-403B-B2B1-46A24E464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75" name="BExUBK0YZ5VYFY8TTITJGJU9S06A" hidden="1">
          <a:extLst>
            <a:ext uri="{FF2B5EF4-FFF2-40B4-BE49-F238E27FC236}">
              <a16:creationId xmlns:a16="http://schemas.microsoft.com/office/drawing/2014/main" id="{A64629D2-012B-4131-9422-1706FD5E7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76" name="BEx5BJQWS6YWHH4ZMSUAMD641V6Y" descr="ZTMFMXCIQSECDX38ALEFHUB00" hidden="1">
          <a:extLst>
            <a:ext uri="{FF2B5EF4-FFF2-40B4-BE49-F238E27FC236}">
              <a16:creationId xmlns:a16="http://schemas.microsoft.com/office/drawing/2014/main" id="{322C4CAF-656D-48C2-9752-8095D23A1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77" name="BExUBK0YZ5VYFY8TTITJGJU9S06A" hidden="1">
          <a:extLst>
            <a:ext uri="{FF2B5EF4-FFF2-40B4-BE49-F238E27FC236}">
              <a16:creationId xmlns:a16="http://schemas.microsoft.com/office/drawing/2014/main" id="{16E168A4-7A5D-4B10-94A6-0FD07862D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78" name="BEx5BJQWS6YWHH4ZMSUAMD641V6Y" descr="ZTMFMXCIQSECDX38ALEFHUB00" hidden="1">
          <a:extLst>
            <a:ext uri="{FF2B5EF4-FFF2-40B4-BE49-F238E27FC236}">
              <a16:creationId xmlns:a16="http://schemas.microsoft.com/office/drawing/2014/main" id="{0CDEF2E0-D760-49F8-A8D8-60192C354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79" name="BExUBK0YZ5VYFY8TTITJGJU9S06A" hidden="1">
          <a:extLst>
            <a:ext uri="{FF2B5EF4-FFF2-40B4-BE49-F238E27FC236}">
              <a16:creationId xmlns:a16="http://schemas.microsoft.com/office/drawing/2014/main" id="{9A72765E-EF73-4D59-9B67-E8F63EE88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80" name="BEx5BJQWS6YWHH4ZMSUAMD641V6Y" descr="ZTMFMXCIQSECDX38ALEFHUB00" hidden="1">
          <a:extLst>
            <a:ext uri="{FF2B5EF4-FFF2-40B4-BE49-F238E27FC236}">
              <a16:creationId xmlns:a16="http://schemas.microsoft.com/office/drawing/2014/main" id="{4CD6329D-8051-429B-8427-42B57DC43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81" name="BExUBK0YZ5VYFY8TTITJGJU9S06A" hidden="1">
          <a:extLst>
            <a:ext uri="{FF2B5EF4-FFF2-40B4-BE49-F238E27FC236}">
              <a16:creationId xmlns:a16="http://schemas.microsoft.com/office/drawing/2014/main" id="{D7846F1D-9900-499F-9491-90AF126F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82" name="BEx5BJQWS6YWHH4ZMSUAMD641V6Y" descr="ZTMFMXCIQSECDX38ALEFHUB00" hidden="1">
          <a:extLst>
            <a:ext uri="{FF2B5EF4-FFF2-40B4-BE49-F238E27FC236}">
              <a16:creationId xmlns:a16="http://schemas.microsoft.com/office/drawing/2014/main" id="{0A68F6C5-F0CA-4445-99EE-D80E5566F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83" name="BExUBK0YZ5VYFY8TTITJGJU9S06A" hidden="1">
          <a:extLst>
            <a:ext uri="{FF2B5EF4-FFF2-40B4-BE49-F238E27FC236}">
              <a16:creationId xmlns:a16="http://schemas.microsoft.com/office/drawing/2014/main" id="{9AF22626-4E47-4143-A90B-9A6FF9B93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84" name="BExU3EX5JJCXCII4YKUJBFBGIJR2" descr="OF5ZI9PI5WH36VPANJ2DYLNMI" hidden="1">
          <a:extLst>
            <a:ext uri="{FF2B5EF4-FFF2-40B4-BE49-F238E27FC236}">
              <a16:creationId xmlns:a16="http://schemas.microsoft.com/office/drawing/2014/main" id="{9E491B38-D8DC-4BE3-A1B5-3CE98E17F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85" name="BEx5BJQWS6YWHH4ZMSUAMD641V6Y" descr="ZTMFMXCIQSECDX38ALEFHUB00" hidden="1">
          <a:extLst>
            <a:ext uri="{FF2B5EF4-FFF2-40B4-BE49-F238E27FC236}">
              <a16:creationId xmlns:a16="http://schemas.microsoft.com/office/drawing/2014/main" id="{028C4DD2-D724-4CE0-9D9B-F5A1F8652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24</xdr:row>
      <xdr:rowOff>0</xdr:rowOff>
    </xdr:from>
    <xdr:ext cx="59531" cy="295275"/>
    <xdr:pic>
      <xdr:nvPicPr>
        <xdr:cNvPr id="386" name="BExIFSCLN1G86X78PFLTSMRP0US5" descr="9JK4SPV4DG7VTCZIILWHXQU5J" hidden="1">
          <a:extLst>
            <a:ext uri="{FF2B5EF4-FFF2-40B4-BE49-F238E27FC236}">
              <a16:creationId xmlns:a16="http://schemas.microsoft.com/office/drawing/2014/main" id="{8E2B263D-D512-433B-8014-34A42F587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87" name="BExW9676P0SKCVKK25QCGHPA3PAD" descr="9A4PWZ20RMSRF0PNECCDM75CA" hidden="1">
          <a:extLst>
            <a:ext uri="{FF2B5EF4-FFF2-40B4-BE49-F238E27FC236}">
              <a16:creationId xmlns:a16="http://schemas.microsoft.com/office/drawing/2014/main" id="{BC84E793-D723-4583-9CE4-14C8B1DE5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88" name="BExMM0AVUAIRNJLXB1FW8R0YB4ZZ" hidden="1">
          <a:extLst>
            <a:ext uri="{FF2B5EF4-FFF2-40B4-BE49-F238E27FC236}">
              <a16:creationId xmlns:a16="http://schemas.microsoft.com/office/drawing/2014/main" id="{CD19D85B-DCE2-4A5A-9987-A3C7A2AA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89" name="BExQ7SXS9VUG7P6CACU2J7R2SGIZ" hidden="1">
          <a:extLst>
            <a:ext uri="{FF2B5EF4-FFF2-40B4-BE49-F238E27FC236}">
              <a16:creationId xmlns:a16="http://schemas.microsoft.com/office/drawing/2014/main" id="{BB484CAB-8391-4136-B899-9C251FDE4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90" name="BExUBK0YZ5VYFY8TTITJGJU9S06A" hidden="1">
          <a:extLst>
            <a:ext uri="{FF2B5EF4-FFF2-40B4-BE49-F238E27FC236}">
              <a16:creationId xmlns:a16="http://schemas.microsoft.com/office/drawing/2014/main" id="{42063BEF-B2B5-4D96-876D-D713E1490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24</xdr:row>
      <xdr:rowOff>0</xdr:rowOff>
    </xdr:from>
    <xdr:ext cx="47625" cy="295275"/>
    <xdr:pic>
      <xdr:nvPicPr>
        <xdr:cNvPr id="391" name="BExS3JDQWF7U3F5JTEVOE16ASIYK" hidden="1">
          <a:extLst>
            <a:ext uri="{FF2B5EF4-FFF2-40B4-BE49-F238E27FC236}">
              <a16:creationId xmlns:a16="http://schemas.microsoft.com/office/drawing/2014/main" id="{3A336773-769D-403E-87AA-0A6B6902C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577215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92" name="BEx5BJQWS6YWHH4ZMSUAMD641V6Y" descr="ZTMFMXCIQSECDX38ALEFHUB00" hidden="1">
          <a:extLst>
            <a:ext uri="{FF2B5EF4-FFF2-40B4-BE49-F238E27FC236}">
              <a16:creationId xmlns:a16="http://schemas.microsoft.com/office/drawing/2014/main" id="{FBF104B7-63DD-4E98-BC82-E72208053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393" name="BExUBK0YZ5VYFY8TTITJGJU9S06A" hidden="1">
          <a:extLst>
            <a:ext uri="{FF2B5EF4-FFF2-40B4-BE49-F238E27FC236}">
              <a16:creationId xmlns:a16="http://schemas.microsoft.com/office/drawing/2014/main" id="{E9E29CDA-E0A0-4EE9-8688-569E223F1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94" name="BExU3EX5JJCXCII4YKUJBFBGIJR2" descr="OF5ZI9PI5WH36VPANJ2DYLNMI" hidden="1">
          <a:extLst>
            <a:ext uri="{FF2B5EF4-FFF2-40B4-BE49-F238E27FC236}">
              <a16:creationId xmlns:a16="http://schemas.microsoft.com/office/drawing/2014/main" id="{2290F27B-ED1E-4305-BEA1-9CD4E72D9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95" name="BExW9676P0SKCVKK25QCGHPA3PAD" descr="9A4PWZ20RMSRF0PNECCDM75CA" hidden="1">
          <a:extLst>
            <a:ext uri="{FF2B5EF4-FFF2-40B4-BE49-F238E27FC236}">
              <a16:creationId xmlns:a16="http://schemas.microsoft.com/office/drawing/2014/main" id="{6F651711-E97E-4EC6-AAC3-5E2FE3EF8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96" name="BExMM0AVUAIRNJLXB1FW8R0YB4ZZ" hidden="1">
          <a:extLst>
            <a:ext uri="{FF2B5EF4-FFF2-40B4-BE49-F238E27FC236}">
              <a16:creationId xmlns:a16="http://schemas.microsoft.com/office/drawing/2014/main" id="{69CF5637-2A42-46D5-BBD2-B0F1B8D40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97" name="BExQ7SXS9VUG7P6CACU2J7R2SGIZ" hidden="1">
          <a:extLst>
            <a:ext uri="{FF2B5EF4-FFF2-40B4-BE49-F238E27FC236}">
              <a16:creationId xmlns:a16="http://schemas.microsoft.com/office/drawing/2014/main" id="{206DDDB7-C908-42FB-BDF1-A20EEE06F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98" name="BExU3EX5JJCXCII4YKUJBFBGIJR2" descr="OF5ZI9PI5WH36VPANJ2DYLNMI" hidden="1">
          <a:extLst>
            <a:ext uri="{FF2B5EF4-FFF2-40B4-BE49-F238E27FC236}">
              <a16:creationId xmlns:a16="http://schemas.microsoft.com/office/drawing/2014/main" id="{1F351F6F-EDB6-4904-BC32-4334AB4F5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399" name="BExW9676P0SKCVKK25QCGHPA3PAD" descr="9A4PWZ20RMSRF0PNECCDM75CA" hidden="1">
          <a:extLst>
            <a:ext uri="{FF2B5EF4-FFF2-40B4-BE49-F238E27FC236}">
              <a16:creationId xmlns:a16="http://schemas.microsoft.com/office/drawing/2014/main" id="{33BC73F7-2005-44CD-B8BA-AD9816738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00" name="BExMM0AVUAIRNJLXB1FW8R0YB4ZZ" hidden="1">
          <a:extLst>
            <a:ext uri="{FF2B5EF4-FFF2-40B4-BE49-F238E27FC236}">
              <a16:creationId xmlns:a16="http://schemas.microsoft.com/office/drawing/2014/main" id="{56CD20A9-F477-4EFE-87E3-F7CC0BFD7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01" name="BExQ7SXS9VUG7P6CACU2J7R2SGIZ" hidden="1">
          <a:extLst>
            <a:ext uri="{FF2B5EF4-FFF2-40B4-BE49-F238E27FC236}">
              <a16:creationId xmlns:a16="http://schemas.microsoft.com/office/drawing/2014/main" id="{7E9710BC-28D4-4000-B6BE-53743FEDF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02" name="BEx5BJQWS6YWHH4ZMSUAMD641V6Y" descr="ZTMFMXCIQSECDX38ALEFHUB00" hidden="1">
          <a:extLst>
            <a:ext uri="{FF2B5EF4-FFF2-40B4-BE49-F238E27FC236}">
              <a16:creationId xmlns:a16="http://schemas.microsoft.com/office/drawing/2014/main" id="{A30F4E7B-27DC-4A24-97CE-5BEF4775D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03" name="BExUBK0YZ5VYFY8TTITJGJU9S06A" hidden="1">
          <a:extLst>
            <a:ext uri="{FF2B5EF4-FFF2-40B4-BE49-F238E27FC236}">
              <a16:creationId xmlns:a16="http://schemas.microsoft.com/office/drawing/2014/main" id="{B20048BD-54CD-47F7-AE59-9C58A71D0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04" name="BEx5BJQWS6YWHH4ZMSUAMD641V6Y" descr="ZTMFMXCIQSECDX38ALEFHUB00" hidden="1">
          <a:extLst>
            <a:ext uri="{FF2B5EF4-FFF2-40B4-BE49-F238E27FC236}">
              <a16:creationId xmlns:a16="http://schemas.microsoft.com/office/drawing/2014/main" id="{0850BBC4-23B5-4E0A-B639-4B961AAFF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05" name="BExUBK0YZ5VYFY8TTITJGJU9S06A" hidden="1">
          <a:extLst>
            <a:ext uri="{FF2B5EF4-FFF2-40B4-BE49-F238E27FC236}">
              <a16:creationId xmlns:a16="http://schemas.microsoft.com/office/drawing/2014/main" id="{F328B363-9C38-4F51-B5D6-D541BFF9A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06" name="BEx5BJQWS6YWHH4ZMSUAMD641V6Y" descr="ZTMFMXCIQSECDX38ALEFHUB00" hidden="1">
          <a:extLst>
            <a:ext uri="{FF2B5EF4-FFF2-40B4-BE49-F238E27FC236}">
              <a16:creationId xmlns:a16="http://schemas.microsoft.com/office/drawing/2014/main" id="{C5619CD4-FA03-4756-9542-C267EE388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07" name="BExUBK0YZ5VYFY8TTITJGJU9S06A" hidden="1">
          <a:extLst>
            <a:ext uri="{FF2B5EF4-FFF2-40B4-BE49-F238E27FC236}">
              <a16:creationId xmlns:a16="http://schemas.microsoft.com/office/drawing/2014/main" id="{D0A52D04-022B-42CB-B4F2-8A9AC80F6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08" name="BEx5BJQWS6YWHH4ZMSUAMD641V6Y" descr="ZTMFMXCIQSECDX38ALEFHUB00" hidden="1">
          <a:extLst>
            <a:ext uri="{FF2B5EF4-FFF2-40B4-BE49-F238E27FC236}">
              <a16:creationId xmlns:a16="http://schemas.microsoft.com/office/drawing/2014/main" id="{25CEC986-622A-4AF9-BAC0-8C950B961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09" name="BExUBK0YZ5VYFY8TTITJGJU9S06A" hidden="1">
          <a:extLst>
            <a:ext uri="{FF2B5EF4-FFF2-40B4-BE49-F238E27FC236}">
              <a16:creationId xmlns:a16="http://schemas.microsoft.com/office/drawing/2014/main" id="{563EE54F-24C9-49E3-8AC5-41EC91DDD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10" name="BEx5BJQWS6YWHH4ZMSUAMD641V6Y" descr="ZTMFMXCIQSECDX38ALEFHUB00" hidden="1">
          <a:extLst>
            <a:ext uri="{FF2B5EF4-FFF2-40B4-BE49-F238E27FC236}">
              <a16:creationId xmlns:a16="http://schemas.microsoft.com/office/drawing/2014/main" id="{3650E457-E6C4-4082-A5A5-472794401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11" name="BExUBK0YZ5VYFY8TTITJGJU9S06A" hidden="1">
          <a:extLst>
            <a:ext uri="{FF2B5EF4-FFF2-40B4-BE49-F238E27FC236}">
              <a16:creationId xmlns:a16="http://schemas.microsoft.com/office/drawing/2014/main" id="{58EBE6E9-4F2D-48E0-8693-2DA4EFE1C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12" name="BEx5BJQWS6YWHH4ZMSUAMD641V6Y" descr="ZTMFMXCIQSECDX38ALEFHUB00" hidden="1">
          <a:extLst>
            <a:ext uri="{FF2B5EF4-FFF2-40B4-BE49-F238E27FC236}">
              <a16:creationId xmlns:a16="http://schemas.microsoft.com/office/drawing/2014/main" id="{8516621F-846E-4CCB-8625-CF00C7A89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13" name="BExUBK0YZ5VYFY8TTITJGJU9S06A" hidden="1">
          <a:extLst>
            <a:ext uri="{FF2B5EF4-FFF2-40B4-BE49-F238E27FC236}">
              <a16:creationId xmlns:a16="http://schemas.microsoft.com/office/drawing/2014/main" id="{5FAA6D87-F7C1-451C-BF87-BA5030426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14" name="BEx5BJQWS6YWHH4ZMSUAMD641V6Y" descr="ZTMFMXCIQSECDX38ALEFHUB00" hidden="1">
          <a:extLst>
            <a:ext uri="{FF2B5EF4-FFF2-40B4-BE49-F238E27FC236}">
              <a16:creationId xmlns:a16="http://schemas.microsoft.com/office/drawing/2014/main" id="{24C4906D-470D-45C0-BF44-05AFF3C29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15" name="BExUBK0YZ5VYFY8TTITJGJU9S06A" hidden="1">
          <a:extLst>
            <a:ext uri="{FF2B5EF4-FFF2-40B4-BE49-F238E27FC236}">
              <a16:creationId xmlns:a16="http://schemas.microsoft.com/office/drawing/2014/main" id="{C9F928C0-3EEA-4AF5-A198-DE678A6FF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16" name="BEx5BJQWS6YWHH4ZMSUAMD641V6Y" descr="ZTMFMXCIQSECDX38ALEFHUB00" hidden="1">
          <a:extLst>
            <a:ext uri="{FF2B5EF4-FFF2-40B4-BE49-F238E27FC236}">
              <a16:creationId xmlns:a16="http://schemas.microsoft.com/office/drawing/2014/main" id="{5A2EF8EC-C999-44F9-B924-3D47E5498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17" name="BExUBK0YZ5VYFY8TTITJGJU9S06A" hidden="1">
          <a:extLst>
            <a:ext uri="{FF2B5EF4-FFF2-40B4-BE49-F238E27FC236}">
              <a16:creationId xmlns:a16="http://schemas.microsoft.com/office/drawing/2014/main" id="{7722A76D-B9C6-4718-B358-FFF3B850F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18" name="BEx5BJQWS6YWHH4ZMSUAMD641V6Y" descr="ZTMFMXCIQSECDX38ALEFHUB00" hidden="1">
          <a:extLst>
            <a:ext uri="{FF2B5EF4-FFF2-40B4-BE49-F238E27FC236}">
              <a16:creationId xmlns:a16="http://schemas.microsoft.com/office/drawing/2014/main" id="{58AF167D-AA25-4ABA-A9B2-747C47998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19" name="BExUBK0YZ5VYFY8TTITJGJU9S06A" hidden="1">
          <a:extLst>
            <a:ext uri="{FF2B5EF4-FFF2-40B4-BE49-F238E27FC236}">
              <a16:creationId xmlns:a16="http://schemas.microsoft.com/office/drawing/2014/main" id="{B9543B21-4AA9-4FD3-BDD0-F61B746F7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20" name="BExU3EX5JJCXCII4YKUJBFBGIJR2" descr="OF5ZI9PI5WH36VPANJ2DYLNMI" hidden="1">
          <a:extLst>
            <a:ext uri="{FF2B5EF4-FFF2-40B4-BE49-F238E27FC236}">
              <a16:creationId xmlns:a16="http://schemas.microsoft.com/office/drawing/2014/main" id="{582D3968-44F2-4801-B8C6-AEA4D3957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21" name="BExW9676P0SKCVKK25QCGHPA3PAD" descr="9A4PWZ20RMSRF0PNECCDM75CA" hidden="1">
          <a:extLst>
            <a:ext uri="{FF2B5EF4-FFF2-40B4-BE49-F238E27FC236}">
              <a16:creationId xmlns:a16="http://schemas.microsoft.com/office/drawing/2014/main" id="{CA7BDB2C-3D9A-45E4-A870-9221FF5AF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22" name="BExMM0AVUAIRNJLXB1FW8R0YB4ZZ" hidden="1">
          <a:extLst>
            <a:ext uri="{FF2B5EF4-FFF2-40B4-BE49-F238E27FC236}">
              <a16:creationId xmlns:a16="http://schemas.microsoft.com/office/drawing/2014/main" id="{82C68A63-5B61-4AF5-A972-58CCDAF26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23" name="BExQ7SXS9VUG7P6CACU2J7R2SGIZ" hidden="1">
          <a:extLst>
            <a:ext uri="{FF2B5EF4-FFF2-40B4-BE49-F238E27FC236}">
              <a16:creationId xmlns:a16="http://schemas.microsoft.com/office/drawing/2014/main" id="{D1958330-3D15-48B4-8FFF-D44341393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24" name="BExU3EX5JJCXCII4YKUJBFBGIJR2" descr="OF5ZI9PI5WH36VPANJ2DYLNMI" hidden="1">
          <a:extLst>
            <a:ext uri="{FF2B5EF4-FFF2-40B4-BE49-F238E27FC236}">
              <a16:creationId xmlns:a16="http://schemas.microsoft.com/office/drawing/2014/main" id="{A6431565-3761-4ADE-90A9-8E1228FDB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25" name="BExW9676P0SKCVKK25QCGHPA3PAD" descr="9A4PWZ20RMSRF0PNECCDM75CA" hidden="1">
          <a:extLst>
            <a:ext uri="{FF2B5EF4-FFF2-40B4-BE49-F238E27FC236}">
              <a16:creationId xmlns:a16="http://schemas.microsoft.com/office/drawing/2014/main" id="{F52C4BA8-B4CA-4C4D-9C7E-9684152A3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26" name="BExMM0AVUAIRNJLXB1FW8R0YB4ZZ" hidden="1">
          <a:extLst>
            <a:ext uri="{FF2B5EF4-FFF2-40B4-BE49-F238E27FC236}">
              <a16:creationId xmlns:a16="http://schemas.microsoft.com/office/drawing/2014/main" id="{0B48AB11-011E-4CBA-8A02-63BF97A44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27" name="BExQ7SXS9VUG7P6CACU2J7R2SGIZ" hidden="1">
          <a:extLst>
            <a:ext uri="{FF2B5EF4-FFF2-40B4-BE49-F238E27FC236}">
              <a16:creationId xmlns:a16="http://schemas.microsoft.com/office/drawing/2014/main" id="{E3BDD3DA-55B7-4BAA-8E42-8F939BD97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28" name="BEx5BJQWS6YWHH4ZMSUAMD641V6Y" descr="ZTMFMXCIQSECDX38ALEFHUB00" hidden="1">
          <a:extLst>
            <a:ext uri="{FF2B5EF4-FFF2-40B4-BE49-F238E27FC236}">
              <a16:creationId xmlns:a16="http://schemas.microsoft.com/office/drawing/2014/main" id="{AE8AE1F1-7525-4023-B639-1DE3EF1D8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29" name="BExUBK0YZ5VYFY8TTITJGJU9S06A" hidden="1">
          <a:extLst>
            <a:ext uri="{FF2B5EF4-FFF2-40B4-BE49-F238E27FC236}">
              <a16:creationId xmlns:a16="http://schemas.microsoft.com/office/drawing/2014/main" id="{0901B368-9009-4406-BBA2-AFC311C5D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30" name="BEx5BJQWS6YWHH4ZMSUAMD641V6Y" descr="ZTMFMXCIQSECDX38ALEFHUB00" hidden="1">
          <a:extLst>
            <a:ext uri="{FF2B5EF4-FFF2-40B4-BE49-F238E27FC236}">
              <a16:creationId xmlns:a16="http://schemas.microsoft.com/office/drawing/2014/main" id="{EBE7A4CF-C9CB-480D-A810-466238CF9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31" name="BExUBK0YZ5VYFY8TTITJGJU9S06A" hidden="1">
          <a:extLst>
            <a:ext uri="{FF2B5EF4-FFF2-40B4-BE49-F238E27FC236}">
              <a16:creationId xmlns:a16="http://schemas.microsoft.com/office/drawing/2014/main" id="{4B2AF3D5-FBBE-4861-B8B1-28F4CBC19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32" name="BEx5BJQWS6YWHH4ZMSUAMD641V6Y" descr="ZTMFMXCIQSECDX38ALEFHUB00" hidden="1">
          <a:extLst>
            <a:ext uri="{FF2B5EF4-FFF2-40B4-BE49-F238E27FC236}">
              <a16:creationId xmlns:a16="http://schemas.microsoft.com/office/drawing/2014/main" id="{2DC82315-4C36-4E66-AE8B-1E28F6604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33" name="BExUBK0YZ5VYFY8TTITJGJU9S06A" hidden="1">
          <a:extLst>
            <a:ext uri="{FF2B5EF4-FFF2-40B4-BE49-F238E27FC236}">
              <a16:creationId xmlns:a16="http://schemas.microsoft.com/office/drawing/2014/main" id="{DEBC418E-0FE1-4F50-A41B-0EC806644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34" name="BEx5BJQWS6YWHH4ZMSUAMD641V6Y" descr="ZTMFMXCIQSECDX38ALEFHUB00" hidden="1">
          <a:extLst>
            <a:ext uri="{FF2B5EF4-FFF2-40B4-BE49-F238E27FC236}">
              <a16:creationId xmlns:a16="http://schemas.microsoft.com/office/drawing/2014/main" id="{96D8987E-1C02-48BF-B2DD-07267A150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35" name="BExUBK0YZ5VYFY8TTITJGJU9S06A" hidden="1">
          <a:extLst>
            <a:ext uri="{FF2B5EF4-FFF2-40B4-BE49-F238E27FC236}">
              <a16:creationId xmlns:a16="http://schemas.microsoft.com/office/drawing/2014/main" id="{C80FCC91-DF01-4214-9241-94885AF60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36" name="BEx5BJQWS6YWHH4ZMSUAMD641V6Y" descr="ZTMFMXCIQSECDX38ALEFHUB00" hidden="1">
          <a:extLst>
            <a:ext uri="{FF2B5EF4-FFF2-40B4-BE49-F238E27FC236}">
              <a16:creationId xmlns:a16="http://schemas.microsoft.com/office/drawing/2014/main" id="{E90B4DFA-B349-470B-8B77-372EA593A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37" name="BExUBK0YZ5VYFY8TTITJGJU9S06A" hidden="1">
          <a:extLst>
            <a:ext uri="{FF2B5EF4-FFF2-40B4-BE49-F238E27FC236}">
              <a16:creationId xmlns:a16="http://schemas.microsoft.com/office/drawing/2014/main" id="{A2F278CA-0661-46CD-9DF7-A2F4A0A94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38" name="BExU3EX5JJCXCII4YKUJBFBGIJR2" descr="OF5ZI9PI5WH36VPANJ2DYLNMI" hidden="1">
          <a:extLst>
            <a:ext uri="{FF2B5EF4-FFF2-40B4-BE49-F238E27FC236}">
              <a16:creationId xmlns:a16="http://schemas.microsoft.com/office/drawing/2014/main" id="{82A4BAC1-34C2-48B8-A0F8-2BF615B6C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39" name="BEx5BJQWS6YWHH4ZMSUAMD641V6Y" descr="ZTMFMXCIQSECDX38ALEFHUB00" hidden="1">
          <a:extLst>
            <a:ext uri="{FF2B5EF4-FFF2-40B4-BE49-F238E27FC236}">
              <a16:creationId xmlns:a16="http://schemas.microsoft.com/office/drawing/2014/main" id="{512B0634-3DFF-4843-92CA-03F606156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24</xdr:row>
      <xdr:rowOff>0</xdr:rowOff>
    </xdr:from>
    <xdr:ext cx="59531" cy="295275"/>
    <xdr:pic>
      <xdr:nvPicPr>
        <xdr:cNvPr id="440" name="BExIFSCLN1G86X78PFLTSMRP0US5" descr="9JK4SPV4DG7VTCZIILWHXQU5J" hidden="1">
          <a:extLst>
            <a:ext uri="{FF2B5EF4-FFF2-40B4-BE49-F238E27FC236}">
              <a16:creationId xmlns:a16="http://schemas.microsoft.com/office/drawing/2014/main" id="{4BDDDF42-A9EF-45EA-8AE4-144A12467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41" name="BExW9676P0SKCVKK25QCGHPA3PAD" descr="9A4PWZ20RMSRF0PNECCDM75CA" hidden="1">
          <a:extLst>
            <a:ext uri="{FF2B5EF4-FFF2-40B4-BE49-F238E27FC236}">
              <a16:creationId xmlns:a16="http://schemas.microsoft.com/office/drawing/2014/main" id="{BE172CF8-1BC5-41BC-9E16-E3A2343F9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42" name="BExMM0AVUAIRNJLXB1FW8R0YB4ZZ" hidden="1">
          <a:extLst>
            <a:ext uri="{FF2B5EF4-FFF2-40B4-BE49-F238E27FC236}">
              <a16:creationId xmlns:a16="http://schemas.microsoft.com/office/drawing/2014/main" id="{02C65372-6720-4A05-B143-C864F6D6E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43" name="BExQ7SXS9VUG7P6CACU2J7R2SGIZ" hidden="1">
          <a:extLst>
            <a:ext uri="{FF2B5EF4-FFF2-40B4-BE49-F238E27FC236}">
              <a16:creationId xmlns:a16="http://schemas.microsoft.com/office/drawing/2014/main" id="{805A18FD-241E-46F8-8507-DB358DFDD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44" name="BExUBK0YZ5VYFY8TTITJGJU9S06A" hidden="1">
          <a:extLst>
            <a:ext uri="{FF2B5EF4-FFF2-40B4-BE49-F238E27FC236}">
              <a16:creationId xmlns:a16="http://schemas.microsoft.com/office/drawing/2014/main" id="{A7AA47A9-24DF-4250-B0DE-9530AC1C4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24</xdr:row>
      <xdr:rowOff>0</xdr:rowOff>
    </xdr:from>
    <xdr:ext cx="47625" cy="295275"/>
    <xdr:pic>
      <xdr:nvPicPr>
        <xdr:cNvPr id="445" name="BExS3JDQWF7U3F5JTEVOE16ASIYK" hidden="1">
          <a:extLst>
            <a:ext uri="{FF2B5EF4-FFF2-40B4-BE49-F238E27FC236}">
              <a16:creationId xmlns:a16="http://schemas.microsoft.com/office/drawing/2014/main" id="{40936FA5-7E67-4FAD-BE7D-505A9161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577215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46" name="BEx5BJQWS6YWHH4ZMSUAMD641V6Y" descr="ZTMFMXCIQSECDX38ALEFHUB00" hidden="1">
          <a:extLst>
            <a:ext uri="{FF2B5EF4-FFF2-40B4-BE49-F238E27FC236}">
              <a16:creationId xmlns:a16="http://schemas.microsoft.com/office/drawing/2014/main" id="{34FCC861-EF46-4980-A792-B6951D649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47" name="BExUBK0YZ5VYFY8TTITJGJU9S06A" hidden="1">
          <a:extLst>
            <a:ext uri="{FF2B5EF4-FFF2-40B4-BE49-F238E27FC236}">
              <a16:creationId xmlns:a16="http://schemas.microsoft.com/office/drawing/2014/main" id="{B4986B13-CFA1-49D2-BE28-B187C15C2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48" name="BExU3EX5JJCXCII4YKUJBFBGIJR2" descr="OF5ZI9PI5WH36VPANJ2DYLNMI" hidden="1">
          <a:extLst>
            <a:ext uri="{FF2B5EF4-FFF2-40B4-BE49-F238E27FC236}">
              <a16:creationId xmlns:a16="http://schemas.microsoft.com/office/drawing/2014/main" id="{0488F38C-08BA-4C53-BF10-1C928A172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49" name="BExW9676P0SKCVKK25QCGHPA3PAD" descr="9A4PWZ20RMSRF0PNECCDM75CA" hidden="1">
          <a:extLst>
            <a:ext uri="{FF2B5EF4-FFF2-40B4-BE49-F238E27FC236}">
              <a16:creationId xmlns:a16="http://schemas.microsoft.com/office/drawing/2014/main" id="{09020292-A7F9-43D1-BCE4-DB4AA2B72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50" name="BExMM0AVUAIRNJLXB1FW8R0YB4ZZ" hidden="1">
          <a:extLst>
            <a:ext uri="{FF2B5EF4-FFF2-40B4-BE49-F238E27FC236}">
              <a16:creationId xmlns:a16="http://schemas.microsoft.com/office/drawing/2014/main" id="{DD6CA0C0-B9AB-4879-84A3-B74751A79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51" name="BExQ7SXS9VUG7P6CACU2J7R2SGIZ" hidden="1">
          <a:extLst>
            <a:ext uri="{FF2B5EF4-FFF2-40B4-BE49-F238E27FC236}">
              <a16:creationId xmlns:a16="http://schemas.microsoft.com/office/drawing/2014/main" id="{C4D12EEC-F489-40D5-B115-95828028E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52" name="BExU3EX5JJCXCII4YKUJBFBGIJR2" descr="OF5ZI9PI5WH36VPANJ2DYLNMI" hidden="1">
          <a:extLst>
            <a:ext uri="{FF2B5EF4-FFF2-40B4-BE49-F238E27FC236}">
              <a16:creationId xmlns:a16="http://schemas.microsoft.com/office/drawing/2014/main" id="{146D5126-5DEB-484B-A55B-E444931A1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53" name="BExW9676P0SKCVKK25QCGHPA3PAD" descr="9A4PWZ20RMSRF0PNECCDM75CA" hidden="1">
          <a:extLst>
            <a:ext uri="{FF2B5EF4-FFF2-40B4-BE49-F238E27FC236}">
              <a16:creationId xmlns:a16="http://schemas.microsoft.com/office/drawing/2014/main" id="{8F38DBD6-88F6-48FE-8850-32052961C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54" name="BExMM0AVUAIRNJLXB1FW8R0YB4ZZ" hidden="1">
          <a:extLst>
            <a:ext uri="{FF2B5EF4-FFF2-40B4-BE49-F238E27FC236}">
              <a16:creationId xmlns:a16="http://schemas.microsoft.com/office/drawing/2014/main" id="{46ADE7DF-F615-4DFB-A914-740D257DE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55" name="BExQ7SXS9VUG7P6CACU2J7R2SGIZ" hidden="1">
          <a:extLst>
            <a:ext uri="{FF2B5EF4-FFF2-40B4-BE49-F238E27FC236}">
              <a16:creationId xmlns:a16="http://schemas.microsoft.com/office/drawing/2014/main" id="{A781461B-CC11-4636-B657-0DC77D0BA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56" name="BEx5BJQWS6YWHH4ZMSUAMD641V6Y" descr="ZTMFMXCIQSECDX38ALEFHUB00" hidden="1">
          <a:extLst>
            <a:ext uri="{FF2B5EF4-FFF2-40B4-BE49-F238E27FC236}">
              <a16:creationId xmlns:a16="http://schemas.microsoft.com/office/drawing/2014/main" id="{31FEEF67-8943-4827-970E-EFA305D7B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57" name="BExUBK0YZ5VYFY8TTITJGJU9S06A" hidden="1">
          <a:extLst>
            <a:ext uri="{FF2B5EF4-FFF2-40B4-BE49-F238E27FC236}">
              <a16:creationId xmlns:a16="http://schemas.microsoft.com/office/drawing/2014/main" id="{1D967561-BC7F-4BCB-AB22-0083B9FF8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58" name="BEx5BJQWS6YWHH4ZMSUAMD641V6Y" descr="ZTMFMXCIQSECDX38ALEFHUB00" hidden="1">
          <a:extLst>
            <a:ext uri="{FF2B5EF4-FFF2-40B4-BE49-F238E27FC236}">
              <a16:creationId xmlns:a16="http://schemas.microsoft.com/office/drawing/2014/main" id="{6454DA2C-4DBB-4175-B7C1-7979B2CF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59" name="BExUBK0YZ5VYFY8TTITJGJU9S06A" hidden="1">
          <a:extLst>
            <a:ext uri="{FF2B5EF4-FFF2-40B4-BE49-F238E27FC236}">
              <a16:creationId xmlns:a16="http://schemas.microsoft.com/office/drawing/2014/main" id="{3332F4CA-02D8-4F16-9090-29D00C524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60" name="BEx5BJQWS6YWHH4ZMSUAMD641V6Y" descr="ZTMFMXCIQSECDX38ALEFHUB00" hidden="1">
          <a:extLst>
            <a:ext uri="{FF2B5EF4-FFF2-40B4-BE49-F238E27FC236}">
              <a16:creationId xmlns:a16="http://schemas.microsoft.com/office/drawing/2014/main" id="{192B258D-51DA-4A8C-99F7-F74356E87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61" name="BExUBK0YZ5VYFY8TTITJGJU9S06A" hidden="1">
          <a:extLst>
            <a:ext uri="{FF2B5EF4-FFF2-40B4-BE49-F238E27FC236}">
              <a16:creationId xmlns:a16="http://schemas.microsoft.com/office/drawing/2014/main" id="{786EA509-1AAD-4B9E-A48A-8A7D8BCB2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62" name="BEx5BJQWS6YWHH4ZMSUAMD641V6Y" descr="ZTMFMXCIQSECDX38ALEFHUB00" hidden="1">
          <a:extLst>
            <a:ext uri="{FF2B5EF4-FFF2-40B4-BE49-F238E27FC236}">
              <a16:creationId xmlns:a16="http://schemas.microsoft.com/office/drawing/2014/main" id="{C161656E-FEA5-40D8-A056-7E2E81B4B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63" name="BExUBK0YZ5VYFY8TTITJGJU9S06A" hidden="1">
          <a:extLst>
            <a:ext uri="{FF2B5EF4-FFF2-40B4-BE49-F238E27FC236}">
              <a16:creationId xmlns:a16="http://schemas.microsoft.com/office/drawing/2014/main" id="{713A455A-635F-452C-B98C-8D36035D9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64" name="BEx5BJQWS6YWHH4ZMSUAMD641V6Y" descr="ZTMFMXCIQSECDX38ALEFHUB00" hidden="1">
          <a:extLst>
            <a:ext uri="{FF2B5EF4-FFF2-40B4-BE49-F238E27FC236}">
              <a16:creationId xmlns:a16="http://schemas.microsoft.com/office/drawing/2014/main" id="{FA76198E-9707-41DD-9F3D-8E89F3AC7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65" name="BExUBK0YZ5VYFY8TTITJGJU9S06A" hidden="1">
          <a:extLst>
            <a:ext uri="{FF2B5EF4-FFF2-40B4-BE49-F238E27FC236}">
              <a16:creationId xmlns:a16="http://schemas.microsoft.com/office/drawing/2014/main" id="{C57FC4F8-0DD6-42AA-BBE6-65F83603D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66" name="BEx5BJQWS6YWHH4ZMSUAMD641V6Y" descr="ZTMFMXCIQSECDX38ALEFHUB00" hidden="1">
          <a:extLst>
            <a:ext uri="{FF2B5EF4-FFF2-40B4-BE49-F238E27FC236}">
              <a16:creationId xmlns:a16="http://schemas.microsoft.com/office/drawing/2014/main" id="{3B0E3348-1605-445A-9B51-485C7FBE7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67" name="BExUBK0YZ5VYFY8TTITJGJU9S06A" hidden="1">
          <a:extLst>
            <a:ext uri="{FF2B5EF4-FFF2-40B4-BE49-F238E27FC236}">
              <a16:creationId xmlns:a16="http://schemas.microsoft.com/office/drawing/2014/main" id="{EE6F0BC0-9520-41A8-9A26-1BEE0E6A4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68" name="BEx5BJQWS6YWHH4ZMSUAMD641V6Y" descr="ZTMFMXCIQSECDX38ALEFHUB00" hidden="1">
          <a:extLst>
            <a:ext uri="{FF2B5EF4-FFF2-40B4-BE49-F238E27FC236}">
              <a16:creationId xmlns:a16="http://schemas.microsoft.com/office/drawing/2014/main" id="{BE49EECC-607A-4C06-9F9F-C845ED795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69" name="BExUBK0YZ5VYFY8TTITJGJU9S06A" hidden="1">
          <a:extLst>
            <a:ext uri="{FF2B5EF4-FFF2-40B4-BE49-F238E27FC236}">
              <a16:creationId xmlns:a16="http://schemas.microsoft.com/office/drawing/2014/main" id="{31F2806B-C7A9-4268-AFC7-EC36FEC65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70" name="BEx5BJQWS6YWHH4ZMSUAMD641V6Y" descr="ZTMFMXCIQSECDX38ALEFHUB00" hidden="1">
          <a:extLst>
            <a:ext uri="{FF2B5EF4-FFF2-40B4-BE49-F238E27FC236}">
              <a16:creationId xmlns:a16="http://schemas.microsoft.com/office/drawing/2014/main" id="{12A54EB0-6895-4462-90DF-C8393C3CE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71" name="BExUBK0YZ5VYFY8TTITJGJU9S06A" hidden="1">
          <a:extLst>
            <a:ext uri="{FF2B5EF4-FFF2-40B4-BE49-F238E27FC236}">
              <a16:creationId xmlns:a16="http://schemas.microsoft.com/office/drawing/2014/main" id="{5A77A15A-94C9-4244-AEA8-CBF6B669F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72" name="BEx5BJQWS6YWHH4ZMSUAMD641V6Y" descr="ZTMFMXCIQSECDX38ALEFHUB00" hidden="1">
          <a:extLst>
            <a:ext uri="{FF2B5EF4-FFF2-40B4-BE49-F238E27FC236}">
              <a16:creationId xmlns:a16="http://schemas.microsoft.com/office/drawing/2014/main" id="{3A6E24EA-D746-4E0B-AD60-1B4EAB4A0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73" name="BExUBK0YZ5VYFY8TTITJGJU9S06A" hidden="1">
          <a:extLst>
            <a:ext uri="{FF2B5EF4-FFF2-40B4-BE49-F238E27FC236}">
              <a16:creationId xmlns:a16="http://schemas.microsoft.com/office/drawing/2014/main" id="{96F666D7-5B54-4F16-B90E-4306DBBD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74" name="BExU3EX5JJCXCII4YKUJBFBGIJR2" descr="OF5ZI9PI5WH36VPANJ2DYLNMI" hidden="1">
          <a:extLst>
            <a:ext uri="{FF2B5EF4-FFF2-40B4-BE49-F238E27FC236}">
              <a16:creationId xmlns:a16="http://schemas.microsoft.com/office/drawing/2014/main" id="{591DB15E-4AB0-4498-AACE-F8BD7A4EA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75" name="BExW9676P0SKCVKK25QCGHPA3PAD" descr="9A4PWZ20RMSRF0PNECCDM75CA" hidden="1">
          <a:extLst>
            <a:ext uri="{FF2B5EF4-FFF2-40B4-BE49-F238E27FC236}">
              <a16:creationId xmlns:a16="http://schemas.microsoft.com/office/drawing/2014/main" id="{5965372D-EBDC-4F81-B13F-25BD4751D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76" name="BExMM0AVUAIRNJLXB1FW8R0YB4ZZ" hidden="1">
          <a:extLst>
            <a:ext uri="{FF2B5EF4-FFF2-40B4-BE49-F238E27FC236}">
              <a16:creationId xmlns:a16="http://schemas.microsoft.com/office/drawing/2014/main" id="{A14B0606-C0F7-4235-B0B6-A5400E936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77" name="BExQ7SXS9VUG7P6CACU2J7R2SGIZ" hidden="1">
          <a:extLst>
            <a:ext uri="{FF2B5EF4-FFF2-40B4-BE49-F238E27FC236}">
              <a16:creationId xmlns:a16="http://schemas.microsoft.com/office/drawing/2014/main" id="{14FEB619-F38D-454D-ACF9-53CFFFCB8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78" name="BExU3EX5JJCXCII4YKUJBFBGIJR2" descr="OF5ZI9PI5WH36VPANJ2DYLNMI" hidden="1">
          <a:extLst>
            <a:ext uri="{FF2B5EF4-FFF2-40B4-BE49-F238E27FC236}">
              <a16:creationId xmlns:a16="http://schemas.microsoft.com/office/drawing/2014/main" id="{A649FFCD-C968-4D4D-B462-B67C6155D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79" name="BExW9676P0SKCVKK25QCGHPA3PAD" descr="9A4PWZ20RMSRF0PNECCDM75CA" hidden="1">
          <a:extLst>
            <a:ext uri="{FF2B5EF4-FFF2-40B4-BE49-F238E27FC236}">
              <a16:creationId xmlns:a16="http://schemas.microsoft.com/office/drawing/2014/main" id="{00B79B27-0DE1-4A3E-BFB9-D6BFA2E1E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80" name="BExMM0AVUAIRNJLXB1FW8R0YB4ZZ" hidden="1">
          <a:extLst>
            <a:ext uri="{FF2B5EF4-FFF2-40B4-BE49-F238E27FC236}">
              <a16:creationId xmlns:a16="http://schemas.microsoft.com/office/drawing/2014/main" id="{02A17DD3-EE8E-4D05-B49D-A73C9D585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81" name="BExQ7SXS9VUG7P6CACU2J7R2SGIZ" hidden="1">
          <a:extLst>
            <a:ext uri="{FF2B5EF4-FFF2-40B4-BE49-F238E27FC236}">
              <a16:creationId xmlns:a16="http://schemas.microsoft.com/office/drawing/2014/main" id="{A9271007-5BBA-43BC-8D08-1E5941CBC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82" name="BEx5BJQWS6YWHH4ZMSUAMD641V6Y" descr="ZTMFMXCIQSECDX38ALEFHUB00" hidden="1">
          <a:extLst>
            <a:ext uri="{FF2B5EF4-FFF2-40B4-BE49-F238E27FC236}">
              <a16:creationId xmlns:a16="http://schemas.microsoft.com/office/drawing/2014/main" id="{56C5AD6C-A896-4C04-98BC-A00F3DD12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83" name="BExUBK0YZ5VYFY8TTITJGJU9S06A" hidden="1">
          <a:extLst>
            <a:ext uri="{FF2B5EF4-FFF2-40B4-BE49-F238E27FC236}">
              <a16:creationId xmlns:a16="http://schemas.microsoft.com/office/drawing/2014/main" id="{E47862C5-5798-4D05-ACEE-97648ADD7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84" name="BEx5BJQWS6YWHH4ZMSUAMD641V6Y" descr="ZTMFMXCIQSECDX38ALEFHUB00" hidden="1">
          <a:extLst>
            <a:ext uri="{FF2B5EF4-FFF2-40B4-BE49-F238E27FC236}">
              <a16:creationId xmlns:a16="http://schemas.microsoft.com/office/drawing/2014/main" id="{6030A956-B2C0-42DA-810F-932984F3C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85" name="BExUBK0YZ5VYFY8TTITJGJU9S06A" hidden="1">
          <a:extLst>
            <a:ext uri="{FF2B5EF4-FFF2-40B4-BE49-F238E27FC236}">
              <a16:creationId xmlns:a16="http://schemas.microsoft.com/office/drawing/2014/main" id="{744E84F4-92FC-44A6-8D45-3F63A67BA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86" name="BEx5BJQWS6YWHH4ZMSUAMD641V6Y" descr="ZTMFMXCIQSECDX38ALEFHUB00" hidden="1">
          <a:extLst>
            <a:ext uri="{FF2B5EF4-FFF2-40B4-BE49-F238E27FC236}">
              <a16:creationId xmlns:a16="http://schemas.microsoft.com/office/drawing/2014/main" id="{FFD63802-DB26-4155-99EA-CC870C631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87" name="BExUBK0YZ5VYFY8TTITJGJU9S06A" hidden="1">
          <a:extLst>
            <a:ext uri="{FF2B5EF4-FFF2-40B4-BE49-F238E27FC236}">
              <a16:creationId xmlns:a16="http://schemas.microsoft.com/office/drawing/2014/main" id="{6A77FE67-D24C-4BB6-8958-8928D14B2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88" name="BEx5BJQWS6YWHH4ZMSUAMD641V6Y" descr="ZTMFMXCIQSECDX38ALEFHUB00" hidden="1">
          <a:extLst>
            <a:ext uri="{FF2B5EF4-FFF2-40B4-BE49-F238E27FC236}">
              <a16:creationId xmlns:a16="http://schemas.microsoft.com/office/drawing/2014/main" id="{8C5E3D6B-64A1-4349-A445-20EE389CC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89" name="BExUBK0YZ5VYFY8TTITJGJU9S06A" hidden="1">
          <a:extLst>
            <a:ext uri="{FF2B5EF4-FFF2-40B4-BE49-F238E27FC236}">
              <a16:creationId xmlns:a16="http://schemas.microsoft.com/office/drawing/2014/main" id="{EC7D465A-915D-49A0-9F53-B21A3E9CD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90" name="BEx5BJQWS6YWHH4ZMSUAMD641V6Y" descr="ZTMFMXCIQSECDX38ALEFHUB00" hidden="1">
          <a:extLst>
            <a:ext uri="{FF2B5EF4-FFF2-40B4-BE49-F238E27FC236}">
              <a16:creationId xmlns:a16="http://schemas.microsoft.com/office/drawing/2014/main" id="{D36AF8DE-6A29-44AA-BABE-E0C36F8A1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91" name="BExUBK0YZ5VYFY8TTITJGJU9S06A" hidden="1">
          <a:extLst>
            <a:ext uri="{FF2B5EF4-FFF2-40B4-BE49-F238E27FC236}">
              <a16:creationId xmlns:a16="http://schemas.microsoft.com/office/drawing/2014/main" id="{4CD93023-0B1F-4453-ACDC-8D753018F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92" name="BExU3EX5JJCXCII4YKUJBFBGIJR2" descr="OF5ZI9PI5WH36VPANJ2DYLNMI" hidden="1">
          <a:extLst>
            <a:ext uri="{FF2B5EF4-FFF2-40B4-BE49-F238E27FC236}">
              <a16:creationId xmlns:a16="http://schemas.microsoft.com/office/drawing/2014/main" id="{49513FEE-73A4-421B-9C93-6BF3BF587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93" name="BEx5BJQWS6YWHH4ZMSUAMD641V6Y" descr="ZTMFMXCIQSECDX38ALEFHUB00" hidden="1">
          <a:extLst>
            <a:ext uri="{FF2B5EF4-FFF2-40B4-BE49-F238E27FC236}">
              <a16:creationId xmlns:a16="http://schemas.microsoft.com/office/drawing/2014/main" id="{537D223C-AD77-4FF2-AFDD-4F5DEE16A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24</xdr:row>
      <xdr:rowOff>0</xdr:rowOff>
    </xdr:from>
    <xdr:ext cx="59531" cy="295275"/>
    <xdr:pic>
      <xdr:nvPicPr>
        <xdr:cNvPr id="494" name="BExIFSCLN1G86X78PFLTSMRP0US5" descr="9JK4SPV4DG7VTCZIILWHXQU5J" hidden="1">
          <a:extLst>
            <a:ext uri="{FF2B5EF4-FFF2-40B4-BE49-F238E27FC236}">
              <a16:creationId xmlns:a16="http://schemas.microsoft.com/office/drawing/2014/main" id="{75E6040D-C3BD-4C32-9CB4-FBE5F177D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95" name="BExW9676P0SKCVKK25QCGHPA3PAD" descr="9A4PWZ20RMSRF0PNECCDM75CA" hidden="1">
          <a:extLst>
            <a:ext uri="{FF2B5EF4-FFF2-40B4-BE49-F238E27FC236}">
              <a16:creationId xmlns:a16="http://schemas.microsoft.com/office/drawing/2014/main" id="{1A0E817C-66BA-4B4A-8FCC-465DC5F58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96" name="BExMM0AVUAIRNJLXB1FW8R0YB4ZZ" hidden="1">
          <a:extLst>
            <a:ext uri="{FF2B5EF4-FFF2-40B4-BE49-F238E27FC236}">
              <a16:creationId xmlns:a16="http://schemas.microsoft.com/office/drawing/2014/main" id="{F8C4E7AA-1639-4E61-AC32-708880A03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497" name="BExQ7SXS9VUG7P6CACU2J7R2SGIZ" hidden="1">
          <a:extLst>
            <a:ext uri="{FF2B5EF4-FFF2-40B4-BE49-F238E27FC236}">
              <a16:creationId xmlns:a16="http://schemas.microsoft.com/office/drawing/2014/main" id="{E7D4EED4-DE8C-4494-BA8D-B448CE179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498" name="BExUBK0YZ5VYFY8TTITJGJU9S06A" hidden="1">
          <a:extLst>
            <a:ext uri="{FF2B5EF4-FFF2-40B4-BE49-F238E27FC236}">
              <a16:creationId xmlns:a16="http://schemas.microsoft.com/office/drawing/2014/main" id="{EBDC6810-986F-44E8-BFF9-D1EC8950F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24</xdr:row>
      <xdr:rowOff>0</xdr:rowOff>
    </xdr:from>
    <xdr:ext cx="47625" cy="295275"/>
    <xdr:pic>
      <xdr:nvPicPr>
        <xdr:cNvPr id="499" name="BExS3JDQWF7U3F5JTEVOE16ASIYK" hidden="1">
          <a:extLst>
            <a:ext uri="{FF2B5EF4-FFF2-40B4-BE49-F238E27FC236}">
              <a16:creationId xmlns:a16="http://schemas.microsoft.com/office/drawing/2014/main" id="{BAD14EED-E6B7-4646-9598-FC5F25243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577215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00" name="BEx5BJQWS6YWHH4ZMSUAMD641V6Y" descr="ZTMFMXCIQSECDX38ALEFHUB00" hidden="1">
          <a:extLst>
            <a:ext uri="{FF2B5EF4-FFF2-40B4-BE49-F238E27FC236}">
              <a16:creationId xmlns:a16="http://schemas.microsoft.com/office/drawing/2014/main" id="{7748457A-E115-47FF-B81D-6F4FF8821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01" name="BExUBK0YZ5VYFY8TTITJGJU9S06A" hidden="1">
          <a:extLst>
            <a:ext uri="{FF2B5EF4-FFF2-40B4-BE49-F238E27FC236}">
              <a16:creationId xmlns:a16="http://schemas.microsoft.com/office/drawing/2014/main" id="{B914CEB2-BD4E-4820-B465-C8FFD7A07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02" name="BExU3EX5JJCXCII4YKUJBFBGIJR2" descr="OF5ZI9PI5WH36VPANJ2DYLNMI" hidden="1">
          <a:extLst>
            <a:ext uri="{FF2B5EF4-FFF2-40B4-BE49-F238E27FC236}">
              <a16:creationId xmlns:a16="http://schemas.microsoft.com/office/drawing/2014/main" id="{474FF4B1-B509-480F-9647-F1BB9563C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03" name="BExW9676P0SKCVKK25QCGHPA3PAD" descr="9A4PWZ20RMSRF0PNECCDM75CA" hidden="1">
          <a:extLst>
            <a:ext uri="{FF2B5EF4-FFF2-40B4-BE49-F238E27FC236}">
              <a16:creationId xmlns:a16="http://schemas.microsoft.com/office/drawing/2014/main" id="{F26B8566-C943-41E5-AAB6-FC336BFA1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04" name="BExMM0AVUAIRNJLXB1FW8R0YB4ZZ" hidden="1">
          <a:extLst>
            <a:ext uri="{FF2B5EF4-FFF2-40B4-BE49-F238E27FC236}">
              <a16:creationId xmlns:a16="http://schemas.microsoft.com/office/drawing/2014/main" id="{8C743DF8-4F8E-419C-BD67-E71533B3A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05" name="BExQ7SXS9VUG7P6CACU2J7R2SGIZ" hidden="1">
          <a:extLst>
            <a:ext uri="{FF2B5EF4-FFF2-40B4-BE49-F238E27FC236}">
              <a16:creationId xmlns:a16="http://schemas.microsoft.com/office/drawing/2014/main" id="{E73B80A9-DC4E-42E6-BDB3-D4F102818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06" name="BExU3EX5JJCXCII4YKUJBFBGIJR2" descr="OF5ZI9PI5WH36VPANJ2DYLNMI" hidden="1">
          <a:extLst>
            <a:ext uri="{FF2B5EF4-FFF2-40B4-BE49-F238E27FC236}">
              <a16:creationId xmlns:a16="http://schemas.microsoft.com/office/drawing/2014/main" id="{A9675ABD-5C30-4FCA-A53B-4EAB6389E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07" name="BExW9676P0SKCVKK25QCGHPA3PAD" descr="9A4PWZ20RMSRF0PNECCDM75CA" hidden="1">
          <a:extLst>
            <a:ext uri="{FF2B5EF4-FFF2-40B4-BE49-F238E27FC236}">
              <a16:creationId xmlns:a16="http://schemas.microsoft.com/office/drawing/2014/main" id="{B2F0A187-CB3C-49C9-B4BE-1B923A862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08" name="BExMM0AVUAIRNJLXB1FW8R0YB4ZZ" hidden="1">
          <a:extLst>
            <a:ext uri="{FF2B5EF4-FFF2-40B4-BE49-F238E27FC236}">
              <a16:creationId xmlns:a16="http://schemas.microsoft.com/office/drawing/2014/main" id="{14F6109A-020E-4F91-A8C9-847C11AFE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09" name="BExQ7SXS9VUG7P6CACU2J7R2SGIZ" hidden="1">
          <a:extLst>
            <a:ext uri="{FF2B5EF4-FFF2-40B4-BE49-F238E27FC236}">
              <a16:creationId xmlns:a16="http://schemas.microsoft.com/office/drawing/2014/main" id="{B166CF27-6298-4DDE-BFF7-90726882E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10" name="BEx5BJQWS6YWHH4ZMSUAMD641V6Y" descr="ZTMFMXCIQSECDX38ALEFHUB00" hidden="1">
          <a:extLst>
            <a:ext uri="{FF2B5EF4-FFF2-40B4-BE49-F238E27FC236}">
              <a16:creationId xmlns:a16="http://schemas.microsoft.com/office/drawing/2014/main" id="{58C2972E-D7CA-4AF7-855C-8C3A3E9DA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11" name="BExUBK0YZ5VYFY8TTITJGJU9S06A" hidden="1">
          <a:extLst>
            <a:ext uri="{FF2B5EF4-FFF2-40B4-BE49-F238E27FC236}">
              <a16:creationId xmlns:a16="http://schemas.microsoft.com/office/drawing/2014/main" id="{1717AD5E-119B-4F05-82A8-AF8EE0D60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12" name="BEx5BJQWS6YWHH4ZMSUAMD641V6Y" descr="ZTMFMXCIQSECDX38ALEFHUB00" hidden="1">
          <a:extLst>
            <a:ext uri="{FF2B5EF4-FFF2-40B4-BE49-F238E27FC236}">
              <a16:creationId xmlns:a16="http://schemas.microsoft.com/office/drawing/2014/main" id="{AA9ECAEB-18BA-4E8B-943A-7B3BF1AD5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13" name="BExUBK0YZ5VYFY8TTITJGJU9S06A" hidden="1">
          <a:extLst>
            <a:ext uri="{FF2B5EF4-FFF2-40B4-BE49-F238E27FC236}">
              <a16:creationId xmlns:a16="http://schemas.microsoft.com/office/drawing/2014/main" id="{4BEBCA0D-7608-41E4-A01A-1F3B14121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14" name="BEx5BJQWS6YWHH4ZMSUAMD641V6Y" descr="ZTMFMXCIQSECDX38ALEFHUB00" hidden="1">
          <a:extLst>
            <a:ext uri="{FF2B5EF4-FFF2-40B4-BE49-F238E27FC236}">
              <a16:creationId xmlns:a16="http://schemas.microsoft.com/office/drawing/2014/main" id="{4B86F717-7A9A-4172-A3B6-0216ADF55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15" name="BExUBK0YZ5VYFY8TTITJGJU9S06A" hidden="1">
          <a:extLst>
            <a:ext uri="{FF2B5EF4-FFF2-40B4-BE49-F238E27FC236}">
              <a16:creationId xmlns:a16="http://schemas.microsoft.com/office/drawing/2014/main" id="{A718D7BA-9913-41B7-A276-A592CE467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16" name="BEx5BJQWS6YWHH4ZMSUAMD641V6Y" descr="ZTMFMXCIQSECDX38ALEFHUB00" hidden="1">
          <a:extLst>
            <a:ext uri="{FF2B5EF4-FFF2-40B4-BE49-F238E27FC236}">
              <a16:creationId xmlns:a16="http://schemas.microsoft.com/office/drawing/2014/main" id="{FA50B365-89B7-4C74-B540-891D0DE76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17" name="BExUBK0YZ5VYFY8TTITJGJU9S06A" hidden="1">
          <a:extLst>
            <a:ext uri="{FF2B5EF4-FFF2-40B4-BE49-F238E27FC236}">
              <a16:creationId xmlns:a16="http://schemas.microsoft.com/office/drawing/2014/main" id="{A6A3C085-C6F6-4DD3-8E55-F3205EAB4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18" name="BEx5BJQWS6YWHH4ZMSUAMD641V6Y" descr="ZTMFMXCIQSECDX38ALEFHUB00" hidden="1">
          <a:extLst>
            <a:ext uri="{FF2B5EF4-FFF2-40B4-BE49-F238E27FC236}">
              <a16:creationId xmlns:a16="http://schemas.microsoft.com/office/drawing/2014/main" id="{21DFD971-365E-4CCA-8586-0F939F012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19" name="BExUBK0YZ5VYFY8TTITJGJU9S06A" hidden="1">
          <a:extLst>
            <a:ext uri="{FF2B5EF4-FFF2-40B4-BE49-F238E27FC236}">
              <a16:creationId xmlns:a16="http://schemas.microsoft.com/office/drawing/2014/main" id="{8904D737-8EF5-4ADC-AB77-7EB61EDEC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20" name="BEx5BJQWS6YWHH4ZMSUAMD641V6Y" descr="ZTMFMXCIQSECDX38ALEFHUB00" hidden="1">
          <a:extLst>
            <a:ext uri="{FF2B5EF4-FFF2-40B4-BE49-F238E27FC236}">
              <a16:creationId xmlns:a16="http://schemas.microsoft.com/office/drawing/2014/main" id="{EC112DC2-1F30-403A-BCC9-1E43D93E8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21" name="BExUBK0YZ5VYFY8TTITJGJU9S06A" hidden="1">
          <a:extLst>
            <a:ext uri="{FF2B5EF4-FFF2-40B4-BE49-F238E27FC236}">
              <a16:creationId xmlns:a16="http://schemas.microsoft.com/office/drawing/2014/main" id="{45F8187E-5A1C-4823-B454-B0A13117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22" name="BEx5BJQWS6YWHH4ZMSUAMD641V6Y" descr="ZTMFMXCIQSECDX38ALEFHUB00" hidden="1">
          <a:extLst>
            <a:ext uri="{FF2B5EF4-FFF2-40B4-BE49-F238E27FC236}">
              <a16:creationId xmlns:a16="http://schemas.microsoft.com/office/drawing/2014/main" id="{D7F6C906-ED9D-4EDB-B26B-D0A11C066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23" name="BExUBK0YZ5VYFY8TTITJGJU9S06A" hidden="1">
          <a:extLst>
            <a:ext uri="{FF2B5EF4-FFF2-40B4-BE49-F238E27FC236}">
              <a16:creationId xmlns:a16="http://schemas.microsoft.com/office/drawing/2014/main" id="{A3B724C0-D8AC-48DB-8CD6-9C81EA829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24" name="BEx5BJQWS6YWHH4ZMSUAMD641V6Y" descr="ZTMFMXCIQSECDX38ALEFHUB00" hidden="1">
          <a:extLst>
            <a:ext uri="{FF2B5EF4-FFF2-40B4-BE49-F238E27FC236}">
              <a16:creationId xmlns:a16="http://schemas.microsoft.com/office/drawing/2014/main" id="{A3B6BF75-3C63-45D5-BCD0-4CDD97242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25" name="BExUBK0YZ5VYFY8TTITJGJU9S06A" hidden="1">
          <a:extLst>
            <a:ext uri="{FF2B5EF4-FFF2-40B4-BE49-F238E27FC236}">
              <a16:creationId xmlns:a16="http://schemas.microsoft.com/office/drawing/2014/main" id="{094F20ED-020B-47ED-B1DB-5CDB92D86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26" name="BEx5BJQWS6YWHH4ZMSUAMD641V6Y" descr="ZTMFMXCIQSECDX38ALEFHUB00" hidden="1">
          <a:extLst>
            <a:ext uri="{FF2B5EF4-FFF2-40B4-BE49-F238E27FC236}">
              <a16:creationId xmlns:a16="http://schemas.microsoft.com/office/drawing/2014/main" id="{444FDA2D-22C3-48B0-8ED4-F266A753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27" name="BExUBK0YZ5VYFY8TTITJGJU9S06A" hidden="1">
          <a:extLst>
            <a:ext uri="{FF2B5EF4-FFF2-40B4-BE49-F238E27FC236}">
              <a16:creationId xmlns:a16="http://schemas.microsoft.com/office/drawing/2014/main" id="{89D82BED-CADD-406D-90CB-6C6AAAEA3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28" name="BExU3EX5JJCXCII4YKUJBFBGIJR2" descr="OF5ZI9PI5WH36VPANJ2DYLNMI" hidden="1">
          <a:extLst>
            <a:ext uri="{FF2B5EF4-FFF2-40B4-BE49-F238E27FC236}">
              <a16:creationId xmlns:a16="http://schemas.microsoft.com/office/drawing/2014/main" id="{58E3F0CD-8153-45F3-B4B6-FD1D44BB2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29" name="BExW9676P0SKCVKK25QCGHPA3PAD" descr="9A4PWZ20RMSRF0PNECCDM75CA" hidden="1">
          <a:extLst>
            <a:ext uri="{FF2B5EF4-FFF2-40B4-BE49-F238E27FC236}">
              <a16:creationId xmlns:a16="http://schemas.microsoft.com/office/drawing/2014/main" id="{A0FFE9C1-87C2-4080-9CA4-F97428BB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30" name="BExMM0AVUAIRNJLXB1FW8R0YB4ZZ" hidden="1">
          <a:extLst>
            <a:ext uri="{FF2B5EF4-FFF2-40B4-BE49-F238E27FC236}">
              <a16:creationId xmlns:a16="http://schemas.microsoft.com/office/drawing/2014/main" id="{62739A18-F19B-4D98-A758-91D56B5F5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31" name="BExQ7SXS9VUG7P6CACU2J7R2SGIZ" hidden="1">
          <a:extLst>
            <a:ext uri="{FF2B5EF4-FFF2-40B4-BE49-F238E27FC236}">
              <a16:creationId xmlns:a16="http://schemas.microsoft.com/office/drawing/2014/main" id="{A150D552-8F07-4C02-99B5-7FC5215AF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32" name="BExU3EX5JJCXCII4YKUJBFBGIJR2" descr="OF5ZI9PI5WH36VPANJ2DYLNMI" hidden="1">
          <a:extLst>
            <a:ext uri="{FF2B5EF4-FFF2-40B4-BE49-F238E27FC236}">
              <a16:creationId xmlns:a16="http://schemas.microsoft.com/office/drawing/2014/main" id="{82217792-49DB-46B4-8A5B-151B1C885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33" name="BExW9676P0SKCVKK25QCGHPA3PAD" descr="9A4PWZ20RMSRF0PNECCDM75CA" hidden="1">
          <a:extLst>
            <a:ext uri="{FF2B5EF4-FFF2-40B4-BE49-F238E27FC236}">
              <a16:creationId xmlns:a16="http://schemas.microsoft.com/office/drawing/2014/main" id="{7B948A9F-6E46-45BF-909F-D482BCB57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34" name="BExMM0AVUAIRNJLXB1FW8R0YB4ZZ" hidden="1">
          <a:extLst>
            <a:ext uri="{FF2B5EF4-FFF2-40B4-BE49-F238E27FC236}">
              <a16:creationId xmlns:a16="http://schemas.microsoft.com/office/drawing/2014/main" id="{7B05D749-21BB-4024-8BA6-E4E701122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35" name="BExQ7SXS9VUG7P6CACU2J7R2SGIZ" hidden="1">
          <a:extLst>
            <a:ext uri="{FF2B5EF4-FFF2-40B4-BE49-F238E27FC236}">
              <a16:creationId xmlns:a16="http://schemas.microsoft.com/office/drawing/2014/main" id="{84C535F8-9C53-4410-9EF4-395BB9E32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36" name="BEx5BJQWS6YWHH4ZMSUAMD641V6Y" descr="ZTMFMXCIQSECDX38ALEFHUB00" hidden="1">
          <a:extLst>
            <a:ext uri="{FF2B5EF4-FFF2-40B4-BE49-F238E27FC236}">
              <a16:creationId xmlns:a16="http://schemas.microsoft.com/office/drawing/2014/main" id="{C9F1CA4F-3C43-4C34-B6F8-8C31D0BBD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37" name="BExUBK0YZ5VYFY8TTITJGJU9S06A" hidden="1">
          <a:extLst>
            <a:ext uri="{FF2B5EF4-FFF2-40B4-BE49-F238E27FC236}">
              <a16:creationId xmlns:a16="http://schemas.microsoft.com/office/drawing/2014/main" id="{3B827AE7-306A-4AC6-9B0E-9A20FDD1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38" name="BEx5BJQWS6YWHH4ZMSUAMD641V6Y" descr="ZTMFMXCIQSECDX38ALEFHUB00" hidden="1">
          <a:extLst>
            <a:ext uri="{FF2B5EF4-FFF2-40B4-BE49-F238E27FC236}">
              <a16:creationId xmlns:a16="http://schemas.microsoft.com/office/drawing/2014/main" id="{5B37EBE5-4147-4B53-8E00-D510237E2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39" name="BExUBK0YZ5VYFY8TTITJGJU9S06A" hidden="1">
          <a:extLst>
            <a:ext uri="{FF2B5EF4-FFF2-40B4-BE49-F238E27FC236}">
              <a16:creationId xmlns:a16="http://schemas.microsoft.com/office/drawing/2014/main" id="{80EE7614-A15D-4A36-9E05-B887E84A6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40" name="BEx5BJQWS6YWHH4ZMSUAMD641V6Y" descr="ZTMFMXCIQSECDX38ALEFHUB00" hidden="1">
          <a:extLst>
            <a:ext uri="{FF2B5EF4-FFF2-40B4-BE49-F238E27FC236}">
              <a16:creationId xmlns:a16="http://schemas.microsoft.com/office/drawing/2014/main" id="{45FBC711-3225-4C3A-92B0-D5D406328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41" name="BExUBK0YZ5VYFY8TTITJGJU9S06A" hidden="1">
          <a:extLst>
            <a:ext uri="{FF2B5EF4-FFF2-40B4-BE49-F238E27FC236}">
              <a16:creationId xmlns:a16="http://schemas.microsoft.com/office/drawing/2014/main" id="{FE879760-47BF-404D-A3DB-A484AD7C6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42" name="BEx5BJQWS6YWHH4ZMSUAMD641V6Y" descr="ZTMFMXCIQSECDX38ALEFHUB00" hidden="1">
          <a:extLst>
            <a:ext uri="{FF2B5EF4-FFF2-40B4-BE49-F238E27FC236}">
              <a16:creationId xmlns:a16="http://schemas.microsoft.com/office/drawing/2014/main" id="{493605C2-2D57-409E-BFD7-0090990DE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43" name="BExUBK0YZ5VYFY8TTITJGJU9S06A" hidden="1">
          <a:extLst>
            <a:ext uri="{FF2B5EF4-FFF2-40B4-BE49-F238E27FC236}">
              <a16:creationId xmlns:a16="http://schemas.microsoft.com/office/drawing/2014/main" id="{E1E7F73D-084B-4A9C-B621-4B661B641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44" name="BEx5BJQWS6YWHH4ZMSUAMD641V6Y" descr="ZTMFMXCIQSECDX38ALEFHUB00" hidden="1">
          <a:extLst>
            <a:ext uri="{FF2B5EF4-FFF2-40B4-BE49-F238E27FC236}">
              <a16:creationId xmlns:a16="http://schemas.microsoft.com/office/drawing/2014/main" id="{8405DA6E-B51E-4C96-BACF-6431F450D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45" name="BExUBK0YZ5VYFY8TTITJGJU9S06A" hidden="1">
          <a:extLst>
            <a:ext uri="{FF2B5EF4-FFF2-40B4-BE49-F238E27FC236}">
              <a16:creationId xmlns:a16="http://schemas.microsoft.com/office/drawing/2014/main" id="{FC7BB215-101F-4EB2-8BE1-03EE441F6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46" name="BExU3EX5JJCXCII4YKUJBFBGIJR2" descr="OF5ZI9PI5WH36VPANJ2DYLNMI" hidden="1">
          <a:extLst>
            <a:ext uri="{FF2B5EF4-FFF2-40B4-BE49-F238E27FC236}">
              <a16:creationId xmlns:a16="http://schemas.microsoft.com/office/drawing/2014/main" id="{DD55F4E5-3433-49D1-B150-29A8894CC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47" name="BEx5BJQWS6YWHH4ZMSUAMD641V6Y" descr="ZTMFMXCIQSECDX38ALEFHUB00" hidden="1">
          <a:extLst>
            <a:ext uri="{FF2B5EF4-FFF2-40B4-BE49-F238E27FC236}">
              <a16:creationId xmlns:a16="http://schemas.microsoft.com/office/drawing/2014/main" id="{E05D2A54-AC45-4D42-A469-CB1FBA1C1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24</xdr:row>
      <xdr:rowOff>0</xdr:rowOff>
    </xdr:from>
    <xdr:ext cx="59531" cy="295275"/>
    <xdr:pic>
      <xdr:nvPicPr>
        <xdr:cNvPr id="548" name="BExIFSCLN1G86X78PFLTSMRP0US5" descr="9JK4SPV4DG7VTCZIILWHXQU5J" hidden="1">
          <a:extLst>
            <a:ext uri="{FF2B5EF4-FFF2-40B4-BE49-F238E27FC236}">
              <a16:creationId xmlns:a16="http://schemas.microsoft.com/office/drawing/2014/main" id="{13883A82-4118-4830-BD28-ADF89F20D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49" name="BExW9676P0SKCVKK25QCGHPA3PAD" descr="9A4PWZ20RMSRF0PNECCDM75CA" hidden="1">
          <a:extLst>
            <a:ext uri="{FF2B5EF4-FFF2-40B4-BE49-F238E27FC236}">
              <a16:creationId xmlns:a16="http://schemas.microsoft.com/office/drawing/2014/main" id="{D1462FB2-CE13-47B6-B359-376378048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50" name="BExMM0AVUAIRNJLXB1FW8R0YB4ZZ" hidden="1">
          <a:extLst>
            <a:ext uri="{FF2B5EF4-FFF2-40B4-BE49-F238E27FC236}">
              <a16:creationId xmlns:a16="http://schemas.microsoft.com/office/drawing/2014/main" id="{333AAA56-D1F7-4A5B-92D3-8D9D05F74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51" name="BExQ7SXS9VUG7P6CACU2J7R2SGIZ" hidden="1">
          <a:extLst>
            <a:ext uri="{FF2B5EF4-FFF2-40B4-BE49-F238E27FC236}">
              <a16:creationId xmlns:a16="http://schemas.microsoft.com/office/drawing/2014/main" id="{84041C7A-BA78-48CA-BD18-B26AB2DDC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52" name="BExUBK0YZ5VYFY8TTITJGJU9S06A" hidden="1">
          <a:extLst>
            <a:ext uri="{FF2B5EF4-FFF2-40B4-BE49-F238E27FC236}">
              <a16:creationId xmlns:a16="http://schemas.microsoft.com/office/drawing/2014/main" id="{BB99F32A-3B24-440B-96CE-533A60050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24</xdr:row>
      <xdr:rowOff>0</xdr:rowOff>
    </xdr:from>
    <xdr:ext cx="47625" cy="295275"/>
    <xdr:pic>
      <xdr:nvPicPr>
        <xdr:cNvPr id="553" name="BExS3JDQWF7U3F5JTEVOE16ASIYK" hidden="1">
          <a:extLst>
            <a:ext uri="{FF2B5EF4-FFF2-40B4-BE49-F238E27FC236}">
              <a16:creationId xmlns:a16="http://schemas.microsoft.com/office/drawing/2014/main" id="{E6639717-071E-45E6-9094-BD6E8C690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577215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54" name="BEx5BJQWS6YWHH4ZMSUAMD641V6Y" descr="ZTMFMXCIQSECDX38ALEFHUB00" hidden="1">
          <a:extLst>
            <a:ext uri="{FF2B5EF4-FFF2-40B4-BE49-F238E27FC236}">
              <a16:creationId xmlns:a16="http://schemas.microsoft.com/office/drawing/2014/main" id="{DC01BDB0-3C4B-4978-9504-25FD819DB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55" name="BExUBK0YZ5VYFY8TTITJGJU9S06A" hidden="1">
          <a:extLst>
            <a:ext uri="{FF2B5EF4-FFF2-40B4-BE49-F238E27FC236}">
              <a16:creationId xmlns:a16="http://schemas.microsoft.com/office/drawing/2014/main" id="{9D201B1F-842D-4AE0-A7B6-1C35D1149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56" name="BExU3EX5JJCXCII4YKUJBFBGIJR2" descr="OF5ZI9PI5WH36VPANJ2DYLNMI" hidden="1">
          <a:extLst>
            <a:ext uri="{FF2B5EF4-FFF2-40B4-BE49-F238E27FC236}">
              <a16:creationId xmlns:a16="http://schemas.microsoft.com/office/drawing/2014/main" id="{6D02398D-8726-41F7-8452-D7525C665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57" name="BExW9676P0SKCVKK25QCGHPA3PAD" descr="9A4PWZ20RMSRF0PNECCDM75CA" hidden="1">
          <a:extLst>
            <a:ext uri="{FF2B5EF4-FFF2-40B4-BE49-F238E27FC236}">
              <a16:creationId xmlns:a16="http://schemas.microsoft.com/office/drawing/2014/main" id="{11AF60F1-B067-4053-833C-13715249B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58" name="BExMM0AVUAIRNJLXB1FW8R0YB4ZZ" hidden="1">
          <a:extLst>
            <a:ext uri="{FF2B5EF4-FFF2-40B4-BE49-F238E27FC236}">
              <a16:creationId xmlns:a16="http://schemas.microsoft.com/office/drawing/2014/main" id="{4A32193B-B82D-4DF2-8675-F87EA750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59" name="BExQ7SXS9VUG7P6CACU2J7R2SGIZ" hidden="1">
          <a:extLst>
            <a:ext uri="{FF2B5EF4-FFF2-40B4-BE49-F238E27FC236}">
              <a16:creationId xmlns:a16="http://schemas.microsoft.com/office/drawing/2014/main" id="{70B9F724-03C2-4FDF-8075-21D63C087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60" name="BExU3EX5JJCXCII4YKUJBFBGIJR2" descr="OF5ZI9PI5WH36VPANJ2DYLNMI" hidden="1">
          <a:extLst>
            <a:ext uri="{FF2B5EF4-FFF2-40B4-BE49-F238E27FC236}">
              <a16:creationId xmlns:a16="http://schemas.microsoft.com/office/drawing/2014/main" id="{EEF03D26-2E40-4281-B817-6D5CE540F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61" name="BExW9676P0SKCVKK25QCGHPA3PAD" descr="9A4PWZ20RMSRF0PNECCDM75CA" hidden="1">
          <a:extLst>
            <a:ext uri="{FF2B5EF4-FFF2-40B4-BE49-F238E27FC236}">
              <a16:creationId xmlns:a16="http://schemas.microsoft.com/office/drawing/2014/main" id="{CE7BA494-C6B1-405D-BEF9-46EC00E39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62" name="BExMM0AVUAIRNJLXB1FW8R0YB4ZZ" hidden="1">
          <a:extLst>
            <a:ext uri="{FF2B5EF4-FFF2-40B4-BE49-F238E27FC236}">
              <a16:creationId xmlns:a16="http://schemas.microsoft.com/office/drawing/2014/main" id="{CF4FDDA4-2ABF-4FC7-ADCA-8BAF0CE78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63" name="BExQ7SXS9VUG7P6CACU2J7R2SGIZ" hidden="1">
          <a:extLst>
            <a:ext uri="{FF2B5EF4-FFF2-40B4-BE49-F238E27FC236}">
              <a16:creationId xmlns:a16="http://schemas.microsoft.com/office/drawing/2014/main" id="{E76880B5-08B6-479E-8C49-225BA766C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64" name="BEx5BJQWS6YWHH4ZMSUAMD641V6Y" descr="ZTMFMXCIQSECDX38ALEFHUB00" hidden="1">
          <a:extLst>
            <a:ext uri="{FF2B5EF4-FFF2-40B4-BE49-F238E27FC236}">
              <a16:creationId xmlns:a16="http://schemas.microsoft.com/office/drawing/2014/main" id="{F4787CF1-4F12-4E9E-812E-BD7A5E3BF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65" name="BExUBK0YZ5VYFY8TTITJGJU9S06A" hidden="1">
          <a:extLst>
            <a:ext uri="{FF2B5EF4-FFF2-40B4-BE49-F238E27FC236}">
              <a16:creationId xmlns:a16="http://schemas.microsoft.com/office/drawing/2014/main" id="{01C320FC-FBF9-4556-AE8D-2F4F29241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66" name="BEx5BJQWS6YWHH4ZMSUAMD641V6Y" descr="ZTMFMXCIQSECDX38ALEFHUB00" hidden="1">
          <a:extLst>
            <a:ext uri="{FF2B5EF4-FFF2-40B4-BE49-F238E27FC236}">
              <a16:creationId xmlns:a16="http://schemas.microsoft.com/office/drawing/2014/main" id="{95D738AE-5667-4B7C-8F50-DF01190CC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67" name="BExUBK0YZ5VYFY8TTITJGJU9S06A" hidden="1">
          <a:extLst>
            <a:ext uri="{FF2B5EF4-FFF2-40B4-BE49-F238E27FC236}">
              <a16:creationId xmlns:a16="http://schemas.microsoft.com/office/drawing/2014/main" id="{665612C1-B228-4595-BC65-005D453EC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68" name="BEx5BJQWS6YWHH4ZMSUAMD641V6Y" descr="ZTMFMXCIQSECDX38ALEFHUB00" hidden="1">
          <a:extLst>
            <a:ext uri="{FF2B5EF4-FFF2-40B4-BE49-F238E27FC236}">
              <a16:creationId xmlns:a16="http://schemas.microsoft.com/office/drawing/2014/main" id="{1FF837B4-0010-4098-9C96-F0C8C5A42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69" name="BExUBK0YZ5VYFY8TTITJGJU9S06A" hidden="1">
          <a:extLst>
            <a:ext uri="{FF2B5EF4-FFF2-40B4-BE49-F238E27FC236}">
              <a16:creationId xmlns:a16="http://schemas.microsoft.com/office/drawing/2014/main" id="{4D4D370F-AE38-4F0F-A9D2-30DA5334E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70" name="BEx5BJQWS6YWHH4ZMSUAMD641V6Y" descr="ZTMFMXCIQSECDX38ALEFHUB00" hidden="1">
          <a:extLst>
            <a:ext uri="{FF2B5EF4-FFF2-40B4-BE49-F238E27FC236}">
              <a16:creationId xmlns:a16="http://schemas.microsoft.com/office/drawing/2014/main" id="{8E2A287E-E4CA-4BFF-BCD0-E0F2DD0F8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71" name="BExUBK0YZ5VYFY8TTITJGJU9S06A" hidden="1">
          <a:extLst>
            <a:ext uri="{FF2B5EF4-FFF2-40B4-BE49-F238E27FC236}">
              <a16:creationId xmlns:a16="http://schemas.microsoft.com/office/drawing/2014/main" id="{C992DD85-1D3B-4AC7-8FE6-943AFBCEB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72" name="BEx5BJQWS6YWHH4ZMSUAMD641V6Y" descr="ZTMFMXCIQSECDX38ALEFHUB00" hidden="1">
          <a:extLst>
            <a:ext uri="{FF2B5EF4-FFF2-40B4-BE49-F238E27FC236}">
              <a16:creationId xmlns:a16="http://schemas.microsoft.com/office/drawing/2014/main" id="{CA5595DF-1E55-4C60-B19B-C0863BB27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73" name="BExUBK0YZ5VYFY8TTITJGJU9S06A" hidden="1">
          <a:extLst>
            <a:ext uri="{FF2B5EF4-FFF2-40B4-BE49-F238E27FC236}">
              <a16:creationId xmlns:a16="http://schemas.microsoft.com/office/drawing/2014/main" id="{15371647-5408-4F35-8F20-826457CBA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74" name="BEx5BJQWS6YWHH4ZMSUAMD641V6Y" descr="ZTMFMXCIQSECDX38ALEFHUB00" hidden="1">
          <a:extLst>
            <a:ext uri="{FF2B5EF4-FFF2-40B4-BE49-F238E27FC236}">
              <a16:creationId xmlns:a16="http://schemas.microsoft.com/office/drawing/2014/main" id="{B2C0D712-30EE-418D-8AFC-BF62FDD14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75" name="BExUBK0YZ5VYFY8TTITJGJU9S06A" hidden="1">
          <a:extLst>
            <a:ext uri="{FF2B5EF4-FFF2-40B4-BE49-F238E27FC236}">
              <a16:creationId xmlns:a16="http://schemas.microsoft.com/office/drawing/2014/main" id="{0BFDD6F5-23AA-4A2D-BBE8-AB94DCE38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76" name="BEx5BJQWS6YWHH4ZMSUAMD641V6Y" descr="ZTMFMXCIQSECDX38ALEFHUB00" hidden="1">
          <a:extLst>
            <a:ext uri="{FF2B5EF4-FFF2-40B4-BE49-F238E27FC236}">
              <a16:creationId xmlns:a16="http://schemas.microsoft.com/office/drawing/2014/main" id="{C33A07F1-C8A2-4EEC-9650-BFAEEBF35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77" name="BExUBK0YZ5VYFY8TTITJGJU9S06A" hidden="1">
          <a:extLst>
            <a:ext uri="{FF2B5EF4-FFF2-40B4-BE49-F238E27FC236}">
              <a16:creationId xmlns:a16="http://schemas.microsoft.com/office/drawing/2014/main" id="{ECB1394B-57B1-47A6-A466-44100876C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78" name="BEx5BJQWS6YWHH4ZMSUAMD641V6Y" descr="ZTMFMXCIQSECDX38ALEFHUB00" hidden="1">
          <a:extLst>
            <a:ext uri="{FF2B5EF4-FFF2-40B4-BE49-F238E27FC236}">
              <a16:creationId xmlns:a16="http://schemas.microsoft.com/office/drawing/2014/main" id="{2DA96BF8-0D79-4875-9C8C-E860104AD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79" name="BExUBK0YZ5VYFY8TTITJGJU9S06A" hidden="1">
          <a:extLst>
            <a:ext uri="{FF2B5EF4-FFF2-40B4-BE49-F238E27FC236}">
              <a16:creationId xmlns:a16="http://schemas.microsoft.com/office/drawing/2014/main" id="{805331D1-00FF-41B9-AC64-1330DEB7C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80" name="BEx5BJQWS6YWHH4ZMSUAMD641V6Y" descr="ZTMFMXCIQSECDX38ALEFHUB00" hidden="1">
          <a:extLst>
            <a:ext uri="{FF2B5EF4-FFF2-40B4-BE49-F238E27FC236}">
              <a16:creationId xmlns:a16="http://schemas.microsoft.com/office/drawing/2014/main" id="{BA67A83B-198E-4200-9448-D25FD888C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81" name="BExUBK0YZ5VYFY8TTITJGJU9S06A" hidden="1">
          <a:extLst>
            <a:ext uri="{FF2B5EF4-FFF2-40B4-BE49-F238E27FC236}">
              <a16:creationId xmlns:a16="http://schemas.microsoft.com/office/drawing/2014/main" id="{BBEFA37C-5A34-4E50-9E2D-4C51F4ED0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82" name="BExU3EX5JJCXCII4YKUJBFBGIJR2" descr="OF5ZI9PI5WH36VPANJ2DYLNMI" hidden="1">
          <a:extLst>
            <a:ext uri="{FF2B5EF4-FFF2-40B4-BE49-F238E27FC236}">
              <a16:creationId xmlns:a16="http://schemas.microsoft.com/office/drawing/2014/main" id="{ECEAB764-53A2-484B-84E6-4A8E07176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83" name="BExW9676P0SKCVKK25QCGHPA3PAD" descr="9A4PWZ20RMSRF0PNECCDM75CA" hidden="1">
          <a:extLst>
            <a:ext uri="{FF2B5EF4-FFF2-40B4-BE49-F238E27FC236}">
              <a16:creationId xmlns:a16="http://schemas.microsoft.com/office/drawing/2014/main" id="{036EC57B-6828-4D0A-8AA1-0670C75CF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84" name="BExMM0AVUAIRNJLXB1FW8R0YB4ZZ" hidden="1">
          <a:extLst>
            <a:ext uri="{FF2B5EF4-FFF2-40B4-BE49-F238E27FC236}">
              <a16:creationId xmlns:a16="http://schemas.microsoft.com/office/drawing/2014/main" id="{6DB1A5B1-983A-42E4-93AE-714C9E153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85" name="BExQ7SXS9VUG7P6CACU2J7R2SGIZ" hidden="1">
          <a:extLst>
            <a:ext uri="{FF2B5EF4-FFF2-40B4-BE49-F238E27FC236}">
              <a16:creationId xmlns:a16="http://schemas.microsoft.com/office/drawing/2014/main" id="{A4F488D2-C902-4F5F-BFB3-4296C8E8E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86" name="BExU3EX5JJCXCII4YKUJBFBGIJR2" descr="OF5ZI9PI5WH36VPANJ2DYLNMI" hidden="1">
          <a:extLst>
            <a:ext uri="{FF2B5EF4-FFF2-40B4-BE49-F238E27FC236}">
              <a16:creationId xmlns:a16="http://schemas.microsoft.com/office/drawing/2014/main" id="{9C8CCF85-D325-4BF5-9668-611B12F62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87" name="BExW9676P0SKCVKK25QCGHPA3PAD" descr="9A4PWZ20RMSRF0PNECCDM75CA" hidden="1">
          <a:extLst>
            <a:ext uri="{FF2B5EF4-FFF2-40B4-BE49-F238E27FC236}">
              <a16:creationId xmlns:a16="http://schemas.microsoft.com/office/drawing/2014/main" id="{FEB566B4-7879-4C0E-9200-0C308070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88" name="BExMM0AVUAIRNJLXB1FW8R0YB4ZZ" hidden="1">
          <a:extLst>
            <a:ext uri="{FF2B5EF4-FFF2-40B4-BE49-F238E27FC236}">
              <a16:creationId xmlns:a16="http://schemas.microsoft.com/office/drawing/2014/main" id="{D017C5A0-E1E4-4FE9-B61D-E8C1A1531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589" name="BExQ7SXS9VUG7P6CACU2J7R2SGIZ" hidden="1">
          <a:extLst>
            <a:ext uri="{FF2B5EF4-FFF2-40B4-BE49-F238E27FC236}">
              <a16:creationId xmlns:a16="http://schemas.microsoft.com/office/drawing/2014/main" id="{7EE33AA8-5321-44F1-B12B-AC3DBA743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90" name="BEx5BJQWS6YWHH4ZMSUAMD641V6Y" descr="ZTMFMXCIQSECDX38ALEFHUB00" hidden="1">
          <a:extLst>
            <a:ext uri="{FF2B5EF4-FFF2-40B4-BE49-F238E27FC236}">
              <a16:creationId xmlns:a16="http://schemas.microsoft.com/office/drawing/2014/main" id="{FFAFC14E-2D79-4EA3-9653-A7C920B38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91" name="BExUBK0YZ5VYFY8TTITJGJU9S06A" hidden="1">
          <a:extLst>
            <a:ext uri="{FF2B5EF4-FFF2-40B4-BE49-F238E27FC236}">
              <a16:creationId xmlns:a16="http://schemas.microsoft.com/office/drawing/2014/main" id="{92B03D8B-D738-401F-82AE-3A9319DFA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92" name="BEx5BJQWS6YWHH4ZMSUAMD641V6Y" descr="ZTMFMXCIQSECDX38ALEFHUB00" hidden="1">
          <a:extLst>
            <a:ext uri="{FF2B5EF4-FFF2-40B4-BE49-F238E27FC236}">
              <a16:creationId xmlns:a16="http://schemas.microsoft.com/office/drawing/2014/main" id="{4D42D9A6-47DE-4B51-94C3-D76DCE272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93" name="BExUBK0YZ5VYFY8TTITJGJU9S06A" hidden="1">
          <a:extLst>
            <a:ext uri="{FF2B5EF4-FFF2-40B4-BE49-F238E27FC236}">
              <a16:creationId xmlns:a16="http://schemas.microsoft.com/office/drawing/2014/main" id="{CDC4C399-4962-497D-B49C-FBAC6EFAD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94" name="BEx5BJQWS6YWHH4ZMSUAMD641V6Y" descr="ZTMFMXCIQSECDX38ALEFHUB00" hidden="1">
          <a:extLst>
            <a:ext uri="{FF2B5EF4-FFF2-40B4-BE49-F238E27FC236}">
              <a16:creationId xmlns:a16="http://schemas.microsoft.com/office/drawing/2014/main" id="{52ACC08C-06E7-4BF4-B270-BF2DD0ADA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95" name="BExUBK0YZ5VYFY8TTITJGJU9S06A" hidden="1">
          <a:extLst>
            <a:ext uri="{FF2B5EF4-FFF2-40B4-BE49-F238E27FC236}">
              <a16:creationId xmlns:a16="http://schemas.microsoft.com/office/drawing/2014/main" id="{C78FD5B0-2C43-44A7-9E85-D21A2359B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96" name="BEx5BJQWS6YWHH4ZMSUAMD641V6Y" descr="ZTMFMXCIQSECDX38ALEFHUB00" hidden="1">
          <a:extLst>
            <a:ext uri="{FF2B5EF4-FFF2-40B4-BE49-F238E27FC236}">
              <a16:creationId xmlns:a16="http://schemas.microsoft.com/office/drawing/2014/main" id="{5527656E-284F-483C-BCE9-EBA2D6ABE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97" name="BExUBK0YZ5VYFY8TTITJGJU9S06A" hidden="1">
          <a:extLst>
            <a:ext uri="{FF2B5EF4-FFF2-40B4-BE49-F238E27FC236}">
              <a16:creationId xmlns:a16="http://schemas.microsoft.com/office/drawing/2014/main" id="{AA45627A-6982-46C0-8678-064A9A9D2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98" name="BEx5BJQWS6YWHH4ZMSUAMD641V6Y" descr="ZTMFMXCIQSECDX38ALEFHUB00" hidden="1">
          <a:extLst>
            <a:ext uri="{FF2B5EF4-FFF2-40B4-BE49-F238E27FC236}">
              <a16:creationId xmlns:a16="http://schemas.microsoft.com/office/drawing/2014/main" id="{040F231F-0D6F-46A8-9AD2-AEE7DB368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599" name="BExUBK0YZ5VYFY8TTITJGJU9S06A" hidden="1">
          <a:extLst>
            <a:ext uri="{FF2B5EF4-FFF2-40B4-BE49-F238E27FC236}">
              <a16:creationId xmlns:a16="http://schemas.microsoft.com/office/drawing/2014/main" id="{DBA288CD-255C-494F-9BA4-38ABF6A6A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600" name="BEx1KD7H6UB1VYCJ7O61P562EIUY" descr="IQGV9140X0K0UPBL8OGU3I44J" hidden="1">
          <a:extLst>
            <a:ext uri="{FF2B5EF4-FFF2-40B4-BE49-F238E27FC236}">
              <a16:creationId xmlns:a16="http://schemas.microsoft.com/office/drawing/2014/main" id="{723A6AC3-0050-42A8-9165-18E95000F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601" name="BEx5AQZ4ETQ9LMY5EBWVH20Z7VXQ" hidden="1">
          <a:extLst>
            <a:ext uri="{FF2B5EF4-FFF2-40B4-BE49-F238E27FC236}">
              <a16:creationId xmlns:a16="http://schemas.microsoft.com/office/drawing/2014/main" id="{33714734-B2CE-47B2-A84F-D0A2A116E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602" name="BEx1KD7H6UB1VYCJ7O61P562EIUY" descr="IQGV9140X0K0UPBL8OGU3I44J" hidden="1">
          <a:extLst>
            <a:ext uri="{FF2B5EF4-FFF2-40B4-BE49-F238E27FC236}">
              <a16:creationId xmlns:a16="http://schemas.microsoft.com/office/drawing/2014/main" id="{C494A9B1-AA67-4DAB-979F-EC7938150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603" name="BEx5AQZ4ETQ9LMY5EBWVH20Z7VXQ" hidden="1">
          <a:extLst>
            <a:ext uri="{FF2B5EF4-FFF2-40B4-BE49-F238E27FC236}">
              <a16:creationId xmlns:a16="http://schemas.microsoft.com/office/drawing/2014/main" id="{8C305BB8-81BF-46CA-8CC6-5192A79AC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04" name="BEx1KD7H6UB1VYCJ7O61P562EIUY" descr="IQGV9140X0K0UPBL8OGU3I44J" hidden="1">
          <a:extLst>
            <a:ext uri="{FF2B5EF4-FFF2-40B4-BE49-F238E27FC236}">
              <a16:creationId xmlns:a16="http://schemas.microsoft.com/office/drawing/2014/main" id="{DCECDDB2-BC91-4CCC-9684-B511294CE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05" name="BEx5BJQWS6YWHH4ZMSUAMD641V6Y" descr="ZTMFMXCIQSECDX38ALEFHUB00" hidden="1">
          <a:extLst>
            <a:ext uri="{FF2B5EF4-FFF2-40B4-BE49-F238E27FC236}">
              <a16:creationId xmlns:a16="http://schemas.microsoft.com/office/drawing/2014/main" id="{6FEB46E8-59BA-4152-A1AB-07D1C85BD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06" name="BEx5AQZ4ETQ9LMY5EBWVH20Z7VXQ" hidden="1">
          <a:extLst>
            <a:ext uri="{FF2B5EF4-FFF2-40B4-BE49-F238E27FC236}">
              <a16:creationId xmlns:a16="http://schemas.microsoft.com/office/drawing/2014/main" id="{07E44695-FB58-49AF-B216-E38EC2D95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07" name="BExUBK0YZ5VYFY8TTITJGJU9S06A" hidden="1">
          <a:extLst>
            <a:ext uri="{FF2B5EF4-FFF2-40B4-BE49-F238E27FC236}">
              <a16:creationId xmlns:a16="http://schemas.microsoft.com/office/drawing/2014/main" id="{468DFF68-DFB8-49AA-8E77-33DF8CE8B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608" name="BEx1KD7H6UB1VYCJ7O61P562EIUY" descr="IQGV9140X0K0UPBL8OGU3I44J" hidden="1">
          <a:extLst>
            <a:ext uri="{FF2B5EF4-FFF2-40B4-BE49-F238E27FC236}">
              <a16:creationId xmlns:a16="http://schemas.microsoft.com/office/drawing/2014/main" id="{7BEE15F9-BF04-4D98-B9AF-9BED6FE13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609" name="BEx5AQZ4ETQ9LMY5EBWVH20Z7VXQ" hidden="1">
          <a:extLst>
            <a:ext uri="{FF2B5EF4-FFF2-40B4-BE49-F238E27FC236}">
              <a16:creationId xmlns:a16="http://schemas.microsoft.com/office/drawing/2014/main" id="{9E660783-6C53-48ED-858C-001F07844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10" name="BEx1KD7H6UB1VYCJ7O61P562EIUY" descr="IQGV9140X0K0UPBL8OGU3I44J" hidden="1">
          <a:extLst>
            <a:ext uri="{FF2B5EF4-FFF2-40B4-BE49-F238E27FC236}">
              <a16:creationId xmlns:a16="http://schemas.microsoft.com/office/drawing/2014/main" id="{421B2585-0ABE-42EE-A0EC-996089436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11" name="BEx5BJQWS6YWHH4ZMSUAMD641V6Y" descr="ZTMFMXCIQSECDX38ALEFHUB00" hidden="1">
          <a:extLst>
            <a:ext uri="{FF2B5EF4-FFF2-40B4-BE49-F238E27FC236}">
              <a16:creationId xmlns:a16="http://schemas.microsoft.com/office/drawing/2014/main" id="{6C1F9878-7C27-4A47-9447-FE40629B5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12" name="BEx5AQZ4ETQ9LMY5EBWVH20Z7VXQ" hidden="1">
          <a:extLst>
            <a:ext uri="{FF2B5EF4-FFF2-40B4-BE49-F238E27FC236}">
              <a16:creationId xmlns:a16="http://schemas.microsoft.com/office/drawing/2014/main" id="{2B883AC0-7F39-474E-8E43-3FB697D5C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13" name="BExUBK0YZ5VYFY8TTITJGJU9S06A" hidden="1">
          <a:extLst>
            <a:ext uri="{FF2B5EF4-FFF2-40B4-BE49-F238E27FC236}">
              <a16:creationId xmlns:a16="http://schemas.microsoft.com/office/drawing/2014/main" id="{F25FCEA2-F51C-45B4-9789-843F363A1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14" name="BEx1KD7H6UB1VYCJ7O61P562EIUY" descr="IQGV9140X0K0UPBL8OGU3I44J" hidden="1">
          <a:extLst>
            <a:ext uri="{FF2B5EF4-FFF2-40B4-BE49-F238E27FC236}">
              <a16:creationId xmlns:a16="http://schemas.microsoft.com/office/drawing/2014/main" id="{8C850B8E-E7A8-45B4-A628-E02B794F2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15" name="BEx5BJQWS6YWHH4ZMSUAMD641V6Y" descr="ZTMFMXCIQSECDX38ALEFHUB00" hidden="1">
          <a:extLst>
            <a:ext uri="{FF2B5EF4-FFF2-40B4-BE49-F238E27FC236}">
              <a16:creationId xmlns:a16="http://schemas.microsoft.com/office/drawing/2014/main" id="{DBA32614-D230-4C30-8A98-B7FD3094D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16" name="BEx5AQZ4ETQ9LMY5EBWVH20Z7VXQ" hidden="1">
          <a:extLst>
            <a:ext uri="{FF2B5EF4-FFF2-40B4-BE49-F238E27FC236}">
              <a16:creationId xmlns:a16="http://schemas.microsoft.com/office/drawing/2014/main" id="{57246F6C-5730-4088-9984-0492973E1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17" name="BExUBK0YZ5VYFY8TTITJGJU9S06A" hidden="1">
          <a:extLst>
            <a:ext uri="{FF2B5EF4-FFF2-40B4-BE49-F238E27FC236}">
              <a16:creationId xmlns:a16="http://schemas.microsoft.com/office/drawing/2014/main" id="{E375C13A-FE8D-408B-AE1C-36BD7883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618" name="BEx1KD7H6UB1VYCJ7O61P562EIUY" descr="IQGV9140X0K0UPBL8OGU3I44J" hidden="1">
          <a:extLst>
            <a:ext uri="{FF2B5EF4-FFF2-40B4-BE49-F238E27FC236}">
              <a16:creationId xmlns:a16="http://schemas.microsoft.com/office/drawing/2014/main" id="{FCE28A24-1168-488C-B3A6-133A4E066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619" name="BEx5AQZ4ETQ9LMY5EBWVH20Z7VXQ" hidden="1">
          <a:extLst>
            <a:ext uri="{FF2B5EF4-FFF2-40B4-BE49-F238E27FC236}">
              <a16:creationId xmlns:a16="http://schemas.microsoft.com/office/drawing/2014/main" id="{9E3ED601-9173-4AC3-946B-F746B4109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20" name="BEx1KD7H6UB1VYCJ7O61P562EIUY" descr="IQGV9140X0K0UPBL8OGU3I44J" hidden="1">
          <a:extLst>
            <a:ext uri="{FF2B5EF4-FFF2-40B4-BE49-F238E27FC236}">
              <a16:creationId xmlns:a16="http://schemas.microsoft.com/office/drawing/2014/main" id="{4120D3AD-2620-4152-BA94-72E1099AD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21" name="BEx5BJQWS6YWHH4ZMSUAMD641V6Y" descr="ZTMFMXCIQSECDX38ALEFHUB00" hidden="1">
          <a:extLst>
            <a:ext uri="{FF2B5EF4-FFF2-40B4-BE49-F238E27FC236}">
              <a16:creationId xmlns:a16="http://schemas.microsoft.com/office/drawing/2014/main" id="{46630704-5ACF-45C2-A448-1A73F39EE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22" name="BEx5AQZ4ETQ9LMY5EBWVH20Z7VXQ" hidden="1">
          <a:extLst>
            <a:ext uri="{FF2B5EF4-FFF2-40B4-BE49-F238E27FC236}">
              <a16:creationId xmlns:a16="http://schemas.microsoft.com/office/drawing/2014/main" id="{D64AAD63-D4D6-4569-B1FD-C59D15A91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23" name="BExUBK0YZ5VYFY8TTITJGJU9S06A" hidden="1">
          <a:extLst>
            <a:ext uri="{FF2B5EF4-FFF2-40B4-BE49-F238E27FC236}">
              <a16:creationId xmlns:a16="http://schemas.microsoft.com/office/drawing/2014/main" id="{8D907AED-CFBA-44FB-B0C5-05C0CF02C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24" name="BEx1KD7H6UB1VYCJ7O61P562EIUY" descr="IQGV9140X0K0UPBL8OGU3I44J" hidden="1">
          <a:extLst>
            <a:ext uri="{FF2B5EF4-FFF2-40B4-BE49-F238E27FC236}">
              <a16:creationId xmlns:a16="http://schemas.microsoft.com/office/drawing/2014/main" id="{57DF3F9D-E188-4488-A49D-70F89E26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25" name="BEx5BJQWS6YWHH4ZMSUAMD641V6Y" descr="ZTMFMXCIQSECDX38ALEFHUB00" hidden="1">
          <a:extLst>
            <a:ext uri="{FF2B5EF4-FFF2-40B4-BE49-F238E27FC236}">
              <a16:creationId xmlns:a16="http://schemas.microsoft.com/office/drawing/2014/main" id="{4146114E-422F-4807-9096-B641BA1E4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26" name="BEx5AQZ4ETQ9LMY5EBWVH20Z7VXQ" hidden="1">
          <a:extLst>
            <a:ext uri="{FF2B5EF4-FFF2-40B4-BE49-F238E27FC236}">
              <a16:creationId xmlns:a16="http://schemas.microsoft.com/office/drawing/2014/main" id="{010CDA19-190B-498F-9ED7-27909C1D3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27" name="BExUBK0YZ5VYFY8TTITJGJU9S06A" hidden="1">
          <a:extLst>
            <a:ext uri="{FF2B5EF4-FFF2-40B4-BE49-F238E27FC236}">
              <a16:creationId xmlns:a16="http://schemas.microsoft.com/office/drawing/2014/main" id="{59BF1E0D-A2E3-4BD7-9130-DE9580F98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28" name="BEx1KD7H6UB1VYCJ7O61P562EIUY" descr="IQGV9140X0K0UPBL8OGU3I44J" hidden="1">
          <a:extLst>
            <a:ext uri="{FF2B5EF4-FFF2-40B4-BE49-F238E27FC236}">
              <a16:creationId xmlns:a16="http://schemas.microsoft.com/office/drawing/2014/main" id="{82495DBF-BF09-451F-9A57-C1B32ADDF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29" name="BEx5BJQWS6YWHH4ZMSUAMD641V6Y" descr="ZTMFMXCIQSECDX38ALEFHUB00" hidden="1">
          <a:extLst>
            <a:ext uri="{FF2B5EF4-FFF2-40B4-BE49-F238E27FC236}">
              <a16:creationId xmlns:a16="http://schemas.microsoft.com/office/drawing/2014/main" id="{5AF13BDD-E186-4ABA-9A12-EFF4BA443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30" name="BEx5AQZ4ETQ9LMY5EBWVH20Z7VXQ" hidden="1">
          <a:extLst>
            <a:ext uri="{FF2B5EF4-FFF2-40B4-BE49-F238E27FC236}">
              <a16:creationId xmlns:a16="http://schemas.microsoft.com/office/drawing/2014/main" id="{5B32D15E-C2B1-4D60-8463-454AAE5FD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31" name="BExUBK0YZ5VYFY8TTITJGJU9S06A" hidden="1">
          <a:extLst>
            <a:ext uri="{FF2B5EF4-FFF2-40B4-BE49-F238E27FC236}">
              <a16:creationId xmlns:a16="http://schemas.microsoft.com/office/drawing/2014/main" id="{E798FB4E-6668-459F-A061-37C40C111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32" name="BEx1KD7H6UB1VYCJ7O61P562EIUY" descr="IQGV9140X0K0UPBL8OGU3I44J" hidden="1">
          <a:extLst>
            <a:ext uri="{FF2B5EF4-FFF2-40B4-BE49-F238E27FC236}">
              <a16:creationId xmlns:a16="http://schemas.microsoft.com/office/drawing/2014/main" id="{0EB36241-AD3D-4A35-9AD0-3824D44E6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33" name="BEx5AQZ4ETQ9LMY5EBWVH20Z7VXQ" hidden="1">
          <a:extLst>
            <a:ext uri="{FF2B5EF4-FFF2-40B4-BE49-F238E27FC236}">
              <a16:creationId xmlns:a16="http://schemas.microsoft.com/office/drawing/2014/main" id="{2D4469C3-B828-479D-A288-637D6F3F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34" name="BEx1KD7H6UB1VYCJ7O61P562EIUY" descr="IQGV9140X0K0UPBL8OGU3I44J" hidden="1">
          <a:extLst>
            <a:ext uri="{FF2B5EF4-FFF2-40B4-BE49-F238E27FC236}">
              <a16:creationId xmlns:a16="http://schemas.microsoft.com/office/drawing/2014/main" id="{06B5D303-67FA-4A90-AD32-6D573C172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35" name="BEx5AQZ4ETQ9LMY5EBWVH20Z7VXQ" hidden="1">
          <a:extLst>
            <a:ext uri="{FF2B5EF4-FFF2-40B4-BE49-F238E27FC236}">
              <a16:creationId xmlns:a16="http://schemas.microsoft.com/office/drawing/2014/main" id="{2D73311E-FBFF-4259-A505-35BAB7800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36" name="BEx1KD7H6UB1VYCJ7O61P562EIUY" descr="IQGV9140X0K0UPBL8OGU3I44J" hidden="1">
          <a:extLst>
            <a:ext uri="{FF2B5EF4-FFF2-40B4-BE49-F238E27FC236}">
              <a16:creationId xmlns:a16="http://schemas.microsoft.com/office/drawing/2014/main" id="{76563277-949B-46BC-B212-E207E4869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37" name="BEx5AQZ4ETQ9LMY5EBWVH20Z7VXQ" hidden="1">
          <a:extLst>
            <a:ext uri="{FF2B5EF4-FFF2-40B4-BE49-F238E27FC236}">
              <a16:creationId xmlns:a16="http://schemas.microsoft.com/office/drawing/2014/main" id="{1526E450-D275-44EB-9D39-8D55572CA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38" name="BEx1KD7H6UB1VYCJ7O61P562EIUY" descr="IQGV9140X0K0UPBL8OGU3I44J" hidden="1">
          <a:extLst>
            <a:ext uri="{FF2B5EF4-FFF2-40B4-BE49-F238E27FC236}">
              <a16:creationId xmlns:a16="http://schemas.microsoft.com/office/drawing/2014/main" id="{73990632-E77F-4046-AC47-D804932A1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39" name="BEx5AQZ4ETQ9LMY5EBWVH20Z7VXQ" hidden="1">
          <a:extLst>
            <a:ext uri="{FF2B5EF4-FFF2-40B4-BE49-F238E27FC236}">
              <a16:creationId xmlns:a16="http://schemas.microsoft.com/office/drawing/2014/main" id="{77066291-C99A-4527-AE5D-DE6C997A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640" name="BEx1KD7H6UB1VYCJ7O61P562EIUY" descr="IQGV9140X0K0UPBL8OGU3I44J" hidden="1">
          <a:extLst>
            <a:ext uri="{FF2B5EF4-FFF2-40B4-BE49-F238E27FC236}">
              <a16:creationId xmlns:a16="http://schemas.microsoft.com/office/drawing/2014/main" id="{D0DE0700-02B8-4E96-A8D2-87AFC3426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641" name="BEx5AQZ4ETQ9LMY5EBWVH20Z7VXQ" hidden="1">
          <a:extLst>
            <a:ext uri="{FF2B5EF4-FFF2-40B4-BE49-F238E27FC236}">
              <a16:creationId xmlns:a16="http://schemas.microsoft.com/office/drawing/2014/main" id="{C1CC1D10-0AF3-4287-B542-0D1966655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42" name="BEx1KD7H6UB1VYCJ7O61P562EIUY" descr="IQGV9140X0K0UPBL8OGU3I44J" hidden="1">
          <a:extLst>
            <a:ext uri="{FF2B5EF4-FFF2-40B4-BE49-F238E27FC236}">
              <a16:creationId xmlns:a16="http://schemas.microsoft.com/office/drawing/2014/main" id="{33371E95-EB55-4044-87AE-3A3BA413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43" name="BEx5BJQWS6YWHH4ZMSUAMD641V6Y" descr="ZTMFMXCIQSECDX38ALEFHUB00" hidden="1">
          <a:extLst>
            <a:ext uri="{FF2B5EF4-FFF2-40B4-BE49-F238E27FC236}">
              <a16:creationId xmlns:a16="http://schemas.microsoft.com/office/drawing/2014/main" id="{34B05133-342B-4B91-834A-59764CD99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44" name="BEx5AQZ4ETQ9LMY5EBWVH20Z7VXQ" hidden="1">
          <a:extLst>
            <a:ext uri="{FF2B5EF4-FFF2-40B4-BE49-F238E27FC236}">
              <a16:creationId xmlns:a16="http://schemas.microsoft.com/office/drawing/2014/main" id="{C8D15B9D-472A-4123-8D1E-F15E06C7B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45" name="BExUBK0YZ5VYFY8TTITJGJU9S06A" hidden="1">
          <a:extLst>
            <a:ext uri="{FF2B5EF4-FFF2-40B4-BE49-F238E27FC236}">
              <a16:creationId xmlns:a16="http://schemas.microsoft.com/office/drawing/2014/main" id="{62CD4D3F-69F4-4824-B385-A8B8155D0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46" name="BEx1KD7H6UB1VYCJ7O61P562EIUY" descr="IQGV9140X0K0UPBL8OGU3I44J" hidden="1">
          <a:extLst>
            <a:ext uri="{FF2B5EF4-FFF2-40B4-BE49-F238E27FC236}">
              <a16:creationId xmlns:a16="http://schemas.microsoft.com/office/drawing/2014/main" id="{D6B2C500-E8EC-4681-BAAF-8DA2E6A77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47" name="BEx5BJQWS6YWHH4ZMSUAMD641V6Y" descr="ZTMFMXCIQSECDX38ALEFHUB00" hidden="1">
          <a:extLst>
            <a:ext uri="{FF2B5EF4-FFF2-40B4-BE49-F238E27FC236}">
              <a16:creationId xmlns:a16="http://schemas.microsoft.com/office/drawing/2014/main" id="{20FC53B3-E846-48F2-8944-BCD10EFF2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48" name="BEx5AQZ4ETQ9LMY5EBWVH20Z7VXQ" hidden="1">
          <a:extLst>
            <a:ext uri="{FF2B5EF4-FFF2-40B4-BE49-F238E27FC236}">
              <a16:creationId xmlns:a16="http://schemas.microsoft.com/office/drawing/2014/main" id="{2FE18248-264F-4468-A5DE-395308586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49" name="BExUBK0YZ5VYFY8TTITJGJU9S06A" hidden="1">
          <a:extLst>
            <a:ext uri="{FF2B5EF4-FFF2-40B4-BE49-F238E27FC236}">
              <a16:creationId xmlns:a16="http://schemas.microsoft.com/office/drawing/2014/main" id="{6ABB3559-F45F-4D8F-90B4-D383A1B46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50" name="BEx1KD7H6UB1VYCJ7O61P562EIUY" descr="IQGV9140X0K0UPBL8OGU3I44J" hidden="1">
          <a:extLst>
            <a:ext uri="{FF2B5EF4-FFF2-40B4-BE49-F238E27FC236}">
              <a16:creationId xmlns:a16="http://schemas.microsoft.com/office/drawing/2014/main" id="{20185BB4-7AD8-4254-BA39-1DDF19929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51" name="BEx5BJQWS6YWHH4ZMSUAMD641V6Y" descr="ZTMFMXCIQSECDX38ALEFHUB00" hidden="1">
          <a:extLst>
            <a:ext uri="{FF2B5EF4-FFF2-40B4-BE49-F238E27FC236}">
              <a16:creationId xmlns:a16="http://schemas.microsoft.com/office/drawing/2014/main" id="{E90C561D-6ACE-4B99-97F7-7ED0FA9DD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52" name="BEx5AQZ4ETQ9LMY5EBWVH20Z7VXQ" hidden="1">
          <a:extLst>
            <a:ext uri="{FF2B5EF4-FFF2-40B4-BE49-F238E27FC236}">
              <a16:creationId xmlns:a16="http://schemas.microsoft.com/office/drawing/2014/main" id="{4A74A4F0-58EF-4ED7-A25B-9D3A9A827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53" name="BExUBK0YZ5VYFY8TTITJGJU9S06A" hidden="1">
          <a:extLst>
            <a:ext uri="{FF2B5EF4-FFF2-40B4-BE49-F238E27FC236}">
              <a16:creationId xmlns:a16="http://schemas.microsoft.com/office/drawing/2014/main" id="{F6FAC6C6-F36C-4616-8E8B-B8DC5CB77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54" name="BEx1KD7H6UB1VYCJ7O61P562EIUY" descr="IQGV9140X0K0UPBL8OGU3I44J" hidden="1">
          <a:extLst>
            <a:ext uri="{FF2B5EF4-FFF2-40B4-BE49-F238E27FC236}">
              <a16:creationId xmlns:a16="http://schemas.microsoft.com/office/drawing/2014/main" id="{D5EF8265-2208-48D6-ACE3-CCE298940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55" name="BEx5BJQWS6YWHH4ZMSUAMD641V6Y" descr="ZTMFMXCIQSECDX38ALEFHUB00" hidden="1">
          <a:extLst>
            <a:ext uri="{FF2B5EF4-FFF2-40B4-BE49-F238E27FC236}">
              <a16:creationId xmlns:a16="http://schemas.microsoft.com/office/drawing/2014/main" id="{3CE3305F-78ED-4EC5-A69E-2459B4D75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56" name="BEx5AQZ4ETQ9LMY5EBWVH20Z7VXQ" hidden="1">
          <a:extLst>
            <a:ext uri="{FF2B5EF4-FFF2-40B4-BE49-F238E27FC236}">
              <a16:creationId xmlns:a16="http://schemas.microsoft.com/office/drawing/2014/main" id="{E4E3B5B2-85A7-40B3-824D-6B6376823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57" name="BExUBK0YZ5VYFY8TTITJGJU9S06A" hidden="1">
          <a:extLst>
            <a:ext uri="{FF2B5EF4-FFF2-40B4-BE49-F238E27FC236}">
              <a16:creationId xmlns:a16="http://schemas.microsoft.com/office/drawing/2014/main" id="{F6F6DAED-2165-48BE-85F1-FA02361E3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58" name="BEx1KD7H6UB1VYCJ7O61P562EIUY" descr="IQGV9140X0K0UPBL8OGU3I44J" hidden="1">
          <a:extLst>
            <a:ext uri="{FF2B5EF4-FFF2-40B4-BE49-F238E27FC236}">
              <a16:creationId xmlns:a16="http://schemas.microsoft.com/office/drawing/2014/main" id="{8BF708D7-6951-46F0-9A4C-3E8B0E8A5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59" name="BEx5BJQWS6YWHH4ZMSUAMD641V6Y" descr="ZTMFMXCIQSECDX38ALEFHUB00" hidden="1">
          <a:extLst>
            <a:ext uri="{FF2B5EF4-FFF2-40B4-BE49-F238E27FC236}">
              <a16:creationId xmlns:a16="http://schemas.microsoft.com/office/drawing/2014/main" id="{BF31CF80-197C-46F0-98E3-595435F95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660" name="BEx5AQZ4ETQ9LMY5EBWVH20Z7VXQ" hidden="1">
          <a:extLst>
            <a:ext uri="{FF2B5EF4-FFF2-40B4-BE49-F238E27FC236}">
              <a16:creationId xmlns:a16="http://schemas.microsoft.com/office/drawing/2014/main" id="{2ADC014D-C13A-4F7C-9047-69E098D94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661" name="BExUBK0YZ5VYFY8TTITJGJU9S06A" hidden="1">
          <a:extLst>
            <a:ext uri="{FF2B5EF4-FFF2-40B4-BE49-F238E27FC236}">
              <a16:creationId xmlns:a16="http://schemas.microsoft.com/office/drawing/2014/main" id="{FE282484-0A7C-48D2-A88B-53F93576D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2" name="BEx1KD7H6UB1VYCJ7O61P562EIUY" descr="IQGV9140X0K0UPBL8OGU3I44J" hidden="1">
          <a:extLst>
            <a:ext uri="{FF2B5EF4-FFF2-40B4-BE49-F238E27FC236}">
              <a16:creationId xmlns:a16="http://schemas.microsoft.com/office/drawing/2014/main" id="{E1FA45EF-5301-4D78-A713-4B9633DD8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3" name="BEx5AQZ4ETQ9LMY5EBWVH20Z7VXQ" hidden="1">
          <a:extLst>
            <a:ext uri="{FF2B5EF4-FFF2-40B4-BE49-F238E27FC236}">
              <a16:creationId xmlns:a16="http://schemas.microsoft.com/office/drawing/2014/main" id="{1462687F-AC79-4317-90D1-64BB72297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4" name="BEx1KD7H6UB1VYCJ7O61P562EIUY" descr="IQGV9140X0K0UPBL8OGU3I44J" hidden="1">
          <a:extLst>
            <a:ext uri="{FF2B5EF4-FFF2-40B4-BE49-F238E27FC236}">
              <a16:creationId xmlns:a16="http://schemas.microsoft.com/office/drawing/2014/main" id="{4A7BB0A2-0488-4A2A-BA78-19E5ACED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5" name="BEx5AQZ4ETQ9LMY5EBWVH20Z7VXQ" hidden="1">
          <a:extLst>
            <a:ext uri="{FF2B5EF4-FFF2-40B4-BE49-F238E27FC236}">
              <a16:creationId xmlns:a16="http://schemas.microsoft.com/office/drawing/2014/main" id="{0E2D39B1-D745-4BB5-871E-69BB4EE5A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666" name="BEx5BJQWS6YWHH4ZMSUAMD641V6Y" descr="ZTMFMXCIQSECDX38ALEFHUB00" hidden="1">
          <a:extLst>
            <a:ext uri="{FF2B5EF4-FFF2-40B4-BE49-F238E27FC236}">
              <a16:creationId xmlns:a16="http://schemas.microsoft.com/office/drawing/2014/main" id="{5640C946-758C-4A74-8BE3-67A015808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667" name="BExUBK0YZ5VYFY8TTITJGJU9S06A" hidden="1">
          <a:extLst>
            <a:ext uri="{FF2B5EF4-FFF2-40B4-BE49-F238E27FC236}">
              <a16:creationId xmlns:a16="http://schemas.microsoft.com/office/drawing/2014/main" id="{47CDDA2A-787A-4027-AD79-B4919934E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8" name="BEx1KD7H6UB1VYCJ7O61P562EIUY" descr="IQGV9140X0K0UPBL8OGU3I44J" hidden="1">
          <a:extLst>
            <a:ext uri="{FF2B5EF4-FFF2-40B4-BE49-F238E27FC236}">
              <a16:creationId xmlns:a16="http://schemas.microsoft.com/office/drawing/2014/main" id="{FDE767F6-AA84-4AAB-9D35-888EEACA9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9" name="BEx5AQZ4ETQ9LMY5EBWVH20Z7VXQ" hidden="1">
          <a:extLst>
            <a:ext uri="{FF2B5EF4-FFF2-40B4-BE49-F238E27FC236}">
              <a16:creationId xmlns:a16="http://schemas.microsoft.com/office/drawing/2014/main" id="{37B00CFC-2A5E-45EF-8872-D11E9101C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670" name="BEx5BJQWS6YWHH4ZMSUAMD641V6Y" descr="ZTMFMXCIQSECDX38ALEFHUB00" hidden="1">
          <a:extLst>
            <a:ext uri="{FF2B5EF4-FFF2-40B4-BE49-F238E27FC236}">
              <a16:creationId xmlns:a16="http://schemas.microsoft.com/office/drawing/2014/main" id="{E1475A04-3D34-45C7-B4A4-532CD83B1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671" name="BExUBK0YZ5VYFY8TTITJGJU9S06A" hidden="1">
          <a:extLst>
            <a:ext uri="{FF2B5EF4-FFF2-40B4-BE49-F238E27FC236}">
              <a16:creationId xmlns:a16="http://schemas.microsoft.com/office/drawing/2014/main" id="{A645590C-5D54-4F8D-B2CC-9F62EA0FA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672" name="BEx5BJQWS6YWHH4ZMSUAMD641V6Y" descr="ZTMFMXCIQSECDX38ALEFHUB00" hidden="1">
          <a:extLst>
            <a:ext uri="{FF2B5EF4-FFF2-40B4-BE49-F238E27FC236}">
              <a16:creationId xmlns:a16="http://schemas.microsoft.com/office/drawing/2014/main" id="{68544BEF-DB66-4292-9704-C0B17C115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673" name="BExUBK0YZ5VYFY8TTITJGJU9S06A" hidden="1">
          <a:extLst>
            <a:ext uri="{FF2B5EF4-FFF2-40B4-BE49-F238E27FC236}">
              <a16:creationId xmlns:a16="http://schemas.microsoft.com/office/drawing/2014/main" id="{E4244AEF-6E0E-48F0-98F1-58397ED0D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4" name="BEx1KD7H6UB1VYCJ7O61P562EIUY" descr="IQGV9140X0K0UPBL8OGU3I44J" hidden="1">
          <a:extLst>
            <a:ext uri="{FF2B5EF4-FFF2-40B4-BE49-F238E27FC236}">
              <a16:creationId xmlns:a16="http://schemas.microsoft.com/office/drawing/2014/main" id="{A98C2F2B-7A37-4F58-96E4-9C97FB078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5" name="BEx5AQZ4ETQ9LMY5EBWVH20Z7VXQ" hidden="1">
          <a:extLst>
            <a:ext uri="{FF2B5EF4-FFF2-40B4-BE49-F238E27FC236}">
              <a16:creationId xmlns:a16="http://schemas.microsoft.com/office/drawing/2014/main" id="{84F4CB0B-C5F9-4564-8CB3-2E91D0455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676" name="BEx5BJQWS6YWHH4ZMSUAMD641V6Y" descr="ZTMFMXCIQSECDX38ALEFHUB00" hidden="1">
          <a:extLst>
            <a:ext uri="{FF2B5EF4-FFF2-40B4-BE49-F238E27FC236}">
              <a16:creationId xmlns:a16="http://schemas.microsoft.com/office/drawing/2014/main" id="{1603B54D-89A5-4A5E-A7FA-5977410B9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677" name="BExUBK0YZ5VYFY8TTITJGJU9S06A" hidden="1">
          <a:extLst>
            <a:ext uri="{FF2B5EF4-FFF2-40B4-BE49-F238E27FC236}">
              <a16:creationId xmlns:a16="http://schemas.microsoft.com/office/drawing/2014/main" id="{AEEABBDC-1003-4B98-AD9A-3EB560CD0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678" name="BEx5BJQWS6YWHH4ZMSUAMD641V6Y" descr="ZTMFMXCIQSECDX38ALEFHUB00" hidden="1">
          <a:extLst>
            <a:ext uri="{FF2B5EF4-FFF2-40B4-BE49-F238E27FC236}">
              <a16:creationId xmlns:a16="http://schemas.microsoft.com/office/drawing/2014/main" id="{72BDD9F3-5BEF-445E-891B-665C2DD7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679" name="BExUBK0YZ5VYFY8TTITJGJU9S06A" hidden="1">
          <a:extLst>
            <a:ext uri="{FF2B5EF4-FFF2-40B4-BE49-F238E27FC236}">
              <a16:creationId xmlns:a16="http://schemas.microsoft.com/office/drawing/2014/main" id="{E063FCEB-C2FF-4ED3-8402-202834C00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680" name="BEx5BJQWS6YWHH4ZMSUAMD641V6Y" descr="ZTMFMXCIQSECDX38ALEFHUB00" hidden="1">
          <a:extLst>
            <a:ext uri="{FF2B5EF4-FFF2-40B4-BE49-F238E27FC236}">
              <a16:creationId xmlns:a16="http://schemas.microsoft.com/office/drawing/2014/main" id="{83E8A106-8CBB-4C65-921B-023EDC33B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681" name="BExUBK0YZ5VYFY8TTITJGJU9S06A" hidden="1">
          <a:extLst>
            <a:ext uri="{FF2B5EF4-FFF2-40B4-BE49-F238E27FC236}">
              <a16:creationId xmlns:a16="http://schemas.microsoft.com/office/drawing/2014/main" id="{8911979E-0A16-454B-ABFC-3671F3520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2" name="BEx1KD7H6UB1VYCJ7O61P562EIUY" descr="IQGV9140X0K0UPBL8OGU3I44J" hidden="1">
          <a:extLst>
            <a:ext uri="{FF2B5EF4-FFF2-40B4-BE49-F238E27FC236}">
              <a16:creationId xmlns:a16="http://schemas.microsoft.com/office/drawing/2014/main" id="{35360DD4-227B-400F-A3C1-A1582013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3" name="BEx5AQZ4ETQ9LMY5EBWVH20Z7VXQ" hidden="1">
          <a:extLst>
            <a:ext uri="{FF2B5EF4-FFF2-40B4-BE49-F238E27FC236}">
              <a16:creationId xmlns:a16="http://schemas.microsoft.com/office/drawing/2014/main" id="{AD808F6B-8E20-4817-98F5-CF7B8C719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684" name="BEx5BJQWS6YWHH4ZMSUAMD641V6Y" descr="ZTMFMXCIQSECDX38ALEFHUB00" hidden="1">
          <a:extLst>
            <a:ext uri="{FF2B5EF4-FFF2-40B4-BE49-F238E27FC236}">
              <a16:creationId xmlns:a16="http://schemas.microsoft.com/office/drawing/2014/main" id="{A244230F-B5A9-4935-862C-D87CCCAD4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685" name="BExUBK0YZ5VYFY8TTITJGJU9S06A" hidden="1">
          <a:extLst>
            <a:ext uri="{FF2B5EF4-FFF2-40B4-BE49-F238E27FC236}">
              <a16:creationId xmlns:a16="http://schemas.microsoft.com/office/drawing/2014/main" id="{C97A37E7-D78E-4E08-A3C8-E426DC65C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686" name="BEx5BJQWS6YWHH4ZMSUAMD641V6Y" descr="ZTMFMXCIQSECDX38ALEFHUB00" hidden="1">
          <a:extLst>
            <a:ext uri="{FF2B5EF4-FFF2-40B4-BE49-F238E27FC236}">
              <a16:creationId xmlns:a16="http://schemas.microsoft.com/office/drawing/2014/main" id="{6149D236-9E3F-4929-9456-159C8731C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687" name="BExUBK0YZ5VYFY8TTITJGJU9S06A" hidden="1">
          <a:extLst>
            <a:ext uri="{FF2B5EF4-FFF2-40B4-BE49-F238E27FC236}">
              <a16:creationId xmlns:a16="http://schemas.microsoft.com/office/drawing/2014/main" id="{AFBE8442-A403-4034-B022-DEBADE94E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688" name="BEx5BJQWS6YWHH4ZMSUAMD641V6Y" descr="ZTMFMXCIQSECDX38ALEFHUB00" hidden="1">
          <a:extLst>
            <a:ext uri="{FF2B5EF4-FFF2-40B4-BE49-F238E27FC236}">
              <a16:creationId xmlns:a16="http://schemas.microsoft.com/office/drawing/2014/main" id="{59AFB509-1802-4EF1-AF0A-F2B956CF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689" name="BExUBK0YZ5VYFY8TTITJGJU9S06A" hidden="1">
          <a:extLst>
            <a:ext uri="{FF2B5EF4-FFF2-40B4-BE49-F238E27FC236}">
              <a16:creationId xmlns:a16="http://schemas.microsoft.com/office/drawing/2014/main" id="{F043DFE7-2AEF-4F18-A23F-F8DCBF8B5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690" name="BEx5BJQWS6YWHH4ZMSUAMD641V6Y" descr="ZTMFMXCIQSECDX38ALEFHUB00" hidden="1">
          <a:extLst>
            <a:ext uri="{FF2B5EF4-FFF2-40B4-BE49-F238E27FC236}">
              <a16:creationId xmlns:a16="http://schemas.microsoft.com/office/drawing/2014/main" id="{11253E2D-5CAC-49DB-A402-34FF4C509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691" name="BExUBK0YZ5VYFY8TTITJGJU9S06A" hidden="1">
          <a:extLst>
            <a:ext uri="{FF2B5EF4-FFF2-40B4-BE49-F238E27FC236}">
              <a16:creationId xmlns:a16="http://schemas.microsoft.com/office/drawing/2014/main" id="{3E65E6F1-12A3-475A-BFE5-71707ECBF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692" name="BEx5BJQWS6YWHH4ZMSUAMD641V6Y" descr="ZTMFMXCIQSECDX38ALEFHUB00" hidden="1">
          <a:extLst>
            <a:ext uri="{FF2B5EF4-FFF2-40B4-BE49-F238E27FC236}">
              <a16:creationId xmlns:a16="http://schemas.microsoft.com/office/drawing/2014/main" id="{D5A89667-2BB2-45EF-99D5-4ABF4EA62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693" name="BExUBK0YZ5VYFY8TTITJGJU9S06A" hidden="1">
          <a:extLst>
            <a:ext uri="{FF2B5EF4-FFF2-40B4-BE49-F238E27FC236}">
              <a16:creationId xmlns:a16="http://schemas.microsoft.com/office/drawing/2014/main" id="{6C76E43A-A116-4803-9459-EDB5D9877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4" name="BEx1KD7H6UB1VYCJ7O61P562EIUY" descr="IQGV9140X0K0UPBL8OGU3I44J" hidden="1">
          <a:extLst>
            <a:ext uri="{FF2B5EF4-FFF2-40B4-BE49-F238E27FC236}">
              <a16:creationId xmlns:a16="http://schemas.microsoft.com/office/drawing/2014/main" id="{61095FFF-AB77-4461-B65A-840A27EF5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5" name="BEx5AQZ4ETQ9LMY5EBWVH20Z7VXQ" hidden="1">
          <a:extLst>
            <a:ext uri="{FF2B5EF4-FFF2-40B4-BE49-F238E27FC236}">
              <a16:creationId xmlns:a16="http://schemas.microsoft.com/office/drawing/2014/main" id="{7F61A4EF-55D5-4678-B732-B1D6F557E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6" name="BEx1KD7H6UB1VYCJ7O61P562EIUY" descr="IQGV9140X0K0UPBL8OGU3I44J" hidden="1">
          <a:extLst>
            <a:ext uri="{FF2B5EF4-FFF2-40B4-BE49-F238E27FC236}">
              <a16:creationId xmlns:a16="http://schemas.microsoft.com/office/drawing/2014/main" id="{429692D5-E871-442B-9EDE-3B026AD62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7" name="BEx5AQZ4ETQ9LMY5EBWVH20Z7VXQ" hidden="1">
          <a:extLst>
            <a:ext uri="{FF2B5EF4-FFF2-40B4-BE49-F238E27FC236}">
              <a16:creationId xmlns:a16="http://schemas.microsoft.com/office/drawing/2014/main" id="{25ADB441-DAE2-420B-8A0A-F32449AA3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8" name="BEx1KD7H6UB1VYCJ7O61P562EIUY" descr="IQGV9140X0K0UPBL8OGU3I44J" hidden="1">
          <a:extLst>
            <a:ext uri="{FF2B5EF4-FFF2-40B4-BE49-F238E27FC236}">
              <a16:creationId xmlns:a16="http://schemas.microsoft.com/office/drawing/2014/main" id="{C5AF13DC-B097-4785-99CD-77956EA7F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9" name="BEx5AQZ4ETQ9LMY5EBWVH20Z7VXQ" hidden="1">
          <a:extLst>
            <a:ext uri="{FF2B5EF4-FFF2-40B4-BE49-F238E27FC236}">
              <a16:creationId xmlns:a16="http://schemas.microsoft.com/office/drawing/2014/main" id="{6CD82FB3-BB2B-470E-8635-AC5E1ABFF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00" name="BEx1KD7H6UB1VYCJ7O61P562EIUY" descr="IQGV9140X0K0UPBL8OGU3I44J" hidden="1">
          <a:extLst>
            <a:ext uri="{FF2B5EF4-FFF2-40B4-BE49-F238E27FC236}">
              <a16:creationId xmlns:a16="http://schemas.microsoft.com/office/drawing/2014/main" id="{2EAA2786-81EA-4C48-A1DF-4A0CFCFA3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01" name="BEx5AQZ4ETQ9LMY5EBWVH20Z7VXQ" hidden="1">
          <a:extLst>
            <a:ext uri="{FF2B5EF4-FFF2-40B4-BE49-F238E27FC236}">
              <a16:creationId xmlns:a16="http://schemas.microsoft.com/office/drawing/2014/main" id="{23991A6D-3299-4D33-B41E-233DED1AC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02" name="BEx1KD7H6UB1VYCJ7O61P562EIUY" descr="IQGV9140X0K0UPBL8OGU3I44J" hidden="1">
          <a:extLst>
            <a:ext uri="{FF2B5EF4-FFF2-40B4-BE49-F238E27FC236}">
              <a16:creationId xmlns:a16="http://schemas.microsoft.com/office/drawing/2014/main" id="{28E5B007-08C6-4784-804F-2CCEA7212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03" name="BEx5AQZ4ETQ9LMY5EBWVH20Z7VXQ" hidden="1">
          <a:extLst>
            <a:ext uri="{FF2B5EF4-FFF2-40B4-BE49-F238E27FC236}">
              <a16:creationId xmlns:a16="http://schemas.microsoft.com/office/drawing/2014/main" id="{FE059126-160A-4925-A820-1F314E5AE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04" name="BEx1KD7H6UB1VYCJ7O61P562EIUY" descr="IQGV9140X0K0UPBL8OGU3I44J" hidden="1">
          <a:extLst>
            <a:ext uri="{FF2B5EF4-FFF2-40B4-BE49-F238E27FC236}">
              <a16:creationId xmlns:a16="http://schemas.microsoft.com/office/drawing/2014/main" id="{3735B453-39ED-4B75-9CDD-092CA5190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05" name="BEx5AQZ4ETQ9LMY5EBWVH20Z7VXQ" hidden="1">
          <a:extLst>
            <a:ext uri="{FF2B5EF4-FFF2-40B4-BE49-F238E27FC236}">
              <a16:creationId xmlns:a16="http://schemas.microsoft.com/office/drawing/2014/main" id="{FD0EFA08-89E0-4D62-B34A-A033C2AEE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06" name="BEx1KD7H6UB1VYCJ7O61P562EIUY" descr="IQGV9140X0K0UPBL8OGU3I44J" hidden="1">
          <a:extLst>
            <a:ext uri="{FF2B5EF4-FFF2-40B4-BE49-F238E27FC236}">
              <a16:creationId xmlns:a16="http://schemas.microsoft.com/office/drawing/2014/main" id="{6E1CBB38-D721-4C09-B3CB-3DE1D2FDD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07" name="BEx5AQZ4ETQ9LMY5EBWVH20Z7VXQ" hidden="1">
          <a:extLst>
            <a:ext uri="{FF2B5EF4-FFF2-40B4-BE49-F238E27FC236}">
              <a16:creationId xmlns:a16="http://schemas.microsoft.com/office/drawing/2014/main" id="{339D0811-36F5-4381-8E61-BBF7F6D07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08" name="BEx1KD7H6UB1VYCJ7O61P562EIUY" descr="IQGV9140X0K0UPBL8OGU3I44J" hidden="1">
          <a:extLst>
            <a:ext uri="{FF2B5EF4-FFF2-40B4-BE49-F238E27FC236}">
              <a16:creationId xmlns:a16="http://schemas.microsoft.com/office/drawing/2014/main" id="{27AE0FF9-BD27-4B5B-89B1-6859B2D85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09" name="BEx5AQZ4ETQ9LMY5EBWVH20Z7VXQ" hidden="1">
          <a:extLst>
            <a:ext uri="{FF2B5EF4-FFF2-40B4-BE49-F238E27FC236}">
              <a16:creationId xmlns:a16="http://schemas.microsoft.com/office/drawing/2014/main" id="{4B10B826-A65D-4EDD-A72F-5DE5031C0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10" name="BEx1KD7H6UB1VYCJ7O61P562EIUY" descr="IQGV9140X0K0UPBL8OGU3I44J" hidden="1">
          <a:extLst>
            <a:ext uri="{FF2B5EF4-FFF2-40B4-BE49-F238E27FC236}">
              <a16:creationId xmlns:a16="http://schemas.microsoft.com/office/drawing/2014/main" id="{46602B91-0195-42F1-9161-7FB514BFC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11" name="BEx5AQZ4ETQ9LMY5EBWVH20Z7VXQ" hidden="1">
          <a:extLst>
            <a:ext uri="{FF2B5EF4-FFF2-40B4-BE49-F238E27FC236}">
              <a16:creationId xmlns:a16="http://schemas.microsoft.com/office/drawing/2014/main" id="{D5887224-DB41-418F-ACCF-1B3B0BD45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12" name="BEx1KD7H6UB1VYCJ7O61P562EIUY" descr="IQGV9140X0K0UPBL8OGU3I44J" hidden="1">
          <a:extLst>
            <a:ext uri="{FF2B5EF4-FFF2-40B4-BE49-F238E27FC236}">
              <a16:creationId xmlns:a16="http://schemas.microsoft.com/office/drawing/2014/main" id="{8375BE1B-DC50-4A64-A001-348335903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13" name="BEx5AQZ4ETQ9LMY5EBWVH20Z7VXQ" hidden="1">
          <a:extLst>
            <a:ext uri="{FF2B5EF4-FFF2-40B4-BE49-F238E27FC236}">
              <a16:creationId xmlns:a16="http://schemas.microsoft.com/office/drawing/2014/main" id="{3B922B6A-ABD8-4665-8D2B-6CD7E3EA1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14" name="BEx1KD7H6UB1VYCJ7O61P562EIUY" descr="IQGV9140X0K0UPBL8OGU3I44J" hidden="1">
          <a:extLst>
            <a:ext uri="{FF2B5EF4-FFF2-40B4-BE49-F238E27FC236}">
              <a16:creationId xmlns:a16="http://schemas.microsoft.com/office/drawing/2014/main" id="{D1F21264-D46A-4C0B-A8E0-B4B5F4D1D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15" name="BEx5AQZ4ETQ9LMY5EBWVH20Z7VXQ" hidden="1">
          <a:extLst>
            <a:ext uri="{FF2B5EF4-FFF2-40B4-BE49-F238E27FC236}">
              <a16:creationId xmlns:a16="http://schemas.microsoft.com/office/drawing/2014/main" id="{1365F7A7-32FA-4CD7-A409-D3A7558AC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16" name="BEx1KD7H6UB1VYCJ7O61P562EIUY" descr="IQGV9140X0K0UPBL8OGU3I44J" hidden="1">
          <a:extLst>
            <a:ext uri="{FF2B5EF4-FFF2-40B4-BE49-F238E27FC236}">
              <a16:creationId xmlns:a16="http://schemas.microsoft.com/office/drawing/2014/main" id="{F9126D31-EFDC-4AE1-9DC0-5BFCB42EB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17" name="BEx5AQZ4ETQ9LMY5EBWVH20Z7VXQ" hidden="1">
          <a:extLst>
            <a:ext uri="{FF2B5EF4-FFF2-40B4-BE49-F238E27FC236}">
              <a16:creationId xmlns:a16="http://schemas.microsoft.com/office/drawing/2014/main" id="{65CF08A5-A736-419B-A861-AE9A9A1E5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18" name="BEx1KD7H6UB1VYCJ7O61P562EIUY" descr="IQGV9140X0K0UPBL8OGU3I44J" hidden="1">
          <a:extLst>
            <a:ext uri="{FF2B5EF4-FFF2-40B4-BE49-F238E27FC236}">
              <a16:creationId xmlns:a16="http://schemas.microsoft.com/office/drawing/2014/main" id="{CF32B699-248D-489E-95C2-0D9BCCD12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19" name="BEx5AQZ4ETQ9LMY5EBWVH20Z7VXQ" hidden="1">
          <a:extLst>
            <a:ext uri="{FF2B5EF4-FFF2-40B4-BE49-F238E27FC236}">
              <a16:creationId xmlns:a16="http://schemas.microsoft.com/office/drawing/2014/main" id="{88A1A420-099B-44C4-93D3-6C5FD1AF0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20" name="BEx1KD7H6UB1VYCJ7O61P562EIUY" descr="IQGV9140X0K0UPBL8OGU3I44J" hidden="1">
          <a:extLst>
            <a:ext uri="{FF2B5EF4-FFF2-40B4-BE49-F238E27FC236}">
              <a16:creationId xmlns:a16="http://schemas.microsoft.com/office/drawing/2014/main" id="{EE3317D8-9133-492F-BE84-FFC6F0062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21" name="BEx5AQZ4ETQ9LMY5EBWVH20Z7VXQ" hidden="1">
          <a:extLst>
            <a:ext uri="{FF2B5EF4-FFF2-40B4-BE49-F238E27FC236}">
              <a16:creationId xmlns:a16="http://schemas.microsoft.com/office/drawing/2014/main" id="{CE52624E-A58C-4B75-8E74-70E1E0EFB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22" name="BEx1KD7H6UB1VYCJ7O61P562EIUY" descr="IQGV9140X0K0UPBL8OGU3I44J" hidden="1">
          <a:extLst>
            <a:ext uri="{FF2B5EF4-FFF2-40B4-BE49-F238E27FC236}">
              <a16:creationId xmlns:a16="http://schemas.microsoft.com/office/drawing/2014/main" id="{DFEA3D8A-D819-428C-8EF3-BA01B8A56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723" name="BEx5AQZ4ETQ9LMY5EBWVH20Z7VXQ" hidden="1">
          <a:extLst>
            <a:ext uri="{FF2B5EF4-FFF2-40B4-BE49-F238E27FC236}">
              <a16:creationId xmlns:a16="http://schemas.microsoft.com/office/drawing/2014/main" id="{F9BF6D16-09B4-45DA-BB8C-DDE685689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24" name="BEx5BJQWS6YWHH4ZMSUAMD641V6Y" descr="ZTMFMXCIQSECDX38ALEFHUB00" hidden="1">
          <a:extLst>
            <a:ext uri="{FF2B5EF4-FFF2-40B4-BE49-F238E27FC236}">
              <a16:creationId xmlns:a16="http://schemas.microsoft.com/office/drawing/2014/main" id="{2F66F944-6963-4ED1-9660-E1824C8FD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25" name="BExUBK0YZ5VYFY8TTITJGJU9S06A" hidden="1">
          <a:extLst>
            <a:ext uri="{FF2B5EF4-FFF2-40B4-BE49-F238E27FC236}">
              <a16:creationId xmlns:a16="http://schemas.microsoft.com/office/drawing/2014/main" id="{035819E7-A530-4383-BD7D-99C37B48F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26" name="BEx5BJQWS6YWHH4ZMSUAMD641V6Y" descr="ZTMFMXCIQSECDX38ALEFHUB00" hidden="1">
          <a:extLst>
            <a:ext uri="{FF2B5EF4-FFF2-40B4-BE49-F238E27FC236}">
              <a16:creationId xmlns:a16="http://schemas.microsoft.com/office/drawing/2014/main" id="{C568BC7A-F65D-4857-AF6A-8A2ADDFCC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27" name="BExUBK0YZ5VYFY8TTITJGJU9S06A" hidden="1">
          <a:extLst>
            <a:ext uri="{FF2B5EF4-FFF2-40B4-BE49-F238E27FC236}">
              <a16:creationId xmlns:a16="http://schemas.microsoft.com/office/drawing/2014/main" id="{9AEC83C2-1F96-4593-825E-CAD561879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28" name="BEx5BJQWS6YWHH4ZMSUAMD641V6Y" descr="ZTMFMXCIQSECDX38ALEFHUB00" hidden="1">
          <a:extLst>
            <a:ext uri="{FF2B5EF4-FFF2-40B4-BE49-F238E27FC236}">
              <a16:creationId xmlns:a16="http://schemas.microsoft.com/office/drawing/2014/main" id="{09FD5E7C-E36E-4E21-BBB0-B691106F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29" name="BExUBK0YZ5VYFY8TTITJGJU9S06A" hidden="1">
          <a:extLst>
            <a:ext uri="{FF2B5EF4-FFF2-40B4-BE49-F238E27FC236}">
              <a16:creationId xmlns:a16="http://schemas.microsoft.com/office/drawing/2014/main" id="{EE5DF851-DD14-4DE9-BB5B-FDAD4FC6A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30" name="BEx5BJQWS6YWHH4ZMSUAMD641V6Y" descr="ZTMFMXCIQSECDX38ALEFHUB00" hidden="1">
          <a:extLst>
            <a:ext uri="{FF2B5EF4-FFF2-40B4-BE49-F238E27FC236}">
              <a16:creationId xmlns:a16="http://schemas.microsoft.com/office/drawing/2014/main" id="{8156F6DD-B829-4EC6-A6EC-585392A77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31" name="BExUBK0YZ5VYFY8TTITJGJU9S06A" hidden="1">
          <a:extLst>
            <a:ext uri="{FF2B5EF4-FFF2-40B4-BE49-F238E27FC236}">
              <a16:creationId xmlns:a16="http://schemas.microsoft.com/office/drawing/2014/main" id="{7B3C7CB5-ECE1-4045-9D3B-04266439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32" name="BEx5BJQWS6YWHH4ZMSUAMD641V6Y" descr="ZTMFMXCIQSECDX38ALEFHUB00" hidden="1">
          <a:extLst>
            <a:ext uri="{FF2B5EF4-FFF2-40B4-BE49-F238E27FC236}">
              <a16:creationId xmlns:a16="http://schemas.microsoft.com/office/drawing/2014/main" id="{60754E91-82DD-450F-8658-1E079C10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33" name="BExUBK0YZ5VYFY8TTITJGJU9S06A" hidden="1">
          <a:extLst>
            <a:ext uri="{FF2B5EF4-FFF2-40B4-BE49-F238E27FC236}">
              <a16:creationId xmlns:a16="http://schemas.microsoft.com/office/drawing/2014/main" id="{9EEC1247-553C-403C-BC8E-51E1375F7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34" name="BEx5BJQWS6YWHH4ZMSUAMD641V6Y" descr="ZTMFMXCIQSECDX38ALEFHUB00" hidden="1">
          <a:extLst>
            <a:ext uri="{FF2B5EF4-FFF2-40B4-BE49-F238E27FC236}">
              <a16:creationId xmlns:a16="http://schemas.microsoft.com/office/drawing/2014/main" id="{473D53CA-A7A1-40ED-BA9C-44E86DF4D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35" name="BExUBK0YZ5VYFY8TTITJGJU9S06A" hidden="1">
          <a:extLst>
            <a:ext uri="{FF2B5EF4-FFF2-40B4-BE49-F238E27FC236}">
              <a16:creationId xmlns:a16="http://schemas.microsoft.com/office/drawing/2014/main" id="{4E49BAEA-6FB8-431E-9F8A-511B2FE2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36" name="BEx5BJQWS6YWHH4ZMSUAMD641V6Y" descr="ZTMFMXCIQSECDX38ALEFHUB00" hidden="1">
          <a:extLst>
            <a:ext uri="{FF2B5EF4-FFF2-40B4-BE49-F238E27FC236}">
              <a16:creationId xmlns:a16="http://schemas.microsoft.com/office/drawing/2014/main" id="{997E6FED-7C35-4D60-B19D-4D1010BE6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37" name="BExUBK0YZ5VYFY8TTITJGJU9S06A" hidden="1">
          <a:extLst>
            <a:ext uri="{FF2B5EF4-FFF2-40B4-BE49-F238E27FC236}">
              <a16:creationId xmlns:a16="http://schemas.microsoft.com/office/drawing/2014/main" id="{1CB592B5-AE8C-441F-B6EE-47D530E46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38" name="BEx5BJQWS6YWHH4ZMSUAMD641V6Y" descr="ZTMFMXCIQSECDX38ALEFHUB00" hidden="1">
          <a:extLst>
            <a:ext uri="{FF2B5EF4-FFF2-40B4-BE49-F238E27FC236}">
              <a16:creationId xmlns:a16="http://schemas.microsoft.com/office/drawing/2014/main" id="{8BE442CC-5952-48C5-B835-673BE7A9D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39" name="BExUBK0YZ5VYFY8TTITJGJU9S06A" hidden="1">
          <a:extLst>
            <a:ext uri="{FF2B5EF4-FFF2-40B4-BE49-F238E27FC236}">
              <a16:creationId xmlns:a16="http://schemas.microsoft.com/office/drawing/2014/main" id="{6AFC26D9-A8EC-4BAF-8B31-7D67CD5FB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40" name="BEx5BJQWS6YWHH4ZMSUAMD641V6Y" descr="ZTMFMXCIQSECDX38ALEFHUB00" hidden="1">
          <a:extLst>
            <a:ext uri="{FF2B5EF4-FFF2-40B4-BE49-F238E27FC236}">
              <a16:creationId xmlns:a16="http://schemas.microsoft.com/office/drawing/2014/main" id="{DFBED3CA-2316-4FBD-8DAC-57F0B702A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41" name="BExUBK0YZ5VYFY8TTITJGJU9S06A" hidden="1">
          <a:extLst>
            <a:ext uri="{FF2B5EF4-FFF2-40B4-BE49-F238E27FC236}">
              <a16:creationId xmlns:a16="http://schemas.microsoft.com/office/drawing/2014/main" id="{A27D3C7D-C1EA-423B-9E37-429D7FBE4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42" name="BEx5BJQWS6YWHH4ZMSUAMD641V6Y" descr="ZTMFMXCIQSECDX38ALEFHUB00" hidden="1">
          <a:extLst>
            <a:ext uri="{FF2B5EF4-FFF2-40B4-BE49-F238E27FC236}">
              <a16:creationId xmlns:a16="http://schemas.microsoft.com/office/drawing/2014/main" id="{F1146D66-2958-4C88-BA38-220EBE862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43" name="BExUBK0YZ5VYFY8TTITJGJU9S06A" hidden="1">
          <a:extLst>
            <a:ext uri="{FF2B5EF4-FFF2-40B4-BE49-F238E27FC236}">
              <a16:creationId xmlns:a16="http://schemas.microsoft.com/office/drawing/2014/main" id="{378698B3-71A4-46E9-B979-81990D859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44" name="BEx5BJQWS6YWHH4ZMSUAMD641V6Y" descr="ZTMFMXCIQSECDX38ALEFHUB00" hidden="1">
          <a:extLst>
            <a:ext uri="{FF2B5EF4-FFF2-40B4-BE49-F238E27FC236}">
              <a16:creationId xmlns:a16="http://schemas.microsoft.com/office/drawing/2014/main" id="{C88A5FE9-2575-4BF7-9281-0267C2576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45" name="BExUBK0YZ5VYFY8TTITJGJU9S06A" hidden="1">
          <a:extLst>
            <a:ext uri="{FF2B5EF4-FFF2-40B4-BE49-F238E27FC236}">
              <a16:creationId xmlns:a16="http://schemas.microsoft.com/office/drawing/2014/main" id="{2647DBBC-CD3E-42F1-84C5-38AE9EA9A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46" name="BEx5BJQWS6YWHH4ZMSUAMD641V6Y" descr="ZTMFMXCIQSECDX38ALEFHUB00" hidden="1">
          <a:extLst>
            <a:ext uri="{FF2B5EF4-FFF2-40B4-BE49-F238E27FC236}">
              <a16:creationId xmlns:a16="http://schemas.microsoft.com/office/drawing/2014/main" id="{1EC9E2D0-E551-4175-ACDB-3ECAD65FA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47" name="BExUBK0YZ5VYFY8TTITJGJU9S06A" hidden="1">
          <a:extLst>
            <a:ext uri="{FF2B5EF4-FFF2-40B4-BE49-F238E27FC236}">
              <a16:creationId xmlns:a16="http://schemas.microsoft.com/office/drawing/2014/main" id="{E7344BE1-DF43-45DE-A47F-4D1E50370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48" name="BEx5BJQWS6YWHH4ZMSUAMD641V6Y" descr="ZTMFMXCIQSECDX38ALEFHUB00" hidden="1">
          <a:extLst>
            <a:ext uri="{FF2B5EF4-FFF2-40B4-BE49-F238E27FC236}">
              <a16:creationId xmlns:a16="http://schemas.microsoft.com/office/drawing/2014/main" id="{BEA7E846-5616-45A3-8FFB-0E8F2DA53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49" name="BExUBK0YZ5VYFY8TTITJGJU9S06A" hidden="1">
          <a:extLst>
            <a:ext uri="{FF2B5EF4-FFF2-40B4-BE49-F238E27FC236}">
              <a16:creationId xmlns:a16="http://schemas.microsoft.com/office/drawing/2014/main" id="{8A93AD59-C84E-4962-B2BC-2A39EB716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50" name="BEx5BJQWS6YWHH4ZMSUAMD641V6Y" descr="ZTMFMXCIQSECDX38ALEFHUB00" hidden="1">
          <a:extLst>
            <a:ext uri="{FF2B5EF4-FFF2-40B4-BE49-F238E27FC236}">
              <a16:creationId xmlns:a16="http://schemas.microsoft.com/office/drawing/2014/main" id="{EF278BB0-9646-4102-8157-0D35C2EAC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51" name="BExUBK0YZ5VYFY8TTITJGJU9S06A" hidden="1">
          <a:extLst>
            <a:ext uri="{FF2B5EF4-FFF2-40B4-BE49-F238E27FC236}">
              <a16:creationId xmlns:a16="http://schemas.microsoft.com/office/drawing/2014/main" id="{BD170AAA-4478-436B-B720-F6F7F7EF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52" name="BEx5BJQWS6YWHH4ZMSUAMD641V6Y" descr="ZTMFMXCIQSECDX38ALEFHUB00" hidden="1">
          <a:extLst>
            <a:ext uri="{FF2B5EF4-FFF2-40B4-BE49-F238E27FC236}">
              <a16:creationId xmlns:a16="http://schemas.microsoft.com/office/drawing/2014/main" id="{EB0212A5-4739-40AE-A0B7-C9EEDA868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53" name="BExUBK0YZ5VYFY8TTITJGJU9S06A" hidden="1">
          <a:extLst>
            <a:ext uri="{FF2B5EF4-FFF2-40B4-BE49-F238E27FC236}">
              <a16:creationId xmlns:a16="http://schemas.microsoft.com/office/drawing/2014/main" id="{689AC097-D76D-4A6C-BCFA-4FC0E607C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54" name="BEx5BJQWS6YWHH4ZMSUAMD641V6Y" descr="ZTMFMXCIQSECDX38ALEFHUB00" hidden="1">
          <a:extLst>
            <a:ext uri="{FF2B5EF4-FFF2-40B4-BE49-F238E27FC236}">
              <a16:creationId xmlns:a16="http://schemas.microsoft.com/office/drawing/2014/main" id="{193AEC66-F8FF-46F7-84BD-C4BBA5688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55" name="BExUBK0YZ5VYFY8TTITJGJU9S06A" hidden="1">
          <a:extLst>
            <a:ext uri="{FF2B5EF4-FFF2-40B4-BE49-F238E27FC236}">
              <a16:creationId xmlns:a16="http://schemas.microsoft.com/office/drawing/2014/main" id="{C116A8AD-CF90-40F8-9259-09EF49284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56" name="BEx5BJQWS6YWHH4ZMSUAMD641V6Y" descr="ZTMFMXCIQSECDX38ALEFHUB00" hidden="1">
          <a:extLst>
            <a:ext uri="{FF2B5EF4-FFF2-40B4-BE49-F238E27FC236}">
              <a16:creationId xmlns:a16="http://schemas.microsoft.com/office/drawing/2014/main" id="{58D1619E-152B-4B04-8C42-0DA2FDCD5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57" name="BExUBK0YZ5VYFY8TTITJGJU9S06A" hidden="1">
          <a:extLst>
            <a:ext uri="{FF2B5EF4-FFF2-40B4-BE49-F238E27FC236}">
              <a16:creationId xmlns:a16="http://schemas.microsoft.com/office/drawing/2014/main" id="{6C896081-CC7E-4EF1-A9EC-BECC8854D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58" name="BEx5BJQWS6YWHH4ZMSUAMD641V6Y" descr="ZTMFMXCIQSECDX38ALEFHUB00" hidden="1">
          <a:extLst>
            <a:ext uri="{FF2B5EF4-FFF2-40B4-BE49-F238E27FC236}">
              <a16:creationId xmlns:a16="http://schemas.microsoft.com/office/drawing/2014/main" id="{E6026C1A-AF01-4FAA-876E-B4004DCB9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59" name="BExUBK0YZ5VYFY8TTITJGJU9S06A" hidden="1">
          <a:extLst>
            <a:ext uri="{FF2B5EF4-FFF2-40B4-BE49-F238E27FC236}">
              <a16:creationId xmlns:a16="http://schemas.microsoft.com/office/drawing/2014/main" id="{04F5E403-FD54-4F6C-8BAE-42E45CD71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60" name="BEx5BJQWS6YWHH4ZMSUAMD641V6Y" descr="ZTMFMXCIQSECDX38ALEFHUB00" hidden="1">
          <a:extLst>
            <a:ext uri="{FF2B5EF4-FFF2-40B4-BE49-F238E27FC236}">
              <a16:creationId xmlns:a16="http://schemas.microsoft.com/office/drawing/2014/main" id="{80ACD8B1-40F7-4A62-A1F9-FB42A78A1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61" name="BExUBK0YZ5VYFY8TTITJGJU9S06A" hidden="1">
          <a:extLst>
            <a:ext uri="{FF2B5EF4-FFF2-40B4-BE49-F238E27FC236}">
              <a16:creationId xmlns:a16="http://schemas.microsoft.com/office/drawing/2014/main" id="{8CA57C55-D11D-4196-90E1-F6332FCAD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62" name="BEx5BJQWS6YWHH4ZMSUAMD641V6Y" descr="ZTMFMXCIQSECDX38ALEFHUB00" hidden="1">
          <a:extLst>
            <a:ext uri="{FF2B5EF4-FFF2-40B4-BE49-F238E27FC236}">
              <a16:creationId xmlns:a16="http://schemas.microsoft.com/office/drawing/2014/main" id="{AA5B5313-14F3-48F2-AD2A-C56E65908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63" name="BExUBK0YZ5VYFY8TTITJGJU9S06A" hidden="1">
          <a:extLst>
            <a:ext uri="{FF2B5EF4-FFF2-40B4-BE49-F238E27FC236}">
              <a16:creationId xmlns:a16="http://schemas.microsoft.com/office/drawing/2014/main" id="{2F7EA168-A35C-4D20-A236-7BE1F2964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64" name="BEx5BJQWS6YWHH4ZMSUAMD641V6Y" descr="ZTMFMXCIQSECDX38ALEFHUB00" hidden="1">
          <a:extLst>
            <a:ext uri="{FF2B5EF4-FFF2-40B4-BE49-F238E27FC236}">
              <a16:creationId xmlns:a16="http://schemas.microsoft.com/office/drawing/2014/main" id="{2C7E8852-D907-4666-B23F-2C0BE52B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65" name="BExUBK0YZ5VYFY8TTITJGJU9S06A" hidden="1">
          <a:extLst>
            <a:ext uri="{FF2B5EF4-FFF2-40B4-BE49-F238E27FC236}">
              <a16:creationId xmlns:a16="http://schemas.microsoft.com/office/drawing/2014/main" id="{99A76CFE-93B2-48C0-AAE8-2DF3B2B22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66" name="BEx5BJQWS6YWHH4ZMSUAMD641V6Y" descr="ZTMFMXCIQSECDX38ALEFHUB00" hidden="1">
          <a:extLst>
            <a:ext uri="{FF2B5EF4-FFF2-40B4-BE49-F238E27FC236}">
              <a16:creationId xmlns:a16="http://schemas.microsoft.com/office/drawing/2014/main" id="{700C99E2-1CB3-4280-A2BC-7E51F8B3E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67" name="BExUBK0YZ5VYFY8TTITJGJU9S06A" hidden="1">
          <a:extLst>
            <a:ext uri="{FF2B5EF4-FFF2-40B4-BE49-F238E27FC236}">
              <a16:creationId xmlns:a16="http://schemas.microsoft.com/office/drawing/2014/main" id="{F837E7E9-3A6A-421A-8ED2-3F7F76308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68" name="BEx5BJQWS6YWHH4ZMSUAMD641V6Y" descr="ZTMFMXCIQSECDX38ALEFHUB00" hidden="1">
          <a:extLst>
            <a:ext uri="{FF2B5EF4-FFF2-40B4-BE49-F238E27FC236}">
              <a16:creationId xmlns:a16="http://schemas.microsoft.com/office/drawing/2014/main" id="{1E4BA330-7D15-4DDE-8F0B-89BE66E66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69" name="BExUBK0YZ5VYFY8TTITJGJU9S06A" hidden="1">
          <a:extLst>
            <a:ext uri="{FF2B5EF4-FFF2-40B4-BE49-F238E27FC236}">
              <a16:creationId xmlns:a16="http://schemas.microsoft.com/office/drawing/2014/main" id="{247A536B-BD77-433E-87C6-51E52FF8D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70" name="BEx5BJQWS6YWHH4ZMSUAMD641V6Y" descr="ZTMFMXCIQSECDX38ALEFHUB00" hidden="1">
          <a:extLst>
            <a:ext uri="{FF2B5EF4-FFF2-40B4-BE49-F238E27FC236}">
              <a16:creationId xmlns:a16="http://schemas.microsoft.com/office/drawing/2014/main" id="{B76273D1-6E97-4428-B57D-651C5A080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71" name="BExUBK0YZ5VYFY8TTITJGJU9S06A" hidden="1">
          <a:extLst>
            <a:ext uri="{FF2B5EF4-FFF2-40B4-BE49-F238E27FC236}">
              <a16:creationId xmlns:a16="http://schemas.microsoft.com/office/drawing/2014/main" id="{EEFCEC92-1C8C-48EB-9171-278471C62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72" name="BEx5BJQWS6YWHH4ZMSUAMD641V6Y" descr="ZTMFMXCIQSECDX38ALEFHUB00" hidden="1">
          <a:extLst>
            <a:ext uri="{FF2B5EF4-FFF2-40B4-BE49-F238E27FC236}">
              <a16:creationId xmlns:a16="http://schemas.microsoft.com/office/drawing/2014/main" id="{0788404A-9D19-49D4-8310-54728BBD5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73" name="BExUBK0YZ5VYFY8TTITJGJU9S06A" hidden="1">
          <a:extLst>
            <a:ext uri="{FF2B5EF4-FFF2-40B4-BE49-F238E27FC236}">
              <a16:creationId xmlns:a16="http://schemas.microsoft.com/office/drawing/2014/main" id="{F14E5DD8-DDDE-40D8-8525-5BC8FC2D7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74" name="BEx5BJQWS6YWHH4ZMSUAMD641V6Y" descr="ZTMFMXCIQSECDX38ALEFHUB00" hidden="1">
          <a:extLst>
            <a:ext uri="{FF2B5EF4-FFF2-40B4-BE49-F238E27FC236}">
              <a16:creationId xmlns:a16="http://schemas.microsoft.com/office/drawing/2014/main" id="{111532DF-491D-4C44-AFA7-94A39B36F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75" name="BExUBK0YZ5VYFY8TTITJGJU9S06A" hidden="1">
          <a:extLst>
            <a:ext uri="{FF2B5EF4-FFF2-40B4-BE49-F238E27FC236}">
              <a16:creationId xmlns:a16="http://schemas.microsoft.com/office/drawing/2014/main" id="{325A4F0D-AFEF-47BA-A3EB-87B74DC35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76" name="BEx5BJQWS6YWHH4ZMSUAMD641V6Y" descr="ZTMFMXCIQSECDX38ALEFHUB00" hidden="1">
          <a:extLst>
            <a:ext uri="{FF2B5EF4-FFF2-40B4-BE49-F238E27FC236}">
              <a16:creationId xmlns:a16="http://schemas.microsoft.com/office/drawing/2014/main" id="{07C04D8F-D8DD-4706-B858-F5F1EE528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77" name="BExUBK0YZ5VYFY8TTITJGJU9S06A" hidden="1">
          <a:extLst>
            <a:ext uri="{FF2B5EF4-FFF2-40B4-BE49-F238E27FC236}">
              <a16:creationId xmlns:a16="http://schemas.microsoft.com/office/drawing/2014/main" id="{1AEBA7BF-2DE4-49E1-A7BC-28F375D1E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78" name="BEx5BJQWS6YWHH4ZMSUAMD641V6Y" descr="ZTMFMXCIQSECDX38ALEFHUB00" hidden="1">
          <a:extLst>
            <a:ext uri="{FF2B5EF4-FFF2-40B4-BE49-F238E27FC236}">
              <a16:creationId xmlns:a16="http://schemas.microsoft.com/office/drawing/2014/main" id="{41661054-4274-4BDF-B6DF-7590F55B4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79" name="BExUBK0YZ5VYFY8TTITJGJU9S06A" hidden="1">
          <a:extLst>
            <a:ext uri="{FF2B5EF4-FFF2-40B4-BE49-F238E27FC236}">
              <a16:creationId xmlns:a16="http://schemas.microsoft.com/office/drawing/2014/main" id="{F53777A7-DAF8-4CF4-8EFF-1C0B5BDF1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80" name="BEx5BJQWS6YWHH4ZMSUAMD641V6Y" descr="ZTMFMXCIQSECDX38ALEFHUB00" hidden="1">
          <a:extLst>
            <a:ext uri="{FF2B5EF4-FFF2-40B4-BE49-F238E27FC236}">
              <a16:creationId xmlns:a16="http://schemas.microsoft.com/office/drawing/2014/main" id="{B319580E-D083-4297-B7B8-E003E1695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81" name="BExUBK0YZ5VYFY8TTITJGJU9S06A" hidden="1">
          <a:extLst>
            <a:ext uri="{FF2B5EF4-FFF2-40B4-BE49-F238E27FC236}">
              <a16:creationId xmlns:a16="http://schemas.microsoft.com/office/drawing/2014/main" id="{332B20D9-4285-4782-ACA7-91964D452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82" name="BEx5BJQWS6YWHH4ZMSUAMD641V6Y" descr="ZTMFMXCIQSECDX38ALEFHUB00" hidden="1">
          <a:extLst>
            <a:ext uri="{FF2B5EF4-FFF2-40B4-BE49-F238E27FC236}">
              <a16:creationId xmlns:a16="http://schemas.microsoft.com/office/drawing/2014/main" id="{B2596356-F66B-4CA8-9753-3C1076E76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83" name="BExUBK0YZ5VYFY8TTITJGJU9S06A" hidden="1">
          <a:extLst>
            <a:ext uri="{FF2B5EF4-FFF2-40B4-BE49-F238E27FC236}">
              <a16:creationId xmlns:a16="http://schemas.microsoft.com/office/drawing/2014/main" id="{701AF492-DA16-4AA1-B666-47DB73D09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84" name="BEx5BJQWS6YWHH4ZMSUAMD641V6Y" descr="ZTMFMXCIQSECDX38ALEFHUB00" hidden="1">
          <a:extLst>
            <a:ext uri="{FF2B5EF4-FFF2-40B4-BE49-F238E27FC236}">
              <a16:creationId xmlns:a16="http://schemas.microsoft.com/office/drawing/2014/main" id="{AFAAB2E5-6375-40A2-8D8A-372EBE39F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85" name="BExUBK0YZ5VYFY8TTITJGJU9S06A" hidden="1">
          <a:extLst>
            <a:ext uri="{FF2B5EF4-FFF2-40B4-BE49-F238E27FC236}">
              <a16:creationId xmlns:a16="http://schemas.microsoft.com/office/drawing/2014/main" id="{2DC2EC51-1F1D-4AE7-8233-1B7E499DD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86" name="BEx5BJQWS6YWHH4ZMSUAMD641V6Y" descr="ZTMFMXCIQSECDX38ALEFHUB00" hidden="1">
          <a:extLst>
            <a:ext uri="{FF2B5EF4-FFF2-40B4-BE49-F238E27FC236}">
              <a16:creationId xmlns:a16="http://schemas.microsoft.com/office/drawing/2014/main" id="{856A2F2F-4927-42A0-AC9D-B0D8CE0B0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87" name="BExUBK0YZ5VYFY8TTITJGJU9S06A" hidden="1">
          <a:extLst>
            <a:ext uri="{FF2B5EF4-FFF2-40B4-BE49-F238E27FC236}">
              <a16:creationId xmlns:a16="http://schemas.microsoft.com/office/drawing/2014/main" id="{783B332F-52E6-4D59-A528-576362185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88" name="BEx5BJQWS6YWHH4ZMSUAMD641V6Y" descr="ZTMFMXCIQSECDX38ALEFHUB00" hidden="1">
          <a:extLst>
            <a:ext uri="{FF2B5EF4-FFF2-40B4-BE49-F238E27FC236}">
              <a16:creationId xmlns:a16="http://schemas.microsoft.com/office/drawing/2014/main" id="{5C372021-59F1-463A-B3C8-C81B43A9A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89" name="BExUBK0YZ5VYFY8TTITJGJU9S06A" hidden="1">
          <a:extLst>
            <a:ext uri="{FF2B5EF4-FFF2-40B4-BE49-F238E27FC236}">
              <a16:creationId xmlns:a16="http://schemas.microsoft.com/office/drawing/2014/main" id="{766D5387-499B-4C5E-BE8B-DC9BCC738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90" name="BEx5BJQWS6YWHH4ZMSUAMD641V6Y" descr="ZTMFMXCIQSECDX38ALEFHUB00" hidden="1">
          <a:extLst>
            <a:ext uri="{FF2B5EF4-FFF2-40B4-BE49-F238E27FC236}">
              <a16:creationId xmlns:a16="http://schemas.microsoft.com/office/drawing/2014/main" id="{AE13E5F2-41C7-4D03-80AB-FF365E2CC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91" name="BExUBK0YZ5VYFY8TTITJGJU9S06A" hidden="1">
          <a:extLst>
            <a:ext uri="{FF2B5EF4-FFF2-40B4-BE49-F238E27FC236}">
              <a16:creationId xmlns:a16="http://schemas.microsoft.com/office/drawing/2014/main" id="{7D224D04-263A-43FE-9891-5EE010FF0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92" name="BEx5BJQWS6YWHH4ZMSUAMD641V6Y" descr="ZTMFMXCIQSECDX38ALEFHUB00" hidden="1">
          <a:extLst>
            <a:ext uri="{FF2B5EF4-FFF2-40B4-BE49-F238E27FC236}">
              <a16:creationId xmlns:a16="http://schemas.microsoft.com/office/drawing/2014/main" id="{200F0AA2-2692-4477-8033-A193F4922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93" name="BExUBK0YZ5VYFY8TTITJGJU9S06A" hidden="1">
          <a:extLst>
            <a:ext uri="{FF2B5EF4-FFF2-40B4-BE49-F238E27FC236}">
              <a16:creationId xmlns:a16="http://schemas.microsoft.com/office/drawing/2014/main" id="{52742B34-418F-4159-B822-22738DEC5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94" name="BEx5BJQWS6YWHH4ZMSUAMD641V6Y" descr="ZTMFMXCIQSECDX38ALEFHUB00" hidden="1">
          <a:extLst>
            <a:ext uri="{FF2B5EF4-FFF2-40B4-BE49-F238E27FC236}">
              <a16:creationId xmlns:a16="http://schemas.microsoft.com/office/drawing/2014/main" id="{A588E17B-C4D1-4A84-BEC3-7DEC0E9C5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95" name="BExUBK0YZ5VYFY8TTITJGJU9S06A" hidden="1">
          <a:extLst>
            <a:ext uri="{FF2B5EF4-FFF2-40B4-BE49-F238E27FC236}">
              <a16:creationId xmlns:a16="http://schemas.microsoft.com/office/drawing/2014/main" id="{4AA8AA85-6B5E-4481-B92B-95C082FB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96" name="BEx5BJQWS6YWHH4ZMSUAMD641V6Y" descr="ZTMFMXCIQSECDX38ALEFHUB00" hidden="1">
          <a:extLst>
            <a:ext uri="{FF2B5EF4-FFF2-40B4-BE49-F238E27FC236}">
              <a16:creationId xmlns:a16="http://schemas.microsoft.com/office/drawing/2014/main" id="{4ADADE59-DF22-487A-A6A6-02810AB4F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97" name="BExUBK0YZ5VYFY8TTITJGJU9S06A" hidden="1">
          <a:extLst>
            <a:ext uri="{FF2B5EF4-FFF2-40B4-BE49-F238E27FC236}">
              <a16:creationId xmlns:a16="http://schemas.microsoft.com/office/drawing/2014/main" id="{98BD4ADC-17E3-4ACD-9D28-AD675CF7C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98" name="BEx5BJQWS6YWHH4ZMSUAMD641V6Y" descr="ZTMFMXCIQSECDX38ALEFHUB00" hidden="1">
          <a:extLst>
            <a:ext uri="{FF2B5EF4-FFF2-40B4-BE49-F238E27FC236}">
              <a16:creationId xmlns:a16="http://schemas.microsoft.com/office/drawing/2014/main" id="{C9AF1835-1EC7-4587-9DF7-7F5CF221E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799" name="BExUBK0YZ5VYFY8TTITJGJU9S06A" hidden="1">
          <a:extLst>
            <a:ext uri="{FF2B5EF4-FFF2-40B4-BE49-F238E27FC236}">
              <a16:creationId xmlns:a16="http://schemas.microsoft.com/office/drawing/2014/main" id="{CADC4A02-CEA5-4B49-8C83-AE6587A39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00" name="BEx5BJQWS6YWHH4ZMSUAMD641V6Y" descr="ZTMFMXCIQSECDX38ALEFHUB00" hidden="1">
          <a:extLst>
            <a:ext uri="{FF2B5EF4-FFF2-40B4-BE49-F238E27FC236}">
              <a16:creationId xmlns:a16="http://schemas.microsoft.com/office/drawing/2014/main" id="{3FDFDE09-274E-4EF9-B9FA-9324A0606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01" name="BExUBK0YZ5VYFY8TTITJGJU9S06A" hidden="1">
          <a:extLst>
            <a:ext uri="{FF2B5EF4-FFF2-40B4-BE49-F238E27FC236}">
              <a16:creationId xmlns:a16="http://schemas.microsoft.com/office/drawing/2014/main" id="{6BC884FC-9FD1-4298-997F-E1BD8B29B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02" name="BEx5BJQWS6YWHH4ZMSUAMD641V6Y" descr="ZTMFMXCIQSECDX38ALEFHUB00" hidden="1">
          <a:extLst>
            <a:ext uri="{FF2B5EF4-FFF2-40B4-BE49-F238E27FC236}">
              <a16:creationId xmlns:a16="http://schemas.microsoft.com/office/drawing/2014/main" id="{0AA53E0F-B659-4C72-BC78-D508EDE36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03" name="BExUBK0YZ5VYFY8TTITJGJU9S06A" hidden="1">
          <a:extLst>
            <a:ext uri="{FF2B5EF4-FFF2-40B4-BE49-F238E27FC236}">
              <a16:creationId xmlns:a16="http://schemas.microsoft.com/office/drawing/2014/main" id="{FFC361DB-7513-4849-84F3-4601DF7C9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04" name="BEx5BJQWS6YWHH4ZMSUAMD641V6Y" descr="ZTMFMXCIQSECDX38ALEFHUB00" hidden="1">
          <a:extLst>
            <a:ext uri="{FF2B5EF4-FFF2-40B4-BE49-F238E27FC236}">
              <a16:creationId xmlns:a16="http://schemas.microsoft.com/office/drawing/2014/main" id="{ACFB7743-37E8-4A46-9B31-623A4C263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05" name="BExUBK0YZ5VYFY8TTITJGJU9S06A" hidden="1">
          <a:extLst>
            <a:ext uri="{FF2B5EF4-FFF2-40B4-BE49-F238E27FC236}">
              <a16:creationId xmlns:a16="http://schemas.microsoft.com/office/drawing/2014/main" id="{1396AF5E-C0AE-41CE-8847-6CF41F8F0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06" name="BEx5BJQWS6YWHH4ZMSUAMD641V6Y" descr="ZTMFMXCIQSECDX38ALEFHUB00" hidden="1">
          <a:extLst>
            <a:ext uri="{FF2B5EF4-FFF2-40B4-BE49-F238E27FC236}">
              <a16:creationId xmlns:a16="http://schemas.microsoft.com/office/drawing/2014/main" id="{29DBDE86-7040-40E7-B9B5-C4F03CA33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07" name="BExUBK0YZ5VYFY8TTITJGJU9S06A" hidden="1">
          <a:extLst>
            <a:ext uri="{FF2B5EF4-FFF2-40B4-BE49-F238E27FC236}">
              <a16:creationId xmlns:a16="http://schemas.microsoft.com/office/drawing/2014/main" id="{D792CD45-200F-487B-8859-919595CF0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08" name="BEx5BJQWS6YWHH4ZMSUAMD641V6Y" descr="ZTMFMXCIQSECDX38ALEFHUB00" hidden="1">
          <a:extLst>
            <a:ext uri="{FF2B5EF4-FFF2-40B4-BE49-F238E27FC236}">
              <a16:creationId xmlns:a16="http://schemas.microsoft.com/office/drawing/2014/main" id="{13D0D246-3442-43DC-B01B-FED97D7DA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09" name="BExUBK0YZ5VYFY8TTITJGJU9S06A" hidden="1">
          <a:extLst>
            <a:ext uri="{FF2B5EF4-FFF2-40B4-BE49-F238E27FC236}">
              <a16:creationId xmlns:a16="http://schemas.microsoft.com/office/drawing/2014/main" id="{B4CA1655-E9DA-4047-9C60-840FDE308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10" name="BEx5BJQWS6YWHH4ZMSUAMD641V6Y" descr="ZTMFMXCIQSECDX38ALEFHUB00" hidden="1">
          <a:extLst>
            <a:ext uri="{FF2B5EF4-FFF2-40B4-BE49-F238E27FC236}">
              <a16:creationId xmlns:a16="http://schemas.microsoft.com/office/drawing/2014/main" id="{D14D4497-C9C6-4365-87F6-E03D6C7D6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11" name="BExUBK0YZ5VYFY8TTITJGJU9S06A" hidden="1">
          <a:extLst>
            <a:ext uri="{FF2B5EF4-FFF2-40B4-BE49-F238E27FC236}">
              <a16:creationId xmlns:a16="http://schemas.microsoft.com/office/drawing/2014/main" id="{227EC651-2E5B-401E-B2EA-907C0ED1E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12" name="BEx5BJQWS6YWHH4ZMSUAMD641V6Y" descr="ZTMFMXCIQSECDX38ALEFHUB00" hidden="1">
          <a:extLst>
            <a:ext uri="{FF2B5EF4-FFF2-40B4-BE49-F238E27FC236}">
              <a16:creationId xmlns:a16="http://schemas.microsoft.com/office/drawing/2014/main" id="{3E48C58C-CDA4-480F-9F91-C8E6AA27C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13" name="BExUBK0YZ5VYFY8TTITJGJU9S06A" hidden="1">
          <a:extLst>
            <a:ext uri="{FF2B5EF4-FFF2-40B4-BE49-F238E27FC236}">
              <a16:creationId xmlns:a16="http://schemas.microsoft.com/office/drawing/2014/main" id="{3DF0FAFA-EBF2-4CEF-8EEB-4B6735AC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14" name="BEx5BJQWS6YWHH4ZMSUAMD641V6Y" descr="ZTMFMXCIQSECDX38ALEFHUB00" hidden="1">
          <a:extLst>
            <a:ext uri="{FF2B5EF4-FFF2-40B4-BE49-F238E27FC236}">
              <a16:creationId xmlns:a16="http://schemas.microsoft.com/office/drawing/2014/main" id="{DE4F248F-0DC5-484D-9D80-53C96A369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15" name="BExUBK0YZ5VYFY8TTITJGJU9S06A" hidden="1">
          <a:extLst>
            <a:ext uri="{FF2B5EF4-FFF2-40B4-BE49-F238E27FC236}">
              <a16:creationId xmlns:a16="http://schemas.microsoft.com/office/drawing/2014/main" id="{173750B4-F192-49DE-A287-D17636CFB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16" name="BEx5BJQWS6YWHH4ZMSUAMD641V6Y" descr="ZTMFMXCIQSECDX38ALEFHUB00" hidden="1">
          <a:extLst>
            <a:ext uri="{FF2B5EF4-FFF2-40B4-BE49-F238E27FC236}">
              <a16:creationId xmlns:a16="http://schemas.microsoft.com/office/drawing/2014/main" id="{5BE12A6A-A847-418E-B55C-DC9933879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17" name="BExUBK0YZ5VYFY8TTITJGJU9S06A" hidden="1">
          <a:extLst>
            <a:ext uri="{FF2B5EF4-FFF2-40B4-BE49-F238E27FC236}">
              <a16:creationId xmlns:a16="http://schemas.microsoft.com/office/drawing/2014/main" id="{2348F2E2-2F31-40ED-9C5D-C500B0F8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18" name="BEx5BJQWS6YWHH4ZMSUAMD641V6Y" descr="ZTMFMXCIQSECDX38ALEFHUB00" hidden="1">
          <a:extLst>
            <a:ext uri="{FF2B5EF4-FFF2-40B4-BE49-F238E27FC236}">
              <a16:creationId xmlns:a16="http://schemas.microsoft.com/office/drawing/2014/main" id="{DBBBBDDC-8F08-442F-A5BC-55325BD72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19" name="BExUBK0YZ5VYFY8TTITJGJU9S06A" hidden="1">
          <a:extLst>
            <a:ext uri="{FF2B5EF4-FFF2-40B4-BE49-F238E27FC236}">
              <a16:creationId xmlns:a16="http://schemas.microsoft.com/office/drawing/2014/main" id="{57EAAB37-B2AB-464B-8315-554FE0462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20" name="BEx5BJQWS6YWHH4ZMSUAMD641V6Y" descr="ZTMFMXCIQSECDX38ALEFHUB00" hidden="1">
          <a:extLst>
            <a:ext uri="{FF2B5EF4-FFF2-40B4-BE49-F238E27FC236}">
              <a16:creationId xmlns:a16="http://schemas.microsoft.com/office/drawing/2014/main" id="{0083E465-EACA-4F20-908F-89DB4A5EF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21" name="BExUBK0YZ5VYFY8TTITJGJU9S06A" hidden="1">
          <a:extLst>
            <a:ext uri="{FF2B5EF4-FFF2-40B4-BE49-F238E27FC236}">
              <a16:creationId xmlns:a16="http://schemas.microsoft.com/office/drawing/2014/main" id="{AC2A4187-4F96-4783-9952-5C5F06F63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22" name="BEx5BJQWS6YWHH4ZMSUAMD641V6Y" descr="ZTMFMXCIQSECDX38ALEFHUB00" hidden="1">
          <a:extLst>
            <a:ext uri="{FF2B5EF4-FFF2-40B4-BE49-F238E27FC236}">
              <a16:creationId xmlns:a16="http://schemas.microsoft.com/office/drawing/2014/main" id="{5ECCE073-4C9E-4DDB-818F-43D8BA8A5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23" name="BExUBK0YZ5VYFY8TTITJGJU9S06A" hidden="1">
          <a:extLst>
            <a:ext uri="{FF2B5EF4-FFF2-40B4-BE49-F238E27FC236}">
              <a16:creationId xmlns:a16="http://schemas.microsoft.com/office/drawing/2014/main" id="{7DA90E37-E17E-4E8B-89CB-E4BB18D6D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24" name="BEx5BJQWS6YWHH4ZMSUAMD641V6Y" descr="ZTMFMXCIQSECDX38ALEFHUB00" hidden="1">
          <a:extLst>
            <a:ext uri="{FF2B5EF4-FFF2-40B4-BE49-F238E27FC236}">
              <a16:creationId xmlns:a16="http://schemas.microsoft.com/office/drawing/2014/main" id="{8AE72A5F-8FE2-4066-941B-00330063A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25" name="BExUBK0YZ5VYFY8TTITJGJU9S06A" hidden="1">
          <a:extLst>
            <a:ext uri="{FF2B5EF4-FFF2-40B4-BE49-F238E27FC236}">
              <a16:creationId xmlns:a16="http://schemas.microsoft.com/office/drawing/2014/main" id="{574486E2-29A4-4402-8AAD-64D7AC4AE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26" name="BEx5BJQWS6YWHH4ZMSUAMD641V6Y" descr="ZTMFMXCIQSECDX38ALEFHUB00" hidden="1">
          <a:extLst>
            <a:ext uri="{FF2B5EF4-FFF2-40B4-BE49-F238E27FC236}">
              <a16:creationId xmlns:a16="http://schemas.microsoft.com/office/drawing/2014/main" id="{99401883-E268-4A79-A3A2-E162780D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27" name="BExUBK0YZ5VYFY8TTITJGJU9S06A" hidden="1">
          <a:extLst>
            <a:ext uri="{FF2B5EF4-FFF2-40B4-BE49-F238E27FC236}">
              <a16:creationId xmlns:a16="http://schemas.microsoft.com/office/drawing/2014/main" id="{2C8AABAF-6699-4DF0-A35C-F97F182F2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28" name="BEx5BJQWS6YWHH4ZMSUAMD641V6Y" descr="ZTMFMXCIQSECDX38ALEFHUB00" hidden="1">
          <a:extLst>
            <a:ext uri="{FF2B5EF4-FFF2-40B4-BE49-F238E27FC236}">
              <a16:creationId xmlns:a16="http://schemas.microsoft.com/office/drawing/2014/main" id="{42DC5CF0-677D-49BD-96D4-A32B80D43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29" name="BExUBK0YZ5VYFY8TTITJGJU9S06A" hidden="1">
          <a:extLst>
            <a:ext uri="{FF2B5EF4-FFF2-40B4-BE49-F238E27FC236}">
              <a16:creationId xmlns:a16="http://schemas.microsoft.com/office/drawing/2014/main" id="{90E499BE-E2A1-4FFF-9206-B8E743891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30" name="BEx5BJQWS6YWHH4ZMSUAMD641V6Y" descr="ZTMFMXCIQSECDX38ALEFHUB00" hidden="1">
          <a:extLst>
            <a:ext uri="{FF2B5EF4-FFF2-40B4-BE49-F238E27FC236}">
              <a16:creationId xmlns:a16="http://schemas.microsoft.com/office/drawing/2014/main" id="{CBEF9A79-C6D3-401E-8853-ACD3E721B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31" name="BExUBK0YZ5VYFY8TTITJGJU9S06A" hidden="1">
          <a:extLst>
            <a:ext uri="{FF2B5EF4-FFF2-40B4-BE49-F238E27FC236}">
              <a16:creationId xmlns:a16="http://schemas.microsoft.com/office/drawing/2014/main" id="{F5499D51-2C3B-4BF3-A118-33B27BE52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32" name="BEx5BJQWS6YWHH4ZMSUAMD641V6Y" descr="ZTMFMXCIQSECDX38ALEFHUB00" hidden="1">
          <a:extLst>
            <a:ext uri="{FF2B5EF4-FFF2-40B4-BE49-F238E27FC236}">
              <a16:creationId xmlns:a16="http://schemas.microsoft.com/office/drawing/2014/main" id="{FA74EE76-CA93-42BF-ABD5-956A27338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33" name="BExUBK0YZ5VYFY8TTITJGJU9S06A" hidden="1">
          <a:extLst>
            <a:ext uri="{FF2B5EF4-FFF2-40B4-BE49-F238E27FC236}">
              <a16:creationId xmlns:a16="http://schemas.microsoft.com/office/drawing/2014/main" id="{8C3C2B5D-19EE-4070-A2CD-B3C956575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34" name="BEx5BJQWS6YWHH4ZMSUAMD641V6Y" descr="ZTMFMXCIQSECDX38ALEFHUB00" hidden="1">
          <a:extLst>
            <a:ext uri="{FF2B5EF4-FFF2-40B4-BE49-F238E27FC236}">
              <a16:creationId xmlns:a16="http://schemas.microsoft.com/office/drawing/2014/main" id="{592E62BD-1D36-45BE-84BC-49AF0BF87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35" name="BExUBK0YZ5VYFY8TTITJGJU9S06A" hidden="1">
          <a:extLst>
            <a:ext uri="{FF2B5EF4-FFF2-40B4-BE49-F238E27FC236}">
              <a16:creationId xmlns:a16="http://schemas.microsoft.com/office/drawing/2014/main" id="{53C944CB-C95A-4860-82F1-34600EC6C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36" name="BEx5BJQWS6YWHH4ZMSUAMD641V6Y" descr="ZTMFMXCIQSECDX38ALEFHUB00" hidden="1">
          <a:extLst>
            <a:ext uri="{FF2B5EF4-FFF2-40B4-BE49-F238E27FC236}">
              <a16:creationId xmlns:a16="http://schemas.microsoft.com/office/drawing/2014/main" id="{BEC607AF-E18B-4C21-BC23-BBC9D8CF8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37" name="BExUBK0YZ5VYFY8TTITJGJU9S06A" hidden="1">
          <a:extLst>
            <a:ext uri="{FF2B5EF4-FFF2-40B4-BE49-F238E27FC236}">
              <a16:creationId xmlns:a16="http://schemas.microsoft.com/office/drawing/2014/main" id="{F74D83F8-4A0B-437E-A07C-1CEE62B80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38" name="BEx5BJQWS6YWHH4ZMSUAMD641V6Y" descr="ZTMFMXCIQSECDX38ALEFHUB00" hidden="1">
          <a:extLst>
            <a:ext uri="{FF2B5EF4-FFF2-40B4-BE49-F238E27FC236}">
              <a16:creationId xmlns:a16="http://schemas.microsoft.com/office/drawing/2014/main" id="{89B9492E-0194-4D60-9353-2B59C170A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39" name="BExUBK0YZ5VYFY8TTITJGJU9S06A" hidden="1">
          <a:extLst>
            <a:ext uri="{FF2B5EF4-FFF2-40B4-BE49-F238E27FC236}">
              <a16:creationId xmlns:a16="http://schemas.microsoft.com/office/drawing/2014/main" id="{8F4C20BF-3A03-4067-9998-B8D623D1A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40" name="BEx5BJQWS6YWHH4ZMSUAMD641V6Y" descr="ZTMFMXCIQSECDX38ALEFHUB00" hidden="1">
          <a:extLst>
            <a:ext uri="{FF2B5EF4-FFF2-40B4-BE49-F238E27FC236}">
              <a16:creationId xmlns:a16="http://schemas.microsoft.com/office/drawing/2014/main" id="{AE030403-B50C-45B3-9360-38C7482B3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41" name="BExUBK0YZ5VYFY8TTITJGJU9S06A" hidden="1">
          <a:extLst>
            <a:ext uri="{FF2B5EF4-FFF2-40B4-BE49-F238E27FC236}">
              <a16:creationId xmlns:a16="http://schemas.microsoft.com/office/drawing/2014/main" id="{ACBD6170-6670-4966-B831-7EB16B4BF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42" name="BEx5BJQWS6YWHH4ZMSUAMD641V6Y" descr="ZTMFMXCIQSECDX38ALEFHUB00" hidden="1">
          <a:extLst>
            <a:ext uri="{FF2B5EF4-FFF2-40B4-BE49-F238E27FC236}">
              <a16:creationId xmlns:a16="http://schemas.microsoft.com/office/drawing/2014/main" id="{ED2F4796-B6D2-40AD-892F-CA395C91D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43" name="BExUBK0YZ5VYFY8TTITJGJU9S06A" hidden="1">
          <a:extLst>
            <a:ext uri="{FF2B5EF4-FFF2-40B4-BE49-F238E27FC236}">
              <a16:creationId xmlns:a16="http://schemas.microsoft.com/office/drawing/2014/main" id="{25E225BE-AA74-4564-BB10-71250FF41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44" name="BEx5BJQWS6YWHH4ZMSUAMD641V6Y" descr="ZTMFMXCIQSECDX38ALEFHUB00" hidden="1">
          <a:extLst>
            <a:ext uri="{FF2B5EF4-FFF2-40B4-BE49-F238E27FC236}">
              <a16:creationId xmlns:a16="http://schemas.microsoft.com/office/drawing/2014/main" id="{058C23D5-CC34-4E85-A735-614766CC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45" name="BExUBK0YZ5VYFY8TTITJGJU9S06A" hidden="1">
          <a:extLst>
            <a:ext uri="{FF2B5EF4-FFF2-40B4-BE49-F238E27FC236}">
              <a16:creationId xmlns:a16="http://schemas.microsoft.com/office/drawing/2014/main" id="{08843EB6-E86C-48A4-8931-7E148E90A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46" name="BEx5BJQWS6YWHH4ZMSUAMD641V6Y" descr="ZTMFMXCIQSECDX38ALEFHUB00" hidden="1">
          <a:extLst>
            <a:ext uri="{FF2B5EF4-FFF2-40B4-BE49-F238E27FC236}">
              <a16:creationId xmlns:a16="http://schemas.microsoft.com/office/drawing/2014/main" id="{8522DC83-E912-4884-9D02-D1229ECE2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47" name="BExUBK0YZ5VYFY8TTITJGJU9S06A" hidden="1">
          <a:extLst>
            <a:ext uri="{FF2B5EF4-FFF2-40B4-BE49-F238E27FC236}">
              <a16:creationId xmlns:a16="http://schemas.microsoft.com/office/drawing/2014/main" id="{3F144F80-2B3A-415F-B46B-D720D6F16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48" name="BEx5BJQWS6YWHH4ZMSUAMD641V6Y" descr="ZTMFMXCIQSECDX38ALEFHUB00" hidden="1">
          <a:extLst>
            <a:ext uri="{FF2B5EF4-FFF2-40B4-BE49-F238E27FC236}">
              <a16:creationId xmlns:a16="http://schemas.microsoft.com/office/drawing/2014/main" id="{9AA70FC6-3B10-47D9-A760-BF18E0041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49" name="BExUBK0YZ5VYFY8TTITJGJU9S06A" hidden="1">
          <a:extLst>
            <a:ext uri="{FF2B5EF4-FFF2-40B4-BE49-F238E27FC236}">
              <a16:creationId xmlns:a16="http://schemas.microsoft.com/office/drawing/2014/main" id="{DF559537-9D7C-41E8-8812-DBC2BD5FD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50" name="BEx5BJQWS6YWHH4ZMSUAMD641V6Y" descr="ZTMFMXCIQSECDX38ALEFHUB00" hidden="1">
          <a:extLst>
            <a:ext uri="{FF2B5EF4-FFF2-40B4-BE49-F238E27FC236}">
              <a16:creationId xmlns:a16="http://schemas.microsoft.com/office/drawing/2014/main" id="{04DFF951-98B2-4074-9ACC-53D6CEAC9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51" name="BExUBK0YZ5VYFY8TTITJGJU9S06A" hidden="1">
          <a:extLst>
            <a:ext uri="{FF2B5EF4-FFF2-40B4-BE49-F238E27FC236}">
              <a16:creationId xmlns:a16="http://schemas.microsoft.com/office/drawing/2014/main" id="{E7147BD3-BD6E-4426-A330-D1CF1AC48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52" name="BEx5BJQWS6YWHH4ZMSUAMD641V6Y" descr="ZTMFMXCIQSECDX38ALEFHUB00" hidden="1">
          <a:extLst>
            <a:ext uri="{FF2B5EF4-FFF2-40B4-BE49-F238E27FC236}">
              <a16:creationId xmlns:a16="http://schemas.microsoft.com/office/drawing/2014/main" id="{067F942F-CD3D-4B65-889C-C397B5CEE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53" name="BExUBK0YZ5VYFY8TTITJGJU9S06A" hidden="1">
          <a:extLst>
            <a:ext uri="{FF2B5EF4-FFF2-40B4-BE49-F238E27FC236}">
              <a16:creationId xmlns:a16="http://schemas.microsoft.com/office/drawing/2014/main" id="{BF9CEE82-F453-4B30-A475-73449A95F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54" name="BEx5BJQWS6YWHH4ZMSUAMD641V6Y" descr="ZTMFMXCIQSECDX38ALEFHUB00" hidden="1">
          <a:extLst>
            <a:ext uri="{FF2B5EF4-FFF2-40B4-BE49-F238E27FC236}">
              <a16:creationId xmlns:a16="http://schemas.microsoft.com/office/drawing/2014/main" id="{01775DEE-7787-4DFE-AA44-C0853396A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55" name="BExUBK0YZ5VYFY8TTITJGJU9S06A" hidden="1">
          <a:extLst>
            <a:ext uri="{FF2B5EF4-FFF2-40B4-BE49-F238E27FC236}">
              <a16:creationId xmlns:a16="http://schemas.microsoft.com/office/drawing/2014/main" id="{B10E1040-3845-4A24-82D6-6E5BE4BCA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56" name="BEx5BJQWS6YWHH4ZMSUAMD641V6Y" descr="ZTMFMXCIQSECDX38ALEFHUB00" hidden="1">
          <a:extLst>
            <a:ext uri="{FF2B5EF4-FFF2-40B4-BE49-F238E27FC236}">
              <a16:creationId xmlns:a16="http://schemas.microsoft.com/office/drawing/2014/main" id="{7CB25A72-72C1-420E-B463-8C41C133B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57" name="BExUBK0YZ5VYFY8TTITJGJU9S06A" hidden="1">
          <a:extLst>
            <a:ext uri="{FF2B5EF4-FFF2-40B4-BE49-F238E27FC236}">
              <a16:creationId xmlns:a16="http://schemas.microsoft.com/office/drawing/2014/main" id="{DFE0AFEF-2102-4639-84C8-C6FAAB09B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58" name="BEx5BJQWS6YWHH4ZMSUAMD641V6Y" descr="ZTMFMXCIQSECDX38ALEFHUB00" hidden="1">
          <a:extLst>
            <a:ext uri="{FF2B5EF4-FFF2-40B4-BE49-F238E27FC236}">
              <a16:creationId xmlns:a16="http://schemas.microsoft.com/office/drawing/2014/main" id="{3DF94728-04D7-416B-835A-2D9139203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59" name="BExUBK0YZ5VYFY8TTITJGJU9S06A" hidden="1">
          <a:extLst>
            <a:ext uri="{FF2B5EF4-FFF2-40B4-BE49-F238E27FC236}">
              <a16:creationId xmlns:a16="http://schemas.microsoft.com/office/drawing/2014/main" id="{31AF76A7-1CEA-436A-9F81-A4E91FCF7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60" name="BEx5BJQWS6YWHH4ZMSUAMD641V6Y" descr="ZTMFMXCIQSECDX38ALEFHUB00" hidden="1">
          <a:extLst>
            <a:ext uri="{FF2B5EF4-FFF2-40B4-BE49-F238E27FC236}">
              <a16:creationId xmlns:a16="http://schemas.microsoft.com/office/drawing/2014/main" id="{FB7EBC73-4BE6-4357-99D5-71B6C2A92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61" name="BExUBK0YZ5VYFY8TTITJGJU9S06A" hidden="1">
          <a:extLst>
            <a:ext uri="{FF2B5EF4-FFF2-40B4-BE49-F238E27FC236}">
              <a16:creationId xmlns:a16="http://schemas.microsoft.com/office/drawing/2014/main" id="{311E4951-9928-4373-B454-221AE064B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62" name="BEx5BJQWS6YWHH4ZMSUAMD641V6Y" descr="ZTMFMXCIQSECDX38ALEFHUB00" hidden="1">
          <a:extLst>
            <a:ext uri="{FF2B5EF4-FFF2-40B4-BE49-F238E27FC236}">
              <a16:creationId xmlns:a16="http://schemas.microsoft.com/office/drawing/2014/main" id="{5DB4352B-0366-49D5-B044-70AAF85F3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63" name="BExUBK0YZ5VYFY8TTITJGJU9S06A" hidden="1">
          <a:extLst>
            <a:ext uri="{FF2B5EF4-FFF2-40B4-BE49-F238E27FC236}">
              <a16:creationId xmlns:a16="http://schemas.microsoft.com/office/drawing/2014/main" id="{1EF63A0A-01E0-48A4-BCC3-1F5A146CA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64" name="BEx5BJQWS6YWHH4ZMSUAMD641V6Y" descr="ZTMFMXCIQSECDX38ALEFHUB00" hidden="1">
          <a:extLst>
            <a:ext uri="{FF2B5EF4-FFF2-40B4-BE49-F238E27FC236}">
              <a16:creationId xmlns:a16="http://schemas.microsoft.com/office/drawing/2014/main" id="{0326CEC6-6F72-435A-8B80-790FB596F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65" name="BExUBK0YZ5VYFY8TTITJGJU9S06A" hidden="1">
          <a:extLst>
            <a:ext uri="{FF2B5EF4-FFF2-40B4-BE49-F238E27FC236}">
              <a16:creationId xmlns:a16="http://schemas.microsoft.com/office/drawing/2014/main" id="{98CBE6A2-7470-42CE-A5A4-967A7E302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66" name="BEx5BJQWS6YWHH4ZMSUAMD641V6Y" descr="ZTMFMXCIQSECDX38ALEFHUB00" hidden="1">
          <a:extLst>
            <a:ext uri="{FF2B5EF4-FFF2-40B4-BE49-F238E27FC236}">
              <a16:creationId xmlns:a16="http://schemas.microsoft.com/office/drawing/2014/main" id="{8F80094C-D0D6-45BE-96B5-4C1D55E4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67" name="BExUBK0YZ5VYFY8TTITJGJU9S06A" hidden="1">
          <a:extLst>
            <a:ext uri="{FF2B5EF4-FFF2-40B4-BE49-F238E27FC236}">
              <a16:creationId xmlns:a16="http://schemas.microsoft.com/office/drawing/2014/main" id="{A23F8B47-2B66-4CAE-9F47-F25E13603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68" name="BEx5BJQWS6YWHH4ZMSUAMD641V6Y" descr="ZTMFMXCIQSECDX38ALEFHUB00" hidden="1">
          <a:extLst>
            <a:ext uri="{FF2B5EF4-FFF2-40B4-BE49-F238E27FC236}">
              <a16:creationId xmlns:a16="http://schemas.microsoft.com/office/drawing/2014/main" id="{38575F81-379F-4AC7-BE60-B3D001512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69" name="BExUBK0YZ5VYFY8TTITJGJU9S06A" hidden="1">
          <a:extLst>
            <a:ext uri="{FF2B5EF4-FFF2-40B4-BE49-F238E27FC236}">
              <a16:creationId xmlns:a16="http://schemas.microsoft.com/office/drawing/2014/main" id="{20F334D5-0305-475D-A53C-F81D97D6F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70" name="BEx5BJQWS6YWHH4ZMSUAMD641V6Y" descr="ZTMFMXCIQSECDX38ALEFHUB00" hidden="1">
          <a:extLst>
            <a:ext uri="{FF2B5EF4-FFF2-40B4-BE49-F238E27FC236}">
              <a16:creationId xmlns:a16="http://schemas.microsoft.com/office/drawing/2014/main" id="{3F2CE11C-F939-45A9-97DE-6D50AE26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71" name="BExUBK0YZ5VYFY8TTITJGJU9S06A" hidden="1">
          <a:extLst>
            <a:ext uri="{FF2B5EF4-FFF2-40B4-BE49-F238E27FC236}">
              <a16:creationId xmlns:a16="http://schemas.microsoft.com/office/drawing/2014/main" id="{D53363D0-11A2-43D5-BB5F-F5B861FB6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72" name="BEx5BJQWS6YWHH4ZMSUAMD641V6Y" descr="ZTMFMXCIQSECDX38ALEFHUB00" hidden="1">
          <a:extLst>
            <a:ext uri="{FF2B5EF4-FFF2-40B4-BE49-F238E27FC236}">
              <a16:creationId xmlns:a16="http://schemas.microsoft.com/office/drawing/2014/main" id="{18F04B0B-2072-441D-B4CA-AD3D52B9E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73" name="BExUBK0YZ5VYFY8TTITJGJU9S06A" hidden="1">
          <a:extLst>
            <a:ext uri="{FF2B5EF4-FFF2-40B4-BE49-F238E27FC236}">
              <a16:creationId xmlns:a16="http://schemas.microsoft.com/office/drawing/2014/main" id="{C26440D0-B0D8-4E02-8200-0FC262215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74" name="BEx5BJQWS6YWHH4ZMSUAMD641V6Y" descr="ZTMFMXCIQSECDX38ALEFHUB00" hidden="1">
          <a:extLst>
            <a:ext uri="{FF2B5EF4-FFF2-40B4-BE49-F238E27FC236}">
              <a16:creationId xmlns:a16="http://schemas.microsoft.com/office/drawing/2014/main" id="{1688E091-CF23-4864-8A9B-6D2583D80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75" name="BExUBK0YZ5VYFY8TTITJGJU9S06A" hidden="1">
          <a:extLst>
            <a:ext uri="{FF2B5EF4-FFF2-40B4-BE49-F238E27FC236}">
              <a16:creationId xmlns:a16="http://schemas.microsoft.com/office/drawing/2014/main" id="{D8263790-F689-42FB-B757-A93EF37E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76" name="BEx5BJQWS6YWHH4ZMSUAMD641V6Y" descr="ZTMFMXCIQSECDX38ALEFHUB00" hidden="1">
          <a:extLst>
            <a:ext uri="{FF2B5EF4-FFF2-40B4-BE49-F238E27FC236}">
              <a16:creationId xmlns:a16="http://schemas.microsoft.com/office/drawing/2014/main" id="{7E4A6ADB-72F0-43A6-9638-7C1E4375A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77" name="BExUBK0YZ5VYFY8TTITJGJU9S06A" hidden="1">
          <a:extLst>
            <a:ext uri="{FF2B5EF4-FFF2-40B4-BE49-F238E27FC236}">
              <a16:creationId xmlns:a16="http://schemas.microsoft.com/office/drawing/2014/main" id="{D99A8141-BF03-4219-853D-2D614BC0A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78" name="BEx5BJQWS6YWHH4ZMSUAMD641V6Y" descr="ZTMFMXCIQSECDX38ALEFHUB00" hidden="1">
          <a:extLst>
            <a:ext uri="{FF2B5EF4-FFF2-40B4-BE49-F238E27FC236}">
              <a16:creationId xmlns:a16="http://schemas.microsoft.com/office/drawing/2014/main" id="{3BE66A57-BC3B-4A0B-89F7-C984A65E7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79" name="BExUBK0YZ5VYFY8TTITJGJU9S06A" hidden="1">
          <a:extLst>
            <a:ext uri="{FF2B5EF4-FFF2-40B4-BE49-F238E27FC236}">
              <a16:creationId xmlns:a16="http://schemas.microsoft.com/office/drawing/2014/main" id="{7CDE5157-DEE2-41EC-935E-B4FE266AA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80" name="BEx5BJQWS6YWHH4ZMSUAMD641V6Y" descr="ZTMFMXCIQSECDX38ALEFHUB00" hidden="1">
          <a:extLst>
            <a:ext uri="{FF2B5EF4-FFF2-40B4-BE49-F238E27FC236}">
              <a16:creationId xmlns:a16="http://schemas.microsoft.com/office/drawing/2014/main" id="{74F32C65-DD43-4AF7-A607-EB2A0592A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81" name="BExUBK0YZ5VYFY8TTITJGJU9S06A" hidden="1">
          <a:extLst>
            <a:ext uri="{FF2B5EF4-FFF2-40B4-BE49-F238E27FC236}">
              <a16:creationId xmlns:a16="http://schemas.microsoft.com/office/drawing/2014/main" id="{BE9D343F-1AD4-49DB-820F-ED27BD4C3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82" name="BEx5BJQWS6YWHH4ZMSUAMD641V6Y" descr="ZTMFMXCIQSECDX38ALEFHUB00" hidden="1">
          <a:extLst>
            <a:ext uri="{FF2B5EF4-FFF2-40B4-BE49-F238E27FC236}">
              <a16:creationId xmlns:a16="http://schemas.microsoft.com/office/drawing/2014/main" id="{424E77C1-E3EB-4840-BBC6-B855E78D2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83" name="BExUBK0YZ5VYFY8TTITJGJU9S06A" hidden="1">
          <a:extLst>
            <a:ext uri="{FF2B5EF4-FFF2-40B4-BE49-F238E27FC236}">
              <a16:creationId xmlns:a16="http://schemas.microsoft.com/office/drawing/2014/main" id="{B801C5F3-14F8-44A8-8F47-CD9CF16BD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84" name="BEx5BJQWS6YWHH4ZMSUAMD641V6Y" descr="ZTMFMXCIQSECDX38ALEFHUB00" hidden="1">
          <a:extLst>
            <a:ext uri="{FF2B5EF4-FFF2-40B4-BE49-F238E27FC236}">
              <a16:creationId xmlns:a16="http://schemas.microsoft.com/office/drawing/2014/main" id="{2B94DE15-5FD1-4A96-B3B1-82DBBDA53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85" name="BExUBK0YZ5VYFY8TTITJGJU9S06A" hidden="1">
          <a:extLst>
            <a:ext uri="{FF2B5EF4-FFF2-40B4-BE49-F238E27FC236}">
              <a16:creationId xmlns:a16="http://schemas.microsoft.com/office/drawing/2014/main" id="{624E48F9-7BDB-4136-932A-23D7215A3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86" name="BEx5BJQWS6YWHH4ZMSUAMD641V6Y" descr="ZTMFMXCIQSECDX38ALEFHUB00" hidden="1">
          <a:extLst>
            <a:ext uri="{FF2B5EF4-FFF2-40B4-BE49-F238E27FC236}">
              <a16:creationId xmlns:a16="http://schemas.microsoft.com/office/drawing/2014/main" id="{4F150A78-D685-4BFD-BC41-42DA12BB0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87" name="BExUBK0YZ5VYFY8TTITJGJU9S06A" hidden="1">
          <a:extLst>
            <a:ext uri="{FF2B5EF4-FFF2-40B4-BE49-F238E27FC236}">
              <a16:creationId xmlns:a16="http://schemas.microsoft.com/office/drawing/2014/main" id="{F087876C-2A64-4B07-8307-D867DB59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88" name="BEx5BJQWS6YWHH4ZMSUAMD641V6Y" descr="ZTMFMXCIQSECDX38ALEFHUB00" hidden="1">
          <a:extLst>
            <a:ext uri="{FF2B5EF4-FFF2-40B4-BE49-F238E27FC236}">
              <a16:creationId xmlns:a16="http://schemas.microsoft.com/office/drawing/2014/main" id="{68D46CCB-F903-46C9-8F6C-A61B3A73A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89" name="BExUBK0YZ5VYFY8TTITJGJU9S06A" hidden="1">
          <a:extLst>
            <a:ext uri="{FF2B5EF4-FFF2-40B4-BE49-F238E27FC236}">
              <a16:creationId xmlns:a16="http://schemas.microsoft.com/office/drawing/2014/main" id="{CA3BE2A9-9334-4F34-93C5-706266037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90" name="BEx5BJQWS6YWHH4ZMSUAMD641V6Y" descr="ZTMFMXCIQSECDX38ALEFHUB00" hidden="1">
          <a:extLst>
            <a:ext uri="{FF2B5EF4-FFF2-40B4-BE49-F238E27FC236}">
              <a16:creationId xmlns:a16="http://schemas.microsoft.com/office/drawing/2014/main" id="{6BF0A303-1C36-4385-B709-E08429338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91" name="BExUBK0YZ5VYFY8TTITJGJU9S06A" hidden="1">
          <a:extLst>
            <a:ext uri="{FF2B5EF4-FFF2-40B4-BE49-F238E27FC236}">
              <a16:creationId xmlns:a16="http://schemas.microsoft.com/office/drawing/2014/main" id="{EF57CBBD-5EE5-4177-9B19-04EF3F58E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92" name="BEx5BJQWS6YWHH4ZMSUAMD641V6Y" descr="ZTMFMXCIQSECDX38ALEFHUB00" hidden="1">
          <a:extLst>
            <a:ext uri="{FF2B5EF4-FFF2-40B4-BE49-F238E27FC236}">
              <a16:creationId xmlns:a16="http://schemas.microsoft.com/office/drawing/2014/main" id="{AB559321-B3FD-4B10-9FE8-9648B9A4A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93" name="BExUBK0YZ5VYFY8TTITJGJU9S06A" hidden="1">
          <a:extLst>
            <a:ext uri="{FF2B5EF4-FFF2-40B4-BE49-F238E27FC236}">
              <a16:creationId xmlns:a16="http://schemas.microsoft.com/office/drawing/2014/main" id="{399C2DCA-0066-4B99-85EF-F472FD2EC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94" name="BEx5BJQWS6YWHH4ZMSUAMD641V6Y" descr="ZTMFMXCIQSECDX38ALEFHUB00" hidden="1">
          <a:extLst>
            <a:ext uri="{FF2B5EF4-FFF2-40B4-BE49-F238E27FC236}">
              <a16:creationId xmlns:a16="http://schemas.microsoft.com/office/drawing/2014/main" id="{75A74A47-4360-411C-AA08-7EEE0E22C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95" name="BExUBK0YZ5VYFY8TTITJGJU9S06A" hidden="1">
          <a:extLst>
            <a:ext uri="{FF2B5EF4-FFF2-40B4-BE49-F238E27FC236}">
              <a16:creationId xmlns:a16="http://schemas.microsoft.com/office/drawing/2014/main" id="{28858812-33A6-42AE-B0D5-0912B98B1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96" name="BEx5BJQWS6YWHH4ZMSUAMD641V6Y" descr="ZTMFMXCIQSECDX38ALEFHUB00" hidden="1">
          <a:extLst>
            <a:ext uri="{FF2B5EF4-FFF2-40B4-BE49-F238E27FC236}">
              <a16:creationId xmlns:a16="http://schemas.microsoft.com/office/drawing/2014/main" id="{6D032324-A968-48CD-BD2A-F1FE4D9E8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97" name="BExUBK0YZ5VYFY8TTITJGJU9S06A" hidden="1">
          <a:extLst>
            <a:ext uri="{FF2B5EF4-FFF2-40B4-BE49-F238E27FC236}">
              <a16:creationId xmlns:a16="http://schemas.microsoft.com/office/drawing/2014/main" id="{D9A34A39-78AE-4334-A051-0A7F89623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98" name="BEx5BJQWS6YWHH4ZMSUAMD641V6Y" descr="ZTMFMXCIQSECDX38ALEFHUB00" hidden="1">
          <a:extLst>
            <a:ext uri="{FF2B5EF4-FFF2-40B4-BE49-F238E27FC236}">
              <a16:creationId xmlns:a16="http://schemas.microsoft.com/office/drawing/2014/main" id="{4131655C-596B-4335-B329-93E10083D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899" name="BExUBK0YZ5VYFY8TTITJGJU9S06A" hidden="1">
          <a:extLst>
            <a:ext uri="{FF2B5EF4-FFF2-40B4-BE49-F238E27FC236}">
              <a16:creationId xmlns:a16="http://schemas.microsoft.com/office/drawing/2014/main" id="{2964957C-42FA-478D-8CB3-52F0E0088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00" name="BEx5BJQWS6YWHH4ZMSUAMD641V6Y" descr="ZTMFMXCIQSECDX38ALEFHUB00" hidden="1">
          <a:extLst>
            <a:ext uri="{FF2B5EF4-FFF2-40B4-BE49-F238E27FC236}">
              <a16:creationId xmlns:a16="http://schemas.microsoft.com/office/drawing/2014/main" id="{5B24E657-8C0C-44BB-8ADA-C6DD84545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01" name="BExUBK0YZ5VYFY8TTITJGJU9S06A" hidden="1">
          <a:extLst>
            <a:ext uri="{FF2B5EF4-FFF2-40B4-BE49-F238E27FC236}">
              <a16:creationId xmlns:a16="http://schemas.microsoft.com/office/drawing/2014/main" id="{D43AEE94-A1E7-4D59-9E82-4C41BCD8F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02" name="BEx5BJQWS6YWHH4ZMSUAMD641V6Y" descr="ZTMFMXCIQSECDX38ALEFHUB00" hidden="1">
          <a:extLst>
            <a:ext uri="{FF2B5EF4-FFF2-40B4-BE49-F238E27FC236}">
              <a16:creationId xmlns:a16="http://schemas.microsoft.com/office/drawing/2014/main" id="{7EF9916E-75BF-44F8-9571-114CA449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03" name="BExUBK0YZ5VYFY8TTITJGJU9S06A" hidden="1">
          <a:extLst>
            <a:ext uri="{FF2B5EF4-FFF2-40B4-BE49-F238E27FC236}">
              <a16:creationId xmlns:a16="http://schemas.microsoft.com/office/drawing/2014/main" id="{E08AF919-88BB-42C7-9EA6-8D1875688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04" name="BEx5BJQWS6YWHH4ZMSUAMD641V6Y" descr="ZTMFMXCIQSECDX38ALEFHUB00" hidden="1">
          <a:extLst>
            <a:ext uri="{FF2B5EF4-FFF2-40B4-BE49-F238E27FC236}">
              <a16:creationId xmlns:a16="http://schemas.microsoft.com/office/drawing/2014/main" id="{E6695B01-A6A1-4CBC-B957-24417BCD6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05" name="BExUBK0YZ5VYFY8TTITJGJU9S06A" hidden="1">
          <a:extLst>
            <a:ext uri="{FF2B5EF4-FFF2-40B4-BE49-F238E27FC236}">
              <a16:creationId xmlns:a16="http://schemas.microsoft.com/office/drawing/2014/main" id="{38060E9E-D515-4957-B993-A4DD7571D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06" name="BEx5BJQWS6YWHH4ZMSUAMD641V6Y" descr="ZTMFMXCIQSECDX38ALEFHUB00" hidden="1">
          <a:extLst>
            <a:ext uri="{FF2B5EF4-FFF2-40B4-BE49-F238E27FC236}">
              <a16:creationId xmlns:a16="http://schemas.microsoft.com/office/drawing/2014/main" id="{4AA844A8-E275-4B00-850A-BF7CE595B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07" name="BExUBK0YZ5VYFY8TTITJGJU9S06A" hidden="1">
          <a:extLst>
            <a:ext uri="{FF2B5EF4-FFF2-40B4-BE49-F238E27FC236}">
              <a16:creationId xmlns:a16="http://schemas.microsoft.com/office/drawing/2014/main" id="{2149CA4C-0B80-4DD0-B121-BF488ED22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08" name="BEx5BJQWS6YWHH4ZMSUAMD641V6Y" descr="ZTMFMXCIQSECDX38ALEFHUB00" hidden="1">
          <a:extLst>
            <a:ext uri="{FF2B5EF4-FFF2-40B4-BE49-F238E27FC236}">
              <a16:creationId xmlns:a16="http://schemas.microsoft.com/office/drawing/2014/main" id="{0FCBB7C7-4CBA-40C7-AEA1-B32D139EC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09" name="BExUBK0YZ5VYFY8TTITJGJU9S06A" hidden="1">
          <a:extLst>
            <a:ext uri="{FF2B5EF4-FFF2-40B4-BE49-F238E27FC236}">
              <a16:creationId xmlns:a16="http://schemas.microsoft.com/office/drawing/2014/main" id="{E7439359-E7BA-46BB-A41C-EB2B97556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10" name="BEx5BJQWS6YWHH4ZMSUAMD641V6Y" descr="ZTMFMXCIQSECDX38ALEFHUB00" hidden="1">
          <a:extLst>
            <a:ext uri="{FF2B5EF4-FFF2-40B4-BE49-F238E27FC236}">
              <a16:creationId xmlns:a16="http://schemas.microsoft.com/office/drawing/2014/main" id="{62CB683A-65A2-4EE1-BDC7-00237055F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11" name="BExUBK0YZ5VYFY8TTITJGJU9S06A" hidden="1">
          <a:extLst>
            <a:ext uri="{FF2B5EF4-FFF2-40B4-BE49-F238E27FC236}">
              <a16:creationId xmlns:a16="http://schemas.microsoft.com/office/drawing/2014/main" id="{23916E05-748C-4AB2-A37C-FA4C488B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12" name="BEx5BJQWS6YWHH4ZMSUAMD641V6Y" descr="ZTMFMXCIQSECDX38ALEFHUB00" hidden="1">
          <a:extLst>
            <a:ext uri="{FF2B5EF4-FFF2-40B4-BE49-F238E27FC236}">
              <a16:creationId xmlns:a16="http://schemas.microsoft.com/office/drawing/2014/main" id="{A99B200D-8CEA-4661-9C4D-F697D993E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13" name="BExUBK0YZ5VYFY8TTITJGJU9S06A" hidden="1">
          <a:extLst>
            <a:ext uri="{FF2B5EF4-FFF2-40B4-BE49-F238E27FC236}">
              <a16:creationId xmlns:a16="http://schemas.microsoft.com/office/drawing/2014/main" id="{B4C6FC02-A91A-4FC8-A00A-BF411E1F1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14" name="BEx5BJQWS6YWHH4ZMSUAMD641V6Y" descr="ZTMFMXCIQSECDX38ALEFHUB00" hidden="1">
          <a:extLst>
            <a:ext uri="{FF2B5EF4-FFF2-40B4-BE49-F238E27FC236}">
              <a16:creationId xmlns:a16="http://schemas.microsoft.com/office/drawing/2014/main" id="{7F1F8806-1581-4DFE-9BAC-E05403DD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15" name="BExUBK0YZ5VYFY8TTITJGJU9S06A" hidden="1">
          <a:extLst>
            <a:ext uri="{FF2B5EF4-FFF2-40B4-BE49-F238E27FC236}">
              <a16:creationId xmlns:a16="http://schemas.microsoft.com/office/drawing/2014/main" id="{D8B4B3C9-FAC0-44A5-AA74-BDA2AFF7C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16" name="BEx5BJQWS6YWHH4ZMSUAMD641V6Y" descr="ZTMFMXCIQSECDX38ALEFHUB00" hidden="1">
          <a:extLst>
            <a:ext uri="{FF2B5EF4-FFF2-40B4-BE49-F238E27FC236}">
              <a16:creationId xmlns:a16="http://schemas.microsoft.com/office/drawing/2014/main" id="{FE35B0C4-9232-4390-A1E9-0FC0763C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17" name="BExUBK0YZ5VYFY8TTITJGJU9S06A" hidden="1">
          <a:extLst>
            <a:ext uri="{FF2B5EF4-FFF2-40B4-BE49-F238E27FC236}">
              <a16:creationId xmlns:a16="http://schemas.microsoft.com/office/drawing/2014/main" id="{60EEC492-940D-4B74-B702-49E4AF24F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18" name="BEx5BJQWS6YWHH4ZMSUAMD641V6Y" descr="ZTMFMXCIQSECDX38ALEFHUB00" hidden="1">
          <a:extLst>
            <a:ext uri="{FF2B5EF4-FFF2-40B4-BE49-F238E27FC236}">
              <a16:creationId xmlns:a16="http://schemas.microsoft.com/office/drawing/2014/main" id="{84D70487-56E8-447A-B791-1C273479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19" name="BExUBK0YZ5VYFY8TTITJGJU9S06A" hidden="1">
          <a:extLst>
            <a:ext uri="{FF2B5EF4-FFF2-40B4-BE49-F238E27FC236}">
              <a16:creationId xmlns:a16="http://schemas.microsoft.com/office/drawing/2014/main" id="{26F94167-7DD1-4911-94B4-BC53887C4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20" name="BEx5BJQWS6YWHH4ZMSUAMD641V6Y" descr="ZTMFMXCIQSECDX38ALEFHUB00" hidden="1">
          <a:extLst>
            <a:ext uri="{FF2B5EF4-FFF2-40B4-BE49-F238E27FC236}">
              <a16:creationId xmlns:a16="http://schemas.microsoft.com/office/drawing/2014/main" id="{AC78F0B0-285E-4577-AA9A-23B6EA93F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21" name="BExUBK0YZ5VYFY8TTITJGJU9S06A" hidden="1">
          <a:extLst>
            <a:ext uri="{FF2B5EF4-FFF2-40B4-BE49-F238E27FC236}">
              <a16:creationId xmlns:a16="http://schemas.microsoft.com/office/drawing/2014/main" id="{7A59AB8C-3D92-45AB-AAA7-C369805D1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22" name="BEx5BJQWS6YWHH4ZMSUAMD641V6Y" descr="ZTMFMXCIQSECDX38ALEFHUB00" hidden="1">
          <a:extLst>
            <a:ext uri="{FF2B5EF4-FFF2-40B4-BE49-F238E27FC236}">
              <a16:creationId xmlns:a16="http://schemas.microsoft.com/office/drawing/2014/main" id="{F853F087-678D-4525-B4C3-E2DBDD037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23" name="BExUBK0YZ5VYFY8TTITJGJU9S06A" hidden="1">
          <a:extLst>
            <a:ext uri="{FF2B5EF4-FFF2-40B4-BE49-F238E27FC236}">
              <a16:creationId xmlns:a16="http://schemas.microsoft.com/office/drawing/2014/main" id="{E721611A-B2D2-4D84-AD71-B444FA337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24" name="BEx5BJQWS6YWHH4ZMSUAMD641V6Y" descr="ZTMFMXCIQSECDX38ALEFHUB00" hidden="1">
          <a:extLst>
            <a:ext uri="{FF2B5EF4-FFF2-40B4-BE49-F238E27FC236}">
              <a16:creationId xmlns:a16="http://schemas.microsoft.com/office/drawing/2014/main" id="{93B28A5F-4AC6-4936-8C93-9EFA58939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25" name="BExUBK0YZ5VYFY8TTITJGJU9S06A" hidden="1">
          <a:extLst>
            <a:ext uri="{FF2B5EF4-FFF2-40B4-BE49-F238E27FC236}">
              <a16:creationId xmlns:a16="http://schemas.microsoft.com/office/drawing/2014/main" id="{F83B76B9-310F-4FE9-B2AF-A95D69837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26" name="BEx5BJQWS6YWHH4ZMSUAMD641V6Y" descr="ZTMFMXCIQSECDX38ALEFHUB00" hidden="1">
          <a:extLst>
            <a:ext uri="{FF2B5EF4-FFF2-40B4-BE49-F238E27FC236}">
              <a16:creationId xmlns:a16="http://schemas.microsoft.com/office/drawing/2014/main" id="{99206471-ED35-4307-9D22-E87048633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27" name="BExUBK0YZ5VYFY8TTITJGJU9S06A" hidden="1">
          <a:extLst>
            <a:ext uri="{FF2B5EF4-FFF2-40B4-BE49-F238E27FC236}">
              <a16:creationId xmlns:a16="http://schemas.microsoft.com/office/drawing/2014/main" id="{5253E81E-27B0-4E77-8A4E-FF8753C05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28" name="BEx5BJQWS6YWHH4ZMSUAMD641V6Y" descr="ZTMFMXCIQSECDX38ALEFHUB00" hidden="1">
          <a:extLst>
            <a:ext uri="{FF2B5EF4-FFF2-40B4-BE49-F238E27FC236}">
              <a16:creationId xmlns:a16="http://schemas.microsoft.com/office/drawing/2014/main" id="{522E0B19-905B-4D43-806B-8E176EE98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29" name="BExUBK0YZ5VYFY8TTITJGJU9S06A" hidden="1">
          <a:extLst>
            <a:ext uri="{FF2B5EF4-FFF2-40B4-BE49-F238E27FC236}">
              <a16:creationId xmlns:a16="http://schemas.microsoft.com/office/drawing/2014/main" id="{9DFF76DB-6752-4483-A5E1-7992BDEC0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30" name="BEx5BJQWS6YWHH4ZMSUAMD641V6Y" descr="ZTMFMXCIQSECDX38ALEFHUB00" hidden="1">
          <a:extLst>
            <a:ext uri="{FF2B5EF4-FFF2-40B4-BE49-F238E27FC236}">
              <a16:creationId xmlns:a16="http://schemas.microsoft.com/office/drawing/2014/main" id="{84845EAA-97A6-43E8-8B47-C6AF5CEF6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31" name="BExUBK0YZ5VYFY8TTITJGJU9S06A" hidden="1">
          <a:extLst>
            <a:ext uri="{FF2B5EF4-FFF2-40B4-BE49-F238E27FC236}">
              <a16:creationId xmlns:a16="http://schemas.microsoft.com/office/drawing/2014/main" id="{E76AD26E-602F-4016-94CD-489D88005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32" name="BEx5BJQWS6YWHH4ZMSUAMD641V6Y" descr="ZTMFMXCIQSECDX38ALEFHUB00" hidden="1">
          <a:extLst>
            <a:ext uri="{FF2B5EF4-FFF2-40B4-BE49-F238E27FC236}">
              <a16:creationId xmlns:a16="http://schemas.microsoft.com/office/drawing/2014/main" id="{05C31E71-0F9A-4864-AAB0-1333E680E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33" name="BExUBK0YZ5VYFY8TTITJGJU9S06A" hidden="1">
          <a:extLst>
            <a:ext uri="{FF2B5EF4-FFF2-40B4-BE49-F238E27FC236}">
              <a16:creationId xmlns:a16="http://schemas.microsoft.com/office/drawing/2014/main" id="{A8CCEAED-F943-44A0-97CD-5F61E3A7E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34" name="BEx5BJQWS6YWHH4ZMSUAMD641V6Y" descr="ZTMFMXCIQSECDX38ALEFHUB00" hidden="1">
          <a:extLst>
            <a:ext uri="{FF2B5EF4-FFF2-40B4-BE49-F238E27FC236}">
              <a16:creationId xmlns:a16="http://schemas.microsoft.com/office/drawing/2014/main" id="{84B52C43-0F77-4CC0-BABD-628C2B317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35" name="BExUBK0YZ5VYFY8TTITJGJU9S06A" hidden="1">
          <a:extLst>
            <a:ext uri="{FF2B5EF4-FFF2-40B4-BE49-F238E27FC236}">
              <a16:creationId xmlns:a16="http://schemas.microsoft.com/office/drawing/2014/main" id="{354F9D4D-59E9-4541-A1CA-C0F1B3FE4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36" name="BEx5BJQWS6YWHH4ZMSUAMD641V6Y" descr="ZTMFMXCIQSECDX38ALEFHUB00" hidden="1">
          <a:extLst>
            <a:ext uri="{FF2B5EF4-FFF2-40B4-BE49-F238E27FC236}">
              <a16:creationId xmlns:a16="http://schemas.microsoft.com/office/drawing/2014/main" id="{E648B4B6-4D55-4E62-8BF2-0B26F69BD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37" name="BExUBK0YZ5VYFY8TTITJGJU9S06A" hidden="1">
          <a:extLst>
            <a:ext uri="{FF2B5EF4-FFF2-40B4-BE49-F238E27FC236}">
              <a16:creationId xmlns:a16="http://schemas.microsoft.com/office/drawing/2014/main" id="{1D688B2A-457C-4BB7-A379-B17F05014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38" name="BEx5BJQWS6YWHH4ZMSUAMD641V6Y" descr="ZTMFMXCIQSECDX38ALEFHUB00" hidden="1">
          <a:extLst>
            <a:ext uri="{FF2B5EF4-FFF2-40B4-BE49-F238E27FC236}">
              <a16:creationId xmlns:a16="http://schemas.microsoft.com/office/drawing/2014/main" id="{B1222035-47D3-49C3-B726-12BA19FE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39" name="BExUBK0YZ5VYFY8TTITJGJU9S06A" hidden="1">
          <a:extLst>
            <a:ext uri="{FF2B5EF4-FFF2-40B4-BE49-F238E27FC236}">
              <a16:creationId xmlns:a16="http://schemas.microsoft.com/office/drawing/2014/main" id="{DE66481E-7BEC-4448-B847-C59610664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40" name="BEx5BJQWS6YWHH4ZMSUAMD641V6Y" descr="ZTMFMXCIQSECDX38ALEFHUB00" hidden="1">
          <a:extLst>
            <a:ext uri="{FF2B5EF4-FFF2-40B4-BE49-F238E27FC236}">
              <a16:creationId xmlns:a16="http://schemas.microsoft.com/office/drawing/2014/main" id="{4E5F40B4-30B1-4284-9725-A0EDABB31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41" name="BExUBK0YZ5VYFY8TTITJGJU9S06A" hidden="1">
          <a:extLst>
            <a:ext uri="{FF2B5EF4-FFF2-40B4-BE49-F238E27FC236}">
              <a16:creationId xmlns:a16="http://schemas.microsoft.com/office/drawing/2014/main" id="{C3402A45-4F4E-4F94-A3D6-EDD8D510D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42" name="BEx5BJQWS6YWHH4ZMSUAMD641V6Y" descr="ZTMFMXCIQSECDX38ALEFHUB00" hidden="1">
          <a:extLst>
            <a:ext uri="{FF2B5EF4-FFF2-40B4-BE49-F238E27FC236}">
              <a16:creationId xmlns:a16="http://schemas.microsoft.com/office/drawing/2014/main" id="{2659D37F-6D39-40C7-B420-F30BB4CBE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43" name="BExUBK0YZ5VYFY8TTITJGJU9S06A" hidden="1">
          <a:extLst>
            <a:ext uri="{FF2B5EF4-FFF2-40B4-BE49-F238E27FC236}">
              <a16:creationId xmlns:a16="http://schemas.microsoft.com/office/drawing/2014/main" id="{A540FAC5-A52D-4EB6-A64B-C443039E5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44" name="BEx5BJQWS6YWHH4ZMSUAMD641V6Y" descr="ZTMFMXCIQSECDX38ALEFHUB00" hidden="1">
          <a:extLst>
            <a:ext uri="{FF2B5EF4-FFF2-40B4-BE49-F238E27FC236}">
              <a16:creationId xmlns:a16="http://schemas.microsoft.com/office/drawing/2014/main" id="{9F837222-7DAD-45AA-9DC7-E6BCD7BF8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45" name="BExUBK0YZ5VYFY8TTITJGJU9S06A" hidden="1">
          <a:extLst>
            <a:ext uri="{FF2B5EF4-FFF2-40B4-BE49-F238E27FC236}">
              <a16:creationId xmlns:a16="http://schemas.microsoft.com/office/drawing/2014/main" id="{8575055E-BF32-43AE-B0C3-A3247101B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46" name="BEx5BJQWS6YWHH4ZMSUAMD641V6Y" descr="ZTMFMXCIQSECDX38ALEFHUB00" hidden="1">
          <a:extLst>
            <a:ext uri="{FF2B5EF4-FFF2-40B4-BE49-F238E27FC236}">
              <a16:creationId xmlns:a16="http://schemas.microsoft.com/office/drawing/2014/main" id="{F993A693-1CB5-4633-B398-5DA9B8EC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47" name="BExUBK0YZ5VYFY8TTITJGJU9S06A" hidden="1">
          <a:extLst>
            <a:ext uri="{FF2B5EF4-FFF2-40B4-BE49-F238E27FC236}">
              <a16:creationId xmlns:a16="http://schemas.microsoft.com/office/drawing/2014/main" id="{BD52EB33-3729-44F2-B1C2-5F42CE753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48" name="BEx5BJQWS6YWHH4ZMSUAMD641V6Y" descr="ZTMFMXCIQSECDX38ALEFHUB00" hidden="1">
          <a:extLst>
            <a:ext uri="{FF2B5EF4-FFF2-40B4-BE49-F238E27FC236}">
              <a16:creationId xmlns:a16="http://schemas.microsoft.com/office/drawing/2014/main" id="{B0DC8E43-D4FB-46DC-BCC8-4CA006B25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49" name="BExUBK0YZ5VYFY8TTITJGJU9S06A" hidden="1">
          <a:extLst>
            <a:ext uri="{FF2B5EF4-FFF2-40B4-BE49-F238E27FC236}">
              <a16:creationId xmlns:a16="http://schemas.microsoft.com/office/drawing/2014/main" id="{D58AD799-D4E6-461A-9718-9A48AA0A4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50" name="BEx5BJQWS6YWHH4ZMSUAMD641V6Y" descr="ZTMFMXCIQSECDX38ALEFHUB00" hidden="1">
          <a:extLst>
            <a:ext uri="{FF2B5EF4-FFF2-40B4-BE49-F238E27FC236}">
              <a16:creationId xmlns:a16="http://schemas.microsoft.com/office/drawing/2014/main" id="{23117B51-41E8-4646-B456-73CE6CC6E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51" name="BExUBK0YZ5VYFY8TTITJGJU9S06A" hidden="1">
          <a:extLst>
            <a:ext uri="{FF2B5EF4-FFF2-40B4-BE49-F238E27FC236}">
              <a16:creationId xmlns:a16="http://schemas.microsoft.com/office/drawing/2014/main" id="{7292D1CA-B443-45C7-93DF-FF5115BF1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52" name="BEx5BJQWS6YWHH4ZMSUAMD641V6Y" descr="ZTMFMXCIQSECDX38ALEFHUB00" hidden="1">
          <a:extLst>
            <a:ext uri="{FF2B5EF4-FFF2-40B4-BE49-F238E27FC236}">
              <a16:creationId xmlns:a16="http://schemas.microsoft.com/office/drawing/2014/main" id="{AD937A7C-5882-4FF4-A063-CFF7706CC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53" name="BExUBK0YZ5VYFY8TTITJGJU9S06A" hidden="1">
          <a:extLst>
            <a:ext uri="{FF2B5EF4-FFF2-40B4-BE49-F238E27FC236}">
              <a16:creationId xmlns:a16="http://schemas.microsoft.com/office/drawing/2014/main" id="{DF431C8C-E448-4F9D-994B-FE7B4C5E1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54" name="BEx5BJQWS6YWHH4ZMSUAMD641V6Y" descr="ZTMFMXCIQSECDX38ALEFHUB00" hidden="1">
          <a:extLst>
            <a:ext uri="{FF2B5EF4-FFF2-40B4-BE49-F238E27FC236}">
              <a16:creationId xmlns:a16="http://schemas.microsoft.com/office/drawing/2014/main" id="{B02F42BB-297B-4120-B3A2-563C6D5F3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55" name="BExUBK0YZ5VYFY8TTITJGJU9S06A" hidden="1">
          <a:extLst>
            <a:ext uri="{FF2B5EF4-FFF2-40B4-BE49-F238E27FC236}">
              <a16:creationId xmlns:a16="http://schemas.microsoft.com/office/drawing/2014/main" id="{CA15565C-A634-497C-B50B-977D3F6CB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56" name="BEx5BJQWS6YWHH4ZMSUAMD641V6Y" descr="ZTMFMXCIQSECDX38ALEFHUB00" hidden="1">
          <a:extLst>
            <a:ext uri="{FF2B5EF4-FFF2-40B4-BE49-F238E27FC236}">
              <a16:creationId xmlns:a16="http://schemas.microsoft.com/office/drawing/2014/main" id="{22D5F658-0D71-42AA-8E65-ADCD69688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57" name="BExUBK0YZ5VYFY8TTITJGJU9S06A" hidden="1">
          <a:extLst>
            <a:ext uri="{FF2B5EF4-FFF2-40B4-BE49-F238E27FC236}">
              <a16:creationId xmlns:a16="http://schemas.microsoft.com/office/drawing/2014/main" id="{901E1BE7-64B1-4868-82C1-59CF1BE7D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58" name="BEx5BJQWS6YWHH4ZMSUAMD641V6Y" descr="ZTMFMXCIQSECDX38ALEFHUB00" hidden="1">
          <a:extLst>
            <a:ext uri="{FF2B5EF4-FFF2-40B4-BE49-F238E27FC236}">
              <a16:creationId xmlns:a16="http://schemas.microsoft.com/office/drawing/2014/main" id="{B6F3B4C2-AF7C-46F0-83D0-52BD147B8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59" name="BExUBK0YZ5VYFY8TTITJGJU9S06A" hidden="1">
          <a:extLst>
            <a:ext uri="{FF2B5EF4-FFF2-40B4-BE49-F238E27FC236}">
              <a16:creationId xmlns:a16="http://schemas.microsoft.com/office/drawing/2014/main" id="{893CA473-6615-4E47-A82F-6A37B8660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60" name="BEx5BJQWS6YWHH4ZMSUAMD641V6Y" descr="ZTMFMXCIQSECDX38ALEFHUB00" hidden="1">
          <a:extLst>
            <a:ext uri="{FF2B5EF4-FFF2-40B4-BE49-F238E27FC236}">
              <a16:creationId xmlns:a16="http://schemas.microsoft.com/office/drawing/2014/main" id="{4D90074A-2F65-41BB-AA4F-BAF5317E2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61" name="BExUBK0YZ5VYFY8TTITJGJU9S06A" hidden="1">
          <a:extLst>
            <a:ext uri="{FF2B5EF4-FFF2-40B4-BE49-F238E27FC236}">
              <a16:creationId xmlns:a16="http://schemas.microsoft.com/office/drawing/2014/main" id="{3CCB37F6-0995-44F3-8407-848F34F87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62" name="BEx5BJQWS6YWHH4ZMSUAMD641V6Y" descr="ZTMFMXCIQSECDX38ALEFHUB00" hidden="1">
          <a:extLst>
            <a:ext uri="{FF2B5EF4-FFF2-40B4-BE49-F238E27FC236}">
              <a16:creationId xmlns:a16="http://schemas.microsoft.com/office/drawing/2014/main" id="{138E6E42-9AE7-4F84-AA7D-0E9DF9B57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63" name="BExUBK0YZ5VYFY8TTITJGJU9S06A" hidden="1">
          <a:extLst>
            <a:ext uri="{FF2B5EF4-FFF2-40B4-BE49-F238E27FC236}">
              <a16:creationId xmlns:a16="http://schemas.microsoft.com/office/drawing/2014/main" id="{9F520CDF-33F6-4026-8379-674E304B6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64" name="BEx5BJQWS6YWHH4ZMSUAMD641V6Y" descr="ZTMFMXCIQSECDX38ALEFHUB00" hidden="1">
          <a:extLst>
            <a:ext uri="{FF2B5EF4-FFF2-40B4-BE49-F238E27FC236}">
              <a16:creationId xmlns:a16="http://schemas.microsoft.com/office/drawing/2014/main" id="{FFEA9D3F-9F5F-4BF2-8023-06B8F0DB2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65" name="BExUBK0YZ5VYFY8TTITJGJU9S06A" hidden="1">
          <a:extLst>
            <a:ext uri="{FF2B5EF4-FFF2-40B4-BE49-F238E27FC236}">
              <a16:creationId xmlns:a16="http://schemas.microsoft.com/office/drawing/2014/main" id="{83E9CF2D-6462-4002-90F5-054A9B3FE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66" name="BEx5BJQWS6YWHH4ZMSUAMD641V6Y" descr="ZTMFMXCIQSECDX38ALEFHUB00" hidden="1">
          <a:extLst>
            <a:ext uri="{FF2B5EF4-FFF2-40B4-BE49-F238E27FC236}">
              <a16:creationId xmlns:a16="http://schemas.microsoft.com/office/drawing/2014/main" id="{05D848E2-9263-4911-82CE-03095D73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67" name="BExUBK0YZ5VYFY8TTITJGJU9S06A" hidden="1">
          <a:extLst>
            <a:ext uri="{FF2B5EF4-FFF2-40B4-BE49-F238E27FC236}">
              <a16:creationId xmlns:a16="http://schemas.microsoft.com/office/drawing/2014/main" id="{907D3E61-39ED-41E4-B133-D1B21FA25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68" name="BEx5BJQWS6YWHH4ZMSUAMD641V6Y" descr="ZTMFMXCIQSECDX38ALEFHUB00" hidden="1">
          <a:extLst>
            <a:ext uri="{FF2B5EF4-FFF2-40B4-BE49-F238E27FC236}">
              <a16:creationId xmlns:a16="http://schemas.microsoft.com/office/drawing/2014/main" id="{3FBE5445-2E98-46AD-9007-7DB683FAB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69" name="BExUBK0YZ5VYFY8TTITJGJU9S06A" hidden="1">
          <a:extLst>
            <a:ext uri="{FF2B5EF4-FFF2-40B4-BE49-F238E27FC236}">
              <a16:creationId xmlns:a16="http://schemas.microsoft.com/office/drawing/2014/main" id="{C32FC860-6E7E-4A1C-8FA9-F52815F65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70" name="BEx5BJQWS6YWHH4ZMSUAMD641V6Y" descr="ZTMFMXCIQSECDX38ALEFHUB00" hidden="1">
          <a:extLst>
            <a:ext uri="{FF2B5EF4-FFF2-40B4-BE49-F238E27FC236}">
              <a16:creationId xmlns:a16="http://schemas.microsoft.com/office/drawing/2014/main" id="{96FA34C7-41CD-4888-B8AD-6C8E601F5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71" name="BExUBK0YZ5VYFY8TTITJGJU9S06A" hidden="1">
          <a:extLst>
            <a:ext uri="{FF2B5EF4-FFF2-40B4-BE49-F238E27FC236}">
              <a16:creationId xmlns:a16="http://schemas.microsoft.com/office/drawing/2014/main" id="{B6C5BE2E-0380-4332-8791-D9A833F63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72" name="BEx5BJQWS6YWHH4ZMSUAMD641V6Y" descr="ZTMFMXCIQSECDX38ALEFHUB00" hidden="1">
          <a:extLst>
            <a:ext uri="{FF2B5EF4-FFF2-40B4-BE49-F238E27FC236}">
              <a16:creationId xmlns:a16="http://schemas.microsoft.com/office/drawing/2014/main" id="{427C5E73-84EA-4018-996E-63A7B9232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73" name="BExUBK0YZ5VYFY8TTITJGJU9S06A" hidden="1">
          <a:extLst>
            <a:ext uri="{FF2B5EF4-FFF2-40B4-BE49-F238E27FC236}">
              <a16:creationId xmlns:a16="http://schemas.microsoft.com/office/drawing/2014/main" id="{BE4D4BD2-CCA3-4C71-B022-4BAE0D652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74" name="BEx5BJQWS6YWHH4ZMSUAMD641V6Y" descr="ZTMFMXCIQSECDX38ALEFHUB00" hidden="1">
          <a:extLst>
            <a:ext uri="{FF2B5EF4-FFF2-40B4-BE49-F238E27FC236}">
              <a16:creationId xmlns:a16="http://schemas.microsoft.com/office/drawing/2014/main" id="{6A66486A-947B-484C-A6D7-08D5DB1A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75" name="BExUBK0YZ5VYFY8TTITJGJU9S06A" hidden="1">
          <a:extLst>
            <a:ext uri="{FF2B5EF4-FFF2-40B4-BE49-F238E27FC236}">
              <a16:creationId xmlns:a16="http://schemas.microsoft.com/office/drawing/2014/main" id="{D2AF5977-130E-4B73-931E-61A80782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76" name="BEx5BJQWS6YWHH4ZMSUAMD641V6Y" descr="ZTMFMXCIQSECDX38ALEFHUB00" hidden="1">
          <a:extLst>
            <a:ext uri="{FF2B5EF4-FFF2-40B4-BE49-F238E27FC236}">
              <a16:creationId xmlns:a16="http://schemas.microsoft.com/office/drawing/2014/main" id="{1398BC43-035D-4F96-8EB3-BEFD20E4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77" name="BExUBK0YZ5VYFY8TTITJGJU9S06A" hidden="1">
          <a:extLst>
            <a:ext uri="{FF2B5EF4-FFF2-40B4-BE49-F238E27FC236}">
              <a16:creationId xmlns:a16="http://schemas.microsoft.com/office/drawing/2014/main" id="{CEB71A15-76DE-462C-821B-93E2D5BDF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78" name="BEx5BJQWS6YWHH4ZMSUAMD641V6Y" descr="ZTMFMXCIQSECDX38ALEFHUB00" hidden="1">
          <a:extLst>
            <a:ext uri="{FF2B5EF4-FFF2-40B4-BE49-F238E27FC236}">
              <a16:creationId xmlns:a16="http://schemas.microsoft.com/office/drawing/2014/main" id="{88580FA6-AA32-497E-8DAA-7FBAC518A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79" name="BExUBK0YZ5VYFY8TTITJGJU9S06A" hidden="1">
          <a:extLst>
            <a:ext uri="{FF2B5EF4-FFF2-40B4-BE49-F238E27FC236}">
              <a16:creationId xmlns:a16="http://schemas.microsoft.com/office/drawing/2014/main" id="{0CE1E989-6CBE-4569-A0FB-E8B4C59C2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80" name="BEx5BJQWS6YWHH4ZMSUAMD641V6Y" descr="ZTMFMXCIQSECDX38ALEFHUB00" hidden="1">
          <a:extLst>
            <a:ext uri="{FF2B5EF4-FFF2-40B4-BE49-F238E27FC236}">
              <a16:creationId xmlns:a16="http://schemas.microsoft.com/office/drawing/2014/main" id="{6CE0D6D0-B46D-4D09-94E5-0FED13DDA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81" name="BExUBK0YZ5VYFY8TTITJGJU9S06A" hidden="1">
          <a:extLst>
            <a:ext uri="{FF2B5EF4-FFF2-40B4-BE49-F238E27FC236}">
              <a16:creationId xmlns:a16="http://schemas.microsoft.com/office/drawing/2014/main" id="{422449BA-35D1-446B-A31B-75070B6BC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82" name="BEx5BJQWS6YWHH4ZMSUAMD641V6Y" descr="ZTMFMXCIQSECDX38ALEFHUB00" hidden="1">
          <a:extLst>
            <a:ext uri="{FF2B5EF4-FFF2-40B4-BE49-F238E27FC236}">
              <a16:creationId xmlns:a16="http://schemas.microsoft.com/office/drawing/2014/main" id="{05E6FB29-FDDC-4F7F-9838-73A1766B8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83" name="BExUBK0YZ5VYFY8TTITJGJU9S06A" hidden="1">
          <a:extLst>
            <a:ext uri="{FF2B5EF4-FFF2-40B4-BE49-F238E27FC236}">
              <a16:creationId xmlns:a16="http://schemas.microsoft.com/office/drawing/2014/main" id="{B28CFEA0-319D-4215-AF3B-32AE38DA8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84" name="BEx5BJQWS6YWHH4ZMSUAMD641V6Y" descr="ZTMFMXCIQSECDX38ALEFHUB00" hidden="1">
          <a:extLst>
            <a:ext uri="{FF2B5EF4-FFF2-40B4-BE49-F238E27FC236}">
              <a16:creationId xmlns:a16="http://schemas.microsoft.com/office/drawing/2014/main" id="{E612AFD2-CDA5-4683-968B-CC55BCCE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85" name="BExUBK0YZ5VYFY8TTITJGJU9S06A" hidden="1">
          <a:extLst>
            <a:ext uri="{FF2B5EF4-FFF2-40B4-BE49-F238E27FC236}">
              <a16:creationId xmlns:a16="http://schemas.microsoft.com/office/drawing/2014/main" id="{56772257-E8D5-4EFF-BB64-6D4B3DDB6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86" name="BEx5BJQWS6YWHH4ZMSUAMD641V6Y" descr="ZTMFMXCIQSECDX38ALEFHUB00" hidden="1">
          <a:extLst>
            <a:ext uri="{FF2B5EF4-FFF2-40B4-BE49-F238E27FC236}">
              <a16:creationId xmlns:a16="http://schemas.microsoft.com/office/drawing/2014/main" id="{EF0D8202-1FF6-442E-B97A-254A34E09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87" name="BExUBK0YZ5VYFY8TTITJGJU9S06A" hidden="1">
          <a:extLst>
            <a:ext uri="{FF2B5EF4-FFF2-40B4-BE49-F238E27FC236}">
              <a16:creationId xmlns:a16="http://schemas.microsoft.com/office/drawing/2014/main" id="{6464EED9-A884-4625-8F7A-E3A7180BE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88" name="BEx5BJQWS6YWHH4ZMSUAMD641V6Y" descr="ZTMFMXCIQSECDX38ALEFHUB00" hidden="1">
          <a:extLst>
            <a:ext uri="{FF2B5EF4-FFF2-40B4-BE49-F238E27FC236}">
              <a16:creationId xmlns:a16="http://schemas.microsoft.com/office/drawing/2014/main" id="{3232569B-CD67-423E-81FC-EAAB1CB95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89" name="BExUBK0YZ5VYFY8TTITJGJU9S06A" hidden="1">
          <a:extLst>
            <a:ext uri="{FF2B5EF4-FFF2-40B4-BE49-F238E27FC236}">
              <a16:creationId xmlns:a16="http://schemas.microsoft.com/office/drawing/2014/main" id="{02E0DA76-3880-4B7B-93E4-39E4A1B75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90" name="BEx5BJQWS6YWHH4ZMSUAMD641V6Y" descr="ZTMFMXCIQSECDX38ALEFHUB00" hidden="1">
          <a:extLst>
            <a:ext uri="{FF2B5EF4-FFF2-40B4-BE49-F238E27FC236}">
              <a16:creationId xmlns:a16="http://schemas.microsoft.com/office/drawing/2014/main" id="{61EC802B-64E9-45FE-8BEC-0B2489547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91" name="BExUBK0YZ5VYFY8TTITJGJU9S06A" hidden="1">
          <a:extLst>
            <a:ext uri="{FF2B5EF4-FFF2-40B4-BE49-F238E27FC236}">
              <a16:creationId xmlns:a16="http://schemas.microsoft.com/office/drawing/2014/main" id="{A110CEC1-91BE-4AC5-B3D5-0B410485A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92" name="BEx5BJQWS6YWHH4ZMSUAMD641V6Y" descr="ZTMFMXCIQSECDX38ALEFHUB00" hidden="1">
          <a:extLst>
            <a:ext uri="{FF2B5EF4-FFF2-40B4-BE49-F238E27FC236}">
              <a16:creationId xmlns:a16="http://schemas.microsoft.com/office/drawing/2014/main" id="{08914314-BBA3-4707-86C4-0C0D7367F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93" name="BExUBK0YZ5VYFY8TTITJGJU9S06A" hidden="1">
          <a:extLst>
            <a:ext uri="{FF2B5EF4-FFF2-40B4-BE49-F238E27FC236}">
              <a16:creationId xmlns:a16="http://schemas.microsoft.com/office/drawing/2014/main" id="{C1950FBF-097E-4935-B2E1-EE20B26DC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94" name="BEx5BJQWS6YWHH4ZMSUAMD641V6Y" descr="ZTMFMXCIQSECDX38ALEFHUB00" hidden="1">
          <a:extLst>
            <a:ext uri="{FF2B5EF4-FFF2-40B4-BE49-F238E27FC236}">
              <a16:creationId xmlns:a16="http://schemas.microsoft.com/office/drawing/2014/main" id="{EB1402BD-3D4A-47F4-9E29-0B90817B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95" name="BExUBK0YZ5VYFY8TTITJGJU9S06A" hidden="1">
          <a:extLst>
            <a:ext uri="{FF2B5EF4-FFF2-40B4-BE49-F238E27FC236}">
              <a16:creationId xmlns:a16="http://schemas.microsoft.com/office/drawing/2014/main" id="{E7C4943D-7EBA-4510-ABBD-048BB5C37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96" name="BEx5BJQWS6YWHH4ZMSUAMD641V6Y" descr="ZTMFMXCIQSECDX38ALEFHUB00" hidden="1">
          <a:extLst>
            <a:ext uri="{FF2B5EF4-FFF2-40B4-BE49-F238E27FC236}">
              <a16:creationId xmlns:a16="http://schemas.microsoft.com/office/drawing/2014/main" id="{5413F33E-7712-4FA5-A121-0849F4030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97" name="BExUBK0YZ5VYFY8TTITJGJU9S06A" hidden="1">
          <a:extLst>
            <a:ext uri="{FF2B5EF4-FFF2-40B4-BE49-F238E27FC236}">
              <a16:creationId xmlns:a16="http://schemas.microsoft.com/office/drawing/2014/main" id="{917F2B7E-3817-4E6A-903B-D9EFCD148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98" name="BEx5BJQWS6YWHH4ZMSUAMD641V6Y" descr="ZTMFMXCIQSECDX38ALEFHUB00" hidden="1">
          <a:extLst>
            <a:ext uri="{FF2B5EF4-FFF2-40B4-BE49-F238E27FC236}">
              <a16:creationId xmlns:a16="http://schemas.microsoft.com/office/drawing/2014/main" id="{3233DF3B-D762-4B08-B9EF-A386F66C2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999" name="BExUBK0YZ5VYFY8TTITJGJU9S06A" hidden="1">
          <a:extLst>
            <a:ext uri="{FF2B5EF4-FFF2-40B4-BE49-F238E27FC236}">
              <a16:creationId xmlns:a16="http://schemas.microsoft.com/office/drawing/2014/main" id="{45F5C998-2E1E-4CA9-ACC4-3FEC20098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00" name="BEx5BJQWS6YWHH4ZMSUAMD641V6Y" descr="ZTMFMXCIQSECDX38ALEFHUB00" hidden="1">
          <a:extLst>
            <a:ext uri="{FF2B5EF4-FFF2-40B4-BE49-F238E27FC236}">
              <a16:creationId xmlns:a16="http://schemas.microsoft.com/office/drawing/2014/main" id="{D6802AAA-4BF2-4D04-A68A-628CE296A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01" name="BExUBK0YZ5VYFY8TTITJGJU9S06A" hidden="1">
          <a:extLst>
            <a:ext uri="{FF2B5EF4-FFF2-40B4-BE49-F238E27FC236}">
              <a16:creationId xmlns:a16="http://schemas.microsoft.com/office/drawing/2014/main" id="{1CBE56E9-E751-4599-840C-FFC732FBB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02" name="BEx5BJQWS6YWHH4ZMSUAMD641V6Y" descr="ZTMFMXCIQSECDX38ALEFHUB00" hidden="1">
          <a:extLst>
            <a:ext uri="{FF2B5EF4-FFF2-40B4-BE49-F238E27FC236}">
              <a16:creationId xmlns:a16="http://schemas.microsoft.com/office/drawing/2014/main" id="{F322352B-63D2-4C9C-B331-3CBB52071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03" name="BExUBK0YZ5VYFY8TTITJGJU9S06A" hidden="1">
          <a:extLst>
            <a:ext uri="{FF2B5EF4-FFF2-40B4-BE49-F238E27FC236}">
              <a16:creationId xmlns:a16="http://schemas.microsoft.com/office/drawing/2014/main" id="{AD42746A-E70E-4E44-98F4-6134A044A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04" name="BEx5BJQWS6YWHH4ZMSUAMD641V6Y" descr="ZTMFMXCIQSECDX38ALEFHUB00" hidden="1">
          <a:extLst>
            <a:ext uri="{FF2B5EF4-FFF2-40B4-BE49-F238E27FC236}">
              <a16:creationId xmlns:a16="http://schemas.microsoft.com/office/drawing/2014/main" id="{8916B3F1-6A30-4F37-BAD7-2AA28D995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05" name="BExUBK0YZ5VYFY8TTITJGJU9S06A" hidden="1">
          <a:extLst>
            <a:ext uri="{FF2B5EF4-FFF2-40B4-BE49-F238E27FC236}">
              <a16:creationId xmlns:a16="http://schemas.microsoft.com/office/drawing/2014/main" id="{527086B2-0DAD-429A-8E24-276D57D14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06" name="BEx5BJQWS6YWHH4ZMSUAMD641V6Y" descr="ZTMFMXCIQSECDX38ALEFHUB00" hidden="1">
          <a:extLst>
            <a:ext uri="{FF2B5EF4-FFF2-40B4-BE49-F238E27FC236}">
              <a16:creationId xmlns:a16="http://schemas.microsoft.com/office/drawing/2014/main" id="{50EE7641-8904-40AA-88B2-92F43127D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07" name="BExUBK0YZ5VYFY8TTITJGJU9S06A" hidden="1">
          <a:extLst>
            <a:ext uri="{FF2B5EF4-FFF2-40B4-BE49-F238E27FC236}">
              <a16:creationId xmlns:a16="http://schemas.microsoft.com/office/drawing/2014/main" id="{52968A9B-2C6D-4271-A4DD-270F010E6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08" name="BEx5BJQWS6YWHH4ZMSUAMD641V6Y" descr="ZTMFMXCIQSECDX38ALEFHUB00" hidden="1">
          <a:extLst>
            <a:ext uri="{FF2B5EF4-FFF2-40B4-BE49-F238E27FC236}">
              <a16:creationId xmlns:a16="http://schemas.microsoft.com/office/drawing/2014/main" id="{95D01EA1-49BE-406C-A24B-BA0015C21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09" name="BExUBK0YZ5VYFY8TTITJGJU9S06A" hidden="1">
          <a:extLst>
            <a:ext uri="{FF2B5EF4-FFF2-40B4-BE49-F238E27FC236}">
              <a16:creationId xmlns:a16="http://schemas.microsoft.com/office/drawing/2014/main" id="{B944A984-7531-4785-9228-A66BE32C0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010" name="BEx1KD7H6UB1VYCJ7O61P562EIUY" descr="IQGV9140X0K0UPBL8OGU3I44J" hidden="1">
          <a:extLst>
            <a:ext uri="{FF2B5EF4-FFF2-40B4-BE49-F238E27FC236}">
              <a16:creationId xmlns:a16="http://schemas.microsoft.com/office/drawing/2014/main" id="{5B53C5EC-8814-406C-A860-8203CFE26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1011" name="BEx5BJQWS6YWHH4ZMSUAMD641V6Y" descr="ZTMFMXCIQSECDX38ALEFHUB00" hidden="1">
          <a:extLst>
            <a:ext uri="{FF2B5EF4-FFF2-40B4-BE49-F238E27FC236}">
              <a16:creationId xmlns:a16="http://schemas.microsoft.com/office/drawing/2014/main" id="{0025BEBB-CB31-45E2-9F38-4C43287FF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012" name="BEx5AQZ4ETQ9LMY5EBWVH20Z7VXQ" hidden="1">
          <a:extLst>
            <a:ext uri="{FF2B5EF4-FFF2-40B4-BE49-F238E27FC236}">
              <a16:creationId xmlns:a16="http://schemas.microsoft.com/office/drawing/2014/main" id="{CB741FD6-045B-41F5-9D90-614EFD8CC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1013" name="BExUBK0YZ5VYFY8TTITJGJU9S06A" hidden="1">
          <a:extLst>
            <a:ext uri="{FF2B5EF4-FFF2-40B4-BE49-F238E27FC236}">
              <a16:creationId xmlns:a16="http://schemas.microsoft.com/office/drawing/2014/main" id="{07B8736B-0967-47C8-B347-348D236AF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14" name="BEx5BJQWS6YWHH4ZMSUAMD641V6Y" descr="ZTMFMXCIQSECDX38ALEFHUB00" hidden="1">
          <a:extLst>
            <a:ext uri="{FF2B5EF4-FFF2-40B4-BE49-F238E27FC236}">
              <a16:creationId xmlns:a16="http://schemas.microsoft.com/office/drawing/2014/main" id="{030D6101-5437-446C-B2D0-BAF36D427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15" name="BExUBK0YZ5VYFY8TTITJGJU9S06A" hidden="1">
          <a:extLst>
            <a:ext uri="{FF2B5EF4-FFF2-40B4-BE49-F238E27FC236}">
              <a16:creationId xmlns:a16="http://schemas.microsoft.com/office/drawing/2014/main" id="{C6B6E9C9-2F2A-4DB5-B0BF-E8662E75F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16" name="BEx5BJQWS6YWHH4ZMSUAMD641V6Y" descr="ZTMFMXCIQSECDX38ALEFHUB00" hidden="1">
          <a:extLst>
            <a:ext uri="{FF2B5EF4-FFF2-40B4-BE49-F238E27FC236}">
              <a16:creationId xmlns:a16="http://schemas.microsoft.com/office/drawing/2014/main" id="{25E2A489-83AA-4DE3-B67A-BDCEB6AAB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17" name="BExUBK0YZ5VYFY8TTITJGJU9S06A" hidden="1">
          <a:extLst>
            <a:ext uri="{FF2B5EF4-FFF2-40B4-BE49-F238E27FC236}">
              <a16:creationId xmlns:a16="http://schemas.microsoft.com/office/drawing/2014/main" id="{9FA2A91D-7FEA-4F8A-9E75-0B4B34158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18" name="BEx5BJQWS6YWHH4ZMSUAMD641V6Y" descr="ZTMFMXCIQSECDX38ALEFHUB00" hidden="1">
          <a:extLst>
            <a:ext uri="{FF2B5EF4-FFF2-40B4-BE49-F238E27FC236}">
              <a16:creationId xmlns:a16="http://schemas.microsoft.com/office/drawing/2014/main" id="{1636C948-2902-4E14-BCF6-40645C8BA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19" name="BExUBK0YZ5VYFY8TTITJGJU9S06A" hidden="1">
          <a:extLst>
            <a:ext uri="{FF2B5EF4-FFF2-40B4-BE49-F238E27FC236}">
              <a16:creationId xmlns:a16="http://schemas.microsoft.com/office/drawing/2014/main" id="{C8A41EB8-9E5A-420E-BFC1-7B434942E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20" name="BEx5BJQWS6YWHH4ZMSUAMD641V6Y" descr="ZTMFMXCIQSECDX38ALEFHUB00" hidden="1">
          <a:extLst>
            <a:ext uri="{FF2B5EF4-FFF2-40B4-BE49-F238E27FC236}">
              <a16:creationId xmlns:a16="http://schemas.microsoft.com/office/drawing/2014/main" id="{81542341-5D22-4F16-956A-1D4D722F0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21" name="BExUBK0YZ5VYFY8TTITJGJU9S06A" hidden="1">
          <a:extLst>
            <a:ext uri="{FF2B5EF4-FFF2-40B4-BE49-F238E27FC236}">
              <a16:creationId xmlns:a16="http://schemas.microsoft.com/office/drawing/2014/main" id="{D52D919D-8FB1-4AFC-B4F5-4047C7E1F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22" name="BEx5BJQWS6YWHH4ZMSUAMD641V6Y" descr="ZTMFMXCIQSECDX38ALEFHUB00" hidden="1">
          <a:extLst>
            <a:ext uri="{FF2B5EF4-FFF2-40B4-BE49-F238E27FC236}">
              <a16:creationId xmlns:a16="http://schemas.microsoft.com/office/drawing/2014/main" id="{57AB82D8-477C-4A4C-8EF6-DF482CBF1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23" name="BExUBK0YZ5VYFY8TTITJGJU9S06A" hidden="1">
          <a:extLst>
            <a:ext uri="{FF2B5EF4-FFF2-40B4-BE49-F238E27FC236}">
              <a16:creationId xmlns:a16="http://schemas.microsoft.com/office/drawing/2014/main" id="{CB7E87C8-382C-4698-B9B0-AFADB2568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024" name="BEx1KD7H6UB1VYCJ7O61P562EIUY" descr="IQGV9140X0K0UPBL8OGU3I44J" hidden="1">
          <a:extLst>
            <a:ext uri="{FF2B5EF4-FFF2-40B4-BE49-F238E27FC236}">
              <a16:creationId xmlns:a16="http://schemas.microsoft.com/office/drawing/2014/main" id="{5FE87651-0283-4AB3-B00E-7B59CD905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025" name="BEx5AQZ4ETQ9LMY5EBWVH20Z7VXQ" hidden="1">
          <a:extLst>
            <a:ext uri="{FF2B5EF4-FFF2-40B4-BE49-F238E27FC236}">
              <a16:creationId xmlns:a16="http://schemas.microsoft.com/office/drawing/2014/main" id="{2FB8F2A8-B481-4640-A3DC-752FB5A49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026" name="BEx1KD7H6UB1VYCJ7O61P562EIUY" descr="IQGV9140X0K0UPBL8OGU3I44J" hidden="1">
          <a:extLst>
            <a:ext uri="{FF2B5EF4-FFF2-40B4-BE49-F238E27FC236}">
              <a16:creationId xmlns:a16="http://schemas.microsoft.com/office/drawing/2014/main" id="{2D13BD27-506D-4F63-8981-8C9E9A56F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027" name="BEx5AQZ4ETQ9LMY5EBWVH20Z7VXQ" hidden="1">
          <a:extLst>
            <a:ext uri="{FF2B5EF4-FFF2-40B4-BE49-F238E27FC236}">
              <a16:creationId xmlns:a16="http://schemas.microsoft.com/office/drawing/2014/main" id="{AB6F21DC-A389-4318-8EA1-4977C287F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28" name="BEx5BJQWS6YWHH4ZMSUAMD641V6Y" descr="ZTMFMXCIQSECDX38ALEFHUB00" hidden="1">
          <a:extLst>
            <a:ext uri="{FF2B5EF4-FFF2-40B4-BE49-F238E27FC236}">
              <a16:creationId xmlns:a16="http://schemas.microsoft.com/office/drawing/2014/main" id="{D8178434-DAB4-42E0-A332-43A31A9E4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29" name="BExUBK0YZ5VYFY8TTITJGJU9S06A" hidden="1">
          <a:extLst>
            <a:ext uri="{FF2B5EF4-FFF2-40B4-BE49-F238E27FC236}">
              <a16:creationId xmlns:a16="http://schemas.microsoft.com/office/drawing/2014/main" id="{947CD28B-2638-4C6F-AEB4-59A24AB73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030" name="BEx1KD7H6UB1VYCJ7O61P562EIUY" descr="IQGV9140X0K0UPBL8OGU3I44J" hidden="1">
          <a:extLst>
            <a:ext uri="{FF2B5EF4-FFF2-40B4-BE49-F238E27FC236}">
              <a16:creationId xmlns:a16="http://schemas.microsoft.com/office/drawing/2014/main" id="{020CDA38-F273-4AD9-824C-6FACE4947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031" name="BEx5AQZ4ETQ9LMY5EBWVH20Z7VXQ" hidden="1">
          <a:extLst>
            <a:ext uri="{FF2B5EF4-FFF2-40B4-BE49-F238E27FC236}">
              <a16:creationId xmlns:a16="http://schemas.microsoft.com/office/drawing/2014/main" id="{0A8B8D3E-9CC1-47F3-BA6E-8DB8ABFB9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32" name="BEx5BJQWS6YWHH4ZMSUAMD641V6Y" descr="ZTMFMXCIQSECDX38ALEFHUB00" hidden="1">
          <a:extLst>
            <a:ext uri="{FF2B5EF4-FFF2-40B4-BE49-F238E27FC236}">
              <a16:creationId xmlns:a16="http://schemas.microsoft.com/office/drawing/2014/main" id="{A8DBE639-79FA-4B07-8956-6FCA10526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33" name="BExUBK0YZ5VYFY8TTITJGJU9S06A" hidden="1">
          <a:extLst>
            <a:ext uri="{FF2B5EF4-FFF2-40B4-BE49-F238E27FC236}">
              <a16:creationId xmlns:a16="http://schemas.microsoft.com/office/drawing/2014/main" id="{DD5F5813-CA37-4F1A-A300-9110A19BA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34" name="BEx5BJQWS6YWHH4ZMSUAMD641V6Y" descr="ZTMFMXCIQSECDX38ALEFHUB00" hidden="1">
          <a:extLst>
            <a:ext uri="{FF2B5EF4-FFF2-40B4-BE49-F238E27FC236}">
              <a16:creationId xmlns:a16="http://schemas.microsoft.com/office/drawing/2014/main" id="{AE64E936-5FC8-4D7B-B7AF-0CBAFF2FA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35" name="BExUBK0YZ5VYFY8TTITJGJU9S06A" hidden="1">
          <a:extLst>
            <a:ext uri="{FF2B5EF4-FFF2-40B4-BE49-F238E27FC236}">
              <a16:creationId xmlns:a16="http://schemas.microsoft.com/office/drawing/2014/main" id="{8B27254B-E927-4489-A7C8-995A815ED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036" name="BEx1KD7H6UB1VYCJ7O61P562EIUY" descr="IQGV9140X0K0UPBL8OGU3I44J" hidden="1">
          <a:extLst>
            <a:ext uri="{FF2B5EF4-FFF2-40B4-BE49-F238E27FC236}">
              <a16:creationId xmlns:a16="http://schemas.microsoft.com/office/drawing/2014/main" id="{D1C7BC16-425B-44B5-85DD-D44911259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037" name="BEx5AQZ4ETQ9LMY5EBWVH20Z7VXQ" hidden="1">
          <a:extLst>
            <a:ext uri="{FF2B5EF4-FFF2-40B4-BE49-F238E27FC236}">
              <a16:creationId xmlns:a16="http://schemas.microsoft.com/office/drawing/2014/main" id="{8DA19913-558C-4230-9FEA-99ED3DA6B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38" name="BEx5BJQWS6YWHH4ZMSUAMD641V6Y" descr="ZTMFMXCIQSECDX38ALEFHUB00" hidden="1">
          <a:extLst>
            <a:ext uri="{FF2B5EF4-FFF2-40B4-BE49-F238E27FC236}">
              <a16:creationId xmlns:a16="http://schemas.microsoft.com/office/drawing/2014/main" id="{66B05F8A-E86F-4728-9DA3-FC451675B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39" name="BExUBK0YZ5VYFY8TTITJGJU9S06A" hidden="1">
          <a:extLst>
            <a:ext uri="{FF2B5EF4-FFF2-40B4-BE49-F238E27FC236}">
              <a16:creationId xmlns:a16="http://schemas.microsoft.com/office/drawing/2014/main" id="{58F69939-A01F-415F-B5CE-EB7C89595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40" name="BEx5BJQWS6YWHH4ZMSUAMD641V6Y" descr="ZTMFMXCIQSECDX38ALEFHUB00" hidden="1">
          <a:extLst>
            <a:ext uri="{FF2B5EF4-FFF2-40B4-BE49-F238E27FC236}">
              <a16:creationId xmlns:a16="http://schemas.microsoft.com/office/drawing/2014/main" id="{00021B6A-6160-44C4-B170-876E0FA22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41" name="BExUBK0YZ5VYFY8TTITJGJU9S06A" hidden="1">
          <a:extLst>
            <a:ext uri="{FF2B5EF4-FFF2-40B4-BE49-F238E27FC236}">
              <a16:creationId xmlns:a16="http://schemas.microsoft.com/office/drawing/2014/main" id="{AAF73023-03F9-479F-85C8-B09D5308D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42" name="BEx5BJQWS6YWHH4ZMSUAMD641V6Y" descr="ZTMFMXCIQSECDX38ALEFHUB00" hidden="1">
          <a:extLst>
            <a:ext uri="{FF2B5EF4-FFF2-40B4-BE49-F238E27FC236}">
              <a16:creationId xmlns:a16="http://schemas.microsoft.com/office/drawing/2014/main" id="{9CE249CA-3EA7-423B-8EEB-CEDC65CA0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43" name="BExUBK0YZ5VYFY8TTITJGJU9S06A" hidden="1">
          <a:extLst>
            <a:ext uri="{FF2B5EF4-FFF2-40B4-BE49-F238E27FC236}">
              <a16:creationId xmlns:a16="http://schemas.microsoft.com/office/drawing/2014/main" id="{D91401CE-B56B-4F58-918E-047B01E52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044" name="BEx1KD7H6UB1VYCJ7O61P562EIUY" descr="IQGV9140X0K0UPBL8OGU3I44J" hidden="1">
          <a:extLst>
            <a:ext uri="{FF2B5EF4-FFF2-40B4-BE49-F238E27FC236}">
              <a16:creationId xmlns:a16="http://schemas.microsoft.com/office/drawing/2014/main" id="{160A659A-B86D-4180-B984-73ED19C8A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045" name="BEx5AQZ4ETQ9LMY5EBWVH20Z7VXQ" hidden="1">
          <a:extLst>
            <a:ext uri="{FF2B5EF4-FFF2-40B4-BE49-F238E27FC236}">
              <a16:creationId xmlns:a16="http://schemas.microsoft.com/office/drawing/2014/main" id="{DE43CD0F-896E-4175-AFD1-8AE2336C8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46" name="BEx5BJQWS6YWHH4ZMSUAMD641V6Y" descr="ZTMFMXCIQSECDX38ALEFHUB00" hidden="1">
          <a:extLst>
            <a:ext uri="{FF2B5EF4-FFF2-40B4-BE49-F238E27FC236}">
              <a16:creationId xmlns:a16="http://schemas.microsoft.com/office/drawing/2014/main" id="{F3F94F2B-A0CF-4051-9442-444D7B25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47" name="BExUBK0YZ5VYFY8TTITJGJU9S06A" hidden="1">
          <a:extLst>
            <a:ext uri="{FF2B5EF4-FFF2-40B4-BE49-F238E27FC236}">
              <a16:creationId xmlns:a16="http://schemas.microsoft.com/office/drawing/2014/main" id="{2A331307-DDA5-410C-B29D-324580D8A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48" name="BEx5BJQWS6YWHH4ZMSUAMD641V6Y" descr="ZTMFMXCIQSECDX38ALEFHUB00" hidden="1">
          <a:extLst>
            <a:ext uri="{FF2B5EF4-FFF2-40B4-BE49-F238E27FC236}">
              <a16:creationId xmlns:a16="http://schemas.microsoft.com/office/drawing/2014/main" id="{AD76CAAF-FA53-4A1C-86DB-0FB7BC24C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49" name="BExUBK0YZ5VYFY8TTITJGJU9S06A" hidden="1">
          <a:extLst>
            <a:ext uri="{FF2B5EF4-FFF2-40B4-BE49-F238E27FC236}">
              <a16:creationId xmlns:a16="http://schemas.microsoft.com/office/drawing/2014/main" id="{AA3F9BC2-E37B-4DC5-8176-9839B7DB7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50" name="BEx5BJQWS6YWHH4ZMSUAMD641V6Y" descr="ZTMFMXCIQSECDX38ALEFHUB00" hidden="1">
          <a:extLst>
            <a:ext uri="{FF2B5EF4-FFF2-40B4-BE49-F238E27FC236}">
              <a16:creationId xmlns:a16="http://schemas.microsoft.com/office/drawing/2014/main" id="{2658E49B-6D12-4ADF-AB22-0A813609E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51" name="BExUBK0YZ5VYFY8TTITJGJU9S06A" hidden="1">
          <a:extLst>
            <a:ext uri="{FF2B5EF4-FFF2-40B4-BE49-F238E27FC236}">
              <a16:creationId xmlns:a16="http://schemas.microsoft.com/office/drawing/2014/main" id="{6F9EDE72-F45A-47C0-94BB-20CBBC5FE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52" name="BEx5BJQWS6YWHH4ZMSUAMD641V6Y" descr="ZTMFMXCIQSECDX38ALEFHUB00" hidden="1">
          <a:extLst>
            <a:ext uri="{FF2B5EF4-FFF2-40B4-BE49-F238E27FC236}">
              <a16:creationId xmlns:a16="http://schemas.microsoft.com/office/drawing/2014/main" id="{3779972C-7014-4EA3-B8C5-827C676CE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53" name="BExUBK0YZ5VYFY8TTITJGJU9S06A" hidden="1">
          <a:extLst>
            <a:ext uri="{FF2B5EF4-FFF2-40B4-BE49-F238E27FC236}">
              <a16:creationId xmlns:a16="http://schemas.microsoft.com/office/drawing/2014/main" id="{EDC25694-8212-4CCF-A78C-1079D0C85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54" name="BEx5BJQWS6YWHH4ZMSUAMD641V6Y" descr="ZTMFMXCIQSECDX38ALEFHUB00" hidden="1">
          <a:extLst>
            <a:ext uri="{FF2B5EF4-FFF2-40B4-BE49-F238E27FC236}">
              <a16:creationId xmlns:a16="http://schemas.microsoft.com/office/drawing/2014/main" id="{CC83153D-50F3-459E-A3FB-B23871C3B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055" name="BExUBK0YZ5VYFY8TTITJGJU9S06A" hidden="1">
          <a:extLst>
            <a:ext uri="{FF2B5EF4-FFF2-40B4-BE49-F238E27FC236}">
              <a16:creationId xmlns:a16="http://schemas.microsoft.com/office/drawing/2014/main" id="{A13CDFC1-C71E-437E-A6AC-7E4F39667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56" name="BEx5BJQWS6YWHH4ZMSUAMD641V6Y" descr="ZTMFMXCIQSECDX38ALEFHUB00" hidden="1">
          <a:extLst>
            <a:ext uri="{FF2B5EF4-FFF2-40B4-BE49-F238E27FC236}">
              <a16:creationId xmlns:a16="http://schemas.microsoft.com/office/drawing/2014/main" id="{C3EE1773-AE58-4F6A-9433-C9FBCD74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57" name="BExUBK0YZ5VYFY8TTITJGJU9S06A" hidden="1">
          <a:extLst>
            <a:ext uri="{FF2B5EF4-FFF2-40B4-BE49-F238E27FC236}">
              <a16:creationId xmlns:a16="http://schemas.microsoft.com/office/drawing/2014/main" id="{B08E01F1-308B-48C7-BC93-5E5CE2C7A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58" name="BEx5BJQWS6YWHH4ZMSUAMD641V6Y" descr="ZTMFMXCIQSECDX38ALEFHUB00" hidden="1">
          <a:extLst>
            <a:ext uri="{FF2B5EF4-FFF2-40B4-BE49-F238E27FC236}">
              <a16:creationId xmlns:a16="http://schemas.microsoft.com/office/drawing/2014/main" id="{D52700D4-4313-48FE-BFCD-FBACD910B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59" name="BExUBK0YZ5VYFY8TTITJGJU9S06A" hidden="1">
          <a:extLst>
            <a:ext uri="{FF2B5EF4-FFF2-40B4-BE49-F238E27FC236}">
              <a16:creationId xmlns:a16="http://schemas.microsoft.com/office/drawing/2014/main" id="{9230A332-67A4-446C-A1E6-DA785B4E8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60" name="BEx5BJQWS6YWHH4ZMSUAMD641V6Y" descr="ZTMFMXCIQSECDX38ALEFHUB00" hidden="1">
          <a:extLst>
            <a:ext uri="{FF2B5EF4-FFF2-40B4-BE49-F238E27FC236}">
              <a16:creationId xmlns:a16="http://schemas.microsoft.com/office/drawing/2014/main" id="{78DF0974-52FC-45AA-AD84-E122A7752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61" name="BExUBK0YZ5VYFY8TTITJGJU9S06A" hidden="1">
          <a:extLst>
            <a:ext uri="{FF2B5EF4-FFF2-40B4-BE49-F238E27FC236}">
              <a16:creationId xmlns:a16="http://schemas.microsoft.com/office/drawing/2014/main" id="{EB1A5D6C-B3EE-4976-A407-80717D41B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62" name="BEx5BJQWS6YWHH4ZMSUAMD641V6Y" descr="ZTMFMXCIQSECDX38ALEFHUB00" hidden="1">
          <a:extLst>
            <a:ext uri="{FF2B5EF4-FFF2-40B4-BE49-F238E27FC236}">
              <a16:creationId xmlns:a16="http://schemas.microsoft.com/office/drawing/2014/main" id="{3ADC05EA-71C7-46D3-8F8A-A8ABCA32F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63" name="BExUBK0YZ5VYFY8TTITJGJU9S06A" hidden="1">
          <a:extLst>
            <a:ext uri="{FF2B5EF4-FFF2-40B4-BE49-F238E27FC236}">
              <a16:creationId xmlns:a16="http://schemas.microsoft.com/office/drawing/2014/main" id="{2D04E787-DD31-49FF-B927-667BB13D8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64" name="BEx5BJQWS6YWHH4ZMSUAMD641V6Y" descr="ZTMFMXCIQSECDX38ALEFHUB00" hidden="1">
          <a:extLst>
            <a:ext uri="{FF2B5EF4-FFF2-40B4-BE49-F238E27FC236}">
              <a16:creationId xmlns:a16="http://schemas.microsoft.com/office/drawing/2014/main" id="{62985C4C-0455-47C2-932E-DDCBB50CC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65" name="BExUBK0YZ5VYFY8TTITJGJU9S06A" hidden="1">
          <a:extLst>
            <a:ext uri="{FF2B5EF4-FFF2-40B4-BE49-F238E27FC236}">
              <a16:creationId xmlns:a16="http://schemas.microsoft.com/office/drawing/2014/main" id="{E1A3837F-91A9-45A9-AD47-ACAE5F0F0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66" name="BEx5BJQWS6YWHH4ZMSUAMD641V6Y" descr="ZTMFMXCIQSECDX38ALEFHUB00" hidden="1">
          <a:extLst>
            <a:ext uri="{FF2B5EF4-FFF2-40B4-BE49-F238E27FC236}">
              <a16:creationId xmlns:a16="http://schemas.microsoft.com/office/drawing/2014/main" id="{42F0E4A8-2C7E-4F06-9CF4-F9F496338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67" name="BExUBK0YZ5VYFY8TTITJGJU9S06A" hidden="1">
          <a:extLst>
            <a:ext uri="{FF2B5EF4-FFF2-40B4-BE49-F238E27FC236}">
              <a16:creationId xmlns:a16="http://schemas.microsoft.com/office/drawing/2014/main" id="{7BF2256C-BE22-4C6C-9A87-34E2FEC1D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68" name="BEx5BJQWS6YWHH4ZMSUAMD641V6Y" descr="ZTMFMXCIQSECDX38ALEFHUB00" hidden="1">
          <a:extLst>
            <a:ext uri="{FF2B5EF4-FFF2-40B4-BE49-F238E27FC236}">
              <a16:creationId xmlns:a16="http://schemas.microsoft.com/office/drawing/2014/main" id="{8867AECE-E48B-4780-918C-4426CF25D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69" name="BExUBK0YZ5VYFY8TTITJGJU9S06A" hidden="1">
          <a:extLst>
            <a:ext uri="{FF2B5EF4-FFF2-40B4-BE49-F238E27FC236}">
              <a16:creationId xmlns:a16="http://schemas.microsoft.com/office/drawing/2014/main" id="{EB3868DF-AEAC-448D-ACEA-72C303F20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70" name="BEx5BJQWS6YWHH4ZMSUAMD641V6Y" descr="ZTMFMXCIQSECDX38ALEFHUB00" hidden="1">
          <a:extLst>
            <a:ext uri="{FF2B5EF4-FFF2-40B4-BE49-F238E27FC236}">
              <a16:creationId xmlns:a16="http://schemas.microsoft.com/office/drawing/2014/main" id="{3BA1B720-3398-46C3-8D0D-4F3861AFF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71" name="BExUBK0YZ5VYFY8TTITJGJU9S06A" hidden="1">
          <a:extLst>
            <a:ext uri="{FF2B5EF4-FFF2-40B4-BE49-F238E27FC236}">
              <a16:creationId xmlns:a16="http://schemas.microsoft.com/office/drawing/2014/main" id="{FBCACBD1-0EDB-4ACB-881F-A30684F34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72" name="BEx5BJQWS6YWHH4ZMSUAMD641V6Y" descr="ZTMFMXCIQSECDX38ALEFHUB00" hidden="1">
          <a:extLst>
            <a:ext uri="{FF2B5EF4-FFF2-40B4-BE49-F238E27FC236}">
              <a16:creationId xmlns:a16="http://schemas.microsoft.com/office/drawing/2014/main" id="{A4B94B2C-3BD1-46D3-BDF2-9E5E2BECC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73" name="BExUBK0YZ5VYFY8TTITJGJU9S06A" hidden="1">
          <a:extLst>
            <a:ext uri="{FF2B5EF4-FFF2-40B4-BE49-F238E27FC236}">
              <a16:creationId xmlns:a16="http://schemas.microsoft.com/office/drawing/2014/main" id="{A2B69549-2ECB-44FD-A1D3-99D4F8B6A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74" name="BEx5BJQWS6YWHH4ZMSUAMD641V6Y" descr="ZTMFMXCIQSECDX38ALEFHUB00" hidden="1">
          <a:extLst>
            <a:ext uri="{FF2B5EF4-FFF2-40B4-BE49-F238E27FC236}">
              <a16:creationId xmlns:a16="http://schemas.microsoft.com/office/drawing/2014/main" id="{C6B5E233-2C6D-424B-A2E9-2146B3306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75" name="BExUBK0YZ5VYFY8TTITJGJU9S06A" hidden="1">
          <a:extLst>
            <a:ext uri="{FF2B5EF4-FFF2-40B4-BE49-F238E27FC236}">
              <a16:creationId xmlns:a16="http://schemas.microsoft.com/office/drawing/2014/main" id="{1D2BFEC4-FC4C-42EB-B099-92B0AAE0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76" name="BEx5BJQWS6YWHH4ZMSUAMD641V6Y" descr="ZTMFMXCIQSECDX38ALEFHUB00" hidden="1">
          <a:extLst>
            <a:ext uri="{FF2B5EF4-FFF2-40B4-BE49-F238E27FC236}">
              <a16:creationId xmlns:a16="http://schemas.microsoft.com/office/drawing/2014/main" id="{AF66F20C-293F-407D-98F1-1B533A437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77" name="BExUBK0YZ5VYFY8TTITJGJU9S06A" hidden="1">
          <a:extLst>
            <a:ext uri="{FF2B5EF4-FFF2-40B4-BE49-F238E27FC236}">
              <a16:creationId xmlns:a16="http://schemas.microsoft.com/office/drawing/2014/main" id="{A1B96720-665A-4C21-8670-25A8BB4FA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78" name="BEx5BJQWS6YWHH4ZMSUAMD641V6Y" descr="ZTMFMXCIQSECDX38ALEFHUB00" hidden="1">
          <a:extLst>
            <a:ext uri="{FF2B5EF4-FFF2-40B4-BE49-F238E27FC236}">
              <a16:creationId xmlns:a16="http://schemas.microsoft.com/office/drawing/2014/main" id="{FCF92F47-6063-48E7-955E-F8A2E633E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79" name="BExUBK0YZ5VYFY8TTITJGJU9S06A" hidden="1">
          <a:extLst>
            <a:ext uri="{FF2B5EF4-FFF2-40B4-BE49-F238E27FC236}">
              <a16:creationId xmlns:a16="http://schemas.microsoft.com/office/drawing/2014/main" id="{786B906C-D11E-4E12-AEFA-F3D2E546D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80" name="BEx5BJQWS6YWHH4ZMSUAMD641V6Y" descr="ZTMFMXCIQSECDX38ALEFHUB00" hidden="1">
          <a:extLst>
            <a:ext uri="{FF2B5EF4-FFF2-40B4-BE49-F238E27FC236}">
              <a16:creationId xmlns:a16="http://schemas.microsoft.com/office/drawing/2014/main" id="{B69E10B5-423C-417F-8678-1DFFA719D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81" name="BExUBK0YZ5VYFY8TTITJGJU9S06A" hidden="1">
          <a:extLst>
            <a:ext uri="{FF2B5EF4-FFF2-40B4-BE49-F238E27FC236}">
              <a16:creationId xmlns:a16="http://schemas.microsoft.com/office/drawing/2014/main" id="{8A4F8806-80C2-4E0A-8E93-7C3E63EE3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82" name="BEx5BJQWS6YWHH4ZMSUAMD641V6Y" descr="ZTMFMXCIQSECDX38ALEFHUB00" hidden="1">
          <a:extLst>
            <a:ext uri="{FF2B5EF4-FFF2-40B4-BE49-F238E27FC236}">
              <a16:creationId xmlns:a16="http://schemas.microsoft.com/office/drawing/2014/main" id="{1AD08EC9-E865-4422-9BF2-62990DFEA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83" name="BExUBK0YZ5VYFY8TTITJGJU9S06A" hidden="1">
          <a:extLst>
            <a:ext uri="{FF2B5EF4-FFF2-40B4-BE49-F238E27FC236}">
              <a16:creationId xmlns:a16="http://schemas.microsoft.com/office/drawing/2014/main" id="{C58DB78C-FD56-422D-AA85-A94561B77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84" name="BEx5BJQWS6YWHH4ZMSUAMD641V6Y" descr="ZTMFMXCIQSECDX38ALEFHUB00" hidden="1">
          <a:extLst>
            <a:ext uri="{FF2B5EF4-FFF2-40B4-BE49-F238E27FC236}">
              <a16:creationId xmlns:a16="http://schemas.microsoft.com/office/drawing/2014/main" id="{6E5F8314-DBEB-4853-B33C-ED0B132D1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85" name="BExUBK0YZ5VYFY8TTITJGJU9S06A" hidden="1">
          <a:extLst>
            <a:ext uri="{FF2B5EF4-FFF2-40B4-BE49-F238E27FC236}">
              <a16:creationId xmlns:a16="http://schemas.microsoft.com/office/drawing/2014/main" id="{F2A5C695-4A3C-4E0A-9083-FA455A38B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86" name="BEx5BJQWS6YWHH4ZMSUAMD641V6Y" descr="ZTMFMXCIQSECDX38ALEFHUB00" hidden="1">
          <a:extLst>
            <a:ext uri="{FF2B5EF4-FFF2-40B4-BE49-F238E27FC236}">
              <a16:creationId xmlns:a16="http://schemas.microsoft.com/office/drawing/2014/main" id="{2DC038C8-605E-45AF-BBD0-32CCDA701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87" name="BExUBK0YZ5VYFY8TTITJGJU9S06A" hidden="1">
          <a:extLst>
            <a:ext uri="{FF2B5EF4-FFF2-40B4-BE49-F238E27FC236}">
              <a16:creationId xmlns:a16="http://schemas.microsoft.com/office/drawing/2014/main" id="{D6DA5C64-615F-4230-9C1E-37A70DECD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88" name="BEx5BJQWS6YWHH4ZMSUAMD641V6Y" descr="ZTMFMXCIQSECDX38ALEFHUB00" hidden="1">
          <a:extLst>
            <a:ext uri="{FF2B5EF4-FFF2-40B4-BE49-F238E27FC236}">
              <a16:creationId xmlns:a16="http://schemas.microsoft.com/office/drawing/2014/main" id="{DC7D8521-BF78-40DB-8AD7-B2FC49BC0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89" name="BExUBK0YZ5VYFY8TTITJGJU9S06A" hidden="1">
          <a:extLst>
            <a:ext uri="{FF2B5EF4-FFF2-40B4-BE49-F238E27FC236}">
              <a16:creationId xmlns:a16="http://schemas.microsoft.com/office/drawing/2014/main" id="{5EA307E3-C38D-4DEC-A61F-D68EDA581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90" name="BEx5BJQWS6YWHH4ZMSUAMD641V6Y" descr="ZTMFMXCIQSECDX38ALEFHUB00" hidden="1">
          <a:extLst>
            <a:ext uri="{FF2B5EF4-FFF2-40B4-BE49-F238E27FC236}">
              <a16:creationId xmlns:a16="http://schemas.microsoft.com/office/drawing/2014/main" id="{067598E1-DA85-489B-94F4-048E2A0FE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91" name="BExUBK0YZ5VYFY8TTITJGJU9S06A" hidden="1">
          <a:extLst>
            <a:ext uri="{FF2B5EF4-FFF2-40B4-BE49-F238E27FC236}">
              <a16:creationId xmlns:a16="http://schemas.microsoft.com/office/drawing/2014/main" id="{082FEAD5-F9AF-4AD4-B4B7-780B6700E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92" name="BEx5BJQWS6YWHH4ZMSUAMD641V6Y" descr="ZTMFMXCIQSECDX38ALEFHUB00" hidden="1">
          <a:extLst>
            <a:ext uri="{FF2B5EF4-FFF2-40B4-BE49-F238E27FC236}">
              <a16:creationId xmlns:a16="http://schemas.microsoft.com/office/drawing/2014/main" id="{5903B567-36F5-4498-8006-30E3FA878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93" name="BExUBK0YZ5VYFY8TTITJGJU9S06A" hidden="1">
          <a:extLst>
            <a:ext uri="{FF2B5EF4-FFF2-40B4-BE49-F238E27FC236}">
              <a16:creationId xmlns:a16="http://schemas.microsoft.com/office/drawing/2014/main" id="{E4A274AD-25D5-4419-9094-0D0232C72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94" name="BEx5BJQWS6YWHH4ZMSUAMD641V6Y" descr="ZTMFMXCIQSECDX38ALEFHUB00" hidden="1">
          <a:extLst>
            <a:ext uri="{FF2B5EF4-FFF2-40B4-BE49-F238E27FC236}">
              <a16:creationId xmlns:a16="http://schemas.microsoft.com/office/drawing/2014/main" id="{08141D64-B66A-4ECF-BA0A-25436C480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95" name="BExUBK0YZ5VYFY8TTITJGJU9S06A" hidden="1">
          <a:extLst>
            <a:ext uri="{FF2B5EF4-FFF2-40B4-BE49-F238E27FC236}">
              <a16:creationId xmlns:a16="http://schemas.microsoft.com/office/drawing/2014/main" id="{7D04EA15-F917-44F7-B7B3-A447D0024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96" name="BEx5BJQWS6YWHH4ZMSUAMD641V6Y" descr="ZTMFMXCIQSECDX38ALEFHUB00" hidden="1">
          <a:extLst>
            <a:ext uri="{FF2B5EF4-FFF2-40B4-BE49-F238E27FC236}">
              <a16:creationId xmlns:a16="http://schemas.microsoft.com/office/drawing/2014/main" id="{BB1444A0-F554-4774-A22F-5F0A31E8D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97" name="BExUBK0YZ5VYFY8TTITJGJU9S06A" hidden="1">
          <a:extLst>
            <a:ext uri="{FF2B5EF4-FFF2-40B4-BE49-F238E27FC236}">
              <a16:creationId xmlns:a16="http://schemas.microsoft.com/office/drawing/2014/main" id="{6EFFE25B-E55F-4F27-B141-DA71B0D95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98" name="BEx5BJQWS6YWHH4ZMSUAMD641V6Y" descr="ZTMFMXCIQSECDX38ALEFHUB00" hidden="1">
          <a:extLst>
            <a:ext uri="{FF2B5EF4-FFF2-40B4-BE49-F238E27FC236}">
              <a16:creationId xmlns:a16="http://schemas.microsoft.com/office/drawing/2014/main" id="{3CCC5547-E442-4A87-AC57-3BBCB8DE3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099" name="BExUBK0YZ5VYFY8TTITJGJU9S06A" hidden="1">
          <a:extLst>
            <a:ext uri="{FF2B5EF4-FFF2-40B4-BE49-F238E27FC236}">
              <a16:creationId xmlns:a16="http://schemas.microsoft.com/office/drawing/2014/main" id="{35A04479-1449-4388-9640-988ED8CF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00" name="BEx5BJQWS6YWHH4ZMSUAMD641V6Y" descr="ZTMFMXCIQSECDX38ALEFHUB00" hidden="1">
          <a:extLst>
            <a:ext uri="{FF2B5EF4-FFF2-40B4-BE49-F238E27FC236}">
              <a16:creationId xmlns:a16="http://schemas.microsoft.com/office/drawing/2014/main" id="{35D8E418-C37B-4F24-8798-5FDECA3A7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01" name="BExUBK0YZ5VYFY8TTITJGJU9S06A" hidden="1">
          <a:extLst>
            <a:ext uri="{FF2B5EF4-FFF2-40B4-BE49-F238E27FC236}">
              <a16:creationId xmlns:a16="http://schemas.microsoft.com/office/drawing/2014/main" id="{5A68628F-5A79-4548-B389-22C9321CF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02" name="BEx5BJQWS6YWHH4ZMSUAMD641V6Y" descr="ZTMFMXCIQSECDX38ALEFHUB00" hidden="1">
          <a:extLst>
            <a:ext uri="{FF2B5EF4-FFF2-40B4-BE49-F238E27FC236}">
              <a16:creationId xmlns:a16="http://schemas.microsoft.com/office/drawing/2014/main" id="{A9F78352-E137-4FAD-8360-822C3AB76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03" name="BExUBK0YZ5VYFY8TTITJGJU9S06A" hidden="1">
          <a:extLst>
            <a:ext uri="{FF2B5EF4-FFF2-40B4-BE49-F238E27FC236}">
              <a16:creationId xmlns:a16="http://schemas.microsoft.com/office/drawing/2014/main" id="{AABBD450-521F-4429-93E0-19E7B4E48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04" name="BEx5BJQWS6YWHH4ZMSUAMD641V6Y" descr="ZTMFMXCIQSECDX38ALEFHUB00" hidden="1">
          <a:extLst>
            <a:ext uri="{FF2B5EF4-FFF2-40B4-BE49-F238E27FC236}">
              <a16:creationId xmlns:a16="http://schemas.microsoft.com/office/drawing/2014/main" id="{4ADD7AEE-AC68-4F64-9716-F5784DCE0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05" name="BExUBK0YZ5VYFY8TTITJGJU9S06A" hidden="1">
          <a:extLst>
            <a:ext uri="{FF2B5EF4-FFF2-40B4-BE49-F238E27FC236}">
              <a16:creationId xmlns:a16="http://schemas.microsoft.com/office/drawing/2014/main" id="{AB5DF4C1-990A-42FD-A53E-AE882AE65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06" name="BEx5BJQWS6YWHH4ZMSUAMD641V6Y" descr="ZTMFMXCIQSECDX38ALEFHUB00" hidden="1">
          <a:extLst>
            <a:ext uri="{FF2B5EF4-FFF2-40B4-BE49-F238E27FC236}">
              <a16:creationId xmlns:a16="http://schemas.microsoft.com/office/drawing/2014/main" id="{3BA58E0C-C567-4852-B03E-1D07D80B5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07" name="BExUBK0YZ5VYFY8TTITJGJU9S06A" hidden="1">
          <a:extLst>
            <a:ext uri="{FF2B5EF4-FFF2-40B4-BE49-F238E27FC236}">
              <a16:creationId xmlns:a16="http://schemas.microsoft.com/office/drawing/2014/main" id="{AF2180E7-4348-43EF-9849-4EFBD01C8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08" name="BEx5BJQWS6YWHH4ZMSUAMD641V6Y" descr="ZTMFMXCIQSECDX38ALEFHUB00" hidden="1">
          <a:extLst>
            <a:ext uri="{FF2B5EF4-FFF2-40B4-BE49-F238E27FC236}">
              <a16:creationId xmlns:a16="http://schemas.microsoft.com/office/drawing/2014/main" id="{D8726078-3449-49EC-B04F-82D406528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09" name="BExUBK0YZ5VYFY8TTITJGJU9S06A" hidden="1">
          <a:extLst>
            <a:ext uri="{FF2B5EF4-FFF2-40B4-BE49-F238E27FC236}">
              <a16:creationId xmlns:a16="http://schemas.microsoft.com/office/drawing/2014/main" id="{37E4F2EA-D494-49CD-A39B-8479D9E0C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10" name="BEx5BJQWS6YWHH4ZMSUAMD641V6Y" descr="ZTMFMXCIQSECDX38ALEFHUB00" hidden="1">
          <a:extLst>
            <a:ext uri="{FF2B5EF4-FFF2-40B4-BE49-F238E27FC236}">
              <a16:creationId xmlns:a16="http://schemas.microsoft.com/office/drawing/2014/main" id="{74C5B9B7-891C-465B-8F64-27B37D0B1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11" name="BExUBK0YZ5VYFY8TTITJGJU9S06A" hidden="1">
          <a:extLst>
            <a:ext uri="{FF2B5EF4-FFF2-40B4-BE49-F238E27FC236}">
              <a16:creationId xmlns:a16="http://schemas.microsoft.com/office/drawing/2014/main" id="{AFB8D680-5182-430B-8CCF-99973ABE0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12" name="BEx5BJQWS6YWHH4ZMSUAMD641V6Y" descr="ZTMFMXCIQSECDX38ALEFHUB00" hidden="1">
          <a:extLst>
            <a:ext uri="{FF2B5EF4-FFF2-40B4-BE49-F238E27FC236}">
              <a16:creationId xmlns:a16="http://schemas.microsoft.com/office/drawing/2014/main" id="{D35DF925-9AED-4EDF-8408-63DB03F3B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13" name="BExUBK0YZ5VYFY8TTITJGJU9S06A" hidden="1">
          <a:extLst>
            <a:ext uri="{FF2B5EF4-FFF2-40B4-BE49-F238E27FC236}">
              <a16:creationId xmlns:a16="http://schemas.microsoft.com/office/drawing/2014/main" id="{BF2597B6-FFA4-4F71-ADDA-91126F8BE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14" name="BEx5BJQWS6YWHH4ZMSUAMD641V6Y" descr="ZTMFMXCIQSECDX38ALEFHUB00" hidden="1">
          <a:extLst>
            <a:ext uri="{FF2B5EF4-FFF2-40B4-BE49-F238E27FC236}">
              <a16:creationId xmlns:a16="http://schemas.microsoft.com/office/drawing/2014/main" id="{EC0C6B52-49C3-456F-B686-048AC9B3E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15" name="BExUBK0YZ5VYFY8TTITJGJU9S06A" hidden="1">
          <a:extLst>
            <a:ext uri="{FF2B5EF4-FFF2-40B4-BE49-F238E27FC236}">
              <a16:creationId xmlns:a16="http://schemas.microsoft.com/office/drawing/2014/main" id="{D3FFB458-992C-4059-8DEF-6E833EAF0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16" name="BEx5BJQWS6YWHH4ZMSUAMD641V6Y" descr="ZTMFMXCIQSECDX38ALEFHUB00" hidden="1">
          <a:extLst>
            <a:ext uri="{FF2B5EF4-FFF2-40B4-BE49-F238E27FC236}">
              <a16:creationId xmlns:a16="http://schemas.microsoft.com/office/drawing/2014/main" id="{C405CC7F-52F4-45E5-A9F1-E11EE10AE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17" name="BExUBK0YZ5VYFY8TTITJGJU9S06A" hidden="1">
          <a:extLst>
            <a:ext uri="{FF2B5EF4-FFF2-40B4-BE49-F238E27FC236}">
              <a16:creationId xmlns:a16="http://schemas.microsoft.com/office/drawing/2014/main" id="{5CB2E61B-A077-431F-9EA4-80504A69A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18" name="BEx5BJQWS6YWHH4ZMSUAMD641V6Y" descr="ZTMFMXCIQSECDX38ALEFHUB00" hidden="1">
          <a:extLst>
            <a:ext uri="{FF2B5EF4-FFF2-40B4-BE49-F238E27FC236}">
              <a16:creationId xmlns:a16="http://schemas.microsoft.com/office/drawing/2014/main" id="{9369C529-66E8-438F-B030-FE4CC915F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19" name="BExUBK0YZ5VYFY8TTITJGJU9S06A" hidden="1">
          <a:extLst>
            <a:ext uri="{FF2B5EF4-FFF2-40B4-BE49-F238E27FC236}">
              <a16:creationId xmlns:a16="http://schemas.microsoft.com/office/drawing/2014/main" id="{418D1D26-840C-452B-B1CF-652F9CA4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20" name="BEx5BJQWS6YWHH4ZMSUAMD641V6Y" descr="ZTMFMXCIQSECDX38ALEFHUB00" hidden="1">
          <a:extLst>
            <a:ext uri="{FF2B5EF4-FFF2-40B4-BE49-F238E27FC236}">
              <a16:creationId xmlns:a16="http://schemas.microsoft.com/office/drawing/2014/main" id="{7E14480E-E038-47AB-87BC-C2F178DB3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21" name="BExUBK0YZ5VYFY8TTITJGJU9S06A" hidden="1">
          <a:extLst>
            <a:ext uri="{FF2B5EF4-FFF2-40B4-BE49-F238E27FC236}">
              <a16:creationId xmlns:a16="http://schemas.microsoft.com/office/drawing/2014/main" id="{4A996308-BF74-4563-8B39-B863A5E89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22" name="BEx5BJQWS6YWHH4ZMSUAMD641V6Y" descr="ZTMFMXCIQSECDX38ALEFHUB00" hidden="1">
          <a:extLst>
            <a:ext uri="{FF2B5EF4-FFF2-40B4-BE49-F238E27FC236}">
              <a16:creationId xmlns:a16="http://schemas.microsoft.com/office/drawing/2014/main" id="{3F95F20E-D376-48FA-A356-14625F7B8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23" name="BExUBK0YZ5VYFY8TTITJGJU9S06A" hidden="1">
          <a:extLst>
            <a:ext uri="{FF2B5EF4-FFF2-40B4-BE49-F238E27FC236}">
              <a16:creationId xmlns:a16="http://schemas.microsoft.com/office/drawing/2014/main" id="{2E2C94F1-9F9F-46F2-A789-2D55CD376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24" name="BEx5BJQWS6YWHH4ZMSUAMD641V6Y" descr="ZTMFMXCIQSECDX38ALEFHUB00" hidden="1">
          <a:extLst>
            <a:ext uri="{FF2B5EF4-FFF2-40B4-BE49-F238E27FC236}">
              <a16:creationId xmlns:a16="http://schemas.microsoft.com/office/drawing/2014/main" id="{BBEC0D8A-492E-4C8F-88B4-9707688C8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25" name="BExUBK0YZ5VYFY8TTITJGJU9S06A" hidden="1">
          <a:extLst>
            <a:ext uri="{FF2B5EF4-FFF2-40B4-BE49-F238E27FC236}">
              <a16:creationId xmlns:a16="http://schemas.microsoft.com/office/drawing/2014/main" id="{9E624F8C-BD5A-4FDD-B2E6-F4B97D1C8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26" name="BEx5BJQWS6YWHH4ZMSUAMD641V6Y" descr="ZTMFMXCIQSECDX38ALEFHUB00" hidden="1">
          <a:extLst>
            <a:ext uri="{FF2B5EF4-FFF2-40B4-BE49-F238E27FC236}">
              <a16:creationId xmlns:a16="http://schemas.microsoft.com/office/drawing/2014/main" id="{55E6B5D2-85C3-48FC-9595-1304F0BEA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27" name="BExUBK0YZ5VYFY8TTITJGJU9S06A" hidden="1">
          <a:extLst>
            <a:ext uri="{FF2B5EF4-FFF2-40B4-BE49-F238E27FC236}">
              <a16:creationId xmlns:a16="http://schemas.microsoft.com/office/drawing/2014/main" id="{EFF39061-0759-49C6-BD0E-23C2DE3EB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28" name="BEx5BJQWS6YWHH4ZMSUAMD641V6Y" descr="ZTMFMXCIQSECDX38ALEFHUB00" hidden="1">
          <a:extLst>
            <a:ext uri="{FF2B5EF4-FFF2-40B4-BE49-F238E27FC236}">
              <a16:creationId xmlns:a16="http://schemas.microsoft.com/office/drawing/2014/main" id="{9E7E8EEB-7011-4AD7-90C2-C71BEF5EA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29" name="BExUBK0YZ5VYFY8TTITJGJU9S06A" hidden="1">
          <a:extLst>
            <a:ext uri="{FF2B5EF4-FFF2-40B4-BE49-F238E27FC236}">
              <a16:creationId xmlns:a16="http://schemas.microsoft.com/office/drawing/2014/main" id="{F4310791-0DC2-4858-88CA-AE60D5E3A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30" name="BEx5BJQWS6YWHH4ZMSUAMD641V6Y" descr="ZTMFMXCIQSECDX38ALEFHUB00" hidden="1">
          <a:extLst>
            <a:ext uri="{FF2B5EF4-FFF2-40B4-BE49-F238E27FC236}">
              <a16:creationId xmlns:a16="http://schemas.microsoft.com/office/drawing/2014/main" id="{98973398-C4E7-4C17-B761-023E1FBD9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31" name="BExUBK0YZ5VYFY8TTITJGJU9S06A" hidden="1">
          <a:extLst>
            <a:ext uri="{FF2B5EF4-FFF2-40B4-BE49-F238E27FC236}">
              <a16:creationId xmlns:a16="http://schemas.microsoft.com/office/drawing/2014/main" id="{C0585846-7685-42D5-959F-967DF4443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32" name="BEx5BJQWS6YWHH4ZMSUAMD641V6Y" descr="ZTMFMXCIQSECDX38ALEFHUB00" hidden="1">
          <a:extLst>
            <a:ext uri="{FF2B5EF4-FFF2-40B4-BE49-F238E27FC236}">
              <a16:creationId xmlns:a16="http://schemas.microsoft.com/office/drawing/2014/main" id="{B9FB74B6-B2DF-4C5D-BE57-33B32DF11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33" name="BExUBK0YZ5VYFY8TTITJGJU9S06A" hidden="1">
          <a:extLst>
            <a:ext uri="{FF2B5EF4-FFF2-40B4-BE49-F238E27FC236}">
              <a16:creationId xmlns:a16="http://schemas.microsoft.com/office/drawing/2014/main" id="{D51D1CF5-17BA-452A-89B3-3C1B0756A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34" name="BEx5BJQWS6YWHH4ZMSUAMD641V6Y" descr="ZTMFMXCIQSECDX38ALEFHUB00" hidden="1">
          <a:extLst>
            <a:ext uri="{FF2B5EF4-FFF2-40B4-BE49-F238E27FC236}">
              <a16:creationId xmlns:a16="http://schemas.microsoft.com/office/drawing/2014/main" id="{962B48F3-B37F-488E-A242-2F52D21F5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35" name="BExUBK0YZ5VYFY8TTITJGJU9S06A" hidden="1">
          <a:extLst>
            <a:ext uri="{FF2B5EF4-FFF2-40B4-BE49-F238E27FC236}">
              <a16:creationId xmlns:a16="http://schemas.microsoft.com/office/drawing/2014/main" id="{9CA4D435-D05E-4465-9750-94C5906CE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36" name="BEx5BJQWS6YWHH4ZMSUAMD641V6Y" descr="ZTMFMXCIQSECDX38ALEFHUB00" hidden="1">
          <a:extLst>
            <a:ext uri="{FF2B5EF4-FFF2-40B4-BE49-F238E27FC236}">
              <a16:creationId xmlns:a16="http://schemas.microsoft.com/office/drawing/2014/main" id="{B12F3659-9E52-4895-9BAE-05DF27871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37" name="BExUBK0YZ5VYFY8TTITJGJU9S06A" hidden="1">
          <a:extLst>
            <a:ext uri="{FF2B5EF4-FFF2-40B4-BE49-F238E27FC236}">
              <a16:creationId xmlns:a16="http://schemas.microsoft.com/office/drawing/2014/main" id="{2076BB1C-CDA6-485D-85B4-79738C38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38" name="BEx5BJQWS6YWHH4ZMSUAMD641V6Y" descr="ZTMFMXCIQSECDX38ALEFHUB00" hidden="1">
          <a:extLst>
            <a:ext uri="{FF2B5EF4-FFF2-40B4-BE49-F238E27FC236}">
              <a16:creationId xmlns:a16="http://schemas.microsoft.com/office/drawing/2014/main" id="{CC7E2821-A519-42CF-835A-D2C4C5C76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39" name="BExUBK0YZ5VYFY8TTITJGJU9S06A" hidden="1">
          <a:extLst>
            <a:ext uri="{FF2B5EF4-FFF2-40B4-BE49-F238E27FC236}">
              <a16:creationId xmlns:a16="http://schemas.microsoft.com/office/drawing/2014/main" id="{F7173DD4-98E8-4BC4-99DD-9018CC0A7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40" name="BEx5BJQWS6YWHH4ZMSUAMD641V6Y" descr="ZTMFMXCIQSECDX38ALEFHUB00" hidden="1">
          <a:extLst>
            <a:ext uri="{FF2B5EF4-FFF2-40B4-BE49-F238E27FC236}">
              <a16:creationId xmlns:a16="http://schemas.microsoft.com/office/drawing/2014/main" id="{08C884D2-E9F3-4444-92A1-BE097F90C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41" name="BExUBK0YZ5VYFY8TTITJGJU9S06A" hidden="1">
          <a:extLst>
            <a:ext uri="{FF2B5EF4-FFF2-40B4-BE49-F238E27FC236}">
              <a16:creationId xmlns:a16="http://schemas.microsoft.com/office/drawing/2014/main" id="{0E795BAA-CD73-485C-A8B6-7A96A569C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42" name="BEx5BJQWS6YWHH4ZMSUAMD641V6Y" descr="ZTMFMXCIQSECDX38ALEFHUB00" hidden="1">
          <a:extLst>
            <a:ext uri="{FF2B5EF4-FFF2-40B4-BE49-F238E27FC236}">
              <a16:creationId xmlns:a16="http://schemas.microsoft.com/office/drawing/2014/main" id="{5BD6515B-DBC0-4065-BA3F-564286FB5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1143" name="BExUBK0YZ5VYFY8TTITJGJU9S06A" hidden="1">
          <a:extLst>
            <a:ext uri="{FF2B5EF4-FFF2-40B4-BE49-F238E27FC236}">
              <a16:creationId xmlns:a16="http://schemas.microsoft.com/office/drawing/2014/main" id="{5BBC88D4-ADD4-47C5-9785-BD076D5AB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144" name="BEx1KD7H6UB1VYCJ7O61P562EIUY" descr="IQGV9140X0K0UPBL8OGU3I44J" hidden="1">
          <a:extLst>
            <a:ext uri="{FF2B5EF4-FFF2-40B4-BE49-F238E27FC236}">
              <a16:creationId xmlns:a16="http://schemas.microsoft.com/office/drawing/2014/main" id="{187655D1-8E99-4DAF-B3DE-C2F02196F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1145" name="BEx5BJQWS6YWHH4ZMSUAMD641V6Y" descr="ZTMFMXCIQSECDX38ALEFHUB00" hidden="1">
          <a:extLst>
            <a:ext uri="{FF2B5EF4-FFF2-40B4-BE49-F238E27FC236}">
              <a16:creationId xmlns:a16="http://schemas.microsoft.com/office/drawing/2014/main" id="{161DC054-BD00-499F-B3CE-5638EC635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146" name="BEx5AQZ4ETQ9LMY5EBWVH20Z7VXQ" hidden="1">
          <a:extLst>
            <a:ext uri="{FF2B5EF4-FFF2-40B4-BE49-F238E27FC236}">
              <a16:creationId xmlns:a16="http://schemas.microsoft.com/office/drawing/2014/main" id="{25F56CA1-B236-4BDC-BE84-A5F297F7F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1147" name="BExUBK0YZ5VYFY8TTITJGJU9S06A" hidden="1">
          <a:extLst>
            <a:ext uri="{FF2B5EF4-FFF2-40B4-BE49-F238E27FC236}">
              <a16:creationId xmlns:a16="http://schemas.microsoft.com/office/drawing/2014/main" id="{9DC0B91C-F742-4D99-A590-4A29921EF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48" name="BEx5BJQWS6YWHH4ZMSUAMD641V6Y" descr="ZTMFMXCIQSECDX38ALEFHUB00" hidden="1">
          <a:extLst>
            <a:ext uri="{FF2B5EF4-FFF2-40B4-BE49-F238E27FC236}">
              <a16:creationId xmlns:a16="http://schemas.microsoft.com/office/drawing/2014/main" id="{17F399A2-3AEB-4419-B7B2-792E34055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49" name="BExUBK0YZ5VYFY8TTITJGJU9S06A" hidden="1">
          <a:extLst>
            <a:ext uri="{FF2B5EF4-FFF2-40B4-BE49-F238E27FC236}">
              <a16:creationId xmlns:a16="http://schemas.microsoft.com/office/drawing/2014/main" id="{0923C10B-B44A-4D97-8CCF-7930C197F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50" name="BEx5BJQWS6YWHH4ZMSUAMD641V6Y" descr="ZTMFMXCIQSECDX38ALEFHUB00" hidden="1">
          <a:extLst>
            <a:ext uri="{FF2B5EF4-FFF2-40B4-BE49-F238E27FC236}">
              <a16:creationId xmlns:a16="http://schemas.microsoft.com/office/drawing/2014/main" id="{F5C4DF5F-93EB-40C7-B2C3-08C760816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51" name="BExUBK0YZ5VYFY8TTITJGJU9S06A" hidden="1">
          <a:extLst>
            <a:ext uri="{FF2B5EF4-FFF2-40B4-BE49-F238E27FC236}">
              <a16:creationId xmlns:a16="http://schemas.microsoft.com/office/drawing/2014/main" id="{9773CECB-D176-415D-AFAB-596A6C08F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52" name="BEx5BJQWS6YWHH4ZMSUAMD641V6Y" descr="ZTMFMXCIQSECDX38ALEFHUB00" hidden="1">
          <a:extLst>
            <a:ext uri="{FF2B5EF4-FFF2-40B4-BE49-F238E27FC236}">
              <a16:creationId xmlns:a16="http://schemas.microsoft.com/office/drawing/2014/main" id="{C114401F-C202-4E19-9677-1C31A6CB1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53" name="BExUBK0YZ5VYFY8TTITJGJU9S06A" hidden="1">
          <a:extLst>
            <a:ext uri="{FF2B5EF4-FFF2-40B4-BE49-F238E27FC236}">
              <a16:creationId xmlns:a16="http://schemas.microsoft.com/office/drawing/2014/main" id="{CA136982-7DC0-4D30-8D0B-D670B22D0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54" name="BEx5BJQWS6YWHH4ZMSUAMD641V6Y" descr="ZTMFMXCIQSECDX38ALEFHUB00" hidden="1">
          <a:extLst>
            <a:ext uri="{FF2B5EF4-FFF2-40B4-BE49-F238E27FC236}">
              <a16:creationId xmlns:a16="http://schemas.microsoft.com/office/drawing/2014/main" id="{1D406D16-77BC-4667-8896-6B9627DD4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55" name="BExUBK0YZ5VYFY8TTITJGJU9S06A" hidden="1">
          <a:extLst>
            <a:ext uri="{FF2B5EF4-FFF2-40B4-BE49-F238E27FC236}">
              <a16:creationId xmlns:a16="http://schemas.microsoft.com/office/drawing/2014/main" id="{7F2EE0B2-C6FC-42F0-9D53-E96329CCE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56" name="BEx5BJQWS6YWHH4ZMSUAMD641V6Y" descr="ZTMFMXCIQSECDX38ALEFHUB00" hidden="1">
          <a:extLst>
            <a:ext uri="{FF2B5EF4-FFF2-40B4-BE49-F238E27FC236}">
              <a16:creationId xmlns:a16="http://schemas.microsoft.com/office/drawing/2014/main" id="{7CC402A4-60A8-490F-A63B-39EFDEEE0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57" name="BExUBK0YZ5VYFY8TTITJGJU9S06A" hidden="1">
          <a:extLst>
            <a:ext uri="{FF2B5EF4-FFF2-40B4-BE49-F238E27FC236}">
              <a16:creationId xmlns:a16="http://schemas.microsoft.com/office/drawing/2014/main" id="{F1B0C461-5D1A-4994-BE15-974FF931B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158" name="BEx1KD7H6UB1VYCJ7O61P562EIUY" descr="IQGV9140X0K0UPBL8OGU3I44J" hidden="1">
          <a:extLst>
            <a:ext uri="{FF2B5EF4-FFF2-40B4-BE49-F238E27FC236}">
              <a16:creationId xmlns:a16="http://schemas.microsoft.com/office/drawing/2014/main" id="{EDF1FAD8-8170-43B7-A391-B199A43DD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159" name="BEx5AQZ4ETQ9LMY5EBWVH20Z7VXQ" hidden="1">
          <a:extLst>
            <a:ext uri="{FF2B5EF4-FFF2-40B4-BE49-F238E27FC236}">
              <a16:creationId xmlns:a16="http://schemas.microsoft.com/office/drawing/2014/main" id="{0EDE331A-7F4B-4C78-B72D-166905EC3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160" name="BEx1KD7H6UB1VYCJ7O61P562EIUY" descr="IQGV9140X0K0UPBL8OGU3I44J" hidden="1">
          <a:extLst>
            <a:ext uri="{FF2B5EF4-FFF2-40B4-BE49-F238E27FC236}">
              <a16:creationId xmlns:a16="http://schemas.microsoft.com/office/drawing/2014/main" id="{8ECCD01D-1458-40A7-8601-735941152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161" name="BEx5AQZ4ETQ9LMY5EBWVH20Z7VXQ" hidden="1">
          <a:extLst>
            <a:ext uri="{FF2B5EF4-FFF2-40B4-BE49-F238E27FC236}">
              <a16:creationId xmlns:a16="http://schemas.microsoft.com/office/drawing/2014/main" id="{10E7BAC6-FDDC-44F8-B695-272F4AE5F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62" name="BEx5BJQWS6YWHH4ZMSUAMD641V6Y" descr="ZTMFMXCIQSECDX38ALEFHUB00" hidden="1">
          <a:extLst>
            <a:ext uri="{FF2B5EF4-FFF2-40B4-BE49-F238E27FC236}">
              <a16:creationId xmlns:a16="http://schemas.microsoft.com/office/drawing/2014/main" id="{2FFC8C9E-0F97-42E1-8BFA-63AEE3256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63" name="BExUBK0YZ5VYFY8TTITJGJU9S06A" hidden="1">
          <a:extLst>
            <a:ext uri="{FF2B5EF4-FFF2-40B4-BE49-F238E27FC236}">
              <a16:creationId xmlns:a16="http://schemas.microsoft.com/office/drawing/2014/main" id="{E6CBC9E0-8150-4320-8C8B-568532F6F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164" name="BEx1KD7H6UB1VYCJ7O61P562EIUY" descr="IQGV9140X0K0UPBL8OGU3I44J" hidden="1">
          <a:extLst>
            <a:ext uri="{FF2B5EF4-FFF2-40B4-BE49-F238E27FC236}">
              <a16:creationId xmlns:a16="http://schemas.microsoft.com/office/drawing/2014/main" id="{FFCEECE2-7FD7-4DFC-B4E2-74177483F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165" name="BEx5AQZ4ETQ9LMY5EBWVH20Z7VXQ" hidden="1">
          <a:extLst>
            <a:ext uri="{FF2B5EF4-FFF2-40B4-BE49-F238E27FC236}">
              <a16:creationId xmlns:a16="http://schemas.microsoft.com/office/drawing/2014/main" id="{5FDE07BC-6236-4BF2-A4EF-21C3C8813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66" name="BEx5BJQWS6YWHH4ZMSUAMD641V6Y" descr="ZTMFMXCIQSECDX38ALEFHUB00" hidden="1">
          <a:extLst>
            <a:ext uri="{FF2B5EF4-FFF2-40B4-BE49-F238E27FC236}">
              <a16:creationId xmlns:a16="http://schemas.microsoft.com/office/drawing/2014/main" id="{602835A8-4543-4C32-8F30-B886A5AB4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67" name="BExUBK0YZ5VYFY8TTITJGJU9S06A" hidden="1">
          <a:extLst>
            <a:ext uri="{FF2B5EF4-FFF2-40B4-BE49-F238E27FC236}">
              <a16:creationId xmlns:a16="http://schemas.microsoft.com/office/drawing/2014/main" id="{984039FE-FB6C-4AEA-8AA6-1BC5C5C0B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68" name="BEx5BJQWS6YWHH4ZMSUAMD641V6Y" descr="ZTMFMXCIQSECDX38ALEFHUB00" hidden="1">
          <a:extLst>
            <a:ext uri="{FF2B5EF4-FFF2-40B4-BE49-F238E27FC236}">
              <a16:creationId xmlns:a16="http://schemas.microsoft.com/office/drawing/2014/main" id="{6136E558-FFC5-45F1-8E3A-71551E7D0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69" name="BExUBK0YZ5VYFY8TTITJGJU9S06A" hidden="1">
          <a:extLst>
            <a:ext uri="{FF2B5EF4-FFF2-40B4-BE49-F238E27FC236}">
              <a16:creationId xmlns:a16="http://schemas.microsoft.com/office/drawing/2014/main" id="{49B50462-0503-448B-A539-3A727BE0C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170" name="BEx1KD7H6UB1VYCJ7O61P562EIUY" descr="IQGV9140X0K0UPBL8OGU3I44J" hidden="1">
          <a:extLst>
            <a:ext uri="{FF2B5EF4-FFF2-40B4-BE49-F238E27FC236}">
              <a16:creationId xmlns:a16="http://schemas.microsoft.com/office/drawing/2014/main" id="{E57B68EC-CA04-4B53-9D19-F56DA16C4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171" name="BEx5AQZ4ETQ9LMY5EBWVH20Z7VXQ" hidden="1">
          <a:extLst>
            <a:ext uri="{FF2B5EF4-FFF2-40B4-BE49-F238E27FC236}">
              <a16:creationId xmlns:a16="http://schemas.microsoft.com/office/drawing/2014/main" id="{001D3E96-B831-4532-9A3A-E7C29412A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72" name="BEx5BJQWS6YWHH4ZMSUAMD641V6Y" descr="ZTMFMXCIQSECDX38ALEFHUB00" hidden="1">
          <a:extLst>
            <a:ext uri="{FF2B5EF4-FFF2-40B4-BE49-F238E27FC236}">
              <a16:creationId xmlns:a16="http://schemas.microsoft.com/office/drawing/2014/main" id="{80C16DE8-4EC7-47BD-AF3E-EB20F47EF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73" name="BExUBK0YZ5VYFY8TTITJGJU9S06A" hidden="1">
          <a:extLst>
            <a:ext uri="{FF2B5EF4-FFF2-40B4-BE49-F238E27FC236}">
              <a16:creationId xmlns:a16="http://schemas.microsoft.com/office/drawing/2014/main" id="{4DCDDEFD-E267-40E7-9259-F587C12CE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74" name="BEx5BJQWS6YWHH4ZMSUAMD641V6Y" descr="ZTMFMXCIQSECDX38ALEFHUB00" hidden="1">
          <a:extLst>
            <a:ext uri="{FF2B5EF4-FFF2-40B4-BE49-F238E27FC236}">
              <a16:creationId xmlns:a16="http://schemas.microsoft.com/office/drawing/2014/main" id="{99E75462-6F24-4BD0-8023-AAD0FD5F7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75" name="BExUBK0YZ5VYFY8TTITJGJU9S06A" hidden="1">
          <a:extLst>
            <a:ext uri="{FF2B5EF4-FFF2-40B4-BE49-F238E27FC236}">
              <a16:creationId xmlns:a16="http://schemas.microsoft.com/office/drawing/2014/main" id="{09FA1B50-573A-4112-B582-4F0AA093C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76" name="BEx5BJQWS6YWHH4ZMSUAMD641V6Y" descr="ZTMFMXCIQSECDX38ALEFHUB00" hidden="1">
          <a:extLst>
            <a:ext uri="{FF2B5EF4-FFF2-40B4-BE49-F238E27FC236}">
              <a16:creationId xmlns:a16="http://schemas.microsoft.com/office/drawing/2014/main" id="{D6B11028-A308-4A4C-BB03-CC3BC6CB2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77" name="BExUBK0YZ5VYFY8TTITJGJU9S06A" hidden="1">
          <a:extLst>
            <a:ext uri="{FF2B5EF4-FFF2-40B4-BE49-F238E27FC236}">
              <a16:creationId xmlns:a16="http://schemas.microsoft.com/office/drawing/2014/main" id="{3E514B76-4C14-448C-A696-0054AC2CB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178" name="BEx1KD7H6UB1VYCJ7O61P562EIUY" descr="IQGV9140X0K0UPBL8OGU3I44J" hidden="1">
          <a:extLst>
            <a:ext uri="{FF2B5EF4-FFF2-40B4-BE49-F238E27FC236}">
              <a16:creationId xmlns:a16="http://schemas.microsoft.com/office/drawing/2014/main" id="{AD9F4FE4-A7A4-4810-AD99-C929357C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1179" name="BEx5AQZ4ETQ9LMY5EBWVH20Z7VXQ" hidden="1">
          <a:extLst>
            <a:ext uri="{FF2B5EF4-FFF2-40B4-BE49-F238E27FC236}">
              <a16:creationId xmlns:a16="http://schemas.microsoft.com/office/drawing/2014/main" id="{5CECE371-3897-48AF-A49B-18F61A027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80" name="BEx5BJQWS6YWHH4ZMSUAMD641V6Y" descr="ZTMFMXCIQSECDX38ALEFHUB00" hidden="1">
          <a:extLst>
            <a:ext uri="{FF2B5EF4-FFF2-40B4-BE49-F238E27FC236}">
              <a16:creationId xmlns:a16="http://schemas.microsoft.com/office/drawing/2014/main" id="{44D0B352-82D7-4901-97CE-4E3BDA179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81" name="BExUBK0YZ5VYFY8TTITJGJU9S06A" hidden="1">
          <a:extLst>
            <a:ext uri="{FF2B5EF4-FFF2-40B4-BE49-F238E27FC236}">
              <a16:creationId xmlns:a16="http://schemas.microsoft.com/office/drawing/2014/main" id="{EDCA21AE-A890-4925-884D-784551573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82" name="BEx5BJQWS6YWHH4ZMSUAMD641V6Y" descr="ZTMFMXCIQSECDX38ALEFHUB00" hidden="1">
          <a:extLst>
            <a:ext uri="{FF2B5EF4-FFF2-40B4-BE49-F238E27FC236}">
              <a16:creationId xmlns:a16="http://schemas.microsoft.com/office/drawing/2014/main" id="{CC46D19A-8665-4093-8229-AF163F767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83" name="BExUBK0YZ5VYFY8TTITJGJU9S06A" hidden="1">
          <a:extLst>
            <a:ext uri="{FF2B5EF4-FFF2-40B4-BE49-F238E27FC236}">
              <a16:creationId xmlns:a16="http://schemas.microsoft.com/office/drawing/2014/main" id="{114B676F-2875-4578-9618-60CA3AACE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84" name="BEx5BJQWS6YWHH4ZMSUAMD641V6Y" descr="ZTMFMXCIQSECDX38ALEFHUB00" hidden="1">
          <a:extLst>
            <a:ext uri="{FF2B5EF4-FFF2-40B4-BE49-F238E27FC236}">
              <a16:creationId xmlns:a16="http://schemas.microsoft.com/office/drawing/2014/main" id="{6C2AE90D-9F5E-49C8-8282-0162E5293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85" name="BExUBK0YZ5VYFY8TTITJGJU9S06A" hidden="1">
          <a:extLst>
            <a:ext uri="{FF2B5EF4-FFF2-40B4-BE49-F238E27FC236}">
              <a16:creationId xmlns:a16="http://schemas.microsoft.com/office/drawing/2014/main" id="{733B5234-7FBA-47E6-A0D2-F7065C299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86" name="BEx5BJQWS6YWHH4ZMSUAMD641V6Y" descr="ZTMFMXCIQSECDX38ALEFHUB00" hidden="1">
          <a:extLst>
            <a:ext uri="{FF2B5EF4-FFF2-40B4-BE49-F238E27FC236}">
              <a16:creationId xmlns:a16="http://schemas.microsoft.com/office/drawing/2014/main" id="{1967CBA2-6776-4763-B461-C620F3F28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87" name="BExUBK0YZ5VYFY8TTITJGJU9S06A" hidden="1">
          <a:extLst>
            <a:ext uri="{FF2B5EF4-FFF2-40B4-BE49-F238E27FC236}">
              <a16:creationId xmlns:a16="http://schemas.microsoft.com/office/drawing/2014/main" id="{001CBAEA-31F8-477F-9049-BBBC31DBC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88" name="BEx5BJQWS6YWHH4ZMSUAMD641V6Y" descr="ZTMFMXCIQSECDX38ALEFHUB00" hidden="1">
          <a:extLst>
            <a:ext uri="{FF2B5EF4-FFF2-40B4-BE49-F238E27FC236}">
              <a16:creationId xmlns:a16="http://schemas.microsoft.com/office/drawing/2014/main" id="{727123C7-E071-4176-AE6E-913EB1C0D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89" name="BExUBK0YZ5VYFY8TTITJGJU9S06A" hidden="1">
          <a:extLst>
            <a:ext uri="{FF2B5EF4-FFF2-40B4-BE49-F238E27FC236}">
              <a16:creationId xmlns:a16="http://schemas.microsoft.com/office/drawing/2014/main" id="{964008E7-8466-40E2-A125-2A512D47F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90" name="BEx5BJQWS6YWHH4ZMSUAMD641V6Y" descr="ZTMFMXCIQSECDX38ALEFHUB00" hidden="1">
          <a:extLst>
            <a:ext uri="{FF2B5EF4-FFF2-40B4-BE49-F238E27FC236}">
              <a16:creationId xmlns:a16="http://schemas.microsoft.com/office/drawing/2014/main" id="{F0BB1BFE-F44C-415E-A1FE-DCFF661AA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91" name="BExUBK0YZ5VYFY8TTITJGJU9S06A" hidden="1">
          <a:extLst>
            <a:ext uri="{FF2B5EF4-FFF2-40B4-BE49-F238E27FC236}">
              <a16:creationId xmlns:a16="http://schemas.microsoft.com/office/drawing/2014/main" id="{2CD32ACE-8FEF-4A82-AA21-771DFDC5D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192" name="BExMO7VFCN4EL59982UR4AJ25JNJ" descr="XX6TINEJADZGKR0CTM7ZRT0RA" hidden="1">
          <a:extLst>
            <a:ext uri="{FF2B5EF4-FFF2-40B4-BE49-F238E27FC236}">
              <a16:creationId xmlns:a16="http://schemas.microsoft.com/office/drawing/2014/main" id="{BADA4691-56BC-4A3C-AF71-968538352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193" name="BExU3EX5JJCXCII4YKUJBFBGIJR2" descr="OF5ZI9PI5WH36VPANJ2DYLNMI" hidden="1">
          <a:extLst>
            <a:ext uri="{FF2B5EF4-FFF2-40B4-BE49-F238E27FC236}">
              <a16:creationId xmlns:a16="http://schemas.microsoft.com/office/drawing/2014/main" id="{386BAA47-3618-4F96-B12F-E4787A13E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194" name="BEx1KD7H6UB1VYCJ7O61P562EIUY" descr="IQGV9140X0K0UPBL8OGU3I44J" hidden="1">
          <a:extLst>
            <a:ext uri="{FF2B5EF4-FFF2-40B4-BE49-F238E27FC236}">
              <a16:creationId xmlns:a16="http://schemas.microsoft.com/office/drawing/2014/main" id="{77CF7516-880D-4E67-A930-2BBFD92BA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195" name="BEx5BJQWS6YWHH4ZMSUAMD641V6Y" descr="ZTMFMXCIQSECDX38ALEFHUB00" hidden="1">
          <a:extLst>
            <a:ext uri="{FF2B5EF4-FFF2-40B4-BE49-F238E27FC236}">
              <a16:creationId xmlns:a16="http://schemas.microsoft.com/office/drawing/2014/main" id="{F963A46D-D7B0-4B21-9935-DFCDAF5C7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1196" name="BExVTO5Q8G2M7BPL4B2584LQS0R0" descr="OB6Q8NA4LZFE4GM9Y3V56BPMQ" hidden="1">
          <a:extLst>
            <a:ext uri="{FF2B5EF4-FFF2-40B4-BE49-F238E27FC236}">
              <a16:creationId xmlns:a16="http://schemas.microsoft.com/office/drawing/2014/main" id="{AE39FB9F-BE99-4E77-BE03-6BA351785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1197" name="BExIFSCLN1G86X78PFLTSMRP0US5" descr="9JK4SPV4DG7VTCZIILWHXQU5J" hidden="1">
          <a:extLst>
            <a:ext uri="{FF2B5EF4-FFF2-40B4-BE49-F238E27FC236}">
              <a16:creationId xmlns:a16="http://schemas.microsoft.com/office/drawing/2014/main" id="{EDA915A9-8945-42BB-8954-04C265172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198" name="BEx1I152WN2D3A85O2XN0DGXCWHN" descr="KHBZFMANRA4UMJR1AB4M5NJNT" hidden="1">
          <a:extLst>
            <a:ext uri="{FF2B5EF4-FFF2-40B4-BE49-F238E27FC236}">
              <a16:creationId xmlns:a16="http://schemas.microsoft.com/office/drawing/2014/main" id="{51AEE3A4-8861-4D62-A6C2-FD0FA8296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199" name="BExW9676P0SKCVKK25QCGHPA3PAD" descr="9A4PWZ20RMSRF0PNECCDM75CA" hidden="1">
          <a:extLst>
            <a:ext uri="{FF2B5EF4-FFF2-40B4-BE49-F238E27FC236}">
              <a16:creationId xmlns:a16="http://schemas.microsoft.com/office/drawing/2014/main" id="{FA31555F-3061-48F5-AE2E-23AE1009C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200" name="BExS5CPQ8P8JOQPK7ANNKHLSGOKU" hidden="1">
          <a:extLst>
            <a:ext uri="{FF2B5EF4-FFF2-40B4-BE49-F238E27FC236}">
              <a16:creationId xmlns:a16="http://schemas.microsoft.com/office/drawing/2014/main" id="{D919525E-DEB2-4DA7-8D7A-BC8871AEC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201" name="BExMM0AVUAIRNJLXB1FW8R0YB4ZZ" hidden="1">
          <a:extLst>
            <a:ext uri="{FF2B5EF4-FFF2-40B4-BE49-F238E27FC236}">
              <a16:creationId xmlns:a16="http://schemas.microsoft.com/office/drawing/2014/main" id="{09EB6565-9A3E-4086-A27E-3B5BAF215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202" name="BExXZ7Y09CBS0XA7IPB3IRJ8RJM4" hidden="1">
          <a:extLst>
            <a:ext uri="{FF2B5EF4-FFF2-40B4-BE49-F238E27FC236}">
              <a16:creationId xmlns:a16="http://schemas.microsoft.com/office/drawing/2014/main" id="{4A657408-9C31-4232-908B-EB80B2ED8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203" name="BExQ7SXS9VUG7P6CACU2J7R2SGIZ" hidden="1">
          <a:extLst>
            <a:ext uri="{FF2B5EF4-FFF2-40B4-BE49-F238E27FC236}">
              <a16:creationId xmlns:a16="http://schemas.microsoft.com/office/drawing/2014/main" id="{C02823A6-89C4-4A57-AA9D-6B84C3797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04" name="BEx5AQZ4ETQ9LMY5EBWVH20Z7VXQ" hidden="1">
          <a:extLst>
            <a:ext uri="{FF2B5EF4-FFF2-40B4-BE49-F238E27FC236}">
              <a16:creationId xmlns:a16="http://schemas.microsoft.com/office/drawing/2014/main" id="{292B7B6A-442A-43CA-9306-FB1CECECB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05" name="BExUBK0YZ5VYFY8TTITJGJU9S06A" hidden="1">
          <a:extLst>
            <a:ext uri="{FF2B5EF4-FFF2-40B4-BE49-F238E27FC236}">
              <a16:creationId xmlns:a16="http://schemas.microsoft.com/office/drawing/2014/main" id="{A3FD3268-1CB2-404A-A198-D6B1DCC4A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1206" name="BExUEZCSSJ7RN4J18I2NUIQR2FZS" hidden="1">
          <a:extLst>
            <a:ext uri="{FF2B5EF4-FFF2-40B4-BE49-F238E27FC236}">
              <a16:creationId xmlns:a16="http://schemas.microsoft.com/office/drawing/2014/main" id="{8F398C19-0702-4EC9-83FC-11F080574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2592705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1207" name="BExS3JDQWF7U3F5JTEVOE16ASIYK" hidden="1">
          <a:extLst>
            <a:ext uri="{FF2B5EF4-FFF2-40B4-BE49-F238E27FC236}">
              <a16:creationId xmlns:a16="http://schemas.microsoft.com/office/drawing/2014/main" id="{28A74343-B53C-42E4-909A-AAAC8FF79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25908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08" name="BEx1KD7H6UB1VYCJ7O61P562EIUY" descr="IQGV9140X0K0UPBL8OGU3I44J" hidden="1">
          <a:extLst>
            <a:ext uri="{FF2B5EF4-FFF2-40B4-BE49-F238E27FC236}">
              <a16:creationId xmlns:a16="http://schemas.microsoft.com/office/drawing/2014/main" id="{A5D18DC6-4C79-471F-8918-8E4EA8A95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09" name="BEx5BJQWS6YWHH4ZMSUAMD641V6Y" descr="ZTMFMXCIQSECDX38ALEFHUB00" hidden="1">
          <a:extLst>
            <a:ext uri="{FF2B5EF4-FFF2-40B4-BE49-F238E27FC236}">
              <a16:creationId xmlns:a16="http://schemas.microsoft.com/office/drawing/2014/main" id="{6BE29B49-FECA-4CFC-806D-89F33DAC4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10" name="BEx5AQZ4ETQ9LMY5EBWVH20Z7VXQ" hidden="1">
          <a:extLst>
            <a:ext uri="{FF2B5EF4-FFF2-40B4-BE49-F238E27FC236}">
              <a16:creationId xmlns:a16="http://schemas.microsoft.com/office/drawing/2014/main" id="{0D5FBFDF-66FF-4642-8203-5C2AC0651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11" name="BExUBK0YZ5VYFY8TTITJGJU9S06A" hidden="1">
          <a:extLst>
            <a:ext uri="{FF2B5EF4-FFF2-40B4-BE49-F238E27FC236}">
              <a16:creationId xmlns:a16="http://schemas.microsoft.com/office/drawing/2014/main" id="{0F3FA425-0CA2-4C94-B83F-AA045A48F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212" name="BExMO7VFCN4EL59982UR4AJ25JNJ" descr="XX6TINEJADZGKR0CTM7ZRT0RA" hidden="1">
          <a:extLst>
            <a:ext uri="{FF2B5EF4-FFF2-40B4-BE49-F238E27FC236}">
              <a16:creationId xmlns:a16="http://schemas.microsoft.com/office/drawing/2014/main" id="{047C1153-48D8-4F31-8A4E-22543456C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213" name="BExU3EX5JJCXCII4YKUJBFBGIJR2" descr="OF5ZI9PI5WH36VPANJ2DYLNMI" hidden="1">
          <a:extLst>
            <a:ext uri="{FF2B5EF4-FFF2-40B4-BE49-F238E27FC236}">
              <a16:creationId xmlns:a16="http://schemas.microsoft.com/office/drawing/2014/main" id="{A09EE694-45C8-4EB8-9555-6E6A31260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214" name="BEx1I152WN2D3A85O2XN0DGXCWHN" descr="KHBZFMANRA4UMJR1AB4M5NJNT" hidden="1">
          <a:extLst>
            <a:ext uri="{FF2B5EF4-FFF2-40B4-BE49-F238E27FC236}">
              <a16:creationId xmlns:a16="http://schemas.microsoft.com/office/drawing/2014/main" id="{CA50E637-EDAF-4405-8F85-DA6A11F8C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215" name="BExW9676P0SKCVKK25QCGHPA3PAD" descr="9A4PWZ20RMSRF0PNECCDM75CA" hidden="1">
          <a:extLst>
            <a:ext uri="{FF2B5EF4-FFF2-40B4-BE49-F238E27FC236}">
              <a16:creationId xmlns:a16="http://schemas.microsoft.com/office/drawing/2014/main" id="{2724CB89-F0EF-4C2F-96E8-987C16C96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216" name="BExS5CPQ8P8JOQPK7ANNKHLSGOKU" hidden="1">
          <a:extLst>
            <a:ext uri="{FF2B5EF4-FFF2-40B4-BE49-F238E27FC236}">
              <a16:creationId xmlns:a16="http://schemas.microsoft.com/office/drawing/2014/main" id="{39738614-800D-4BAB-9833-D8FC3B640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217" name="BExMM0AVUAIRNJLXB1FW8R0YB4ZZ" hidden="1">
          <a:extLst>
            <a:ext uri="{FF2B5EF4-FFF2-40B4-BE49-F238E27FC236}">
              <a16:creationId xmlns:a16="http://schemas.microsoft.com/office/drawing/2014/main" id="{316BD708-A49D-457F-A644-B1EB7E645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218" name="BExXZ7Y09CBS0XA7IPB3IRJ8RJM4" hidden="1">
          <a:extLst>
            <a:ext uri="{FF2B5EF4-FFF2-40B4-BE49-F238E27FC236}">
              <a16:creationId xmlns:a16="http://schemas.microsoft.com/office/drawing/2014/main" id="{89260660-E86E-495D-A148-5293BDBE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219" name="BExQ7SXS9VUG7P6CACU2J7R2SGIZ" hidden="1">
          <a:extLst>
            <a:ext uri="{FF2B5EF4-FFF2-40B4-BE49-F238E27FC236}">
              <a16:creationId xmlns:a16="http://schemas.microsoft.com/office/drawing/2014/main" id="{5D890659-B692-430C-8C80-F62F48DC3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220" name="BExU3EX5JJCXCII4YKUJBFBGIJR2" descr="OF5ZI9PI5WH36VPANJ2DYLNMI" hidden="1">
          <a:extLst>
            <a:ext uri="{FF2B5EF4-FFF2-40B4-BE49-F238E27FC236}">
              <a16:creationId xmlns:a16="http://schemas.microsoft.com/office/drawing/2014/main" id="{1533A864-6250-42B9-B5FC-3516AE74E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221" name="BExW9676P0SKCVKK25QCGHPA3PAD" descr="9A4PWZ20RMSRF0PNECCDM75CA" hidden="1">
          <a:extLst>
            <a:ext uri="{FF2B5EF4-FFF2-40B4-BE49-F238E27FC236}">
              <a16:creationId xmlns:a16="http://schemas.microsoft.com/office/drawing/2014/main" id="{1E246421-1CB5-4FA0-9C68-435A76ECF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222" name="BExMM0AVUAIRNJLXB1FW8R0YB4ZZ" hidden="1">
          <a:extLst>
            <a:ext uri="{FF2B5EF4-FFF2-40B4-BE49-F238E27FC236}">
              <a16:creationId xmlns:a16="http://schemas.microsoft.com/office/drawing/2014/main" id="{16DA2EF9-3250-4958-99A5-0BAD9EDDE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223" name="BExQ7SXS9VUG7P6CACU2J7R2SGIZ" hidden="1">
          <a:extLst>
            <a:ext uri="{FF2B5EF4-FFF2-40B4-BE49-F238E27FC236}">
              <a16:creationId xmlns:a16="http://schemas.microsoft.com/office/drawing/2014/main" id="{B8C949DE-A500-4444-BBB3-9B8350EA2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24" name="BEx1KD7H6UB1VYCJ7O61P562EIUY" descr="IQGV9140X0K0UPBL8OGU3I44J" hidden="1">
          <a:extLst>
            <a:ext uri="{FF2B5EF4-FFF2-40B4-BE49-F238E27FC236}">
              <a16:creationId xmlns:a16="http://schemas.microsoft.com/office/drawing/2014/main" id="{A060EE51-2209-4B58-BE31-C6F51320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25" name="BEx5BJQWS6YWHH4ZMSUAMD641V6Y" descr="ZTMFMXCIQSECDX38ALEFHUB00" hidden="1">
          <a:extLst>
            <a:ext uri="{FF2B5EF4-FFF2-40B4-BE49-F238E27FC236}">
              <a16:creationId xmlns:a16="http://schemas.microsoft.com/office/drawing/2014/main" id="{147F4F3F-2B6F-4F70-B13A-91F77C940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26" name="BEx5AQZ4ETQ9LMY5EBWVH20Z7VXQ" hidden="1">
          <a:extLst>
            <a:ext uri="{FF2B5EF4-FFF2-40B4-BE49-F238E27FC236}">
              <a16:creationId xmlns:a16="http://schemas.microsoft.com/office/drawing/2014/main" id="{72417A84-3062-40E5-9BEA-F4FA75858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27" name="BExUBK0YZ5VYFY8TTITJGJU9S06A" hidden="1">
          <a:extLst>
            <a:ext uri="{FF2B5EF4-FFF2-40B4-BE49-F238E27FC236}">
              <a16:creationId xmlns:a16="http://schemas.microsoft.com/office/drawing/2014/main" id="{80CCE23C-9ED3-486A-B1F4-C1B5C207F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28" name="BEx5BJQWS6YWHH4ZMSUAMD641V6Y" descr="ZTMFMXCIQSECDX38ALEFHUB00" hidden="1">
          <a:extLst>
            <a:ext uri="{FF2B5EF4-FFF2-40B4-BE49-F238E27FC236}">
              <a16:creationId xmlns:a16="http://schemas.microsoft.com/office/drawing/2014/main" id="{D34419F7-A27D-46D7-B754-A5928508F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29" name="BExUBK0YZ5VYFY8TTITJGJU9S06A" hidden="1">
          <a:extLst>
            <a:ext uri="{FF2B5EF4-FFF2-40B4-BE49-F238E27FC236}">
              <a16:creationId xmlns:a16="http://schemas.microsoft.com/office/drawing/2014/main" id="{D44969C3-907B-4227-8322-AD02C751E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30" name="BEx1KD7H6UB1VYCJ7O61P562EIUY" descr="IQGV9140X0K0UPBL8OGU3I44J" hidden="1">
          <a:extLst>
            <a:ext uri="{FF2B5EF4-FFF2-40B4-BE49-F238E27FC236}">
              <a16:creationId xmlns:a16="http://schemas.microsoft.com/office/drawing/2014/main" id="{1E566C3C-9558-474C-B3CC-DAD3FD8B8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31" name="BEx5BJQWS6YWHH4ZMSUAMD641V6Y" descr="ZTMFMXCIQSECDX38ALEFHUB00" hidden="1">
          <a:extLst>
            <a:ext uri="{FF2B5EF4-FFF2-40B4-BE49-F238E27FC236}">
              <a16:creationId xmlns:a16="http://schemas.microsoft.com/office/drawing/2014/main" id="{BC57AC62-F40C-44AC-8118-AA80E8BA3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32" name="BEx5AQZ4ETQ9LMY5EBWVH20Z7VXQ" hidden="1">
          <a:extLst>
            <a:ext uri="{FF2B5EF4-FFF2-40B4-BE49-F238E27FC236}">
              <a16:creationId xmlns:a16="http://schemas.microsoft.com/office/drawing/2014/main" id="{B1CE7710-9F5B-49C9-B283-9BB9A500E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33" name="BExUBK0YZ5VYFY8TTITJGJU9S06A" hidden="1">
          <a:extLst>
            <a:ext uri="{FF2B5EF4-FFF2-40B4-BE49-F238E27FC236}">
              <a16:creationId xmlns:a16="http://schemas.microsoft.com/office/drawing/2014/main" id="{919E3FA2-D2F4-4B0B-86D7-5FB459161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34" name="BEx5BJQWS6YWHH4ZMSUAMD641V6Y" descr="ZTMFMXCIQSECDX38ALEFHUB00" hidden="1">
          <a:extLst>
            <a:ext uri="{FF2B5EF4-FFF2-40B4-BE49-F238E27FC236}">
              <a16:creationId xmlns:a16="http://schemas.microsoft.com/office/drawing/2014/main" id="{3DCA57F0-88FF-44C3-955A-666BE021B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35" name="BExUBK0YZ5VYFY8TTITJGJU9S06A" hidden="1">
          <a:extLst>
            <a:ext uri="{FF2B5EF4-FFF2-40B4-BE49-F238E27FC236}">
              <a16:creationId xmlns:a16="http://schemas.microsoft.com/office/drawing/2014/main" id="{3B7A40A6-FE2B-4949-9F4C-D62D8E347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36" name="BEx5BJQWS6YWHH4ZMSUAMD641V6Y" descr="ZTMFMXCIQSECDX38ALEFHUB00" hidden="1">
          <a:extLst>
            <a:ext uri="{FF2B5EF4-FFF2-40B4-BE49-F238E27FC236}">
              <a16:creationId xmlns:a16="http://schemas.microsoft.com/office/drawing/2014/main" id="{6400001A-04D7-49A6-94E3-E069E0F26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37" name="BExUBK0YZ5VYFY8TTITJGJU9S06A" hidden="1">
          <a:extLst>
            <a:ext uri="{FF2B5EF4-FFF2-40B4-BE49-F238E27FC236}">
              <a16:creationId xmlns:a16="http://schemas.microsoft.com/office/drawing/2014/main" id="{98FADD1A-1DD0-43C0-8B87-698E9DE8B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38" name="BEx1KD7H6UB1VYCJ7O61P562EIUY" descr="IQGV9140X0K0UPBL8OGU3I44J" hidden="1">
          <a:extLst>
            <a:ext uri="{FF2B5EF4-FFF2-40B4-BE49-F238E27FC236}">
              <a16:creationId xmlns:a16="http://schemas.microsoft.com/office/drawing/2014/main" id="{A437348F-25BD-4636-A449-F1C5F9BC8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39" name="BEx5BJQWS6YWHH4ZMSUAMD641V6Y" descr="ZTMFMXCIQSECDX38ALEFHUB00" hidden="1">
          <a:extLst>
            <a:ext uri="{FF2B5EF4-FFF2-40B4-BE49-F238E27FC236}">
              <a16:creationId xmlns:a16="http://schemas.microsoft.com/office/drawing/2014/main" id="{3EB043BF-E431-4456-B385-B97296609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40" name="BEx5AQZ4ETQ9LMY5EBWVH20Z7VXQ" hidden="1">
          <a:extLst>
            <a:ext uri="{FF2B5EF4-FFF2-40B4-BE49-F238E27FC236}">
              <a16:creationId xmlns:a16="http://schemas.microsoft.com/office/drawing/2014/main" id="{1B4908B6-455F-4774-B062-E84B74FE0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41" name="BExUBK0YZ5VYFY8TTITJGJU9S06A" hidden="1">
          <a:extLst>
            <a:ext uri="{FF2B5EF4-FFF2-40B4-BE49-F238E27FC236}">
              <a16:creationId xmlns:a16="http://schemas.microsoft.com/office/drawing/2014/main" id="{B375F9E5-80D1-4738-B945-9149A3C95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42" name="BEx5BJQWS6YWHH4ZMSUAMD641V6Y" descr="ZTMFMXCIQSECDX38ALEFHUB00" hidden="1">
          <a:extLst>
            <a:ext uri="{FF2B5EF4-FFF2-40B4-BE49-F238E27FC236}">
              <a16:creationId xmlns:a16="http://schemas.microsoft.com/office/drawing/2014/main" id="{ADE54AC5-BC62-499E-A3A7-B67DD5BC9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43" name="BExUBK0YZ5VYFY8TTITJGJU9S06A" hidden="1">
          <a:extLst>
            <a:ext uri="{FF2B5EF4-FFF2-40B4-BE49-F238E27FC236}">
              <a16:creationId xmlns:a16="http://schemas.microsoft.com/office/drawing/2014/main" id="{9CD7A2FC-2AD0-4A89-9EC6-D804D8FC8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44" name="BEx5BJQWS6YWHH4ZMSUAMD641V6Y" descr="ZTMFMXCIQSECDX38ALEFHUB00" hidden="1">
          <a:extLst>
            <a:ext uri="{FF2B5EF4-FFF2-40B4-BE49-F238E27FC236}">
              <a16:creationId xmlns:a16="http://schemas.microsoft.com/office/drawing/2014/main" id="{E5FB5AA1-1691-4E3F-A686-3D75914F1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45" name="BExUBK0YZ5VYFY8TTITJGJU9S06A" hidden="1">
          <a:extLst>
            <a:ext uri="{FF2B5EF4-FFF2-40B4-BE49-F238E27FC236}">
              <a16:creationId xmlns:a16="http://schemas.microsoft.com/office/drawing/2014/main" id="{58A1D794-D443-4F0F-978D-6AA6A9AFA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46" name="BEx5BJQWS6YWHH4ZMSUAMD641V6Y" descr="ZTMFMXCIQSECDX38ALEFHUB00" hidden="1">
          <a:extLst>
            <a:ext uri="{FF2B5EF4-FFF2-40B4-BE49-F238E27FC236}">
              <a16:creationId xmlns:a16="http://schemas.microsoft.com/office/drawing/2014/main" id="{787C445A-503C-4C58-9663-30A245EA5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47" name="BExUBK0YZ5VYFY8TTITJGJU9S06A" hidden="1">
          <a:extLst>
            <a:ext uri="{FF2B5EF4-FFF2-40B4-BE49-F238E27FC236}">
              <a16:creationId xmlns:a16="http://schemas.microsoft.com/office/drawing/2014/main" id="{6394A3D8-ACDB-4DA5-A2C9-1F1EC1CAF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248" name="BExMO7VFCN4EL59982UR4AJ25JNJ" descr="XX6TINEJADZGKR0CTM7ZRT0RA" hidden="1">
          <a:extLst>
            <a:ext uri="{FF2B5EF4-FFF2-40B4-BE49-F238E27FC236}">
              <a16:creationId xmlns:a16="http://schemas.microsoft.com/office/drawing/2014/main" id="{1D5C0A23-67BF-4ABF-AD45-18BFE97EB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249" name="BExU3EX5JJCXCII4YKUJBFBGIJR2" descr="OF5ZI9PI5WH36VPANJ2DYLNMI" hidden="1">
          <a:extLst>
            <a:ext uri="{FF2B5EF4-FFF2-40B4-BE49-F238E27FC236}">
              <a16:creationId xmlns:a16="http://schemas.microsoft.com/office/drawing/2014/main" id="{68185D9A-32B6-4A96-B900-CE8717185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250" name="BEx1I152WN2D3A85O2XN0DGXCWHN" descr="KHBZFMANRA4UMJR1AB4M5NJNT" hidden="1">
          <a:extLst>
            <a:ext uri="{FF2B5EF4-FFF2-40B4-BE49-F238E27FC236}">
              <a16:creationId xmlns:a16="http://schemas.microsoft.com/office/drawing/2014/main" id="{FF61BB64-3D0D-4ABD-ACCB-3BCA2B3DD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251" name="BExW9676P0SKCVKK25QCGHPA3PAD" descr="9A4PWZ20RMSRF0PNECCDM75CA" hidden="1">
          <a:extLst>
            <a:ext uri="{FF2B5EF4-FFF2-40B4-BE49-F238E27FC236}">
              <a16:creationId xmlns:a16="http://schemas.microsoft.com/office/drawing/2014/main" id="{65CE43A2-AC6C-4383-8959-77E744D8C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252" name="BExS5CPQ8P8JOQPK7ANNKHLSGOKU" hidden="1">
          <a:extLst>
            <a:ext uri="{FF2B5EF4-FFF2-40B4-BE49-F238E27FC236}">
              <a16:creationId xmlns:a16="http://schemas.microsoft.com/office/drawing/2014/main" id="{588C91AE-B7C3-42F8-AAF4-B87D3CA22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253" name="BExMM0AVUAIRNJLXB1FW8R0YB4ZZ" hidden="1">
          <a:extLst>
            <a:ext uri="{FF2B5EF4-FFF2-40B4-BE49-F238E27FC236}">
              <a16:creationId xmlns:a16="http://schemas.microsoft.com/office/drawing/2014/main" id="{6E6017B0-A8A6-4D00-9279-71D01539D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254" name="BExXZ7Y09CBS0XA7IPB3IRJ8RJM4" hidden="1">
          <a:extLst>
            <a:ext uri="{FF2B5EF4-FFF2-40B4-BE49-F238E27FC236}">
              <a16:creationId xmlns:a16="http://schemas.microsoft.com/office/drawing/2014/main" id="{9942F4DF-A469-4CFD-97A3-7898639B5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255" name="BExQ7SXS9VUG7P6CACU2J7R2SGIZ" hidden="1">
          <a:extLst>
            <a:ext uri="{FF2B5EF4-FFF2-40B4-BE49-F238E27FC236}">
              <a16:creationId xmlns:a16="http://schemas.microsoft.com/office/drawing/2014/main" id="{E42BE902-1992-4977-AC9B-ABD456620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256" name="BExU3EX5JJCXCII4YKUJBFBGIJR2" descr="OF5ZI9PI5WH36VPANJ2DYLNMI" hidden="1">
          <a:extLst>
            <a:ext uri="{FF2B5EF4-FFF2-40B4-BE49-F238E27FC236}">
              <a16:creationId xmlns:a16="http://schemas.microsoft.com/office/drawing/2014/main" id="{FF081EE5-0C33-422D-BCCE-FB3981E2B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257" name="BExW9676P0SKCVKK25QCGHPA3PAD" descr="9A4PWZ20RMSRF0PNECCDM75CA" hidden="1">
          <a:extLst>
            <a:ext uri="{FF2B5EF4-FFF2-40B4-BE49-F238E27FC236}">
              <a16:creationId xmlns:a16="http://schemas.microsoft.com/office/drawing/2014/main" id="{1826030E-D26C-4228-98FC-C75185E98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258" name="BExMM0AVUAIRNJLXB1FW8R0YB4ZZ" hidden="1">
          <a:extLst>
            <a:ext uri="{FF2B5EF4-FFF2-40B4-BE49-F238E27FC236}">
              <a16:creationId xmlns:a16="http://schemas.microsoft.com/office/drawing/2014/main" id="{3E9AEFB6-8E3B-4A8C-B99F-22F5E7FA5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259" name="BExQ7SXS9VUG7P6CACU2J7R2SGIZ" hidden="1">
          <a:extLst>
            <a:ext uri="{FF2B5EF4-FFF2-40B4-BE49-F238E27FC236}">
              <a16:creationId xmlns:a16="http://schemas.microsoft.com/office/drawing/2014/main" id="{EEF6781F-6817-4E1E-8E59-6096BD1EA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60" name="BEx1KD7H6UB1VYCJ7O61P562EIUY" descr="IQGV9140X0K0UPBL8OGU3I44J" hidden="1">
          <a:extLst>
            <a:ext uri="{FF2B5EF4-FFF2-40B4-BE49-F238E27FC236}">
              <a16:creationId xmlns:a16="http://schemas.microsoft.com/office/drawing/2014/main" id="{71A7AAED-C439-45C4-AC53-F9B4016E8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61" name="BEx5BJQWS6YWHH4ZMSUAMD641V6Y" descr="ZTMFMXCIQSECDX38ALEFHUB00" hidden="1">
          <a:extLst>
            <a:ext uri="{FF2B5EF4-FFF2-40B4-BE49-F238E27FC236}">
              <a16:creationId xmlns:a16="http://schemas.microsoft.com/office/drawing/2014/main" id="{86DB55FA-C86B-4133-B76C-621D29F75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62" name="BEx5AQZ4ETQ9LMY5EBWVH20Z7VXQ" hidden="1">
          <a:extLst>
            <a:ext uri="{FF2B5EF4-FFF2-40B4-BE49-F238E27FC236}">
              <a16:creationId xmlns:a16="http://schemas.microsoft.com/office/drawing/2014/main" id="{9291EBD2-202A-479C-AA35-E2617B9C0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63" name="BExUBK0YZ5VYFY8TTITJGJU9S06A" hidden="1">
          <a:extLst>
            <a:ext uri="{FF2B5EF4-FFF2-40B4-BE49-F238E27FC236}">
              <a16:creationId xmlns:a16="http://schemas.microsoft.com/office/drawing/2014/main" id="{0169CF0F-3C6F-4BC8-A999-2FFE2C957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64" name="BEx5BJQWS6YWHH4ZMSUAMD641V6Y" descr="ZTMFMXCIQSECDX38ALEFHUB00" hidden="1">
          <a:extLst>
            <a:ext uri="{FF2B5EF4-FFF2-40B4-BE49-F238E27FC236}">
              <a16:creationId xmlns:a16="http://schemas.microsoft.com/office/drawing/2014/main" id="{372A4994-A8B4-47B5-BC85-110823DC9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65" name="BExUBK0YZ5VYFY8TTITJGJU9S06A" hidden="1">
          <a:extLst>
            <a:ext uri="{FF2B5EF4-FFF2-40B4-BE49-F238E27FC236}">
              <a16:creationId xmlns:a16="http://schemas.microsoft.com/office/drawing/2014/main" id="{0B25875D-D0CE-4E5B-BDB4-DA57DA13D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66" name="BEx5BJQWS6YWHH4ZMSUAMD641V6Y" descr="ZTMFMXCIQSECDX38ALEFHUB00" hidden="1">
          <a:extLst>
            <a:ext uri="{FF2B5EF4-FFF2-40B4-BE49-F238E27FC236}">
              <a16:creationId xmlns:a16="http://schemas.microsoft.com/office/drawing/2014/main" id="{3F0E0191-4B4E-4427-BE29-B1C1735C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67" name="BExUBK0YZ5VYFY8TTITJGJU9S06A" hidden="1">
          <a:extLst>
            <a:ext uri="{FF2B5EF4-FFF2-40B4-BE49-F238E27FC236}">
              <a16:creationId xmlns:a16="http://schemas.microsoft.com/office/drawing/2014/main" id="{D3337FFC-E80C-4DD8-95A1-D234F535E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68" name="BEx5BJQWS6YWHH4ZMSUAMD641V6Y" descr="ZTMFMXCIQSECDX38ALEFHUB00" hidden="1">
          <a:extLst>
            <a:ext uri="{FF2B5EF4-FFF2-40B4-BE49-F238E27FC236}">
              <a16:creationId xmlns:a16="http://schemas.microsoft.com/office/drawing/2014/main" id="{D06CEC99-B23F-4969-99B0-323D9D10B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69" name="BExUBK0YZ5VYFY8TTITJGJU9S06A" hidden="1">
          <a:extLst>
            <a:ext uri="{FF2B5EF4-FFF2-40B4-BE49-F238E27FC236}">
              <a16:creationId xmlns:a16="http://schemas.microsoft.com/office/drawing/2014/main" id="{5D495FD3-E994-439C-8D22-14D5CA2C0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70" name="BEx5BJQWS6YWHH4ZMSUAMD641V6Y" descr="ZTMFMXCIQSECDX38ALEFHUB00" hidden="1">
          <a:extLst>
            <a:ext uri="{FF2B5EF4-FFF2-40B4-BE49-F238E27FC236}">
              <a16:creationId xmlns:a16="http://schemas.microsoft.com/office/drawing/2014/main" id="{43F04239-38DA-495C-B328-2C7B926B7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71" name="BExUBK0YZ5VYFY8TTITJGJU9S06A" hidden="1">
          <a:extLst>
            <a:ext uri="{FF2B5EF4-FFF2-40B4-BE49-F238E27FC236}">
              <a16:creationId xmlns:a16="http://schemas.microsoft.com/office/drawing/2014/main" id="{075D2BC0-6099-4AA7-B31F-8BF8A5E04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272" name="BExU3EX5JJCXCII4YKUJBFBGIJR2" descr="OF5ZI9PI5WH36VPANJ2DYLNMI" hidden="1">
          <a:extLst>
            <a:ext uri="{FF2B5EF4-FFF2-40B4-BE49-F238E27FC236}">
              <a16:creationId xmlns:a16="http://schemas.microsoft.com/office/drawing/2014/main" id="{C61E35D3-4C3F-4BCE-8BB7-5F1BEB61A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73" name="BEx5BJQWS6YWHH4ZMSUAMD641V6Y" descr="ZTMFMXCIQSECDX38ALEFHUB00" hidden="1">
          <a:extLst>
            <a:ext uri="{FF2B5EF4-FFF2-40B4-BE49-F238E27FC236}">
              <a16:creationId xmlns:a16="http://schemas.microsoft.com/office/drawing/2014/main" id="{E6D4732E-A1A6-44A5-90E6-309161414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1274" name="BExIFSCLN1G86X78PFLTSMRP0US5" descr="9JK4SPV4DG7VTCZIILWHXQU5J" hidden="1">
          <a:extLst>
            <a:ext uri="{FF2B5EF4-FFF2-40B4-BE49-F238E27FC236}">
              <a16:creationId xmlns:a16="http://schemas.microsoft.com/office/drawing/2014/main" id="{C8A18D99-D9EB-4211-9E1D-D6F0B95EE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275" name="BExW9676P0SKCVKK25QCGHPA3PAD" descr="9A4PWZ20RMSRF0PNECCDM75CA" hidden="1">
          <a:extLst>
            <a:ext uri="{FF2B5EF4-FFF2-40B4-BE49-F238E27FC236}">
              <a16:creationId xmlns:a16="http://schemas.microsoft.com/office/drawing/2014/main" id="{CD8E3DBE-10E9-4408-95E4-CAACFA033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276" name="BExMM0AVUAIRNJLXB1FW8R0YB4ZZ" hidden="1">
          <a:extLst>
            <a:ext uri="{FF2B5EF4-FFF2-40B4-BE49-F238E27FC236}">
              <a16:creationId xmlns:a16="http://schemas.microsoft.com/office/drawing/2014/main" id="{1D242CBA-350C-47BD-9913-D13498499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277" name="BExQ7SXS9VUG7P6CACU2J7R2SGIZ" hidden="1">
          <a:extLst>
            <a:ext uri="{FF2B5EF4-FFF2-40B4-BE49-F238E27FC236}">
              <a16:creationId xmlns:a16="http://schemas.microsoft.com/office/drawing/2014/main" id="{E76335DD-545E-4C66-9360-C87B4A714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78" name="BExUBK0YZ5VYFY8TTITJGJU9S06A" hidden="1">
          <a:extLst>
            <a:ext uri="{FF2B5EF4-FFF2-40B4-BE49-F238E27FC236}">
              <a16:creationId xmlns:a16="http://schemas.microsoft.com/office/drawing/2014/main" id="{71B15E17-E5FF-4109-8CDE-1A8AFCA8B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1279" name="BExS3JDQWF7U3F5JTEVOE16ASIYK" hidden="1">
          <a:extLst>
            <a:ext uri="{FF2B5EF4-FFF2-40B4-BE49-F238E27FC236}">
              <a16:creationId xmlns:a16="http://schemas.microsoft.com/office/drawing/2014/main" id="{95B76682-1E83-46CE-9DD4-A50C8D1DC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29718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80" name="BEx1KD7H6UB1VYCJ7O61P562EIUY" descr="IQGV9140X0K0UPBL8OGU3I44J" hidden="1">
          <a:extLst>
            <a:ext uri="{FF2B5EF4-FFF2-40B4-BE49-F238E27FC236}">
              <a16:creationId xmlns:a16="http://schemas.microsoft.com/office/drawing/2014/main" id="{E7656388-4625-41F3-BE58-663249045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81" name="BEx5AQZ4ETQ9LMY5EBWVH20Z7VXQ" hidden="1">
          <a:extLst>
            <a:ext uri="{FF2B5EF4-FFF2-40B4-BE49-F238E27FC236}">
              <a16:creationId xmlns:a16="http://schemas.microsoft.com/office/drawing/2014/main" id="{1D198B94-5CAF-48E6-9C14-4CD287348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82" name="BEx1KD7H6UB1VYCJ7O61P562EIUY" descr="IQGV9140X0K0UPBL8OGU3I44J" hidden="1">
          <a:extLst>
            <a:ext uri="{FF2B5EF4-FFF2-40B4-BE49-F238E27FC236}">
              <a16:creationId xmlns:a16="http://schemas.microsoft.com/office/drawing/2014/main" id="{6E73F816-D535-4FEE-9325-211D3B530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83" name="BEx5AQZ4ETQ9LMY5EBWVH20Z7VXQ" hidden="1">
          <a:extLst>
            <a:ext uri="{FF2B5EF4-FFF2-40B4-BE49-F238E27FC236}">
              <a16:creationId xmlns:a16="http://schemas.microsoft.com/office/drawing/2014/main" id="{7D5214F2-6F3D-4B1D-8B76-4944ACE21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84" name="BEx1KD7H6UB1VYCJ7O61P562EIUY" descr="IQGV9140X0K0UPBL8OGU3I44J" hidden="1">
          <a:extLst>
            <a:ext uri="{FF2B5EF4-FFF2-40B4-BE49-F238E27FC236}">
              <a16:creationId xmlns:a16="http://schemas.microsoft.com/office/drawing/2014/main" id="{A30085EA-C658-47C8-A6AE-929BF53E9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85" name="BEx5BJQWS6YWHH4ZMSUAMD641V6Y" descr="ZTMFMXCIQSECDX38ALEFHUB00" hidden="1">
          <a:extLst>
            <a:ext uri="{FF2B5EF4-FFF2-40B4-BE49-F238E27FC236}">
              <a16:creationId xmlns:a16="http://schemas.microsoft.com/office/drawing/2014/main" id="{88A43FB9-ABDD-480D-8156-5F38CBDDA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86" name="BEx5AQZ4ETQ9LMY5EBWVH20Z7VXQ" hidden="1">
          <a:extLst>
            <a:ext uri="{FF2B5EF4-FFF2-40B4-BE49-F238E27FC236}">
              <a16:creationId xmlns:a16="http://schemas.microsoft.com/office/drawing/2014/main" id="{03B9E025-ED42-4B53-847C-71DB5C850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87" name="BExUBK0YZ5VYFY8TTITJGJU9S06A" hidden="1">
          <a:extLst>
            <a:ext uri="{FF2B5EF4-FFF2-40B4-BE49-F238E27FC236}">
              <a16:creationId xmlns:a16="http://schemas.microsoft.com/office/drawing/2014/main" id="{2308B24C-A446-49FC-B872-BB3D8242E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88" name="BEx1KD7H6UB1VYCJ7O61P562EIUY" descr="IQGV9140X0K0UPBL8OGU3I44J" hidden="1">
          <a:extLst>
            <a:ext uri="{FF2B5EF4-FFF2-40B4-BE49-F238E27FC236}">
              <a16:creationId xmlns:a16="http://schemas.microsoft.com/office/drawing/2014/main" id="{00DA3C9D-7007-4EDF-832E-9B8593F8E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89" name="BEx5AQZ4ETQ9LMY5EBWVH20Z7VXQ" hidden="1">
          <a:extLst>
            <a:ext uri="{FF2B5EF4-FFF2-40B4-BE49-F238E27FC236}">
              <a16:creationId xmlns:a16="http://schemas.microsoft.com/office/drawing/2014/main" id="{29C2E60C-F8D0-43C3-B08A-A824FBE36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90" name="BEx1KD7H6UB1VYCJ7O61P562EIUY" descr="IQGV9140X0K0UPBL8OGU3I44J" hidden="1">
          <a:extLst>
            <a:ext uri="{FF2B5EF4-FFF2-40B4-BE49-F238E27FC236}">
              <a16:creationId xmlns:a16="http://schemas.microsoft.com/office/drawing/2014/main" id="{9EC42B52-E37F-431D-98C8-6A0809BF5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91" name="BEx5BJQWS6YWHH4ZMSUAMD641V6Y" descr="ZTMFMXCIQSECDX38ALEFHUB00" hidden="1">
          <a:extLst>
            <a:ext uri="{FF2B5EF4-FFF2-40B4-BE49-F238E27FC236}">
              <a16:creationId xmlns:a16="http://schemas.microsoft.com/office/drawing/2014/main" id="{E3542780-64C6-4FD7-8C5E-81D9F48A3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92" name="BEx5AQZ4ETQ9LMY5EBWVH20Z7VXQ" hidden="1">
          <a:extLst>
            <a:ext uri="{FF2B5EF4-FFF2-40B4-BE49-F238E27FC236}">
              <a16:creationId xmlns:a16="http://schemas.microsoft.com/office/drawing/2014/main" id="{8B9F6A42-477D-47F2-93D4-D6421C0FA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93" name="BExUBK0YZ5VYFY8TTITJGJU9S06A" hidden="1">
          <a:extLst>
            <a:ext uri="{FF2B5EF4-FFF2-40B4-BE49-F238E27FC236}">
              <a16:creationId xmlns:a16="http://schemas.microsoft.com/office/drawing/2014/main" id="{EDC58558-C199-4A42-B4FB-F766B7978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94" name="BEx1KD7H6UB1VYCJ7O61P562EIUY" descr="IQGV9140X0K0UPBL8OGU3I44J" hidden="1">
          <a:extLst>
            <a:ext uri="{FF2B5EF4-FFF2-40B4-BE49-F238E27FC236}">
              <a16:creationId xmlns:a16="http://schemas.microsoft.com/office/drawing/2014/main" id="{CECD7E91-192A-48CA-82EA-A057AD11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95" name="BEx5BJQWS6YWHH4ZMSUAMD641V6Y" descr="ZTMFMXCIQSECDX38ALEFHUB00" hidden="1">
          <a:extLst>
            <a:ext uri="{FF2B5EF4-FFF2-40B4-BE49-F238E27FC236}">
              <a16:creationId xmlns:a16="http://schemas.microsoft.com/office/drawing/2014/main" id="{F6CACCAD-4599-4D2E-958A-6A1F981FD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96" name="BEx5AQZ4ETQ9LMY5EBWVH20Z7VXQ" hidden="1">
          <a:extLst>
            <a:ext uri="{FF2B5EF4-FFF2-40B4-BE49-F238E27FC236}">
              <a16:creationId xmlns:a16="http://schemas.microsoft.com/office/drawing/2014/main" id="{DA525864-88A3-43C3-B602-B79A8BBE5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297" name="BExUBK0YZ5VYFY8TTITJGJU9S06A" hidden="1">
          <a:extLst>
            <a:ext uri="{FF2B5EF4-FFF2-40B4-BE49-F238E27FC236}">
              <a16:creationId xmlns:a16="http://schemas.microsoft.com/office/drawing/2014/main" id="{D4125522-FBC0-4127-9346-3379A5C86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98" name="BEx1KD7H6UB1VYCJ7O61P562EIUY" descr="IQGV9140X0K0UPBL8OGU3I44J" hidden="1">
          <a:extLst>
            <a:ext uri="{FF2B5EF4-FFF2-40B4-BE49-F238E27FC236}">
              <a16:creationId xmlns:a16="http://schemas.microsoft.com/office/drawing/2014/main" id="{32D2168F-4156-4FC5-951B-2049ADC23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299" name="BEx5AQZ4ETQ9LMY5EBWVH20Z7VXQ" hidden="1">
          <a:extLst>
            <a:ext uri="{FF2B5EF4-FFF2-40B4-BE49-F238E27FC236}">
              <a16:creationId xmlns:a16="http://schemas.microsoft.com/office/drawing/2014/main" id="{1108E71F-674B-4EE0-A2DA-DD7403C6B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00" name="BEx1KD7H6UB1VYCJ7O61P562EIUY" descr="IQGV9140X0K0UPBL8OGU3I44J" hidden="1">
          <a:extLst>
            <a:ext uri="{FF2B5EF4-FFF2-40B4-BE49-F238E27FC236}">
              <a16:creationId xmlns:a16="http://schemas.microsoft.com/office/drawing/2014/main" id="{700886A9-E6F5-4174-B728-C0300CE10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01" name="BEx5BJQWS6YWHH4ZMSUAMD641V6Y" descr="ZTMFMXCIQSECDX38ALEFHUB00" hidden="1">
          <a:extLst>
            <a:ext uri="{FF2B5EF4-FFF2-40B4-BE49-F238E27FC236}">
              <a16:creationId xmlns:a16="http://schemas.microsoft.com/office/drawing/2014/main" id="{F6E5D85B-A93E-4783-A3CD-08C0F3DE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02" name="BEx5AQZ4ETQ9LMY5EBWVH20Z7VXQ" hidden="1">
          <a:extLst>
            <a:ext uri="{FF2B5EF4-FFF2-40B4-BE49-F238E27FC236}">
              <a16:creationId xmlns:a16="http://schemas.microsoft.com/office/drawing/2014/main" id="{6A26C605-DBFE-479F-946A-3DE9E57CD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03" name="BExUBK0YZ5VYFY8TTITJGJU9S06A" hidden="1">
          <a:extLst>
            <a:ext uri="{FF2B5EF4-FFF2-40B4-BE49-F238E27FC236}">
              <a16:creationId xmlns:a16="http://schemas.microsoft.com/office/drawing/2014/main" id="{3E0A32B3-429E-4800-A925-CD74E6F89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04" name="BEx1KD7H6UB1VYCJ7O61P562EIUY" descr="IQGV9140X0K0UPBL8OGU3I44J" hidden="1">
          <a:extLst>
            <a:ext uri="{FF2B5EF4-FFF2-40B4-BE49-F238E27FC236}">
              <a16:creationId xmlns:a16="http://schemas.microsoft.com/office/drawing/2014/main" id="{B1C91FB0-3B01-4A4A-97E8-E981E751B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05" name="BEx5BJQWS6YWHH4ZMSUAMD641V6Y" descr="ZTMFMXCIQSECDX38ALEFHUB00" hidden="1">
          <a:extLst>
            <a:ext uri="{FF2B5EF4-FFF2-40B4-BE49-F238E27FC236}">
              <a16:creationId xmlns:a16="http://schemas.microsoft.com/office/drawing/2014/main" id="{92137A57-B552-42DF-A749-A42976BB6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06" name="BEx5AQZ4ETQ9LMY5EBWVH20Z7VXQ" hidden="1">
          <a:extLst>
            <a:ext uri="{FF2B5EF4-FFF2-40B4-BE49-F238E27FC236}">
              <a16:creationId xmlns:a16="http://schemas.microsoft.com/office/drawing/2014/main" id="{F06D9F56-19A8-4CF5-9C38-74C4DE646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07" name="BExUBK0YZ5VYFY8TTITJGJU9S06A" hidden="1">
          <a:extLst>
            <a:ext uri="{FF2B5EF4-FFF2-40B4-BE49-F238E27FC236}">
              <a16:creationId xmlns:a16="http://schemas.microsoft.com/office/drawing/2014/main" id="{4A445624-712E-43E7-AD58-A2EE111F1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08" name="BEx1KD7H6UB1VYCJ7O61P562EIUY" descr="IQGV9140X0K0UPBL8OGU3I44J" hidden="1">
          <a:extLst>
            <a:ext uri="{FF2B5EF4-FFF2-40B4-BE49-F238E27FC236}">
              <a16:creationId xmlns:a16="http://schemas.microsoft.com/office/drawing/2014/main" id="{77B2AE15-B0BE-4D91-A7C4-8AE4B0FB7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09" name="BEx5BJQWS6YWHH4ZMSUAMD641V6Y" descr="ZTMFMXCIQSECDX38ALEFHUB00" hidden="1">
          <a:extLst>
            <a:ext uri="{FF2B5EF4-FFF2-40B4-BE49-F238E27FC236}">
              <a16:creationId xmlns:a16="http://schemas.microsoft.com/office/drawing/2014/main" id="{E76A8385-FDF3-44DF-95FF-572F64FB3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10" name="BEx5AQZ4ETQ9LMY5EBWVH20Z7VXQ" hidden="1">
          <a:extLst>
            <a:ext uri="{FF2B5EF4-FFF2-40B4-BE49-F238E27FC236}">
              <a16:creationId xmlns:a16="http://schemas.microsoft.com/office/drawing/2014/main" id="{98A57C33-D5A2-4EF4-84DA-7C32D4F7A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11" name="BExUBK0YZ5VYFY8TTITJGJU9S06A" hidden="1">
          <a:extLst>
            <a:ext uri="{FF2B5EF4-FFF2-40B4-BE49-F238E27FC236}">
              <a16:creationId xmlns:a16="http://schemas.microsoft.com/office/drawing/2014/main" id="{04628B51-AC8C-4009-B546-232C546FF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12" name="BEx1KD7H6UB1VYCJ7O61P562EIUY" descr="IQGV9140X0K0UPBL8OGU3I44J" hidden="1">
          <a:extLst>
            <a:ext uri="{FF2B5EF4-FFF2-40B4-BE49-F238E27FC236}">
              <a16:creationId xmlns:a16="http://schemas.microsoft.com/office/drawing/2014/main" id="{8F8DDDC0-40F5-44B5-8CB7-3AC750675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13" name="BEx5AQZ4ETQ9LMY5EBWVH20Z7VXQ" hidden="1">
          <a:extLst>
            <a:ext uri="{FF2B5EF4-FFF2-40B4-BE49-F238E27FC236}">
              <a16:creationId xmlns:a16="http://schemas.microsoft.com/office/drawing/2014/main" id="{F8F453B7-807C-4FAF-822A-27001C0EA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14" name="BEx1KD7H6UB1VYCJ7O61P562EIUY" descr="IQGV9140X0K0UPBL8OGU3I44J" hidden="1">
          <a:extLst>
            <a:ext uri="{FF2B5EF4-FFF2-40B4-BE49-F238E27FC236}">
              <a16:creationId xmlns:a16="http://schemas.microsoft.com/office/drawing/2014/main" id="{F1FA177B-C030-4134-A591-82AE49507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15" name="BEx5AQZ4ETQ9LMY5EBWVH20Z7VXQ" hidden="1">
          <a:extLst>
            <a:ext uri="{FF2B5EF4-FFF2-40B4-BE49-F238E27FC236}">
              <a16:creationId xmlns:a16="http://schemas.microsoft.com/office/drawing/2014/main" id="{17A8E6A1-0BF3-4E3D-9B39-FB916B279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16" name="BEx1KD7H6UB1VYCJ7O61P562EIUY" descr="IQGV9140X0K0UPBL8OGU3I44J" hidden="1">
          <a:extLst>
            <a:ext uri="{FF2B5EF4-FFF2-40B4-BE49-F238E27FC236}">
              <a16:creationId xmlns:a16="http://schemas.microsoft.com/office/drawing/2014/main" id="{DF194C17-6FB5-40C6-8A5A-20B7AA654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17" name="BEx5AQZ4ETQ9LMY5EBWVH20Z7VXQ" hidden="1">
          <a:extLst>
            <a:ext uri="{FF2B5EF4-FFF2-40B4-BE49-F238E27FC236}">
              <a16:creationId xmlns:a16="http://schemas.microsoft.com/office/drawing/2014/main" id="{EDFFC1FA-23DE-42BE-9029-F7FEE61C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18" name="BEx1KD7H6UB1VYCJ7O61P562EIUY" descr="IQGV9140X0K0UPBL8OGU3I44J" hidden="1">
          <a:extLst>
            <a:ext uri="{FF2B5EF4-FFF2-40B4-BE49-F238E27FC236}">
              <a16:creationId xmlns:a16="http://schemas.microsoft.com/office/drawing/2014/main" id="{8A73632F-EEFD-4691-BB0B-7EB703FAB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19" name="BEx5AQZ4ETQ9LMY5EBWVH20Z7VXQ" hidden="1">
          <a:extLst>
            <a:ext uri="{FF2B5EF4-FFF2-40B4-BE49-F238E27FC236}">
              <a16:creationId xmlns:a16="http://schemas.microsoft.com/office/drawing/2014/main" id="{7D0D727B-7FA0-4548-AB5C-9818FCFC9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20" name="BEx1KD7H6UB1VYCJ7O61P562EIUY" descr="IQGV9140X0K0UPBL8OGU3I44J" hidden="1">
          <a:extLst>
            <a:ext uri="{FF2B5EF4-FFF2-40B4-BE49-F238E27FC236}">
              <a16:creationId xmlns:a16="http://schemas.microsoft.com/office/drawing/2014/main" id="{C85EC690-07EA-497C-9E16-3581313FC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21" name="BEx5AQZ4ETQ9LMY5EBWVH20Z7VXQ" hidden="1">
          <a:extLst>
            <a:ext uri="{FF2B5EF4-FFF2-40B4-BE49-F238E27FC236}">
              <a16:creationId xmlns:a16="http://schemas.microsoft.com/office/drawing/2014/main" id="{B4A05E85-28AD-49B2-97AF-CD16FE60E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22" name="BEx1KD7H6UB1VYCJ7O61P562EIUY" descr="IQGV9140X0K0UPBL8OGU3I44J" hidden="1">
          <a:extLst>
            <a:ext uri="{FF2B5EF4-FFF2-40B4-BE49-F238E27FC236}">
              <a16:creationId xmlns:a16="http://schemas.microsoft.com/office/drawing/2014/main" id="{50C8DF18-A236-44DD-A3FD-6694DC3CE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23" name="BEx5BJQWS6YWHH4ZMSUAMD641V6Y" descr="ZTMFMXCIQSECDX38ALEFHUB00" hidden="1">
          <a:extLst>
            <a:ext uri="{FF2B5EF4-FFF2-40B4-BE49-F238E27FC236}">
              <a16:creationId xmlns:a16="http://schemas.microsoft.com/office/drawing/2014/main" id="{AB8F8ECD-C163-4D92-BBCA-19E8F7DD6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24" name="BEx5AQZ4ETQ9LMY5EBWVH20Z7VXQ" hidden="1">
          <a:extLst>
            <a:ext uri="{FF2B5EF4-FFF2-40B4-BE49-F238E27FC236}">
              <a16:creationId xmlns:a16="http://schemas.microsoft.com/office/drawing/2014/main" id="{A9F97C06-977A-4C2C-A306-F6736A9E1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25" name="BExUBK0YZ5VYFY8TTITJGJU9S06A" hidden="1">
          <a:extLst>
            <a:ext uri="{FF2B5EF4-FFF2-40B4-BE49-F238E27FC236}">
              <a16:creationId xmlns:a16="http://schemas.microsoft.com/office/drawing/2014/main" id="{B4A3AEBE-F6C4-4BC7-9002-CACB02C64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26" name="BEx1KD7H6UB1VYCJ7O61P562EIUY" descr="IQGV9140X0K0UPBL8OGU3I44J" hidden="1">
          <a:extLst>
            <a:ext uri="{FF2B5EF4-FFF2-40B4-BE49-F238E27FC236}">
              <a16:creationId xmlns:a16="http://schemas.microsoft.com/office/drawing/2014/main" id="{4A22389B-0F5F-47BE-9A30-5B1FC82B3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27" name="BEx5BJQWS6YWHH4ZMSUAMD641V6Y" descr="ZTMFMXCIQSECDX38ALEFHUB00" hidden="1">
          <a:extLst>
            <a:ext uri="{FF2B5EF4-FFF2-40B4-BE49-F238E27FC236}">
              <a16:creationId xmlns:a16="http://schemas.microsoft.com/office/drawing/2014/main" id="{BB7E89BF-2BB0-477C-9481-9FC9AFA6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28" name="BEx5AQZ4ETQ9LMY5EBWVH20Z7VXQ" hidden="1">
          <a:extLst>
            <a:ext uri="{FF2B5EF4-FFF2-40B4-BE49-F238E27FC236}">
              <a16:creationId xmlns:a16="http://schemas.microsoft.com/office/drawing/2014/main" id="{E65E3AF9-4923-43A6-A0A4-622A841DF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29" name="BExUBK0YZ5VYFY8TTITJGJU9S06A" hidden="1">
          <a:extLst>
            <a:ext uri="{FF2B5EF4-FFF2-40B4-BE49-F238E27FC236}">
              <a16:creationId xmlns:a16="http://schemas.microsoft.com/office/drawing/2014/main" id="{3BB52424-839D-4825-B6D2-89C5FC52F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30" name="BEx1KD7H6UB1VYCJ7O61P562EIUY" descr="IQGV9140X0K0UPBL8OGU3I44J" hidden="1">
          <a:extLst>
            <a:ext uri="{FF2B5EF4-FFF2-40B4-BE49-F238E27FC236}">
              <a16:creationId xmlns:a16="http://schemas.microsoft.com/office/drawing/2014/main" id="{54134D50-86AD-4816-BAB9-64B47977D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31" name="BEx5BJQWS6YWHH4ZMSUAMD641V6Y" descr="ZTMFMXCIQSECDX38ALEFHUB00" hidden="1">
          <a:extLst>
            <a:ext uri="{FF2B5EF4-FFF2-40B4-BE49-F238E27FC236}">
              <a16:creationId xmlns:a16="http://schemas.microsoft.com/office/drawing/2014/main" id="{07E8704A-4021-4F0F-B9B8-72DB0CE91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32" name="BEx5AQZ4ETQ9LMY5EBWVH20Z7VXQ" hidden="1">
          <a:extLst>
            <a:ext uri="{FF2B5EF4-FFF2-40B4-BE49-F238E27FC236}">
              <a16:creationId xmlns:a16="http://schemas.microsoft.com/office/drawing/2014/main" id="{C448FA6D-DB2E-46DF-B7E8-8DF5540B1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33" name="BExUBK0YZ5VYFY8TTITJGJU9S06A" hidden="1">
          <a:extLst>
            <a:ext uri="{FF2B5EF4-FFF2-40B4-BE49-F238E27FC236}">
              <a16:creationId xmlns:a16="http://schemas.microsoft.com/office/drawing/2014/main" id="{9CFB7F80-BE3E-4B6B-B305-AAA458D44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34" name="BEx1KD7H6UB1VYCJ7O61P562EIUY" descr="IQGV9140X0K0UPBL8OGU3I44J" hidden="1">
          <a:extLst>
            <a:ext uri="{FF2B5EF4-FFF2-40B4-BE49-F238E27FC236}">
              <a16:creationId xmlns:a16="http://schemas.microsoft.com/office/drawing/2014/main" id="{6A85E140-8800-4472-A218-1FAFAF57C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35" name="BEx5BJQWS6YWHH4ZMSUAMD641V6Y" descr="ZTMFMXCIQSECDX38ALEFHUB00" hidden="1">
          <a:extLst>
            <a:ext uri="{FF2B5EF4-FFF2-40B4-BE49-F238E27FC236}">
              <a16:creationId xmlns:a16="http://schemas.microsoft.com/office/drawing/2014/main" id="{D9ABA3A4-9AB9-4F9F-BBF8-2FCC3D7F1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36" name="BEx5AQZ4ETQ9LMY5EBWVH20Z7VXQ" hidden="1">
          <a:extLst>
            <a:ext uri="{FF2B5EF4-FFF2-40B4-BE49-F238E27FC236}">
              <a16:creationId xmlns:a16="http://schemas.microsoft.com/office/drawing/2014/main" id="{2CF93E91-3179-4F70-9F53-1EF9EF3D4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37" name="BExUBK0YZ5VYFY8TTITJGJU9S06A" hidden="1">
          <a:extLst>
            <a:ext uri="{FF2B5EF4-FFF2-40B4-BE49-F238E27FC236}">
              <a16:creationId xmlns:a16="http://schemas.microsoft.com/office/drawing/2014/main" id="{9BA83E2E-F024-42FC-93D9-BA1E7EBE9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38" name="BEx1KD7H6UB1VYCJ7O61P562EIUY" descr="IQGV9140X0K0UPBL8OGU3I44J" hidden="1">
          <a:extLst>
            <a:ext uri="{FF2B5EF4-FFF2-40B4-BE49-F238E27FC236}">
              <a16:creationId xmlns:a16="http://schemas.microsoft.com/office/drawing/2014/main" id="{0B5A5BB6-923E-4514-A801-187061398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39" name="BEx5BJQWS6YWHH4ZMSUAMD641V6Y" descr="ZTMFMXCIQSECDX38ALEFHUB00" hidden="1">
          <a:extLst>
            <a:ext uri="{FF2B5EF4-FFF2-40B4-BE49-F238E27FC236}">
              <a16:creationId xmlns:a16="http://schemas.microsoft.com/office/drawing/2014/main" id="{B61388B2-E424-4421-836A-EDED0B531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40" name="BEx5AQZ4ETQ9LMY5EBWVH20Z7VXQ" hidden="1">
          <a:extLst>
            <a:ext uri="{FF2B5EF4-FFF2-40B4-BE49-F238E27FC236}">
              <a16:creationId xmlns:a16="http://schemas.microsoft.com/office/drawing/2014/main" id="{D4002316-BE58-434A-A06C-D6F925CBB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41" name="BExUBK0YZ5VYFY8TTITJGJU9S06A" hidden="1">
          <a:extLst>
            <a:ext uri="{FF2B5EF4-FFF2-40B4-BE49-F238E27FC236}">
              <a16:creationId xmlns:a16="http://schemas.microsoft.com/office/drawing/2014/main" id="{963035DB-FA84-4E16-B851-28E8E89B6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42" name="BEx1KD7H6UB1VYCJ7O61P562EIUY" descr="IQGV9140X0K0UPBL8OGU3I44J" hidden="1">
          <a:extLst>
            <a:ext uri="{FF2B5EF4-FFF2-40B4-BE49-F238E27FC236}">
              <a16:creationId xmlns:a16="http://schemas.microsoft.com/office/drawing/2014/main" id="{B17663D3-90E0-4BF8-8A3A-87B73A501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43" name="BEx5BJQWS6YWHH4ZMSUAMD641V6Y" descr="ZTMFMXCIQSECDX38ALEFHUB00" hidden="1">
          <a:extLst>
            <a:ext uri="{FF2B5EF4-FFF2-40B4-BE49-F238E27FC236}">
              <a16:creationId xmlns:a16="http://schemas.microsoft.com/office/drawing/2014/main" id="{7E0CC6DE-2767-425C-9A74-9E025AE4B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44" name="BEx5AQZ4ETQ9LMY5EBWVH20Z7VXQ" hidden="1">
          <a:extLst>
            <a:ext uri="{FF2B5EF4-FFF2-40B4-BE49-F238E27FC236}">
              <a16:creationId xmlns:a16="http://schemas.microsoft.com/office/drawing/2014/main" id="{F384E087-E060-4603-BD78-76168392A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45" name="BExUBK0YZ5VYFY8TTITJGJU9S06A" hidden="1">
          <a:extLst>
            <a:ext uri="{FF2B5EF4-FFF2-40B4-BE49-F238E27FC236}">
              <a16:creationId xmlns:a16="http://schemas.microsoft.com/office/drawing/2014/main" id="{6966D7BC-9B1B-4126-A1D5-19B6A60F5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46" name="BEx5BJQWS6YWHH4ZMSUAMD641V6Y" descr="ZTMFMXCIQSECDX38ALEFHUB00" hidden="1">
          <a:extLst>
            <a:ext uri="{FF2B5EF4-FFF2-40B4-BE49-F238E27FC236}">
              <a16:creationId xmlns:a16="http://schemas.microsoft.com/office/drawing/2014/main" id="{E1B1305A-3878-4544-8569-20515F37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47" name="BExUBK0YZ5VYFY8TTITJGJU9S06A" hidden="1">
          <a:extLst>
            <a:ext uri="{FF2B5EF4-FFF2-40B4-BE49-F238E27FC236}">
              <a16:creationId xmlns:a16="http://schemas.microsoft.com/office/drawing/2014/main" id="{2F4B6DB7-3161-4E21-BD8E-31466CAC4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48" name="BEx5BJQWS6YWHH4ZMSUAMD641V6Y" descr="ZTMFMXCIQSECDX38ALEFHUB00" hidden="1">
          <a:extLst>
            <a:ext uri="{FF2B5EF4-FFF2-40B4-BE49-F238E27FC236}">
              <a16:creationId xmlns:a16="http://schemas.microsoft.com/office/drawing/2014/main" id="{53629EB6-AA3A-4D2C-817E-BB36D356A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49" name="BExUBK0YZ5VYFY8TTITJGJU9S06A" hidden="1">
          <a:extLst>
            <a:ext uri="{FF2B5EF4-FFF2-40B4-BE49-F238E27FC236}">
              <a16:creationId xmlns:a16="http://schemas.microsoft.com/office/drawing/2014/main" id="{8351F859-2BC7-4B83-AFFE-16537F094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50" name="BEx5BJQWS6YWHH4ZMSUAMD641V6Y" descr="ZTMFMXCIQSECDX38ALEFHUB00" hidden="1">
          <a:extLst>
            <a:ext uri="{FF2B5EF4-FFF2-40B4-BE49-F238E27FC236}">
              <a16:creationId xmlns:a16="http://schemas.microsoft.com/office/drawing/2014/main" id="{2D6684E6-6BAA-4C5B-AFBD-ADCF17886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51" name="BExUBK0YZ5VYFY8TTITJGJU9S06A" hidden="1">
          <a:extLst>
            <a:ext uri="{FF2B5EF4-FFF2-40B4-BE49-F238E27FC236}">
              <a16:creationId xmlns:a16="http://schemas.microsoft.com/office/drawing/2014/main" id="{38C6BAE2-983F-4B04-9C3D-AF7922925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52" name="BEx5BJQWS6YWHH4ZMSUAMD641V6Y" descr="ZTMFMXCIQSECDX38ALEFHUB00" hidden="1">
          <a:extLst>
            <a:ext uri="{FF2B5EF4-FFF2-40B4-BE49-F238E27FC236}">
              <a16:creationId xmlns:a16="http://schemas.microsoft.com/office/drawing/2014/main" id="{0E15E6F1-D296-46DA-B104-4EDB23AE7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53" name="BExUBK0YZ5VYFY8TTITJGJU9S06A" hidden="1">
          <a:extLst>
            <a:ext uri="{FF2B5EF4-FFF2-40B4-BE49-F238E27FC236}">
              <a16:creationId xmlns:a16="http://schemas.microsoft.com/office/drawing/2014/main" id="{6444F19F-B52C-4500-8CCF-6169EEFB2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54" name="BEx5BJQWS6YWHH4ZMSUAMD641V6Y" descr="ZTMFMXCIQSECDX38ALEFHUB00" hidden="1">
          <a:extLst>
            <a:ext uri="{FF2B5EF4-FFF2-40B4-BE49-F238E27FC236}">
              <a16:creationId xmlns:a16="http://schemas.microsoft.com/office/drawing/2014/main" id="{B7CB38A7-1917-4388-8709-0C85504F7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55" name="BExUBK0YZ5VYFY8TTITJGJU9S06A" hidden="1">
          <a:extLst>
            <a:ext uri="{FF2B5EF4-FFF2-40B4-BE49-F238E27FC236}">
              <a16:creationId xmlns:a16="http://schemas.microsoft.com/office/drawing/2014/main" id="{50727430-1083-438D-9CAA-9F2FFBF99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56" name="BEx1KD7H6UB1VYCJ7O61P562EIUY" descr="IQGV9140X0K0UPBL8OGU3I44J" hidden="1">
          <a:extLst>
            <a:ext uri="{FF2B5EF4-FFF2-40B4-BE49-F238E27FC236}">
              <a16:creationId xmlns:a16="http://schemas.microsoft.com/office/drawing/2014/main" id="{7087E6A3-0A40-4E44-B3A6-FEC6941CB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57" name="BEx5AQZ4ETQ9LMY5EBWVH20Z7VXQ" hidden="1">
          <a:extLst>
            <a:ext uri="{FF2B5EF4-FFF2-40B4-BE49-F238E27FC236}">
              <a16:creationId xmlns:a16="http://schemas.microsoft.com/office/drawing/2014/main" id="{568267F4-2BD2-476E-9DD2-7061ED5DA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58" name="BEx1KD7H6UB1VYCJ7O61P562EIUY" descr="IQGV9140X0K0UPBL8OGU3I44J" hidden="1">
          <a:extLst>
            <a:ext uri="{FF2B5EF4-FFF2-40B4-BE49-F238E27FC236}">
              <a16:creationId xmlns:a16="http://schemas.microsoft.com/office/drawing/2014/main" id="{B3802473-94B7-43AD-B59F-0BBD34A70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59" name="BEx5AQZ4ETQ9LMY5EBWVH20Z7VXQ" hidden="1">
          <a:extLst>
            <a:ext uri="{FF2B5EF4-FFF2-40B4-BE49-F238E27FC236}">
              <a16:creationId xmlns:a16="http://schemas.microsoft.com/office/drawing/2014/main" id="{24D170CB-E480-4D41-B481-1B1A854AE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60" name="BEx5BJQWS6YWHH4ZMSUAMD641V6Y" descr="ZTMFMXCIQSECDX38ALEFHUB00" hidden="1">
          <a:extLst>
            <a:ext uri="{FF2B5EF4-FFF2-40B4-BE49-F238E27FC236}">
              <a16:creationId xmlns:a16="http://schemas.microsoft.com/office/drawing/2014/main" id="{8DAB80B1-A3D9-4F46-BDFD-C69779D23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61" name="BExUBK0YZ5VYFY8TTITJGJU9S06A" hidden="1">
          <a:extLst>
            <a:ext uri="{FF2B5EF4-FFF2-40B4-BE49-F238E27FC236}">
              <a16:creationId xmlns:a16="http://schemas.microsoft.com/office/drawing/2014/main" id="{3F496435-587E-479F-AFD3-AEF6C03D6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62" name="BEx1KD7H6UB1VYCJ7O61P562EIUY" descr="IQGV9140X0K0UPBL8OGU3I44J" hidden="1">
          <a:extLst>
            <a:ext uri="{FF2B5EF4-FFF2-40B4-BE49-F238E27FC236}">
              <a16:creationId xmlns:a16="http://schemas.microsoft.com/office/drawing/2014/main" id="{33886B0E-3537-4B76-9D85-47C6FA52F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63" name="BEx5AQZ4ETQ9LMY5EBWVH20Z7VXQ" hidden="1">
          <a:extLst>
            <a:ext uri="{FF2B5EF4-FFF2-40B4-BE49-F238E27FC236}">
              <a16:creationId xmlns:a16="http://schemas.microsoft.com/office/drawing/2014/main" id="{65C2ED1F-CA8C-4BD5-A3ED-830BDD913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64" name="BEx5BJQWS6YWHH4ZMSUAMD641V6Y" descr="ZTMFMXCIQSECDX38ALEFHUB00" hidden="1">
          <a:extLst>
            <a:ext uri="{FF2B5EF4-FFF2-40B4-BE49-F238E27FC236}">
              <a16:creationId xmlns:a16="http://schemas.microsoft.com/office/drawing/2014/main" id="{01987A35-1AF5-4DBA-8916-774B446CF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65" name="BExUBK0YZ5VYFY8TTITJGJU9S06A" hidden="1">
          <a:extLst>
            <a:ext uri="{FF2B5EF4-FFF2-40B4-BE49-F238E27FC236}">
              <a16:creationId xmlns:a16="http://schemas.microsoft.com/office/drawing/2014/main" id="{B499119C-63CA-4F99-BCC4-833BDA15F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66" name="BEx5BJQWS6YWHH4ZMSUAMD641V6Y" descr="ZTMFMXCIQSECDX38ALEFHUB00" hidden="1">
          <a:extLst>
            <a:ext uri="{FF2B5EF4-FFF2-40B4-BE49-F238E27FC236}">
              <a16:creationId xmlns:a16="http://schemas.microsoft.com/office/drawing/2014/main" id="{5BDE9411-C78E-4415-BAA7-F5F7B05F0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67" name="BExUBK0YZ5VYFY8TTITJGJU9S06A" hidden="1">
          <a:extLst>
            <a:ext uri="{FF2B5EF4-FFF2-40B4-BE49-F238E27FC236}">
              <a16:creationId xmlns:a16="http://schemas.microsoft.com/office/drawing/2014/main" id="{3675AA56-9794-4BA0-8DBC-6408BCD12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68" name="BEx1KD7H6UB1VYCJ7O61P562EIUY" descr="IQGV9140X0K0UPBL8OGU3I44J" hidden="1">
          <a:extLst>
            <a:ext uri="{FF2B5EF4-FFF2-40B4-BE49-F238E27FC236}">
              <a16:creationId xmlns:a16="http://schemas.microsoft.com/office/drawing/2014/main" id="{CD173D21-82C3-4E4B-AA26-722CE1555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69" name="BEx5AQZ4ETQ9LMY5EBWVH20Z7VXQ" hidden="1">
          <a:extLst>
            <a:ext uri="{FF2B5EF4-FFF2-40B4-BE49-F238E27FC236}">
              <a16:creationId xmlns:a16="http://schemas.microsoft.com/office/drawing/2014/main" id="{B84266EC-8358-4EC5-8D44-CFFC97B4F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70" name="BEx5BJQWS6YWHH4ZMSUAMD641V6Y" descr="ZTMFMXCIQSECDX38ALEFHUB00" hidden="1">
          <a:extLst>
            <a:ext uri="{FF2B5EF4-FFF2-40B4-BE49-F238E27FC236}">
              <a16:creationId xmlns:a16="http://schemas.microsoft.com/office/drawing/2014/main" id="{21338A59-E698-4779-9E7E-C2132686B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71" name="BExUBK0YZ5VYFY8TTITJGJU9S06A" hidden="1">
          <a:extLst>
            <a:ext uri="{FF2B5EF4-FFF2-40B4-BE49-F238E27FC236}">
              <a16:creationId xmlns:a16="http://schemas.microsoft.com/office/drawing/2014/main" id="{3F53FB8D-59DE-4EF4-A2C4-95986D9D6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72" name="BEx5BJQWS6YWHH4ZMSUAMD641V6Y" descr="ZTMFMXCIQSECDX38ALEFHUB00" hidden="1">
          <a:extLst>
            <a:ext uri="{FF2B5EF4-FFF2-40B4-BE49-F238E27FC236}">
              <a16:creationId xmlns:a16="http://schemas.microsoft.com/office/drawing/2014/main" id="{48A861EE-8AA7-44E3-91AD-FA9A0D041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73" name="BExUBK0YZ5VYFY8TTITJGJU9S06A" hidden="1">
          <a:extLst>
            <a:ext uri="{FF2B5EF4-FFF2-40B4-BE49-F238E27FC236}">
              <a16:creationId xmlns:a16="http://schemas.microsoft.com/office/drawing/2014/main" id="{5267DC96-B3B8-4619-86AC-BC161D5C4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74" name="BEx5BJQWS6YWHH4ZMSUAMD641V6Y" descr="ZTMFMXCIQSECDX38ALEFHUB00" hidden="1">
          <a:extLst>
            <a:ext uri="{FF2B5EF4-FFF2-40B4-BE49-F238E27FC236}">
              <a16:creationId xmlns:a16="http://schemas.microsoft.com/office/drawing/2014/main" id="{9824B344-DA67-4558-8D0C-33DEF2143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75" name="BExUBK0YZ5VYFY8TTITJGJU9S06A" hidden="1">
          <a:extLst>
            <a:ext uri="{FF2B5EF4-FFF2-40B4-BE49-F238E27FC236}">
              <a16:creationId xmlns:a16="http://schemas.microsoft.com/office/drawing/2014/main" id="{C7E11F79-1558-4347-A5E1-DD082BBFF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76" name="BEx1KD7H6UB1VYCJ7O61P562EIUY" descr="IQGV9140X0K0UPBL8OGU3I44J" hidden="1">
          <a:extLst>
            <a:ext uri="{FF2B5EF4-FFF2-40B4-BE49-F238E27FC236}">
              <a16:creationId xmlns:a16="http://schemas.microsoft.com/office/drawing/2014/main" id="{DA0C69BC-996D-4859-B84E-E01A56888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77" name="BEx5AQZ4ETQ9LMY5EBWVH20Z7VXQ" hidden="1">
          <a:extLst>
            <a:ext uri="{FF2B5EF4-FFF2-40B4-BE49-F238E27FC236}">
              <a16:creationId xmlns:a16="http://schemas.microsoft.com/office/drawing/2014/main" id="{46A9C69C-7FB8-44D0-AB07-55F7D6935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78" name="BEx5BJQWS6YWHH4ZMSUAMD641V6Y" descr="ZTMFMXCIQSECDX38ALEFHUB00" hidden="1">
          <a:extLst>
            <a:ext uri="{FF2B5EF4-FFF2-40B4-BE49-F238E27FC236}">
              <a16:creationId xmlns:a16="http://schemas.microsoft.com/office/drawing/2014/main" id="{63D44CFC-305B-4F18-8ABB-4A6FEF31F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79" name="BExUBK0YZ5VYFY8TTITJGJU9S06A" hidden="1">
          <a:extLst>
            <a:ext uri="{FF2B5EF4-FFF2-40B4-BE49-F238E27FC236}">
              <a16:creationId xmlns:a16="http://schemas.microsoft.com/office/drawing/2014/main" id="{9A7D18D2-98C2-454C-9282-319B7C8DD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80" name="BEx5BJQWS6YWHH4ZMSUAMD641V6Y" descr="ZTMFMXCIQSECDX38ALEFHUB00" hidden="1">
          <a:extLst>
            <a:ext uri="{FF2B5EF4-FFF2-40B4-BE49-F238E27FC236}">
              <a16:creationId xmlns:a16="http://schemas.microsoft.com/office/drawing/2014/main" id="{413B25E6-A4F5-4235-9A43-C1A5072B7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81" name="BExUBK0YZ5VYFY8TTITJGJU9S06A" hidden="1">
          <a:extLst>
            <a:ext uri="{FF2B5EF4-FFF2-40B4-BE49-F238E27FC236}">
              <a16:creationId xmlns:a16="http://schemas.microsoft.com/office/drawing/2014/main" id="{F72FADC3-38A7-4462-ACC2-1D1FA798E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82" name="BEx5BJQWS6YWHH4ZMSUAMD641V6Y" descr="ZTMFMXCIQSECDX38ALEFHUB00" hidden="1">
          <a:extLst>
            <a:ext uri="{FF2B5EF4-FFF2-40B4-BE49-F238E27FC236}">
              <a16:creationId xmlns:a16="http://schemas.microsoft.com/office/drawing/2014/main" id="{8F9FA51C-D103-4B13-89EF-463CA668A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83" name="BExUBK0YZ5VYFY8TTITJGJU9S06A" hidden="1">
          <a:extLst>
            <a:ext uri="{FF2B5EF4-FFF2-40B4-BE49-F238E27FC236}">
              <a16:creationId xmlns:a16="http://schemas.microsoft.com/office/drawing/2014/main" id="{91D4787A-6579-46EF-9CF0-93E037D81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84" name="BEx5BJQWS6YWHH4ZMSUAMD641V6Y" descr="ZTMFMXCIQSECDX38ALEFHUB00" hidden="1">
          <a:extLst>
            <a:ext uri="{FF2B5EF4-FFF2-40B4-BE49-F238E27FC236}">
              <a16:creationId xmlns:a16="http://schemas.microsoft.com/office/drawing/2014/main" id="{0FF6EF12-2D9E-4E12-9056-4E26F6679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85" name="BExUBK0YZ5VYFY8TTITJGJU9S06A" hidden="1">
          <a:extLst>
            <a:ext uri="{FF2B5EF4-FFF2-40B4-BE49-F238E27FC236}">
              <a16:creationId xmlns:a16="http://schemas.microsoft.com/office/drawing/2014/main" id="{A2560A59-9E59-4A9E-8FEA-C93C907C4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86" name="BEx5BJQWS6YWHH4ZMSUAMD641V6Y" descr="ZTMFMXCIQSECDX38ALEFHUB00" hidden="1">
          <a:extLst>
            <a:ext uri="{FF2B5EF4-FFF2-40B4-BE49-F238E27FC236}">
              <a16:creationId xmlns:a16="http://schemas.microsoft.com/office/drawing/2014/main" id="{D16A46F1-730A-42DC-8F2F-97CF8D249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87" name="BExUBK0YZ5VYFY8TTITJGJU9S06A" hidden="1">
          <a:extLst>
            <a:ext uri="{FF2B5EF4-FFF2-40B4-BE49-F238E27FC236}">
              <a16:creationId xmlns:a16="http://schemas.microsoft.com/office/drawing/2014/main" id="{EF221260-C69E-4954-9161-02EA6F8BC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88" name="BEx1KD7H6UB1VYCJ7O61P562EIUY" descr="IQGV9140X0K0UPBL8OGU3I44J" hidden="1">
          <a:extLst>
            <a:ext uri="{FF2B5EF4-FFF2-40B4-BE49-F238E27FC236}">
              <a16:creationId xmlns:a16="http://schemas.microsoft.com/office/drawing/2014/main" id="{ACCE7D29-F2D1-41DB-9EF2-C60977BC4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89" name="BEx5BJQWS6YWHH4ZMSUAMD641V6Y" descr="ZTMFMXCIQSECDX38ALEFHUB00" hidden="1">
          <a:extLst>
            <a:ext uri="{FF2B5EF4-FFF2-40B4-BE49-F238E27FC236}">
              <a16:creationId xmlns:a16="http://schemas.microsoft.com/office/drawing/2014/main" id="{D2DDA467-134C-4F22-8A0B-94B772B12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390" name="BEx5AQZ4ETQ9LMY5EBWVH20Z7VXQ" hidden="1">
          <a:extLst>
            <a:ext uri="{FF2B5EF4-FFF2-40B4-BE49-F238E27FC236}">
              <a16:creationId xmlns:a16="http://schemas.microsoft.com/office/drawing/2014/main" id="{C6F331A5-A106-4EB4-B55D-933561E88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91" name="BExUBK0YZ5VYFY8TTITJGJU9S06A" hidden="1">
          <a:extLst>
            <a:ext uri="{FF2B5EF4-FFF2-40B4-BE49-F238E27FC236}">
              <a16:creationId xmlns:a16="http://schemas.microsoft.com/office/drawing/2014/main" id="{C47284C5-2A9A-4337-AAE5-4BE0F0AB0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92" name="BEx5BJQWS6YWHH4ZMSUAMD641V6Y" descr="ZTMFMXCIQSECDX38ALEFHUB00" hidden="1">
          <a:extLst>
            <a:ext uri="{FF2B5EF4-FFF2-40B4-BE49-F238E27FC236}">
              <a16:creationId xmlns:a16="http://schemas.microsoft.com/office/drawing/2014/main" id="{B2E507EC-619E-4CC8-994A-81E1A3699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93" name="BExUBK0YZ5VYFY8TTITJGJU9S06A" hidden="1">
          <a:extLst>
            <a:ext uri="{FF2B5EF4-FFF2-40B4-BE49-F238E27FC236}">
              <a16:creationId xmlns:a16="http://schemas.microsoft.com/office/drawing/2014/main" id="{517C91EF-32C6-4A9E-952A-422B4876D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94" name="BEx5BJQWS6YWHH4ZMSUAMD641V6Y" descr="ZTMFMXCIQSECDX38ALEFHUB00" hidden="1">
          <a:extLst>
            <a:ext uri="{FF2B5EF4-FFF2-40B4-BE49-F238E27FC236}">
              <a16:creationId xmlns:a16="http://schemas.microsoft.com/office/drawing/2014/main" id="{4DCC55E5-2576-4ADB-8241-F3B7B5828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95" name="BExUBK0YZ5VYFY8TTITJGJU9S06A" hidden="1">
          <a:extLst>
            <a:ext uri="{FF2B5EF4-FFF2-40B4-BE49-F238E27FC236}">
              <a16:creationId xmlns:a16="http://schemas.microsoft.com/office/drawing/2014/main" id="{9173E056-FB35-41FE-98F2-EE0EDE4B5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96" name="BEx5BJQWS6YWHH4ZMSUAMD641V6Y" descr="ZTMFMXCIQSECDX38ALEFHUB00" hidden="1">
          <a:extLst>
            <a:ext uri="{FF2B5EF4-FFF2-40B4-BE49-F238E27FC236}">
              <a16:creationId xmlns:a16="http://schemas.microsoft.com/office/drawing/2014/main" id="{F08F8444-8E72-4FEE-825A-C54279DF2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97" name="BExUBK0YZ5VYFY8TTITJGJU9S06A" hidden="1">
          <a:extLst>
            <a:ext uri="{FF2B5EF4-FFF2-40B4-BE49-F238E27FC236}">
              <a16:creationId xmlns:a16="http://schemas.microsoft.com/office/drawing/2014/main" id="{7EA7BD72-5909-4C65-BB10-C8FCA80B6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98" name="BEx5BJQWS6YWHH4ZMSUAMD641V6Y" descr="ZTMFMXCIQSECDX38ALEFHUB00" hidden="1">
          <a:extLst>
            <a:ext uri="{FF2B5EF4-FFF2-40B4-BE49-F238E27FC236}">
              <a16:creationId xmlns:a16="http://schemas.microsoft.com/office/drawing/2014/main" id="{54164426-3C43-4ABB-B33A-45AC2B467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399" name="BExUBK0YZ5VYFY8TTITJGJU9S06A" hidden="1">
          <a:extLst>
            <a:ext uri="{FF2B5EF4-FFF2-40B4-BE49-F238E27FC236}">
              <a16:creationId xmlns:a16="http://schemas.microsoft.com/office/drawing/2014/main" id="{772CDA42-D377-4A34-999F-AD7D896C3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00" name="BEx5BJQWS6YWHH4ZMSUAMD641V6Y" descr="ZTMFMXCIQSECDX38ALEFHUB00" hidden="1">
          <a:extLst>
            <a:ext uri="{FF2B5EF4-FFF2-40B4-BE49-F238E27FC236}">
              <a16:creationId xmlns:a16="http://schemas.microsoft.com/office/drawing/2014/main" id="{C2EEAF65-39FF-445D-9BC7-D5C729E2F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01" name="BExUBK0YZ5VYFY8TTITJGJU9S06A" hidden="1">
          <a:extLst>
            <a:ext uri="{FF2B5EF4-FFF2-40B4-BE49-F238E27FC236}">
              <a16:creationId xmlns:a16="http://schemas.microsoft.com/office/drawing/2014/main" id="{CADC2FDE-ACF2-4234-B23A-C3B99FC1D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02" name="BEx1KD7H6UB1VYCJ7O61P562EIUY" descr="IQGV9140X0K0UPBL8OGU3I44J" hidden="1">
          <a:extLst>
            <a:ext uri="{FF2B5EF4-FFF2-40B4-BE49-F238E27FC236}">
              <a16:creationId xmlns:a16="http://schemas.microsoft.com/office/drawing/2014/main" id="{0B54B8BE-5BC7-4539-B9F7-5D07E2B2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03" name="BEx5AQZ4ETQ9LMY5EBWVH20Z7VXQ" hidden="1">
          <a:extLst>
            <a:ext uri="{FF2B5EF4-FFF2-40B4-BE49-F238E27FC236}">
              <a16:creationId xmlns:a16="http://schemas.microsoft.com/office/drawing/2014/main" id="{745B0E34-EC70-4452-86EA-CB0B20CD3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04" name="BEx1KD7H6UB1VYCJ7O61P562EIUY" descr="IQGV9140X0K0UPBL8OGU3I44J" hidden="1">
          <a:extLst>
            <a:ext uri="{FF2B5EF4-FFF2-40B4-BE49-F238E27FC236}">
              <a16:creationId xmlns:a16="http://schemas.microsoft.com/office/drawing/2014/main" id="{27036016-01BD-4CD0-BF4F-BC48E5702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05" name="BEx5AQZ4ETQ9LMY5EBWVH20Z7VXQ" hidden="1">
          <a:extLst>
            <a:ext uri="{FF2B5EF4-FFF2-40B4-BE49-F238E27FC236}">
              <a16:creationId xmlns:a16="http://schemas.microsoft.com/office/drawing/2014/main" id="{FB67012C-E712-4A61-834E-3933CB0F4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06" name="BEx5BJQWS6YWHH4ZMSUAMD641V6Y" descr="ZTMFMXCIQSECDX38ALEFHUB00" hidden="1">
          <a:extLst>
            <a:ext uri="{FF2B5EF4-FFF2-40B4-BE49-F238E27FC236}">
              <a16:creationId xmlns:a16="http://schemas.microsoft.com/office/drawing/2014/main" id="{826053A9-52A5-4BC8-819D-E3438DBFC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07" name="BExUBK0YZ5VYFY8TTITJGJU9S06A" hidden="1">
          <a:extLst>
            <a:ext uri="{FF2B5EF4-FFF2-40B4-BE49-F238E27FC236}">
              <a16:creationId xmlns:a16="http://schemas.microsoft.com/office/drawing/2014/main" id="{935BCC6E-8788-459F-923F-21EA9EF26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08" name="BEx1KD7H6UB1VYCJ7O61P562EIUY" descr="IQGV9140X0K0UPBL8OGU3I44J" hidden="1">
          <a:extLst>
            <a:ext uri="{FF2B5EF4-FFF2-40B4-BE49-F238E27FC236}">
              <a16:creationId xmlns:a16="http://schemas.microsoft.com/office/drawing/2014/main" id="{1F486791-7DC5-418F-8FB4-977E44F09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09" name="BEx5AQZ4ETQ9LMY5EBWVH20Z7VXQ" hidden="1">
          <a:extLst>
            <a:ext uri="{FF2B5EF4-FFF2-40B4-BE49-F238E27FC236}">
              <a16:creationId xmlns:a16="http://schemas.microsoft.com/office/drawing/2014/main" id="{43E1317D-347D-49C1-9EE2-FCF4EAE35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10" name="BEx5BJQWS6YWHH4ZMSUAMD641V6Y" descr="ZTMFMXCIQSECDX38ALEFHUB00" hidden="1">
          <a:extLst>
            <a:ext uri="{FF2B5EF4-FFF2-40B4-BE49-F238E27FC236}">
              <a16:creationId xmlns:a16="http://schemas.microsoft.com/office/drawing/2014/main" id="{B7146927-A020-4770-924C-1120ED00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11" name="BExUBK0YZ5VYFY8TTITJGJU9S06A" hidden="1">
          <a:extLst>
            <a:ext uri="{FF2B5EF4-FFF2-40B4-BE49-F238E27FC236}">
              <a16:creationId xmlns:a16="http://schemas.microsoft.com/office/drawing/2014/main" id="{897FFEA1-AAC3-4A00-8F90-AD954B99C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12" name="BEx5BJQWS6YWHH4ZMSUAMD641V6Y" descr="ZTMFMXCIQSECDX38ALEFHUB00" hidden="1">
          <a:extLst>
            <a:ext uri="{FF2B5EF4-FFF2-40B4-BE49-F238E27FC236}">
              <a16:creationId xmlns:a16="http://schemas.microsoft.com/office/drawing/2014/main" id="{9C3C8F29-002A-4646-8FFC-99F5FD98B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13" name="BExUBK0YZ5VYFY8TTITJGJU9S06A" hidden="1">
          <a:extLst>
            <a:ext uri="{FF2B5EF4-FFF2-40B4-BE49-F238E27FC236}">
              <a16:creationId xmlns:a16="http://schemas.microsoft.com/office/drawing/2014/main" id="{7161CEBC-EFCB-4424-AD73-77D03A4E3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14" name="BEx1KD7H6UB1VYCJ7O61P562EIUY" descr="IQGV9140X0K0UPBL8OGU3I44J" hidden="1">
          <a:extLst>
            <a:ext uri="{FF2B5EF4-FFF2-40B4-BE49-F238E27FC236}">
              <a16:creationId xmlns:a16="http://schemas.microsoft.com/office/drawing/2014/main" id="{26072FBC-3E68-455A-B25D-494D2D488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15" name="BEx5AQZ4ETQ9LMY5EBWVH20Z7VXQ" hidden="1">
          <a:extLst>
            <a:ext uri="{FF2B5EF4-FFF2-40B4-BE49-F238E27FC236}">
              <a16:creationId xmlns:a16="http://schemas.microsoft.com/office/drawing/2014/main" id="{2C6CBF47-F021-47B1-8F61-E5BCED45E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16" name="BEx5BJQWS6YWHH4ZMSUAMD641V6Y" descr="ZTMFMXCIQSECDX38ALEFHUB00" hidden="1">
          <a:extLst>
            <a:ext uri="{FF2B5EF4-FFF2-40B4-BE49-F238E27FC236}">
              <a16:creationId xmlns:a16="http://schemas.microsoft.com/office/drawing/2014/main" id="{D113337D-A212-46C4-9A69-798BDFCFF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17" name="BExUBK0YZ5VYFY8TTITJGJU9S06A" hidden="1">
          <a:extLst>
            <a:ext uri="{FF2B5EF4-FFF2-40B4-BE49-F238E27FC236}">
              <a16:creationId xmlns:a16="http://schemas.microsoft.com/office/drawing/2014/main" id="{D6829BA8-47AD-4D21-A3C2-659C3D6FC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18" name="BEx5BJQWS6YWHH4ZMSUAMD641V6Y" descr="ZTMFMXCIQSECDX38ALEFHUB00" hidden="1">
          <a:extLst>
            <a:ext uri="{FF2B5EF4-FFF2-40B4-BE49-F238E27FC236}">
              <a16:creationId xmlns:a16="http://schemas.microsoft.com/office/drawing/2014/main" id="{02B12CC2-BDAE-4D40-A58E-5CA35DB3D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19" name="BExUBK0YZ5VYFY8TTITJGJU9S06A" hidden="1">
          <a:extLst>
            <a:ext uri="{FF2B5EF4-FFF2-40B4-BE49-F238E27FC236}">
              <a16:creationId xmlns:a16="http://schemas.microsoft.com/office/drawing/2014/main" id="{ED06EE4D-7BBB-4438-884D-CE96998DC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20" name="BEx5BJQWS6YWHH4ZMSUAMD641V6Y" descr="ZTMFMXCIQSECDX38ALEFHUB00" hidden="1">
          <a:extLst>
            <a:ext uri="{FF2B5EF4-FFF2-40B4-BE49-F238E27FC236}">
              <a16:creationId xmlns:a16="http://schemas.microsoft.com/office/drawing/2014/main" id="{836F8132-9E39-4DAD-A2E1-297B2E484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21" name="BExUBK0YZ5VYFY8TTITJGJU9S06A" hidden="1">
          <a:extLst>
            <a:ext uri="{FF2B5EF4-FFF2-40B4-BE49-F238E27FC236}">
              <a16:creationId xmlns:a16="http://schemas.microsoft.com/office/drawing/2014/main" id="{109817C2-E396-4B49-9B46-AEED2B64D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22" name="BEx1KD7H6UB1VYCJ7O61P562EIUY" descr="IQGV9140X0K0UPBL8OGU3I44J" hidden="1">
          <a:extLst>
            <a:ext uri="{FF2B5EF4-FFF2-40B4-BE49-F238E27FC236}">
              <a16:creationId xmlns:a16="http://schemas.microsoft.com/office/drawing/2014/main" id="{BEB31EE5-6737-4CFC-9F06-4F2C73768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23" name="BEx5AQZ4ETQ9LMY5EBWVH20Z7VXQ" hidden="1">
          <a:extLst>
            <a:ext uri="{FF2B5EF4-FFF2-40B4-BE49-F238E27FC236}">
              <a16:creationId xmlns:a16="http://schemas.microsoft.com/office/drawing/2014/main" id="{9F66242F-817A-4B7C-BA3E-CC85FD4F2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24" name="BEx5BJQWS6YWHH4ZMSUAMD641V6Y" descr="ZTMFMXCIQSECDX38ALEFHUB00" hidden="1">
          <a:extLst>
            <a:ext uri="{FF2B5EF4-FFF2-40B4-BE49-F238E27FC236}">
              <a16:creationId xmlns:a16="http://schemas.microsoft.com/office/drawing/2014/main" id="{A555DE09-92E2-4EF1-8896-D864B68AD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25" name="BExUBK0YZ5VYFY8TTITJGJU9S06A" hidden="1">
          <a:extLst>
            <a:ext uri="{FF2B5EF4-FFF2-40B4-BE49-F238E27FC236}">
              <a16:creationId xmlns:a16="http://schemas.microsoft.com/office/drawing/2014/main" id="{43D67C57-FCA9-44F8-9C61-5901A282C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26" name="BEx5BJQWS6YWHH4ZMSUAMD641V6Y" descr="ZTMFMXCIQSECDX38ALEFHUB00" hidden="1">
          <a:extLst>
            <a:ext uri="{FF2B5EF4-FFF2-40B4-BE49-F238E27FC236}">
              <a16:creationId xmlns:a16="http://schemas.microsoft.com/office/drawing/2014/main" id="{79FB9671-4AB9-4610-8221-0C89DDFD6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27" name="BExUBK0YZ5VYFY8TTITJGJU9S06A" hidden="1">
          <a:extLst>
            <a:ext uri="{FF2B5EF4-FFF2-40B4-BE49-F238E27FC236}">
              <a16:creationId xmlns:a16="http://schemas.microsoft.com/office/drawing/2014/main" id="{08AAB694-216C-437D-9A93-1869AC05F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28" name="BEx5BJQWS6YWHH4ZMSUAMD641V6Y" descr="ZTMFMXCIQSECDX38ALEFHUB00" hidden="1">
          <a:extLst>
            <a:ext uri="{FF2B5EF4-FFF2-40B4-BE49-F238E27FC236}">
              <a16:creationId xmlns:a16="http://schemas.microsoft.com/office/drawing/2014/main" id="{1F85B76B-5604-4E5A-A283-8BF78A7FC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29" name="BExUBK0YZ5VYFY8TTITJGJU9S06A" hidden="1">
          <a:extLst>
            <a:ext uri="{FF2B5EF4-FFF2-40B4-BE49-F238E27FC236}">
              <a16:creationId xmlns:a16="http://schemas.microsoft.com/office/drawing/2014/main" id="{C9F4E331-90A7-4EB4-AAD5-38E8A6E4E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30" name="BEx5BJQWS6YWHH4ZMSUAMD641V6Y" descr="ZTMFMXCIQSECDX38ALEFHUB00" hidden="1">
          <a:extLst>
            <a:ext uri="{FF2B5EF4-FFF2-40B4-BE49-F238E27FC236}">
              <a16:creationId xmlns:a16="http://schemas.microsoft.com/office/drawing/2014/main" id="{964CFAFF-13B1-4366-907D-32E7A1079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31" name="BExUBK0YZ5VYFY8TTITJGJU9S06A" hidden="1">
          <a:extLst>
            <a:ext uri="{FF2B5EF4-FFF2-40B4-BE49-F238E27FC236}">
              <a16:creationId xmlns:a16="http://schemas.microsoft.com/office/drawing/2014/main" id="{BFA3A597-C26B-47D5-929A-D9DEB2D95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32" name="BEx5BJQWS6YWHH4ZMSUAMD641V6Y" descr="ZTMFMXCIQSECDX38ALEFHUB00" hidden="1">
          <a:extLst>
            <a:ext uri="{FF2B5EF4-FFF2-40B4-BE49-F238E27FC236}">
              <a16:creationId xmlns:a16="http://schemas.microsoft.com/office/drawing/2014/main" id="{F4CD4A30-182D-457C-B224-6CA7A72AE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33" name="BExUBK0YZ5VYFY8TTITJGJU9S06A" hidden="1">
          <a:extLst>
            <a:ext uri="{FF2B5EF4-FFF2-40B4-BE49-F238E27FC236}">
              <a16:creationId xmlns:a16="http://schemas.microsoft.com/office/drawing/2014/main" id="{A795746F-C3A3-48A0-A96B-B12823433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34" name="BEx5BJQWS6YWHH4ZMSUAMD641V6Y" descr="ZTMFMXCIQSECDX38ALEFHUB00" hidden="1">
          <a:extLst>
            <a:ext uri="{FF2B5EF4-FFF2-40B4-BE49-F238E27FC236}">
              <a16:creationId xmlns:a16="http://schemas.microsoft.com/office/drawing/2014/main" id="{83283713-38C5-4540-ADF3-B025695F4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35" name="BExUBK0YZ5VYFY8TTITJGJU9S06A" hidden="1">
          <a:extLst>
            <a:ext uri="{FF2B5EF4-FFF2-40B4-BE49-F238E27FC236}">
              <a16:creationId xmlns:a16="http://schemas.microsoft.com/office/drawing/2014/main" id="{06094F29-B41C-480C-96F2-35393FFDD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436" name="BExMO7VFCN4EL59982UR4AJ25JNJ" descr="XX6TINEJADZGKR0CTM7ZRT0RA" hidden="1">
          <a:extLst>
            <a:ext uri="{FF2B5EF4-FFF2-40B4-BE49-F238E27FC236}">
              <a16:creationId xmlns:a16="http://schemas.microsoft.com/office/drawing/2014/main" id="{4ED721D0-32D3-4837-BDCA-8A6CBF7A9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437" name="BExU3EX5JJCXCII4YKUJBFBGIJR2" descr="OF5ZI9PI5WH36VPANJ2DYLNMI" hidden="1">
          <a:extLst>
            <a:ext uri="{FF2B5EF4-FFF2-40B4-BE49-F238E27FC236}">
              <a16:creationId xmlns:a16="http://schemas.microsoft.com/office/drawing/2014/main" id="{2339A0D1-3600-47BE-ABBF-3C642B813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38" name="BEx1KD7H6UB1VYCJ7O61P562EIUY" descr="IQGV9140X0K0UPBL8OGU3I44J" hidden="1">
          <a:extLst>
            <a:ext uri="{FF2B5EF4-FFF2-40B4-BE49-F238E27FC236}">
              <a16:creationId xmlns:a16="http://schemas.microsoft.com/office/drawing/2014/main" id="{43A98798-D0EB-461A-BBEE-EA09C732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39" name="BEx5BJQWS6YWHH4ZMSUAMD641V6Y" descr="ZTMFMXCIQSECDX38ALEFHUB00" hidden="1">
          <a:extLst>
            <a:ext uri="{FF2B5EF4-FFF2-40B4-BE49-F238E27FC236}">
              <a16:creationId xmlns:a16="http://schemas.microsoft.com/office/drawing/2014/main" id="{F5CD513B-B0D1-45B3-8130-F7441D398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1440" name="BExVTO5Q8G2M7BPL4B2584LQS0R0" descr="OB6Q8NA4LZFE4GM9Y3V56BPMQ" hidden="1">
          <a:extLst>
            <a:ext uri="{FF2B5EF4-FFF2-40B4-BE49-F238E27FC236}">
              <a16:creationId xmlns:a16="http://schemas.microsoft.com/office/drawing/2014/main" id="{D84ECA48-3253-41A6-A520-395DCC155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1441" name="BExIFSCLN1G86X78PFLTSMRP0US5" descr="9JK4SPV4DG7VTCZIILWHXQU5J" hidden="1">
          <a:extLst>
            <a:ext uri="{FF2B5EF4-FFF2-40B4-BE49-F238E27FC236}">
              <a16:creationId xmlns:a16="http://schemas.microsoft.com/office/drawing/2014/main" id="{271453A4-9CD0-4397-B7CD-C2B08D400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442" name="BEx1I152WN2D3A85O2XN0DGXCWHN" descr="KHBZFMANRA4UMJR1AB4M5NJNT" hidden="1">
          <a:extLst>
            <a:ext uri="{FF2B5EF4-FFF2-40B4-BE49-F238E27FC236}">
              <a16:creationId xmlns:a16="http://schemas.microsoft.com/office/drawing/2014/main" id="{E704661A-CD75-4471-9AD6-67DFADDCF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443" name="BExW9676P0SKCVKK25QCGHPA3PAD" descr="9A4PWZ20RMSRF0PNECCDM75CA" hidden="1">
          <a:extLst>
            <a:ext uri="{FF2B5EF4-FFF2-40B4-BE49-F238E27FC236}">
              <a16:creationId xmlns:a16="http://schemas.microsoft.com/office/drawing/2014/main" id="{76C578FD-972E-44ED-9F6E-902CD7343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444" name="BExS5CPQ8P8JOQPK7ANNKHLSGOKU" hidden="1">
          <a:extLst>
            <a:ext uri="{FF2B5EF4-FFF2-40B4-BE49-F238E27FC236}">
              <a16:creationId xmlns:a16="http://schemas.microsoft.com/office/drawing/2014/main" id="{D05AC5C0-64B2-424D-9FDD-D0C8F674A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445" name="BExMM0AVUAIRNJLXB1FW8R0YB4ZZ" hidden="1">
          <a:extLst>
            <a:ext uri="{FF2B5EF4-FFF2-40B4-BE49-F238E27FC236}">
              <a16:creationId xmlns:a16="http://schemas.microsoft.com/office/drawing/2014/main" id="{E6C50B09-2573-4FDD-A861-C8710D311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446" name="BExXZ7Y09CBS0XA7IPB3IRJ8RJM4" hidden="1">
          <a:extLst>
            <a:ext uri="{FF2B5EF4-FFF2-40B4-BE49-F238E27FC236}">
              <a16:creationId xmlns:a16="http://schemas.microsoft.com/office/drawing/2014/main" id="{E54133AE-03FD-492F-92D1-BE0CB0DFA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447" name="BExQ7SXS9VUG7P6CACU2J7R2SGIZ" hidden="1">
          <a:extLst>
            <a:ext uri="{FF2B5EF4-FFF2-40B4-BE49-F238E27FC236}">
              <a16:creationId xmlns:a16="http://schemas.microsoft.com/office/drawing/2014/main" id="{C2235689-4399-4876-88CE-6604BF978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48" name="BEx5AQZ4ETQ9LMY5EBWVH20Z7VXQ" hidden="1">
          <a:extLst>
            <a:ext uri="{FF2B5EF4-FFF2-40B4-BE49-F238E27FC236}">
              <a16:creationId xmlns:a16="http://schemas.microsoft.com/office/drawing/2014/main" id="{8C9FDF71-1554-45CF-9977-CFD413DC5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49" name="BExUBK0YZ5VYFY8TTITJGJU9S06A" hidden="1">
          <a:extLst>
            <a:ext uri="{FF2B5EF4-FFF2-40B4-BE49-F238E27FC236}">
              <a16:creationId xmlns:a16="http://schemas.microsoft.com/office/drawing/2014/main" id="{C8B0DC45-E073-4F94-B543-C113C54C1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1450" name="BExUEZCSSJ7RN4J18I2NUIQR2FZS" hidden="1">
          <a:extLst>
            <a:ext uri="{FF2B5EF4-FFF2-40B4-BE49-F238E27FC236}">
              <a16:creationId xmlns:a16="http://schemas.microsoft.com/office/drawing/2014/main" id="{234FBD12-3661-4649-B007-AAFAAA4BB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2973705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1451" name="BExS3JDQWF7U3F5JTEVOE16ASIYK" hidden="1">
          <a:extLst>
            <a:ext uri="{FF2B5EF4-FFF2-40B4-BE49-F238E27FC236}">
              <a16:creationId xmlns:a16="http://schemas.microsoft.com/office/drawing/2014/main" id="{DA2D2C30-B60F-466F-AF77-C44A134C8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29718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52" name="BEx1KD7H6UB1VYCJ7O61P562EIUY" descr="IQGV9140X0K0UPBL8OGU3I44J" hidden="1">
          <a:extLst>
            <a:ext uri="{FF2B5EF4-FFF2-40B4-BE49-F238E27FC236}">
              <a16:creationId xmlns:a16="http://schemas.microsoft.com/office/drawing/2014/main" id="{92860B4D-5572-4A9A-8FF1-4C2043153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53" name="BEx5BJQWS6YWHH4ZMSUAMD641V6Y" descr="ZTMFMXCIQSECDX38ALEFHUB00" hidden="1">
          <a:extLst>
            <a:ext uri="{FF2B5EF4-FFF2-40B4-BE49-F238E27FC236}">
              <a16:creationId xmlns:a16="http://schemas.microsoft.com/office/drawing/2014/main" id="{B77CD9BE-E750-43AD-8815-DFCFE1597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54" name="BEx5AQZ4ETQ9LMY5EBWVH20Z7VXQ" hidden="1">
          <a:extLst>
            <a:ext uri="{FF2B5EF4-FFF2-40B4-BE49-F238E27FC236}">
              <a16:creationId xmlns:a16="http://schemas.microsoft.com/office/drawing/2014/main" id="{57154B44-9AC2-45A3-82F8-C58CCC789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55" name="BExUBK0YZ5VYFY8TTITJGJU9S06A" hidden="1">
          <a:extLst>
            <a:ext uri="{FF2B5EF4-FFF2-40B4-BE49-F238E27FC236}">
              <a16:creationId xmlns:a16="http://schemas.microsoft.com/office/drawing/2014/main" id="{4AEAC655-9B5D-458A-A53C-01CBC261E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456" name="BExMO7VFCN4EL59982UR4AJ25JNJ" descr="XX6TINEJADZGKR0CTM7ZRT0RA" hidden="1">
          <a:extLst>
            <a:ext uri="{FF2B5EF4-FFF2-40B4-BE49-F238E27FC236}">
              <a16:creationId xmlns:a16="http://schemas.microsoft.com/office/drawing/2014/main" id="{C5E16751-2738-4683-847F-2F4B2FDB1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457" name="BExU3EX5JJCXCII4YKUJBFBGIJR2" descr="OF5ZI9PI5WH36VPANJ2DYLNMI" hidden="1">
          <a:extLst>
            <a:ext uri="{FF2B5EF4-FFF2-40B4-BE49-F238E27FC236}">
              <a16:creationId xmlns:a16="http://schemas.microsoft.com/office/drawing/2014/main" id="{9B19BFF8-97F0-4BD3-8F15-D78B6D482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458" name="BEx1I152WN2D3A85O2XN0DGXCWHN" descr="KHBZFMANRA4UMJR1AB4M5NJNT" hidden="1">
          <a:extLst>
            <a:ext uri="{FF2B5EF4-FFF2-40B4-BE49-F238E27FC236}">
              <a16:creationId xmlns:a16="http://schemas.microsoft.com/office/drawing/2014/main" id="{8728B9BF-5904-468C-A4C3-30A2A4A20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459" name="BExW9676P0SKCVKK25QCGHPA3PAD" descr="9A4PWZ20RMSRF0PNECCDM75CA" hidden="1">
          <a:extLst>
            <a:ext uri="{FF2B5EF4-FFF2-40B4-BE49-F238E27FC236}">
              <a16:creationId xmlns:a16="http://schemas.microsoft.com/office/drawing/2014/main" id="{1E42130D-D4C5-42D0-9F01-CED07CCF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460" name="BExS5CPQ8P8JOQPK7ANNKHLSGOKU" hidden="1">
          <a:extLst>
            <a:ext uri="{FF2B5EF4-FFF2-40B4-BE49-F238E27FC236}">
              <a16:creationId xmlns:a16="http://schemas.microsoft.com/office/drawing/2014/main" id="{F7DA9226-C4B7-465D-8F63-0B486C493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461" name="BExMM0AVUAIRNJLXB1FW8R0YB4ZZ" hidden="1">
          <a:extLst>
            <a:ext uri="{FF2B5EF4-FFF2-40B4-BE49-F238E27FC236}">
              <a16:creationId xmlns:a16="http://schemas.microsoft.com/office/drawing/2014/main" id="{9D6CD621-7EA3-4E25-A72B-4753BF3A7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462" name="BExXZ7Y09CBS0XA7IPB3IRJ8RJM4" hidden="1">
          <a:extLst>
            <a:ext uri="{FF2B5EF4-FFF2-40B4-BE49-F238E27FC236}">
              <a16:creationId xmlns:a16="http://schemas.microsoft.com/office/drawing/2014/main" id="{CF2534E6-AE3E-452D-95FB-431FA2EBF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463" name="BExQ7SXS9VUG7P6CACU2J7R2SGIZ" hidden="1">
          <a:extLst>
            <a:ext uri="{FF2B5EF4-FFF2-40B4-BE49-F238E27FC236}">
              <a16:creationId xmlns:a16="http://schemas.microsoft.com/office/drawing/2014/main" id="{6B0FDDDF-D595-4A8B-AF78-177EC77DF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464" name="BExMO7VFCN4EL59982UR4AJ25JNJ" descr="XX6TINEJADZGKR0CTM7ZRT0RA" hidden="1">
          <a:extLst>
            <a:ext uri="{FF2B5EF4-FFF2-40B4-BE49-F238E27FC236}">
              <a16:creationId xmlns:a16="http://schemas.microsoft.com/office/drawing/2014/main" id="{271F710E-A97E-473E-BF94-9B4BC42FC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465" name="BExU3EX5JJCXCII4YKUJBFBGIJR2" descr="OF5ZI9PI5WH36VPANJ2DYLNMI" hidden="1">
          <a:extLst>
            <a:ext uri="{FF2B5EF4-FFF2-40B4-BE49-F238E27FC236}">
              <a16:creationId xmlns:a16="http://schemas.microsoft.com/office/drawing/2014/main" id="{7CB4167D-0A7B-4DC8-A4CF-400C628D2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466" name="BEx1I152WN2D3A85O2XN0DGXCWHN" descr="KHBZFMANRA4UMJR1AB4M5NJNT" hidden="1">
          <a:extLst>
            <a:ext uri="{FF2B5EF4-FFF2-40B4-BE49-F238E27FC236}">
              <a16:creationId xmlns:a16="http://schemas.microsoft.com/office/drawing/2014/main" id="{80F633C4-3FC3-4F26-A99E-942ABDDC1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467" name="BExW9676P0SKCVKK25QCGHPA3PAD" descr="9A4PWZ20RMSRF0PNECCDM75CA" hidden="1">
          <a:extLst>
            <a:ext uri="{FF2B5EF4-FFF2-40B4-BE49-F238E27FC236}">
              <a16:creationId xmlns:a16="http://schemas.microsoft.com/office/drawing/2014/main" id="{79B4F82B-A4F8-491A-8A94-9F1050CBE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468" name="BExS5CPQ8P8JOQPK7ANNKHLSGOKU" hidden="1">
          <a:extLst>
            <a:ext uri="{FF2B5EF4-FFF2-40B4-BE49-F238E27FC236}">
              <a16:creationId xmlns:a16="http://schemas.microsoft.com/office/drawing/2014/main" id="{A8FC62BA-90E0-45D2-978F-763886735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469" name="BExMM0AVUAIRNJLXB1FW8R0YB4ZZ" hidden="1">
          <a:extLst>
            <a:ext uri="{FF2B5EF4-FFF2-40B4-BE49-F238E27FC236}">
              <a16:creationId xmlns:a16="http://schemas.microsoft.com/office/drawing/2014/main" id="{769DC66A-6AD4-4F43-A83E-E3397D1B9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470" name="BExXZ7Y09CBS0XA7IPB3IRJ8RJM4" hidden="1">
          <a:extLst>
            <a:ext uri="{FF2B5EF4-FFF2-40B4-BE49-F238E27FC236}">
              <a16:creationId xmlns:a16="http://schemas.microsoft.com/office/drawing/2014/main" id="{EE847950-443F-44A6-9590-4E3884D5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471" name="BExQ7SXS9VUG7P6CACU2J7R2SGIZ" hidden="1">
          <a:extLst>
            <a:ext uri="{FF2B5EF4-FFF2-40B4-BE49-F238E27FC236}">
              <a16:creationId xmlns:a16="http://schemas.microsoft.com/office/drawing/2014/main" id="{68E5214E-B18D-42A5-8E22-79368C5D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72" name="BEx1KD7H6UB1VYCJ7O61P562EIUY" descr="IQGV9140X0K0UPBL8OGU3I44J" hidden="1">
          <a:extLst>
            <a:ext uri="{FF2B5EF4-FFF2-40B4-BE49-F238E27FC236}">
              <a16:creationId xmlns:a16="http://schemas.microsoft.com/office/drawing/2014/main" id="{AD08E340-E180-45CB-A8A5-450DEE0F5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73" name="BEx5BJQWS6YWHH4ZMSUAMD641V6Y" descr="ZTMFMXCIQSECDX38ALEFHUB00" hidden="1">
          <a:extLst>
            <a:ext uri="{FF2B5EF4-FFF2-40B4-BE49-F238E27FC236}">
              <a16:creationId xmlns:a16="http://schemas.microsoft.com/office/drawing/2014/main" id="{721B33E0-7A95-4FAA-9628-9AA3BD7C1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74" name="BEx5AQZ4ETQ9LMY5EBWVH20Z7VXQ" hidden="1">
          <a:extLst>
            <a:ext uri="{FF2B5EF4-FFF2-40B4-BE49-F238E27FC236}">
              <a16:creationId xmlns:a16="http://schemas.microsoft.com/office/drawing/2014/main" id="{04FB05AE-2904-4A42-A45A-4181F24A1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75" name="BExUBK0YZ5VYFY8TTITJGJU9S06A" hidden="1">
          <a:extLst>
            <a:ext uri="{FF2B5EF4-FFF2-40B4-BE49-F238E27FC236}">
              <a16:creationId xmlns:a16="http://schemas.microsoft.com/office/drawing/2014/main" id="{50219E22-9150-40F5-940E-8FFC85320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76" name="BEx1KD7H6UB1VYCJ7O61P562EIUY" descr="IQGV9140X0K0UPBL8OGU3I44J" hidden="1">
          <a:extLst>
            <a:ext uri="{FF2B5EF4-FFF2-40B4-BE49-F238E27FC236}">
              <a16:creationId xmlns:a16="http://schemas.microsoft.com/office/drawing/2014/main" id="{D24C8A57-1CE7-432F-BA84-95DD1F75C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77" name="BEx5BJQWS6YWHH4ZMSUAMD641V6Y" descr="ZTMFMXCIQSECDX38ALEFHUB00" hidden="1">
          <a:extLst>
            <a:ext uri="{FF2B5EF4-FFF2-40B4-BE49-F238E27FC236}">
              <a16:creationId xmlns:a16="http://schemas.microsoft.com/office/drawing/2014/main" id="{E0DA68DE-A7AF-4552-A2B0-B7A092E67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78" name="BEx5AQZ4ETQ9LMY5EBWVH20Z7VXQ" hidden="1">
          <a:extLst>
            <a:ext uri="{FF2B5EF4-FFF2-40B4-BE49-F238E27FC236}">
              <a16:creationId xmlns:a16="http://schemas.microsoft.com/office/drawing/2014/main" id="{E44ABC2A-33AA-424F-A2C8-699E7AB12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79" name="BExUBK0YZ5VYFY8TTITJGJU9S06A" hidden="1">
          <a:extLst>
            <a:ext uri="{FF2B5EF4-FFF2-40B4-BE49-F238E27FC236}">
              <a16:creationId xmlns:a16="http://schemas.microsoft.com/office/drawing/2014/main" id="{71664601-A4CC-41A6-904C-FB39680F7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80" name="BEx1KD7H6UB1VYCJ7O61P562EIUY" descr="IQGV9140X0K0UPBL8OGU3I44J" hidden="1">
          <a:extLst>
            <a:ext uri="{FF2B5EF4-FFF2-40B4-BE49-F238E27FC236}">
              <a16:creationId xmlns:a16="http://schemas.microsoft.com/office/drawing/2014/main" id="{DBDA9929-61D7-40DB-82EA-01BB7D3D4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81" name="BEx5BJQWS6YWHH4ZMSUAMD641V6Y" descr="ZTMFMXCIQSECDX38ALEFHUB00" hidden="1">
          <a:extLst>
            <a:ext uri="{FF2B5EF4-FFF2-40B4-BE49-F238E27FC236}">
              <a16:creationId xmlns:a16="http://schemas.microsoft.com/office/drawing/2014/main" id="{B4789FB1-9A8E-429E-95BC-78229F44D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82" name="BEx5AQZ4ETQ9LMY5EBWVH20Z7VXQ" hidden="1">
          <a:extLst>
            <a:ext uri="{FF2B5EF4-FFF2-40B4-BE49-F238E27FC236}">
              <a16:creationId xmlns:a16="http://schemas.microsoft.com/office/drawing/2014/main" id="{13A136C9-28B2-47BE-80A0-CE2847AA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83" name="BExUBK0YZ5VYFY8TTITJGJU9S06A" hidden="1">
          <a:extLst>
            <a:ext uri="{FF2B5EF4-FFF2-40B4-BE49-F238E27FC236}">
              <a16:creationId xmlns:a16="http://schemas.microsoft.com/office/drawing/2014/main" id="{16EF85AF-342D-453A-B45E-D3E173826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84" name="BEx1KD7H6UB1VYCJ7O61P562EIUY" descr="IQGV9140X0K0UPBL8OGU3I44J" hidden="1">
          <a:extLst>
            <a:ext uri="{FF2B5EF4-FFF2-40B4-BE49-F238E27FC236}">
              <a16:creationId xmlns:a16="http://schemas.microsoft.com/office/drawing/2014/main" id="{31B92CDE-4379-4FF1-9D06-5B12E3AE7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85" name="BEx5BJQWS6YWHH4ZMSUAMD641V6Y" descr="ZTMFMXCIQSECDX38ALEFHUB00" hidden="1">
          <a:extLst>
            <a:ext uri="{FF2B5EF4-FFF2-40B4-BE49-F238E27FC236}">
              <a16:creationId xmlns:a16="http://schemas.microsoft.com/office/drawing/2014/main" id="{F51DC5D4-CE4B-4BC6-853E-848908719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86" name="BEx5AQZ4ETQ9LMY5EBWVH20Z7VXQ" hidden="1">
          <a:extLst>
            <a:ext uri="{FF2B5EF4-FFF2-40B4-BE49-F238E27FC236}">
              <a16:creationId xmlns:a16="http://schemas.microsoft.com/office/drawing/2014/main" id="{027C8524-4AC2-43B2-BBC5-0203C830B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87" name="BExUBK0YZ5VYFY8TTITJGJU9S06A" hidden="1">
          <a:extLst>
            <a:ext uri="{FF2B5EF4-FFF2-40B4-BE49-F238E27FC236}">
              <a16:creationId xmlns:a16="http://schemas.microsoft.com/office/drawing/2014/main" id="{CF35BF6B-BDE3-4399-B727-CB4B4ED07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88" name="BEx1KD7H6UB1VYCJ7O61P562EIUY" descr="IQGV9140X0K0UPBL8OGU3I44J" hidden="1">
          <a:extLst>
            <a:ext uri="{FF2B5EF4-FFF2-40B4-BE49-F238E27FC236}">
              <a16:creationId xmlns:a16="http://schemas.microsoft.com/office/drawing/2014/main" id="{5CB2E475-0FA0-4446-BBF2-0E9E63DC4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89" name="BEx5BJQWS6YWHH4ZMSUAMD641V6Y" descr="ZTMFMXCIQSECDX38ALEFHUB00" hidden="1">
          <a:extLst>
            <a:ext uri="{FF2B5EF4-FFF2-40B4-BE49-F238E27FC236}">
              <a16:creationId xmlns:a16="http://schemas.microsoft.com/office/drawing/2014/main" id="{044072D3-1F3B-42DB-8A1F-F92B068DF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90" name="BEx5AQZ4ETQ9LMY5EBWVH20Z7VXQ" hidden="1">
          <a:extLst>
            <a:ext uri="{FF2B5EF4-FFF2-40B4-BE49-F238E27FC236}">
              <a16:creationId xmlns:a16="http://schemas.microsoft.com/office/drawing/2014/main" id="{8CC4D6B0-4F10-447E-A149-28A409402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91" name="BExUBK0YZ5VYFY8TTITJGJU9S06A" hidden="1">
          <a:extLst>
            <a:ext uri="{FF2B5EF4-FFF2-40B4-BE49-F238E27FC236}">
              <a16:creationId xmlns:a16="http://schemas.microsoft.com/office/drawing/2014/main" id="{8316276F-DA2D-4EB5-A47A-6D434A191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92" name="BEx1KD7H6UB1VYCJ7O61P562EIUY" descr="IQGV9140X0K0UPBL8OGU3I44J" hidden="1">
          <a:extLst>
            <a:ext uri="{FF2B5EF4-FFF2-40B4-BE49-F238E27FC236}">
              <a16:creationId xmlns:a16="http://schemas.microsoft.com/office/drawing/2014/main" id="{67C6920E-7C19-4F2C-830D-67AF2DA5D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93" name="BEx5BJQWS6YWHH4ZMSUAMD641V6Y" descr="ZTMFMXCIQSECDX38ALEFHUB00" hidden="1">
          <a:extLst>
            <a:ext uri="{FF2B5EF4-FFF2-40B4-BE49-F238E27FC236}">
              <a16:creationId xmlns:a16="http://schemas.microsoft.com/office/drawing/2014/main" id="{528FD616-9E75-4CBD-A3DB-AD7059308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94" name="BEx5AQZ4ETQ9LMY5EBWVH20Z7VXQ" hidden="1">
          <a:extLst>
            <a:ext uri="{FF2B5EF4-FFF2-40B4-BE49-F238E27FC236}">
              <a16:creationId xmlns:a16="http://schemas.microsoft.com/office/drawing/2014/main" id="{04C31828-0A7A-4C8D-82CE-8AD63314E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95" name="BExUBK0YZ5VYFY8TTITJGJU9S06A" hidden="1">
          <a:extLst>
            <a:ext uri="{FF2B5EF4-FFF2-40B4-BE49-F238E27FC236}">
              <a16:creationId xmlns:a16="http://schemas.microsoft.com/office/drawing/2014/main" id="{6AE2DA52-9973-4CFA-9487-7BB4B4E3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96" name="BEx1KD7H6UB1VYCJ7O61P562EIUY" descr="IQGV9140X0K0UPBL8OGU3I44J" hidden="1">
          <a:extLst>
            <a:ext uri="{FF2B5EF4-FFF2-40B4-BE49-F238E27FC236}">
              <a16:creationId xmlns:a16="http://schemas.microsoft.com/office/drawing/2014/main" id="{455412F3-C83A-4ED1-AFEF-0E89045F5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97" name="BEx5BJQWS6YWHH4ZMSUAMD641V6Y" descr="ZTMFMXCIQSECDX38ALEFHUB00" hidden="1">
          <a:extLst>
            <a:ext uri="{FF2B5EF4-FFF2-40B4-BE49-F238E27FC236}">
              <a16:creationId xmlns:a16="http://schemas.microsoft.com/office/drawing/2014/main" id="{FFA145A4-6AE1-4576-9697-232704B29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498" name="BEx5AQZ4ETQ9LMY5EBWVH20Z7VXQ" hidden="1">
          <a:extLst>
            <a:ext uri="{FF2B5EF4-FFF2-40B4-BE49-F238E27FC236}">
              <a16:creationId xmlns:a16="http://schemas.microsoft.com/office/drawing/2014/main" id="{82F13281-C17C-45EE-88B6-D8E94DDBA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499" name="BExUBK0YZ5VYFY8TTITJGJU9S06A" hidden="1">
          <a:extLst>
            <a:ext uri="{FF2B5EF4-FFF2-40B4-BE49-F238E27FC236}">
              <a16:creationId xmlns:a16="http://schemas.microsoft.com/office/drawing/2014/main" id="{10DEEA84-378C-4375-B4B3-8B457163A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00" name="BEx1KD7H6UB1VYCJ7O61P562EIUY" descr="IQGV9140X0K0UPBL8OGU3I44J" hidden="1">
          <a:extLst>
            <a:ext uri="{FF2B5EF4-FFF2-40B4-BE49-F238E27FC236}">
              <a16:creationId xmlns:a16="http://schemas.microsoft.com/office/drawing/2014/main" id="{DF25854D-DD2C-4258-A014-E928F916E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01" name="BEx5BJQWS6YWHH4ZMSUAMD641V6Y" descr="ZTMFMXCIQSECDX38ALEFHUB00" hidden="1">
          <a:extLst>
            <a:ext uri="{FF2B5EF4-FFF2-40B4-BE49-F238E27FC236}">
              <a16:creationId xmlns:a16="http://schemas.microsoft.com/office/drawing/2014/main" id="{09E3EAE6-402D-4301-9411-DA3F9EAA6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02" name="BEx5AQZ4ETQ9LMY5EBWVH20Z7VXQ" hidden="1">
          <a:extLst>
            <a:ext uri="{FF2B5EF4-FFF2-40B4-BE49-F238E27FC236}">
              <a16:creationId xmlns:a16="http://schemas.microsoft.com/office/drawing/2014/main" id="{4FFA5846-C847-4B2E-9D04-BEA0DB1AC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03" name="BExUBK0YZ5VYFY8TTITJGJU9S06A" hidden="1">
          <a:extLst>
            <a:ext uri="{FF2B5EF4-FFF2-40B4-BE49-F238E27FC236}">
              <a16:creationId xmlns:a16="http://schemas.microsoft.com/office/drawing/2014/main" id="{9ABA3EB4-F0D1-4AFF-8A28-39753F031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04" name="BEx1KD7H6UB1VYCJ7O61P562EIUY" descr="IQGV9140X0K0UPBL8OGU3I44J" hidden="1">
          <a:extLst>
            <a:ext uri="{FF2B5EF4-FFF2-40B4-BE49-F238E27FC236}">
              <a16:creationId xmlns:a16="http://schemas.microsoft.com/office/drawing/2014/main" id="{B237DB93-136A-4788-965E-628030541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05" name="BEx5BJQWS6YWHH4ZMSUAMD641V6Y" descr="ZTMFMXCIQSECDX38ALEFHUB00" hidden="1">
          <a:extLst>
            <a:ext uri="{FF2B5EF4-FFF2-40B4-BE49-F238E27FC236}">
              <a16:creationId xmlns:a16="http://schemas.microsoft.com/office/drawing/2014/main" id="{6C30AA52-CB34-45E1-A38B-990F662E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06" name="BEx5AQZ4ETQ9LMY5EBWVH20Z7VXQ" hidden="1">
          <a:extLst>
            <a:ext uri="{FF2B5EF4-FFF2-40B4-BE49-F238E27FC236}">
              <a16:creationId xmlns:a16="http://schemas.microsoft.com/office/drawing/2014/main" id="{5A448D5B-29F4-4E67-A592-0F8DB4BF2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07" name="BExUBK0YZ5VYFY8TTITJGJU9S06A" hidden="1">
          <a:extLst>
            <a:ext uri="{FF2B5EF4-FFF2-40B4-BE49-F238E27FC236}">
              <a16:creationId xmlns:a16="http://schemas.microsoft.com/office/drawing/2014/main" id="{8E5C4E0A-21E9-430B-8A2D-11648ACFC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508" name="BExMO7VFCN4EL59982UR4AJ25JNJ" descr="XX6TINEJADZGKR0CTM7ZRT0RA" hidden="1">
          <a:extLst>
            <a:ext uri="{FF2B5EF4-FFF2-40B4-BE49-F238E27FC236}">
              <a16:creationId xmlns:a16="http://schemas.microsoft.com/office/drawing/2014/main" id="{BA275C45-F612-423C-A9D9-34E27CD13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509" name="BExU3EX5JJCXCII4YKUJBFBGIJR2" descr="OF5ZI9PI5WH36VPANJ2DYLNMI" hidden="1">
          <a:extLst>
            <a:ext uri="{FF2B5EF4-FFF2-40B4-BE49-F238E27FC236}">
              <a16:creationId xmlns:a16="http://schemas.microsoft.com/office/drawing/2014/main" id="{945DD6C2-617A-46AB-887F-348B4F98B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510" name="BEx1I152WN2D3A85O2XN0DGXCWHN" descr="KHBZFMANRA4UMJR1AB4M5NJNT" hidden="1">
          <a:extLst>
            <a:ext uri="{FF2B5EF4-FFF2-40B4-BE49-F238E27FC236}">
              <a16:creationId xmlns:a16="http://schemas.microsoft.com/office/drawing/2014/main" id="{FA79A9B5-694F-431C-9E47-64674D093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511" name="BExW9676P0SKCVKK25QCGHPA3PAD" descr="9A4PWZ20RMSRF0PNECCDM75CA" hidden="1">
          <a:extLst>
            <a:ext uri="{FF2B5EF4-FFF2-40B4-BE49-F238E27FC236}">
              <a16:creationId xmlns:a16="http://schemas.microsoft.com/office/drawing/2014/main" id="{4DD38194-E55C-4791-930E-1EE805A7E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512" name="BExS5CPQ8P8JOQPK7ANNKHLSGOKU" hidden="1">
          <a:extLst>
            <a:ext uri="{FF2B5EF4-FFF2-40B4-BE49-F238E27FC236}">
              <a16:creationId xmlns:a16="http://schemas.microsoft.com/office/drawing/2014/main" id="{B9812368-92C8-4A95-8A4A-796952E7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513" name="BExMM0AVUAIRNJLXB1FW8R0YB4ZZ" hidden="1">
          <a:extLst>
            <a:ext uri="{FF2B5EF4-FFF2-40B4-BE49-F238E27FC236}">
              <a16:creationId xmlns:a16="http://schemas.microsoft.com/office/drawing/2014/main" id="{088E0FF9-AA48-4F08-A090-926FDEB37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514" name="BExXZ7Y09CBS0XA7IPB3IRJ8RJM4" hidden="1">
          <a:extLst>
            <a:ext uri="{FF2B5EF4-FFF2-40B4-BE49-F238E27FC236}">
              <a16:creationId xmlns:a16="http://schemas.microsoft.com/office/drawing/2014/main" id="{D56C0C15-E0F6-45C4-9649-8921096B5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515" name="BExQ7SXS9VUG7P6CACU2J7R2SGIZ" hidden="1">
          <a:extLst>
            <a:ext uri="{FF2B5EF4-FFF2-40B4-BE49-F238E27FC236}">
              <a16:creationId xmlns:a16="http://schemas.microsoft.com/office/drawing/2014/main" id="{A5C5FF93-C7B5-4CD5-980C-64C3A37B1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516" name="BExMO7VFCN4EL59982UR4AJ25JNJ" descr="XX6TINEJADZGKR0CTM7ZRT0RA" hidden="1">
          <a:extLst>
            <a:ext uri="{FF2B5EF4-FFF2-40B4-BE49-F238E27FC236}">
              <a16:creationId xmlns:a16="http://schemas.microsoft.com/office/drawing/2014/main" id="{E153CC09-59BC-4E01-956D-3EE322E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517" name="BExU3EX5JJCXCII4YKUJBFBGIJR2" descr="OF5ZI9PI5WH36VPANJ2DYLNMI" hidden="1">
          <a:extLst>
            <a:ext uri="{FF2B5EF4-FFF2-40B4-BE49-F238E27FC236}">
              <a16:creationId xmlns:a16="http://schemas.microsoft.com/office/drawing/2014/main" id="{47BA4DC7-85DD-4976-876A-CC0167912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518" name="BEx1I152WN2D3A85O2XN0DGXCWHN" descr="KHBZFMANRA4UMJR1AB4M5NJNT" hidden="1">
          <a:extLst>
            <a:ext uri="{FF2B5EF4-FFF2-40B4-BE49-F238E27FC236}">
              <a16:creationId xmlns:a16="http://schemas.microsoft.com/office/drawing/2014/main" id="{87E24D3B-1F23-4493-A187-E40ED7842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519" name="BExW9676P0SKCVKK25QCGHPA3PAD" descr="9A4PWZ20RMSRF0PNECCDM75CA" hidden="1">
          <a:extLst>
            <a:ext uri="{FF2B5EF4-FFF2-40B4-BE49-F238E27FC236}">
              <a16:creationId xmlns:a16="http://schemas.microsoft.com/office/drawing/2014/main" id="{C4C12C1B-8D50-4125-917F-75147D8C4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520" name="BExS5CPQ8P8JOQPK7ANNKHLSGOKU" hidden="1">
          <a:extLst>
            <a:ext uri="{FF2B5EF4-FFF2-40B4-BE49-F238E27FC236}">
              <a16:creationId xmlns:a16="http://schemas.microsoft.com/office/drawing/2014/main" id="{4FCEA660-BC82-4910-8FC7-27EBB48BB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521" name="BExMM0AVUAIRNJLXB1FW8R0YB4ZZ" hidden="1">
          <a:extLst>
            <a:ext uri="{FF2B5EF4-FFF2-40B4-BE49-F238E27FC236}">
              <a16:creationId xmlns:a16="http://schemas.microsoft.com/office/drawing/2014/main" id="{3489F267-8C81-45D5-AC44-C739503C7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522" name="BExXZ7Y09CBS0XA7IPB3IRJ8RJM4" hidden="1">
          <a:extLst>
            <a:ext uri="{FF2B5EF4-FFF2-40B4-BE49-F238E27FC236}">
              <a16:creationId xmlns:a16="http://schemas.microsoft.com/office/drawing/2014/main" id="{CDB54122-2447-408B-A36E-B499F15D9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523" name="BExQ7SXS9VUG7P6CACU2J7R2SGIZ" hidden="1">
          <a:extLst>
            <a:ext uri="{FF2B5EF4-FFF2-40B4-BE49-F238E27FC236}">
              <a16:creationId xmlns:a16="http://schemas.microsoft.com/office/drawing/2014/main" id="{144E2F45-726F-4F45-AA78-E2B74A323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24" name="BEx1KD7H6UB1VYCJ7O61P562EIUY" descr="IQGV9140X0K0UPBL8OGU3I44J" hidden="1">
          <a:extLst>
            <a:ext uri="{FF2B5EF4-FFF2-40B4-BE49-F238E27FC236}">
              <a16:creationId xmlns:a16="http://schemas.microsoft.com/office/drawing/2014/main" id="{97081AE1-3BA1-4EE1-974E-E373E1AB7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25" name="BEx5AQZ4ETQ9LMY5EBWVH20Z7VXQ" hidden="1">
          <a:extLst>
            <a:ext uri="{FF2B5EF4-FFF2-40B4-BE49-F238E27FC236}">
              <a16:creationId xmlns:a16="http://schemas.microsoft.com/office/drawing/2014/main" id="{BE386D2D-4ADB-4E1C-BAE8-297C364EB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526" name="BExMO7VFCN4EL59982UR4AJ25JNJ" descr="XX6TINEJADZGKR0CTM7ZRT0RA" hidden="1">
          <a:extLst>
            <a:ext uri="{FF2B5EF4-FFF2-40B4-BE49-F238E27FC236}">
              <a16:creationId xmlns:a16="http://schemas.microsoft.com/office/drawing/2014/main" id="{5B1246B6-6F13-4F75-8D18-6371AEBC5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527" name="BEx1I152WN2D3A85O2XN0DGXCWHN" descr="KHBZFMANRA4UMJR1AB4M5NJNT" hidden="1">
          <a:extLst>
            <a:ext uri="{FF2B5EF4-FFF2-40B4-BE49-F238E27FC236}">
              <a16:creationId xmlns:a16="http://schemas.microsoft.com/office/drawing/2014/main" id="{DDC52CCC-BB5E-4829-A86B-191BAF755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528" name="BExS5CPQ8P8JOQPK7ANNKHLSGOKU" hidden="1">
          <a:extLst>
            <a:ext uri="{FF2B5EF4-FFF2-40B4-BE49-F238E27FC236}">
              <a16:creationId xmlns:a16="http://schemas.microsoft.com/office/drawing/2014/main" id="{FE305A04-A08B-4CE0-BDAC-A395E6A00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529" name="BExXZ7Y09CBS0XA7IPB3IRJ8RJM4" hidden="1">
          <a:extLst>
            <a:ext uri="{FF2B5EF4-FFF2-40B4-BE49-F238E27FC236}">
              <a16:creationId xmlns:a16="http://schemas.microsoft.com/office/drawing/2014/main" id="{337E9567-E55A-47B4-9538-E0539B556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30" name="BEx1KD7H6UB1VYCJ7O61P562EIUY" descr="IQGV9140X0K0UPBL8OGU3I44J" hidden="1">
          <a:extLst>
            <a:ext uri="{FF2B5EF4-FFF2-40B4-BE49-F238E27FC236}">
              <a16:creationId xmlns:a16="http://schemas.microsoft.com/office/drawing/2014/main" id="{23FA871A-EE2A-4FEE-80E8-FACF7E41C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31" name="BEx5AQZ4ETQ9LMY5EBWVH20Z7VXQ" hidden="1">
          <a:extLst>
            <a:ext uri="{FF2B5EF4-FFF2-40B4-BE49-F238E27FC236}">
              <a16:creationId xmlns:a16="http://schemas.microsoft.com/office/drawing/2014/main" id="{1514B618-E7C7-438B-B8CE-75F031D66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32" name="BEx1KD7H6UB1VYCJ7O61P562EIUY" descr="IQGV9140X0K0UPBL8OGU3I44J" hidden="1">
          <a:extLst>
            <a:ext uri="{FF2B5EF4-FFF2-40B4-BE49-F238E27FC236}">
              <a16:creationId xmlns:a16="http://schemas.microsoft.com/office/drawing/2014/main" id="{3140E674-8B83-4F34-AC55-CCF934B64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33" name="BEx5AQZ4ETQ9LMY5EBWVH20Z7VXQ" hidden="1">
          <a:extLst>
            <a:ext uri="{FF2B5EF4-FFF2-40B4-BE49-F238E27FC236}">
              <a16:creationId xmlns:a16="http://schemas.microsoft.com/office/drawing/2014/main" id="{6164B885-7409-4B13-B01B-7372FD5AB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34" name="BEx1KD7H6UB1VYCJ7O61P562EIUY" descr="IQGV9140X0K0UPBL8OGU3I44J" hidden="1">
          <a:extLst>
            <a:ext uri="{FF2B5EF4-FFF2-40B4-BE49-F238E27FC236}">
              <a16:creationId xmlns:a16="http://schemas.microsoft.com/office/drawing/2014/main" id="{C09DA481-F386-42D8-A9C9-C86CECA1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35" name="BEx5AQZ4ETQ9LMY5EBWVH20Z7VXQ" hidden="1">
          <a:extLst>
            <a:ext uri="{FF2B5EF4-FFF2-40B4-BE49-F238E27FC236}">
              <a16:creationId xmlns:a16="http://schemas.microsoft.com/office/drawing/2014/main" id="{55DB9B4B-3F03-4B18-9721-AFF4FF0FB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536" name="BExMO7VFCN4EL59982UR4AJ25JNJ" descr="XX6TINEJADZGKR0CTM7ZRT0RA" hidden="1">
          <a:extLst>
            <a:ext uri="{FF2B5EF4-FFF2-40B4-BE49-F238E27FC236}">
              <a16:creationId xmlns:a16="http://schemas.microsoft.com/office/drawing/2014/main" id="{6678E1E6-1848-409C-977A-08A8FDBA1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537" name="BEx1I152WN2D3A85O2XN0DGXCWHN" descr="KHBZFMANRA4UMJR1AB4M5NJNT" hidden="1">
          <a:extLst>
            <a:ext uri="{FF2B5EF4-FFF2-40B4-BE49-F238E27FC236}">
              <a16:creationId xmlns:a16="http://schemas.microsoft.com/office/drawing/2014/main" id="{D85F9175-E038-44F6-89FB-396EB7459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538" name="BExS5CPQ8P8JOQPK7ANNKHLSGOKU" hidden="1">
          <a:extLst>
            <a:ext uri="{FF2B5EF4-FFF2-40B4-BE49-F238E27FC236}">
              <a16:creationId xmlns:a16="http://schemas.microsoft.com/office/drawing/2014/main" id="{3A04FCD5-517A-469D-A3E4-2D3C5976B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539" name="BExXZ7Y09CBS0XA7IPB3IRJ8RJM4" hidden="1">
          <a:extLst>
            <a:ext uri="{FF2B5EF4-FFF2-40B4-BE49-F238E27FC236}">
              <a16:creationId xmlns:a16="http://schemas.microsoft.com/office/drawing/2014/main" id="{DD3AE856-D285-4174-9221-76C3D63EB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40" name="BEx1KD7H6UB1VYCJ7O61P562EIUY" descr="IQGV9140X0K0UPBL8OGU3I44J" hidden="1">
          <a:extLst>
            <a:ext uri="{FF2B5EF4-FFF2-40B4-BE49-F238E27FC236}">
              <a16:creationId xmlns:a16="http://schemas.microsoft.com/office/drawing/2014/main" id="{63C74DCA-71CD-4F3F-ABB0-08E41FE4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41" name="BEx5BJQWS6YWHH4ZMSUAMD641V6Y" descr="ZTMFMXCIQSECDX38ALEFHUB00" hidden="1">
          <a:extLst>
            <a:ext uri="{FF2B5EF4-FFF2-40B4-BE49-F238E27FC236}">
              <a16:creationId xmlns:a16="http://schemas.microsoft.com/office/drawing/2014/main" id="{095F6E8F-F2CF-4711-A6EA-3F873B94A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42" name="BEx5AQZ4ETQ9LMY5EBWVH20Z7VXQ" hidden="1">
          <a:extLst>
            <a:ext uri="{FF2B5EF4-FFF2-40B4-BE49-F238E27FC236}">
              <a16:creationId xmlns:a16="http://schemas.microsoft.com/office/drawing/2014/main" id="{7D341085-0370-460D-9192-FED6E4BBF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43" name="BExUBK0YZ5VYFY8TTITJGJU9S06A" hidden="1">
          <a:extLst>
            <a:ext uri="{FF2B5EF4-FFF2-40B4-BE49-F238E27FC236}">
              <a16:creationId xmlns:a16="http://schemas.microsoft.com/office/drawing/2014/main" id="{82C91DFD-EDF5-4D56-B35F-155C73402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44" name="BEx1KD7H6UB1VYCJ7O61P562EIUY" descr="IQGV9140X0K0UPBL8OGU3I44J" hidden="1">
          <a:extLst>
            <a:ext uri="{FF2B5EF4-FFF2-40B4-BE49-F238E27FC236}">
              <a16:creationId xmlns:a16="http://schemas.microsoft.com/office/drawing/2014/main" id="{1B1A36EF-7AAB-4E29-987B-889EB8282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45" name="BEx5BJQWS6YWHH4ZMSUAMD641V6Y" descr="ZTMFMXCIQSECDX38ALEFHUB00" hidden="1">
          <a:extLst>
            <a:ext uri="{FF2B5EF4-FFF2-40B4-BE49-F238E27FC236}">
              <a16:creationId xmlns:a16="http://schemas.microsoft.com/office/drawing/2014/main" id="{78F04A50-0D84-4454-8D18-80F30CF4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46" name="BEx5AQZ4ETQ9LMY5EBWVH20Z7VXQ" hidden="1">
          <a:extLst>
            <a:ext uri="{FF2B5EF4-FFF2-40B4-BE49-F238E27FC236}">
              <a16:creationId xmlns:a16="http://schemas.microsoft.com/office/drawing/2014/main" id="{692CA863-7D78-4EF7-9665-5F4C374CE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47" name="BExUBK0YZ5VYFY8TTITJGJU9S06A" hidden="1">
          <a:extLst>
            <a:ext uri="{FF2B5EF4-FFF2-40B4-BE49-F238E27FC236}">
              <a16:creationId xmlns:a16="http://schemas.microsoft.com/office/drawing/2014/main" id="{D6E291C8-674D-4009-91E3-A85ECF106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48" name="BEx1KD7H6UB1VYCJ7O61P562EIUY" descr="IQGV9140X0K0UPBL8OGU3I44J" hidden="1">
          <a:extLst>
            <a:ext uri="{FF2B5EF4-FFF2-40B4-BE49-F238E27FC236}">
              <a16:creationId xmlns:a16="http://schemas.microsoft.com/office/drawing/2014/main" id="{F5BD5B15-C043-4F83-988B-79CB26A25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49" name="BEx5BJQWS6YWHH4ZMSUAMD641V6Y" descr="ZTMFMXCIQSECDX38ALEFHUB00" hidden="1">
          <a:extLst>
            <a:ext uri="{FF2B5EF4-FFF2-40B4-BE49-F238E27FC236}">
              <a16:creationId xmlns:a16="http://schemas.microsoft.com/office/drawing/2014/main" id="{D2C8F597-DCA2-4A00-ADA6-606CC2F46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50" name="BEx5AQZ4ETQ9LMY5EBWVH20Z7VXQ" hidden="1">
          <a:extLst>
            <a:ext uri="{FF2B5EF4-FFF2-40B4-BE49-F238E27FC236}">
              <a16:creationId xmlns:a16="http://schemas.microsoft.com/office/drawing/2014/main" id="{105F8C32-A261-4E9B-89A5-768937B19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51" name="BExUBK0YZ5VYFY8TTITJGJU9S06A" hidden="1">
          <a:extLst>
            <a:ext uri="{FF2B5EF4-FFF2-40B4-BE49-F238E27FC236}">
              <a16:creationId xmlns:a16="http://schemas.microsoft.com/office/drawing/2014/main" id="{1A1417BC-6A72-4016-B93F-F65001FBE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52" name="BEx1KD7H6UB1VYCJ7O61P562EIUY" descr="IQGV9140X0K0UPBL8OGU3I44J" hidden="1">
          <a:extLst>
            <a:ext uri="{FF2B5EF4-FFF2-40B4-BE49-F238E27FC236}">
              <a16:creationId xmlns:a16="http://schemas.microsoft.com/office/drawing/2014/main" id="{578DF677-4445-4775-90E5-E83474476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53" name="BEx5BJQWS6YWHH4ZMSUAMD641V6Y" descr="ZTMFMXCIQSECDX38ALEFHUB00" hidden="1">
          <a:extLst>
            <a:ext uri="{FF2B5EF4-FFF2-40B4-BE49-F238E27FC236}">
              <a16:creationId xmlns:a16="http://schemas.microsoft.com/office/drawing/2014/main" id="{BA23D181-9911-4AAD-8358-95E7510C5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54" name="BEx5AQZ4ETQ9LMY5EBWVH20Z7VXQ" hidden="1">
          <a:extLst>
            <a:ext uri="{FF2B5EF4-FFF2-40B4-BE49-F238E27FC236}">
              <a16:creationId xmlns:a16="http://schemas.microsoft.com/office/drawing/2014/main" id="{04DB1CEB-4C76-4B62-85E9-E861EF31F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55" name="BExUBK0YZ5VYFY8TTITJGJU9S06A" hidden="1">
          <a:extLst>
            <a:ext uri="{FF2B5EF4-FFF2-40B4-BE49-F238E27FC236}">
              <a16:creationId xmlns:a16="http://schemas.microsoft.com/office/drawing/2014/main" id="{36DF1841-E90A-437F-B5DF-79092D321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56" name="BEx1KD7H6UB1VYCJ7O61P562EIUY" descr="IQGV9140X0K0UPBL8OGU3I44J" hidden="1">
          <a:extLst>
            <a:ext uri="{FF2B5EF4-FFF2-40B4-BE49-F238E27FC236}">
              <a16:creationId xmlns:a16="http://schemas.microsoft.com/office/drawing/2014/main" id="{06CCA80B-573C-41C8-83B6-1451008A7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57" name="BEx5BJQWS6YWHH4ZMSUAMD641V6Y" descr="ZTMFMXCIQSECDX38ALEFHUB00" hidden="1">
          <a:extLst>
            <a:ext uri="{FF2B5EF4-FFF2-40B4-BE49-F238E27FC236}">
              <a16:creationId xmlns:a16="http://schemas.microsoft.com/office/drawing/2014/main" id="{CE7F3EE4-CB64-4A18-B40F-A0A2D3284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58" name="BEx5AQZ4ETQ9LMY5EBWVH20Z7VXQ" hidden="1">
          <a:extLst>
            <a:ext uri="{FF2B5EF4-FFF2-40B4-BE49-F238E27FC236}">
              <a16:creationId xmlns:a16="http://schemas.microsoft.com/office/drawing/2014/main" id="{A3579410-CB0B-471D-8833-A4B005A8D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59" name="BExUBK0YZ5VYFY8TTITJGJU9S06A" hidden="1">
          <a:extLst>
            <a:ext uri="{FF2B5EF4-FFF2-40B4-BE49-F238E27FC236}">
              <a16:creationId xmlns:a16="http://schemas.microsoft.com/office/drawing/2014/main" id="{369FA284-6315-4420-B7F5-CEFAC5317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560" name="BExMO7VFCN4EL59982UR4AJ25JNJ" descr="XX6TINEJADZGKR0CTM7ZRT0RA" hidden="1">
          <a:extLst>
            <a:ext uri="{FF2B5EF4-FFF2-40B4-BE49-F238E27FC236}">
              <a16:creationId xmlns:a16="http://schemas.microsoft.com/office/drawing/2014/main" id="{06BA7B3F-01A0-4699-B0FC-7D4244DE3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561" name="BExU3EX5JJCXCII4YKUJBFBGIJR2" descr="OF5ZI9PI5WH36VPANJ2DYLNMI" hidden="1">
          <a:extLst>
            <a:ext uri="{FF2B5EF4-FFF2-40B4-BE49-F238E27FC236}">
              <a16:creationId xmlns:a16="http://schemas.microsoft.com/office/drawing/2014/main" id="{98E8DC27-DAD5-4A2B-870A-146F2E09F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62" name="BEx1KD7H6UB1VYCJ7O61P562EIUY" descr="IQGV9140X0K0UPBL8OGU3I44J" hidden="1">
          <a:extLst>
            <a:ext uri="{FF2B5EF4-FFF2-40B4-BE49-F238E27FC236}">
              <a16:creationId xmlns:a16="http://schemas.microsoft.com/office/drawing/2014/main" id="{3F309AE1-C65C-486A-84BB-B1DBAA581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63" name="BEx5BJQWS6YWHH4ZMSUAMD641V6Y" descr="ZTMFMXCIQSECDX38ALEFHUB00" hidden="1">
          <a:extLst>
            <a:ext uri="{FF2B5EF4-FFF2-40B4-BE49-F238E27FC236}">
              <a16:creationId xmlns:a16="http://schemas.microsoft.com/office/drawing/2014/main" id="{773DEB12-45A8-4996-AC0F-5242891CF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1564" name="BExVTO5Q8G2M7BPL4B2584LQS0R0" descr="OB6Q8NA4LZFE4GM9Y3V56BPMQ" hidden="1">
          <a:extLst>
            <a:ext uri="{FF2B5EF4-FFF2-40B4-BE49-F238E27FC236}">
              <a16:creationId xmlns:a16="http://schemas.microsoft.com/office/drawing/2014/main" id="{68185545-DA20-4219-B4DB-8CF31CC62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1565" name="BExIFSCLN1G86X78PFLTSMRP0US5" descr="9JK4SPV4DG7VTCZIILWHXQU5J" hidden="1">
          <a:extLst>
            <a:ext uri="{FF2B5EF4-FFF2-40B4-BE49-F238E27FC236}">
              <a16:creationId xmlns:a16="http://schemas.microsoft.com/office/drawing/2014/main" id="{2331428E-1FF3-45A5-AA19-D11EC57E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566" name="BEx1I152WN2D3A85O2XN0DGXCWHN" descr="KHBZFMANRA4UMJR1AB4M5NJNT" hidden="1">
          <a:extLst>
            <a:ext uri="{FF2B5EF4-FFF2-40B4-BE49-F238E27FC236}">
              <a16:creationId xmlns:a16="http://schemas.microsoft.com/office/drawing/2014/main" id="{52D9A2D5-D41F-4C9D-871E-A5282ED75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567" name="BExW9676P0SKCVKK25QCGHPA3PAD" descr="9A4PWZ20RMSRF0PNECCDM75CA" hidden="1">
          <a:extLst>
            <a:ext uri="{FF2B5EF4-FFF2-40B4-BE49-F238E27FC236}">
              <a16:creationId xmlns:a16="http://schemas.microsoft.com/office/drawing/2014/main" id="{DEA0FD13-1FFA-460D-9FC9-B09A89515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568" name="BExS5CPQ8P8JOQPK7ANNKHLSGOKU" hidden="1">
          <a:extLst>
            <a:ext uri="{FF2B5EF4-FFF2-40B4-BE49-F238E27FC236}">
              <a16:creationId xmlns:a16="http://schemas.microsoft.com/office/drawing/2014/main" id="{26833CFD-D725-4F56-8D99-F89920952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569" name="BExMM0AVUAIRNJLXB1FW8R0YB4ZZ" hidden="1">
          <a:extLst>
            <a:ext uri="{FF2B5EF4-FFF2-40B4-BE49-F238E27FC236}">
              <a16:creationId xmlns:a16="http://schemas.microsoft.com/office/drawing/2014/main" id="{27FD642A-AC86-4975-8036-682EA0D6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570" name="BExXZ7Y09CBS0XA7IPB3IRJ8RJM4" hidden="1">
          <a:extLst>
            <a:ext uri="{FF2B5EF4-FFF2-40B4-BE49-F238E27FC236}">
              <a16:creationId xmlns:a16="http://schemas.microsoft.com/office/drawing/2014/main" id="{37734991-29B4-447B-B187-996DE8DBC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571" name="BExQ7SXS9VUG7P6CACU2J7R2SGIZ" hidden="1">
          <a:extLst>
            <a:ext uri="{FF2B5EF4-FFF2-40B4-BE49-F238E27FC236}">
              <a16:creationId xmlns:a16="http://schemas.microsoft.com/office/drawing/2014/main" id="{0D37D344-3ECE-4344-9A6A-12917ABCA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72" name="BEx5AQZ4ETQ9LMY5EBWVH20Z7VXQ" hidden="1">
          <a:extLst>
            <a:ext uri="{FF2B5EF4-FFF2-40B4-BE49-F238E27FC236}">
              <a16:creationId xmlns:a16="http://schemas.microsoft.com/office/drawing/2014/main" id="{D85555AC-204A-416A-83E2-7AE2CA8A8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73" name="BExUBK0YZ5VYFY8TTITJGJU9S06A" hidden="1">
          <a:extLst>
            <a:ext uri="{FF2B5EF4-FFF2-40B4-BE49-F238E27FC236}">
              <a16:creationId xmlns:a16="http://schemas.microsoft.com/office/drawing/2014/main" id="{CB64B930-AAF1-4101-ADE2-106DFA2DF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1574" name="BExUEZCSSJ7RN4J18I2NUIQR2FZS" hidden="1">
          <a:extLst>
            <a:ext uri="{FF2B5EF4-FFF2-40B4-BE49-F238E27FC236}">
              <a16:creationId xmlns:a16="http://schemas.microsoft.com/office/drawing/2014/main" id="{97FC41B8-72BD-4CAE-849D-0BA95E1AE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354705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1575" name="BExS3JDQWF7U3F5JTEVOE16ASIYK" hidden="1">
          <a:extLst>
            <a:ext uri="{FF2B5EF4-FFF2-40B4-BE49-F238E27FC236}">
              <a16:creationId xmlns:a16="http://schemas.microsoft.com/office/drawing/2014/main" id="{D16DBC29-3361-4906-BB0F-0362BD725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3528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76" name="BEx1KD7H6UB1VYCJ7O61P562EIUY" descr="IQGV9140X0K0UPBL8OGU3I44J" hidden="1">
          <a:extLst>
            <a:ext uri="{FF2B5EF4-FFF2-40B4-BE49-F238E27FC236}">
              <a16:creationId xmlns:a16="http://schemas.microsoft.com/office/drawing/2014/main" id="{20A2E575-3B84-4D58-B02A-1A55B62E3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77" name="BEx5AQZ4ETQ9LMY5EBWVH20Z7VXQ" hidden="1">
          <a:extLst>
            <a:ext uri="{FF2B5EF4-FFF2-40B4-BE49-F238E27FC236}">
              <a16:creationId xmlns:a16="http://schemas.microsoft.com/office/drawing/2014/main" id="{AC5DFD71-37A0-4342-96BB-B0248B870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78" name="BEx1KD7H6UB1VYCJ7O61P562EIUY" descr="IQGV9140X0K0UPBL8OGU3I44J" hidden="1">
          <a:extLst>
            <a:ext uri="{FF2B5EF4-FFF2-40B4-BE49-F238E27FC236}">
              <a16:creationId xmlns:a16="http://schemas.microsoft.com/office/drawing/2014/main" id="{F3BA5F5C-CC94-4C33-A3E5-17A9D901E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79" name="BEx5AQZ4ETQ9LMY5EBWVH20Z7VXQ" hidden="1">
          <a:extLst>
            <a:ext uri="{FF2B5EF4-FFF2-40B4-BE49-F238E27FC236}">
              <a16:creationId xmlns:a16="http://schemas.microsoft.com/office/drawing/2014/main" id="{B40037F0-6482-418D-8DB9-65CF6D3F2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80" name="BEx1KD7H6UB1VYCJ7O61P562EIUY" descr="IQGV9140X0K0UPBL8OGU3I44J" hidden="1">
          <a:extLst>
            <a:ext uri="{FF2B5EF4-FFF2-40B4-BE49-F238E27FC236}">
              <a16:creationId xmlns:a16="http://schemas.microsoft.com/office/drawing/2014/main" id="{46C7122E-CFC2-4A86-BAA6-00C28B69A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81" name="BEx5BJQWS6YWHH4ZMSUAMD641V6Y" descr="ZTMFMXCIQSECDX38ALEFHUB00" hidden="1">
          <a:extLst>
            <a:ext uri="{FF2B5EF4-FFF2-40B4-BE49-F238E27FC236}">
              <a16:creationId xmlns:a16="http://schemas.microsoft.com/office/drawing/2014/main" id="{CACACB5C-6EBB-4EFD-A138-68E1F7E14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82" name="BEx5AQZ4ETQ9LMY5EBWVH20Z7VXQ" hidden="1">
          <a:extLst>
            <a:ext uri="{FF2B5EF4-FFF2-40B4-BE49-F238E27FC236}">
              <a16:creationId xmlns:a16="http://schemas.microsoft.com/office/drawing/2014/main" id="{9E954EEF-1DC4-4E24-AFE2-A5696527D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83" name="BExUBK0YZ5VYFY8TTITJGJU9S06A" hidden="1">
          <a:extLst>
            <a:ext uri="{FF2B5EF4-FFF2-40B4-BE49-F238E27FC236}">
              <a16:creationId xmlns:a16="http://schemas.microsoft.com/office/drawing/2014/main" id="{45C61DF7-7AA2-4BBE-979B-7DB0AB4D4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84" name="BEx1KD7H6UB1VYCJ7O61P562EIUY" descr="IQGV9140X0K0UPBL8OGU3I44J" hidden="1">
          <a:extLst>
            <a:ext uri="{FF2B5EF4-FFF2-40B4-BE49-F238E27FC236}">
              <a16:creationId xmlns:a16="http://schemas.microsoft.com/office/drawing/2014/main" id="{EA01AFD6-5E6F-482D-80BB-55E90BC05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85" name="BEx5AQZ4ETQ9LMY5EBWVH20Z7VXQ" hidden="1">
          <a:extLst>
            <a:ext uri="{FF2B5EF4-FFF2-40B4-BE49-F238E27FC236}">
              <a16:creationId xmlns:a16="http://schemas.microsoft.com/office/drawing/2014/main" id="{A933CC81-4024-4AE1-B682-F1DBE3AE0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86" name="BEx1KD7H6UB1VYCJ7O61P562EIUY" descr="IQGV9140X0K0UPBL8OGU3I44J" hidden="1">
          <a:extLst>
            <a:ext uri="{FF2B5EF4-FFF2-40B4-BE49-F238E27FC236}">
              <a16:creationId xmlns:a16="http://schemas.microsoft.com/office/drawing/2014/main" id="{AB42AF87-2C88-4431-8805-EE0BBCAD5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87" name="BEx5BJQWS6YWHH4ZMSUAMD641V6Y" descr="ZTMFMXCIQSECDX38ALEFHUB00" hidden="1">
          <a:extLst>
            <a:ext uri="{FF2B5EF4-FFF2-40B4-BE49-F238E27FC236}">
              <a16:creationId xmlns:a16="http://schemas.microsoft.com/office/drawing/2014/main" id="{09C37A38-F4BD-4903-B427-B56E194A8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88" name="BEx5AQZ4ETQ9LMY5EBWVH20Z7VXQ" hidden="1">
          <a:extLst>
            <a:ext uri="{FF2B5EF4-FFF2-40B4-BE49-F238E27FC236}">
              <a16:creationId xmlns:a16="http://schemas.microsoft.com/office/drawing/2014/main" id="{9C066CBD-74D8-4053-9C42-C69051804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89" name="BExUBK0YZ5VYFY8TTITJGJU9S06A" hidden="1">
          <a:extLst>
            <a:ext uri="{FF2B5EF4-FFF2-40B4-BE49-F238E27FC236}">
              <a16:creationId xmlns:a16="http://schemas.microsoft.com/office/drawing/2014/main" id="{10D3F99F-DA46-49EE-BD8C-977067453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90" name="BEx1KD7H6UB1VYCJ7O61P562EIUY" descr="IQGV9140X0K0UPBL8OGU3I44J" hidden="1">
          <a:extLst>
            <a:ext uri="{FF2B5EF4-FFF2-40B4-BE49-F238E27FC236}">
              <a16:creationId xmlns:a16="http://schemas.microsoft.com/office/drawing/2014/main" id="{222FF32C-C9AC-4C03-82AF-22B882FAC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91" name="BEx5BJQWS6YWHH4ZMSUAMD641V6Y" descr="ZTMFMXCIQSECDX38ALEFHUB00" hidden="1">
          <a:extLst>
            <a:ext uri="{FF2B5EF4-FFF2-40B4-BE49-F238E27FC236}">
              <a16:creationId xmlns:a16="http://schemas.microsoft.com/office/drawing/2014/main" id="{8418E3E0-079E-4D85-9FB5-A260368F8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92" name="BEx5AQZ4ETQ9LMY5EBWVH20Z7VXQ" hidden="1">
          <a:extLst>
            <a:ext uri="{FF2B5EF4-FFF2-40B4-BE49-F238E27FC236}">
              <a16:creationId xmlns:a16="http://schemas.microsoft.com/office/drawing/2014/main" id="{FF4147FC-87BD-477E-BAB0-A140ED137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93" name="BExUBK0YZ5VYFY8TTITJGJU9S06A" hidden="1">
          <a:extLst>
            <a:ext uri="{FF2B5EF4-FFF2-40B4-BE49-F238E27FC236}">
              <a16:creationId xmlns:a16="http://schemas.microsoft.com/office/drawing/2014/main" id="{B2DB8C20-28F8-4F9E-9C23-20ADAD1FE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94" name="BEx1KD7H6UB1VYCJ7O61P562EIUY" descr="IQGV9140X0K0UPBL8OGU3I44J" hidden="1">
          <a:extLst>
            <a:ext uri="{FF2B5EF4-FFF2-40B4-BE49-F238E27FC236}">
              <a16:creationId xmlns:a16="http://schemas.microsoft.com/office/drawing/2014/main" id="{ED9AC9B5-F669-4527-90A3-91C7B30EC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95" name="BEx5AQZ4ETQ9LMY5EBWVH20Z7VXQ" hidden="1">
          <a:extLst>
            <a:ext uri="{FF2B5EF4-FFF2-40B4-BE49-F238E27FC236}">
              <a16:creationId xmlns:a16="http://schemas.microsoft.com/office/drawing/2014/main" id="{AC670EEB-F759-4FFC-BB17-93C5E3300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96" name="BEx1KD7H6UB1VYCJ7O61P562EIUY" descr="IQGV9140X0K0UPBL8OGU3I44J" hidden="1">
          <a:extLst>
            <a:ext uri="{FF2B5EF4-FFF2-40B4-BE49-F238E27FC236}">
              <a16:creationId xmlns:a16="http://schemas.microsoft.com/office/drawing/2014/main" id="{73507524-2F6B-461F-90CB-EF15A75EC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97" name="BEx5BJQWS6YWHH4ZMSUAMD641V6Y" descr="ZTMFMXCIQSECDX38ALEFHUB00" hidden="1">
          <a:extLst>
            <a:ext uri="{FF2B5EF4-FFF2-40B4-BE49-F238E27FC236}">
              <a16:creationId xmlns:a16="http://schemas.microsoft.com/office/drawing/2014/main" id="{6B0E04B2-D0C9-4184-B457-64A1492A9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598" name="BEx5AQZ4ETQ9LMY5EBWVH20Z7VXQ" hidden="1">
          <a:extLst>
            <a:ext uri="{FF2B5EF4-FFF2-40B4-BE49-F238E27FC236}">
              <a16:creationId xmlns:a16="http://schemas.microsoft.com/office/drawing/2014/main" id="{DEE476AC-1FA9-4131-B500-AF30A1BD0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599" name="BExUBK0YZ5VYFY8TTITJGJU9S06A" hidden="1">
          <a:extLst>
            <a:ext uri="{FF2B5EF4-FFF2-40B4-BE49-F238E27FC236}">
              <a16:creationId xmlns:a16="http://schemas.microsoft.com/office/drawing/2014/main" id="{77732F43-7C1F-4D3C-92D7-DF7FD7743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00" name="BEx1KD7H6UB1VYCJ7O61P562EIUY" descr="IQGV9140X0K0UPBL8OGU3I44J" hidden="1">
          <a:extLst>
            <a:ext uri="{FF2B5EF4-FFF2-40B4-BE49-F238E27FC236}">
              <a16:creationId xmlns:a16="http://schemas.microsoft.com/office/drawing/2014/main" id="{79D3E7EB-11AF-4B95-A54F-69F3CDE67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01" name="BEx5BJQWS6YWHH4ZMSUAMD641V6Y" descr="ZTMFMXCIQSECDX38ALEFHUB00" hidden="1">
          <a:extLst>
            <a:ext uri="{FF2B5EF4-FFF2-40B4-BE49-F238E27FC236}">
              <a16:creationId xmlns:a16="http://schemas.microsoft.com/office/drawing/2014/main" id="{88FC968D-7E68-42D2-9739-C3DBFB092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02" name="BEx5AQZ4ETQ9LMY5EBWVH20Z7VXQ" hidden="1">
          <a:extLst>
            <a:ext uri="{FF2B5EF4-FFF2-40B4-BE49-F238E27FC236}">
              <a16:creationId xmlns:a16="http://schemas.microsoft.com/office/drawing/2014/main" id="{3BEA0425-497D-4FB2-8EC9-5EECCD4A6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03" name="BExUBK0YZ5VYFY8TTITJGJU9S06A" hidden="1">
          <a:extLst>
            <a:ext uri="{FF2B5EF4-FFF2-40B4-BE49-F238E27FC236}">
              <a16:creationId xmlns:a16="http://schemas.microsoft.com/office/drawing/2014/main" id="{F509E4E4-1BCD-4872-9342-270E8689B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04" name="BEx1KD7H6UB1VYCJ7O61P562EIUY" descr="IQGV9140X0K0UPBL8OGU3I44J" hidden="1">
          <a:extLst>
            <a:ext uri="{FF2B5EF4-FFF2-40B4-BE49-F238E27FC236}">
              <a16:creationId xmlns:a16="http://schemas.microsoft.com/office/drawing/2014/main" id="{BFFFD457-45B9-4B57-85F2-B5A84639F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05" name="BEx5BJQWS6YWHH4ZMSUAMD641V6Y" descr="ZTMFMXCIQSECDX38ALEFHUB00" hidden="1">
          <a:extLst>
            <a:ext uri="{FF2B5EF4-FFF2-40B4-BE49-F238E27FC236}">
              <a16:creationId xmlns:a16="http://schemas.microsoft.com/office/drawing/2014/main" id="{36DF4071-6F73-49E9-9205-28B057D39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06" name="BEx5AQZ4ETQ9LMY5EBWVH20Z7VXQ" hidden="1">
          <a:extLst>
            <a:ext uri="{FF2B5EF4-FFF2-40B4-BE49-F238E27FC236}">
              <a16:creationId xmlns:a16="http://schemas.microsoft.com/office/drawing/2014/main" id="{B25EF3C9-04E5-4FE5-8C7F-C3131C9E7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07" name="BExUBK0YZ5VYFY8TTITJGJU9S06A" hidden="1">
          <a:extLst>
            <a:ext uri="{FF2B5EF4-FFF2-40B4-BE49-F238E27FC236}">
              <a16:creationId xmlns:a16="http://schemas.microsoft.com/office/drawing/2014/main" id="{56908CDB-B981-40B4-8DDD-FDBC9649C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08" name="BEx1KD7H6UB1VYCJ7O61P562EIUY" descr="IQGV9140X0K0UPBL8OGU3I44J" hidden="1">
          <a:extLst>
            <a:ext uri="{FF2B5EF4-FFF2-40B4-BE49-F238E27FC236}">
              <a16:creationId xmlns:a16="http://schemas.microsoft.com/office/drawing/2014/main" id="{1BD6722D-93A5-4BE7-BC67-34C813F6A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09" name="BEx5AQZ4ETQ9LMY5EBWVH20Z7VXQ" hidden="1">
          <a:extLst>
            <a:ext uri="{FF2B5EF4-FFF2-40B4-BE49-F238E27FC236}">
              <a16:creationId xmlns:a16="http://schemas.microsoft.com/office/drawing/2014/main" id="{60DFC499-97E7-4E35-B79B-B87D47400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10" name="BEx1KD7H6UB1VYCJ7O61P562EIUY" descr="IQGV9140X0K0UPBL8OGU3I44J" hidden="1">
          <a:extLst>
            <a:ext uri="{FF2B5EF4-FFF2-40B4-BE49-F238E27FC236}">
              <a16:creationId xmlns:a16="http://schemas.microsoft.com/office/drawing/2014/main" id="{3F04AA74-684C-4F79-B263-9DDA9C803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11" name="BEx5AQZ4ETQ9LMY5EBWVH20Z7VXQ" hidden="1">
          <a:extLst>
            <a:ext uri="{FF2B5EF4-FFF2-40B4-BE49-F238E27FC236}">
              <a16:creationId xmlns:a16="http://schemas.microsoft.com/office/drawing/2014/main" id="{21BC4985-9CA0-42F8-BA2E-3C7F33ED2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12" name="BEx1KD7H6UB1VYCJ7O61P562EIUY" descr="IQGV9140X0K0UPBL8OGU3I44J" hidden="1">
          <a:extLst>
            <a:ext uri="{FF2B5EF4-FFF2-40B4-BE49-F238E27FC236}">
              <a16:creationId xmlns:a16="http://schemas.microsoft.com/office/drawing/2014/main" id="{739DA88C-7223-415A-93BA-4DB77EEC4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13" name="BEx5AQZ4ETQ9LMY5EBWVH20Z7VXQ" hidden="1">
          <a:extLst>
            <a:ext uri="{FF2B5EF4-FFF2-40B4-BE49-F238E27FC236}">
              <a16:creationId xmlns:a16="http://schemas.microsoft.com/office/drawing/2014/main" id="{578726F2-98B6-43A2-867E-C48794D40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14" name="BEx1KD7H6UB1VYCJ7O61P562EIUY" descr="IQGV9140X0K0UPBL8OGU3I44J" hidden="1">
          <a:extLst>
            <a:ext uri="{FF2B5EF4-FFF2-40B4-BE49-F238E27FC236}">
              <a16:creationId xmlns:a16="http://schemas.microsoft.com/office/drawing/2014/main" id="{401F9E46-5B3A-4D75-A8B1-5A1990665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15" name="BEx5AQZ4ETQ9LMY5EBWVH20Z7VXQ" hidden="1">
          <a:extLst>
            <a:ext uri="{FF2B5EF4-FFF2-40B4-BE49-F238E27FC236}">
              <a16:creationId xmlns:a16="http://schemas.microsoft.com/office/drawing/2014/main" id="{555BB890-E090-412D-A236-901BF0F72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16" name="BEx1KD7H6UB1VYCJ7O61P562EIUY" descr="IQGV9140X0K0UPBL8OGU3I44J" hidden="1">
          <a:extLst>
            <a:ext uri="{FF2B5EF4-FFF2-40B4-BE49-F238E27FC236}">
              <a16:creationId xmlns:a16="http://schemas.microsoft.com/office/drawing/2014/main" id="{54A4238D-0A19-4956-A976-A0551D31E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17" name="BEx5AQZ4ETQ9LMY5EBWVH20Z7VXQ" hidden="1">
          <a:extLst>
            <a:ext uri="{FF2B5EF4-FFF2-40B4-BE49-F238E27FC236}">
              <a16:creationId xmlns:a16="http://schemas.microsoft.com/office/drawing/2014/main" id="{28F3426B-3BCB-4918-B2FD-E889D45F3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18" name="BEx1KD7H6UB1VYCJ7O61P562EIUY" descr="IQGV9140X0K0UPBL8OGU3I44J" hidden="1">
          <a:extLst>
            <a:ext uri="{FF2B5EF4-FFF2-40B4-BE49-F238E27FC236}">
              <a16:creationId xmlns:a16="http://schemas.microsoft.com/office/drawing/2014/main" id="{BA480F58-D759-4469-A475-7CAF2DF41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19" name="BEx5BJQWS6YWHH4ZMSUAMD641V6Y" descr="ZTMFMXCIQSECDX38ALEFHUB00" hidden="1">
          <a:extLst>
            <a:ext uri="{FF2B5EF4-FFF2-40B4-BE49-F238E27FC236}">
              <a16:creationId xmlns:a16="http://schemas.microsoft.com/office/drawing/2014/main" id="{E291BB1A-1AE0-4C5A-9C90-4CBAD7D6D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20" name="BEx5AQZ4ETQ9LMY5EBWVH20Z7VXQ" hidden="1">
          <a:extLst>
            <a:ext uri="{FF2B5EF4-FFF2-40B4-BE49-F238E27FC236}">
              <a16:creationId xmlns:a16="http://schemas.microsoft.com/office/drawing/2014/main" id="{F651E25E-2E4D-47DA-9936-7D00601A4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21" name="BExUBK0YZ5VYFY8TTITJGJU9S06A" hidden="1">
          <a:extLst>
            <a:ext uri="{FF2B5EF4-FFF2-40B4-BE49-F238E27FC236}">
              <a16:creationId xmlns:a16="http://schemas.microsoft.com/office/drawing/2014/main" id="{7E1A782C-6139-4637-BA96-B2287579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22" name="BEx1KD7H6UB1VYCJ7O61P562EIUY" descr="IQGV9140X0K0UPBL8OGU3I44J" hidden="1">
          <a:extLst>
            <a:ext uri="{FF2B5EF4-FFF2-40B4-BE49-F238E27FC236}">
              <a16:creationId xmlns:a16="http://schemas.microsoft.com/office/drawing/2014/main" id="{395695E4-E93E-4CBC-A5A6-66F52FE01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23" name="BEx5BJQWS6YWHH4ZMSUAMD641V6Y" descr="ZTMFMXCIQSECDX38ALEFHUB00" hidden="1">
          <a:extLst>
            <a:ext uri="{FF2B5EF4-FFF2-40B4-BE49-F238E27FC236}">
              <a16:creationId xmlns:a16="http://schemas.microsoft.com/office/drawing/2014/main" id="{98502C86-C81B-4F33-A740-A225D844E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24" name="BEx5AQZ4ETQ9LMY5EBWVH20Z7VXQ" hidden="1">
          <a:extLst>
            <a:ext uri="{FF2B5EF4-FFF2-40B4-BE49-F238E27FC236}">
              <a16:creationId xmlns:a16="http://schemas.microsoft.com/office/drawing/2014/main" id="{0E219ACB-E301-40CF-8F49-A120629A9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25" name="BExUBK0YZ5VYFY8TTITJGJU9S06A" hidden="1">
          <a:extLst>
            <a:ext uri="{FF2B5EF4-FFF2-40B4-BE49-F238E27FC236}">
              <a16:creationId xmlns:a16="http://schemas.microsoft.com/office/drawing/2014/main" id="{EE5BE9C1-9C8D-438E-8778-9DF5DE23C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26" name="BEx1KD7H6UB1VYCJ7O61P562EIUY" descr="IQGV9140X0K0UPBL8OGU3I44J" hidden="1">
          <a:extLst>
            <a:ext uri="{FF2B5EF4-FFF2-40B4-BE49-F238E27FC236}">
              <a16:creationId xmlns:a16="http://schemas.microsoft.com/office/drawing/2014/main" id="{A2806D98-3ADD-4CC2-89F5-F4069CE8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27" name="BEx5BJQWS6YWHH4ZMSUAMD641V6Y" descr="ZTMFMXCIQSECDX38ALEFHUB00" hidden="1">
          <a:extLst>
            <a:ext uri="{FF2B5EF4-FFF2-40B4-BE49-F238E27FC236}">
              <a16:creationId xmlns:a16="http://schemas.microsoft.com/office/drawing/2014/main" id="{C61D29E7-DA0D-42D8-A0F3-E7BD557E1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28" name="BEx5AQZ4ETQ9LMY5EBWVH20Z7VXQ" hidden="1">
          <a:extLst>
            <a:ext uri="{FF2B5EF4-FFF2-40B4-BE49-F238E27FC236}">
              <a16:creationId xmlns:a16="http://schemas.microsoft.com/office/drawing/2014/main" id="{81A6AAFE-B221-4F5B-926D-112CBDE7E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29" name="BExUBK0YZ5VYFY8TTITJGJU9S06A" hidden="1">
          <a:extLst>
            <a:ext uri="{FF2B5EF4-FFF2-40B4-BE49-F238E27FC236}">
              <a16:creationId xmlns:a16="http://schemas.microsoft.com/office/drawing/2014/main" id="{14987910-8A85-4C61-AF53-4DB76E0AA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30" name="BEx1KD7H6UB1VYCJ7O61P562EIUY" descr="IQGV9140X0K0UPBL8OGU3I44J" hidden="1">
          <a:extLst>
            <a:ext uri="{FF2B5EF4-FFF2-40B4-BE49-F238E27FC236}">
              <a16:creationId xmlns:a16="http://schemas.microsoft.com/office/drawing/2014/main" id="{F0C8B427-F2D3-4356-AAF9-25FDB3FD3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31" name="BEx5BJQWS6YWHH4ZMSUAMD641V6Y" descr="ZTMFMXCIQSECDX38ALEFHUB00" hidden="1">
          <a:extLst>
            <a:ext uri="{FF2B5EF4-FFF2-40B4-BE49-F238E27FC236}">
              <a16:creationId xmlns:a16="http://schemas.microsoft.com/office/drawing/2014/main" id="{9E1D6DE0-359D-4317-AA71-BBA813332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32" name="BEx5AQZ4ETQ9LMY5EBWVH20Z7VXQ" hidden="1">
          <a:extLst>
            <a:ext uri="{FF2B5EF4-FFF2-40B4-BE49-F238E27FC236}">
              <a16:creationId xmlns:a16="http://schemas.microsoft.com/office/drawing/2014/main" id="{BD4AC42B-DEBF-4C6C-8E94-17FC08EF1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33" name="BExUBK0YZ5VYFY8TTITJGJU9S06A" hidden="1">
          <a:extLst>
            <a:ext uri="{FF2B5EF4-FFF2-40B4-BE49-F238E27FC236}">
              <a16:creationId xmlns:a16="http://schemas.microsoft.com/office/drawing/2014/main" id="{D27F264C-2E84-49B2-BBED-CA1F1E2FB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34" name="BEx1KD7H6UB1VYCJ7O61P562EIUY" descr="IQGV9140X0K0UPBL8OGU3I44J" hidden="1">
          <a:extLst>
            <a:ext uri="{FF2B5EF4-FFF2-40B4-BE49-F238E27FC236}">
              <a16:creationId xmlns:a16="http://schemas.microsoft.com/office/drawing/2014/main" id="{DCC0B182-26A3-48DA-ACAD-3923C0DE9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35" name="BEx5BJQWS6YWHH4ZMSUAMD641V6Y" descr="ZTMFMXCIQSECDX38ALEFHUB00" hidden="1">
          <a:extLst>
            <a:ext uri="{FF2B5EF4-FFF2-40B4-BE49-F238E27FC236}">
              <a16:creationId xmlns:a16="http://schemas.microsoft.com/office/drawing/2014/main" id="{2D5FF1C8-B648-464B-8826-00BAAAAF6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36" name="BEx5AQZ4ETQ9LMY5EBWVH20Z7VXQ" hidden="1">
          <a:extLst>
            <a:ext uri="{FF2B5EF4-FFF2-40B4-BE49-F238E27FC236}">
              <a16:creationId xmlns:a16="http://schemas.microsoft.com/office/drawing/2014/main" id="{9F3C5780-0608-4C88-B308-4917AE06F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37" name="BExUBK0YZ5VYFY8TTITJGJU9S06A" hidden="1">
          <a:extLst>
            <a:ext uri="{FF2B5EF4-FFF2-40B4-BE49-F238E27FC236}">
              <a16:creationId xmlns:a16="http://schemas.microsoft.com/office/drawing/2014/main" id="{1DD5DB87-51C7-49AB-97EC-C4806EA1E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38" name="BEx1KD7H6UB1VYCJ7O61P562EIUY" descr="IQGV9140X0K0UPBL8OGU3I44J" hidden="1">
          <a:extLst>
            <a:ext uri="{FF2B5EF4-FFF2-40B4-BE49-F238E27FC236}">
              <a16:creationId xmlns:a16="http://schemas.microsoft.com/office/drawing/2014/main" id="{9A9D91AE-BD3E-4B2D-8C20-0A6817CE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39" name="BEx5AQZ4ETQ9LMY5EBWVH20Z7VXQ" hidden="1">
          <a:extLst>
            <a:ext uri="{FF2B5EF4-FFF2-40B4-BE49-F238E27FC236}">
              <a16:creationId xmlns:a16="http://schemas.microsoft.com/office/drawing/2014/main" id="{ABDDC361-A4F5-4031-BA23-D81292ECB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40" name="BEx1KD7H6UB1VYCJ7O61P562EIUY" descr="IQGV9140X0K0UPBL8OGU3I44J" hidden="1">
          <a:extLst>
            <a:ext uri="{FF2B5EF4-FFF2-40B4-BE49-F238E27FC236}">
              <a16:creationId xmlns:a16="http://schemas.microsoft.com/office/drawing/2014/main" id="{FEF21455-0CE1-477D-BAF8-BB43D4877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41" name="BEx5AQZ4ETQ9LMY5EBWVH20Z7VXQ" hidden="1">
          <a:extLst>
            <a:ext uri="{FF2B5EF4-FFF2-40B4-BE49-F238E27FC236}">
              <a16:creationId xmlns:a16="http://schemas.microsoft.com/office/drawing/2014/main" id="{A8EAE0A3-8CB4-4731-8B96-4BEC19B34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42" name="BEx1KD7H6UB1VYCJ7O61P562EIUY" descr="IQGV9140X0K0UPBL8OGU3I44J" hidden="1">
          <a:extLst>
            <a:ext uri="{FF2B5EF4-FFF2-40B4-BE49-F238E27FC236}">
              <a16:creationId xmlns:a16="http://schemas.microsoft.com/office/drawing/2014/main" id="{0CA373CF-B821-4C3A-9ED9-0FDE60D48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43" name="BEx5AQZ4ETQ9LMY5EBWVH20Z7VXQ" hidden="1">
          <a:extLst>
            <a:ext uri="{FF2B5EF4-FFF2-40B4-BE49-F238E27FC236}">
              <a16:creationId xmlns:a16="http://schemas.microsoft.com/office/drawing/2014/main" id="{462F4F91-A480-4F08-BC17-0E0309072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44" name="BEx1KD7H6UB1VYCJ7O61P562EIUY" descr="IQGV9140X0K0UPBL8OGU3I44J" hidden="1">
          <a:extLst>
            <a:ext uri="{FF2B5EF4-FFF2-40B4-BE49-F238E27FC236}">
              <a16:creationId xmlns:a16="http://schemas.microsoft.com/office/drawing/2014/main" id="{140B3291-75E2-4C69-B734-CBE752DDF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45" name="BEx5AQZ4ETQ9LMY5EBWVH20Z7VXQ" hidden="1">
          <a:extLst>
            <a:ext uri="{FF2B5EF4-FFF2-40B4-BE49-F238E27FC236}">
              <a16:creationId xmlns:a16="http://schemas.microsoft.com/office/drawing/2014/main" id="{4EDB250B-A492-495C-9732-038936FE8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46" name="BEx1KD7H6UB1VYCJ7O61P562EIUY" descr="IQGV9140X0K0UPBL8OGU3I44J" hidden="1">
          <a:extLst>
            <a:ext uri="{FF2B5EF4-FFF2-40B4-BE49-F238E27FC236}">
              <a16:creationId xmlns:a16="http://schemas.microsoft.com/office/drawing/2014/main" id="{4D522628-8D56-4785-AAE1-5B6FA639B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47" name="BEx5AQZ4ETQ9LMY5EBWVH20Z7VXQ" hidden="1">
          <a:extLst>
            <a:ext uri="{FF2B5EF4-FFF2-40B4-BE49-F238E27FC236}">
              <a16:creationId xmlns:a16="http://schemas.microsoft.com/office/drawing/2014/main" id="{B2B95E77-B687-44C0-9DA5-F2889CF6B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48" name="BEx1KD7H6UB1VYCJ7O61P562EIUY" descr="IQGV9140X0K0UPBL8OGU3I44J" hidden="1">
          <a:extLst>
            <a:ext uri="{FF2B5EF4-FFF2-40B4-BE49-F238E27FC236}">
              <a16:creationId xmlns:a16="http://schemas.microsoft.com/office/drawing/2014/main" id="{C391E845-3E66-41B3-9078-76A041926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49" name="BEx5AQZ4ETQ9LMY5EBWVH20Z7VXQ" hidden="1">
          <a:extLst>
            <a:ext uri="{FF2B5EF4-FFF2-40B4-BE49-F238E27FC236}">
              <a16:creationId xmlns:a16="http://schemas.microsoft.com/office/drawing/2014/main" id="{6A50A675-E8B2-4010-89D8-8283F0C85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50" name="BEx1KD7H6UB1VYCJ7O61P562EIUY" descr="IQGV9140X0K0UPBL8OGU3I44J" hidden="1">
          <a:extLst>
            <a:ext uri="{FF2B5EF4-FFF2-40B4-BE49-F238E27FC236}">
              <a16:creationId xmlns:a16="http://schemas.microsoft.com/office/drawing/2014/main" id="{7970EE95-7070-4F1D-B694-CDFFB20FE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51" name="BEx5AQZ4ETQ9LMY5EBWVH20Z7VXQ" hidden="1">
          <a:extLst>
            <a:ext uri="{FF2B5EF4-FFF2-40B4-BE49-F238E27FC236}">
              <a16:creationId xmlns:a16="http://schemas.microsoft.com/office/drawing/2014/main" id="{F4B64574-AB63-46F8-9B75-3B36C23BD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52" name="BEx1KD7H6UB1VYCJ7O61P562EIUY" descr="IQGV9140X0K0UPBL8OGU3I44J" hidden="1">
          <a:extLst>
            <a:ext uri="{FF2B5EF4-FFF2-40B4-BE49-F238E27FC236}">
              <a16:creationId xmlns:a16="http://schemas.microsoft.com/office/drawing/2014/main" id="{9ECF55B7-8BBD-4327-8652-E3B1059AD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53" name="BEx5AQZ4ETQ9LMY5EBWVH20Z7VXQ" hidden="1">
          <a:extLst>
            <a:ext uri="{FF2B5EF4-FFF2-40B4-BE49-F238E27FC236}">
              <a16:creationId xmlns:a16="http://schemas.microsoft.com/office/drawing/2014/main" id="{6269554E-335C-4CDB-9B87-1BA672A7A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54" name="BEx1KD7H6UB1VYCJ7O61P562EIUY" descr="IQGV9140X0K0UPBL8OGU3I44J" hidden="1">
          <a:extLst>
            <a:ext uri="{FF2B5EF4-FFF2-40B4-BE49-F238E27FC236}">
              <a16:creationId xmlns:a16="http://schemas.microsoft.com/office/drawing/2014/main" id="{FE4130DE-1CF2-4476-B9E3-A0B198409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55" name="BEx5AQZ4ETQ9LMY5EBWVH20Z7VXQ" hidden="1">
          <a:extLst>
            <a:ext uri="{FF2B5EF4-FFF2-40B4-BE49-F238E27FC236}">
              <a16:creationId xmlns:a16="http://schemas.microsoft.com/office/drawing/2014/main" id="{B20AC85B-A663-419D-AC96-5B6CE4BC8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56" name="BEx1KD7H6UB1VYCJ7O61P562EIUY" descr="IQGV9140X0K0UPBL8OGU3I44J" hidden="1">
          <a:extLst>
            <a:ext uri="{FF2B5EF4-FFF2-40B4-BE49-F238E27FC236}">
              <a16:creationId xmlns:a16="http://schemas.microsoft.com/office/drawing/2014/main" id="{48F04150-D2E2-4779-961F-DD8409D34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57" name="BEx5AQZ4ETQ9LMY5EBWVH20Z7VXQ" hidden="1">
          <a:extLst>
            <a:ext uri="{FF2B5EF4-FFF2-40B4-BE49-F238E27FC236}">
              <a16:creationId xmlns:a16="http://schemas.microsoft.com/office/drawing/2014/main" id="{39AD5FE6-69D5-4225-B196-E7ECC529D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58" name="BEx1KD7H6UB1VYCJ7O61P562EIUY" descr="IQGV9140X0K0UPBL8OGU3I44J" hidden="1">
          <a:extLst>
            <a:ext uri="{FF2B5EF4-FFF2-40B4-BE49-F238E27FC236}">
              <a16:creationId xmlns:a16="http://schemas.microsoft.com/office/drawing/2014/main" id="{310E3F36-4047-4AAE-A9A0-28E20F8F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59" name="BEx5AQZ4ETQ9LMY5EBWVH20Z7VXQ" hidden="1">
          <a:extLst>
            <a:ext uri="{FF2B5EF4-FFF2-40B4-BE49-F238E27FC236}">
              <a16:creationId xmlns:a16="http://schemas.microsoft.com/office/drawing/2014/main" id="{3CAB7F60-0632-43F6-97C1-FE06E80CD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60" name="BEx1KD7H6UB1VYCJ7O61P562EIUY" descr="IQGV9140X0K0UPBL8OGU3I44J" hidden="1">
          <a:extLst>
            <a:ext uri="{FF2B5EF4-FFF2-40B4-BE49-F238E27FC236}">
              <a16:creationId xmlns:a16="http://schemas.microsoft.com/office/drawing/2014/main" id="{2038DD92-7AEE-43D8-95C2-8A41E134C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61" name="BEx5AQZ4ETQ9LMY5EBWVH20Z7VXQ" hidden="1">
          <a:extLst>
            <a:ext uri="{FF2B5EF4-FFF2-40B4-BE49-F238E27FC236}">
              <a16:creationId xmlns:a16="http://schemas.microsoft.com/office/drawing/2014/main" id="{F3D1C42E-8542-4FF8-A383-ED9541D0E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62" name="BEx1KD7H6UB1VYCJ7O61P562EIUY" descr="IQGV9140X0K0UPBL8OGU3I44J" hidden="1">
          <a:extLst>
            <a:ext uri="{FF2B5EF4-FFF2-40B4-BE49-F238E27FC236}">
              <a16:creationId xmlns:a16="http://schemas.microsoft.com/office/drawing/2014/main" id="{ABB746B2-D4CA-479C-A536-BC15DEF1E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63" name="BEx5AQZ4ETQ9LMY5EBWVH20Z7VXQ" hidden="1">
          <a:extLst>
            <a:ext uri="{FF2B5EF4-FFF2-40B4-BE49-F238E27FC236}">
              <a16:creationId xmlns:a16="http://schemas.microsoft.com/office/drawing/2014/main" id="{6F1DBF0D-1336-4304-B2EC-488E4C2FA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64" name="BEx1KD7H6UB1VYCJ7O61P562EIUY" descr="IQGV9140X0K0UPBL8OGU3I44J" hidden="1">
          <a:extLst>
            <a:ext uri="{FF2B5EF4-FFF2-40B4-BE49-F238E27FC236}">
              <a16:creationId xmlns:a16="http://schemas.microsoft.com/office/drawing/2014/main" id="{1C5B553C-B1FA-4C68-BB7A-11B7E65D8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65" name="BEx5AQZ4ETQ9LMY5EBWVH20Z7VXQ" hidden="1">
          <a:extLst>
            <a:ext uri="{FF2B5EF4-FFF2-40B4-BE49-F238E27FC236}">
              <a16:creationId xmlns:a16="http://schemas.microsoft.com/office/drawing/2014/main" id="{71A3ACBD-6BC4-4251-B1BD-7644501F7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66" name="BEx1KD7H6UB1VYCJ7O61P562EIUY" descr="IQGV9140X0K0UPBL8OGU3I44J" hidden="1">
          <a:extLst>
            <a:ext uri="{FF2B5EF4-FFF2-40B4-BE49-F238E27FC236}">
              <a16:creationId xmlns:a16="http://schemas.microsoft.com/office/drawing/2014/main" id="{C4036D96-3D5A-4735-A646-3D387125B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67" name="BEx5AQZ4ETQ9LMY5EBWVH20Z7VXQ" hidden="1">
          <a:extLst>
            <a:ext uri="{FF2B5EF4-FFF2-40B4-BE49-F238E27FC236}">
              <a16:creationId xmlns:a16="http://schemas.microsoft.com/office/drawing/2014/main" id="{33D09801-F5A7-4A00-9885-21BE09078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68" name="BEx1KD7H6UB1VYCJ7O61P562EIUY" descr="IQGV9140X0K0UPBL8OGU3I44J" hidden="1">
          <a:extLst>
            <a:ext uri="{FF2B5EF4-FFF2-40B4-BE49-F238E27FC236}">
              <a16:creationId xmlns:a16="http://schemas.microsoft.com/office/drawing/2014/main" id="{233FA558-D7D0-48B1-90B1-48AE8F7BC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69" name="BEx5AQZ4ETQ9LMY5EBWVH20Z7VXQ" hidden="1">
          <a:extLst>
            <a:ext uri="{FF2B5EF4-FFF2-40B4-BE49-F238E27FC236}">
              <a16:creationId xmlns:a16="http://schemas.microsoft.com/office/drawing/2014/main" id="{261F6607-A2B6-4BF7-9479-A7A6D7280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70" name="BEx1KD7H6UB1VYCJ7O61P562EIUY" descr="IQGV9140X0K0UPBL8OGU3I44J" hidden="1">
          <a:extLst>
            <a:ext uri="{FF2B5EF4-FFF2-40B4-BE49-F238E27FC236}">
              <a16:creationId xmlns:a16="http://schemas.microsoft.com/office/drawing/2014/main" id="{6432240A-D201-444A-9D64-8D538085D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71" name="BEx5AQZ4ETQ9LMY5EBWVH20Z7VXQ" hidden="1">
          <a:extLst>
            <a:ext uri="{FF2B5EF4-FFF2-40B4-BE49-F238E27FC236}">
              <a16:creationId xmlns:a16="http://schemas.microsoft.com/office/drawing/2014/main" id="{9635519D-3E7D-422E-B680-6EE581426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72" name="BEx1KD7H6UB1VYCJ7O61P562EIUY" descr="IQGV9140X0K0UPBL8OGU3I44J" hidden="1">
          <a:extLst>
            <a:ext uri="{FF2B5EF4-FFF2-40B4-BE49-F238E27FC236}">
              <a16:creationId xmlns:a16="http://schemas.microsoft.com/office/drawing/2014/main" id="{A85BBD86-BFF2-419A-94CF-0CAF91C13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73" name="BEx5AQZ4ETQ9LMY5EBWVH20Z7VXQ" hidden="1">
          <a:extLst>
            <a:ext uri="{FF2B5EF4-FFF2-40B4-BE49-F238E27FC236}">
              <a16:creationId xmlns:a16="http://schemas.microsoft.com/office/drawing/2014/main" id="{25250A84-5FE6-4725-94A2-CBBA73DD2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74" name="BEx1KD7H6UB1VYCJ7O61P562EIUY" descr="IQGV9140X0K0UPBL8OGU3I44J" hidden="1">
          <a:extLst>
            <a:ext uri="{FF2B5EF4-FFF2-40B4-BE49-F238E27FC236}">
              <a16:creationId xmlns:a16="http://schemas.microsoft.com/office/drawing/2014/main" id="{538D5D39-F19B-4CE7-B5D2-5CEAE5CA2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75" name="BEx5AQZ4ETQ9LMY5EBWVH20Z7VXQ" hidden="1">
          <a:extLst>
            <a:ext uri="{FF2B5EF4-FFF2-40B4-BE49-F238E27FC236}">
              <a16:creationId xmlns:a16="http://schemas.microsoft.com/office/drawing/2014/main" id="{A978C1C3-C3AF-4E29-99B1-B5678E0A9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76" name="BEx1KD7H6UB1VYCJ7O61P562EIUY" descr="IQGV9140X0K0UPBL8OGU3I44J" hidden="1">
          <a:extLst>
            <a:ext uri="{FF2B5EF4-FFF2-40B4-BE49-F238E27FC236}">
              <a16:creationId xmlns:a16="http://schemas.microsoft.com/office/drawing/2014/main" id="{B73AC894-AD96-46F3-81DA-C0DBB4903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77" name="BEx5AQZ4ETQ9LMY5EBWVH20Z7VXQ" hidden="1">
          <a:extLst>
            <a:ext uri="{FF2B5EF4-FFF2-40B4-BE49-F238E27FC236}">
              <a16:creationId xmlns:a16="http://schemas.microsoft.com/office/drawing/2014/main" id="{3676B8C6-450B-4E68-B4C5-B4266885B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78" name="BEx1KD7H6UB1VYCJ7O61P562EIUY" descr="IQGV9140X0K0UPBL8OGU3I44J" hidden="1">
          <a:extLst>
            <a:ext uri="{FF2B5EF4-FFF2-40B4-BE49-F238E27FC236}">
              <a16:creationId xmlns:a16="http://schemas.microsoft.com/office/drawing/2014/main" id="{80E23BCF-0F59-4795-B246-AA854F556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79" name="BEx5BJQWS6YWHH4ZMSUAMD641V6Y" descr="ZTMFMXCIQSECDX38ALEFHUB00" hidden="1">
          <a:extLst>
            <a:ext uri="{FF2B5EF4-FFF2-40B4-BE49-F238E27FC236}">
              <a16:creationId xmlns:a16="http://schemas.microsoft.com/office/drawing/2014/main" id="{04FBB92C-D4B1-4662-A3D4-7CF3353F0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80" name="BEx5AQZ4ETQ9LMY5EBWVH20Z7VXQ" hidden="1">
          <a:extLst>
            <a:ext uri="{FF2B5EF4-FFF2-40B4-BE49-F238E27FC236}">
              <a16:creationId xmlns:a16="http://schemas.microsoft.com/office/drawing/2014/main" id="{E1D9F28C-3CA4-41E0-94F0-7322F4FF8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81" name="BExUBK0YZ5VYFY8TTITJGJU9S06A" hidden="1">
          <a:extLst>
            <a:ext uri="{FF2B5EF4-FFF2-40B4-BE49-F238E27FC236}">
              <a16:creationId xmlns:a16="http://schemas.microsoft.com/office/drawing/2014/main" id="{6BB4327A-C751-41F5-8684-39657C7C5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82" name="BEx5BJQWS6YWHH4ZMSUAMD641V6Y" descr="ZTMFMXCIQSECDX38ALEFHUB00" hidden="1">
          <a:extLst>
            <a:ext uri="{FF2B5EF4-FFF2-40B4-BE49-F238E27FC236}">
              <a16:creationId xmlns:a16="http://schemas.microsoft.com/office/drawing/2014/main" id="{66CA8EF1-A9FD-4262-9F29-BF4BD369F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83" name="BExUBK0YZ5VYFY8TTITJGJU9S06A" hidden="1">
          <a:extLst>
            <a:ext uri="{FF2B5EF4-FFF2-40B4-BE49-F238E27FC236}">
              <a16:creationId xmlns:a16="http://schemas.microsoft.com/office/drawing/2014/main" id="{501A28B2-AC3C-45B1-A124-9F9871CB1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84" name="BEx5BJQWS6YWHH4ZMSUAMD641V6Y" descr="ZTMFMXCIQSECDX38ALEFHUB00" hidden="1">
          <a:extLst>
            <a:ext uri="{FF2B5EF4-FFF2-40B4-BE49-F238E27FC236}">
              <a16:creationId xmlns:a16="http://schemas.microsoft.com/office/drawing/2014/main" id="{75B64040-8427-41B5-B949-6825510F4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85" name="BExUBK0YZ5VYFY8TTITJGJU9S06A" hidden="1">
          <a:extLst>
            <a:ext uri="{FF2B5EF4-FFF2-40B4-BE49-F238E27FC236}">
              <a16:creationId xmlns:a16="http://schemas.microsoft.com/office/drawing/2014/main" id="{0AB1256E-232F-47E7-B93D-32A9D1F69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86" name="BEx5BJQWS6YWHH4ZMSUAMD641V6Y" descr="ZTMFMXCIQSECDX38ALEFHUB00" hidden="1">
          <a:extLst>
            <a:ext uri="{FF2B5EF4-FFF2-40B4-BE49-F238E27FC236}">
              <a16:creationId xmlns:a16="http://schemas.microsoft.com/office/drawing/2014/main" id="{73CD85E1-7813-4B00-A826-064E88EC6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87" name="BExUBK0YZ5VYFY8TTITJGJU9S06A" hidden="1">
          <a:extLst>
            <a:ext uri="{FF2B5EF4-FFF2-40B4-BE49-F238E27FC236}">
              <a16:creationId xmlns:a16="http://schemas.microsoft.com/office/drawing/2014/main" id="{F7EC1BDA-9DD1-49FE-A661-29D6AB080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88" name="BEx5BJQWS6YWHH4ZMSUAMD641V6Y" descr="ZTMFMXCIQSECDX38ALEFHUB00" hidden="1">
          <a:extLst>
            <a:ext uri="{FF2B5EF4-FFF2-40B4-BE49-F238E27FC236}">
              <a16:creationId xmlns:a16="http://schemas.microsoft.com/office/drawing/2014/main" id="{FA5479D4-63AA-4432-AEEF-876298C5D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89" name="BExUBK0YZ5VYFY8TTITJGJU9S06A" hidden="1">
          <a:extLst>
            <a:ext uri="{FF2B5EF4-FFF2-40B4-BE49-F238E27FC236}">
              <a16:creationId xmlns:a16="http://schemas.microsoft.com/office/drawing/2014/main" id="{17FAB846-801E-4C08-84F4-967BB19C3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90" name="BEx5BJQWS6YWHH4ZMSUAMD641V6Y" descr="ZTMFMXCIQSECDX38ALEFHUB00" hidden="1">
          <a:extLst>
            <a:ext uri="{FF2B5EF4-FFF2-40B4-BE49-F238E27FC236}">
              <a16:creationId xmlns:a16="http://schemas.microsoft.com/office/drawing/2014/main" id="{0EA7AAE0-A96C-4F7E-8E41-16288ACB1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91" name="BExUBK0YZ5VYFY8TTITJGJU9S06A" hidden="1">
          <a:extLst>
            <a:ext uri="{FF2B5EF4-FFF2-40B4-BE49-F238E27FC236}">
              <a16:creationId xmlns:a16="http://schemas.microsoft.com/office/drawing/2014/main" id="{ED61B77E-0B93-42C8-80BE-DC895B257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92" name="BEx1KD7H6UB1VYCJ7O61P562EIUY" descr="IQGV9140X0K0UPBL8OGU3I44J" hidden="1">
          <a:extLst>
            <a:ext uri="{FF2B5EF4-FFF2-40B4-BE49-F238E27FC236}">
              <a16:creationId xmlns:a16="http://schemas.microsoft.com/office/drawing/2014/main" id="{4711226D-67D4-42EB-8486-1905598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93" name="BEx5AQZ4ETQ9LMY5EBWVH20Z7VXQ" hidden="1">
          <a:extLst>
            <a:ext uri="{FF2B5EF4-FFF2-40B4-BE49-F238E27FC236}">
              <a16:creationId xmlns:a16="http://schemas.microsoft.com/office/drawing/2014/main" id="{B7E61789-0C34-43A1-8556-A2358A4A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94" name="BEx1KD7H6UB1VYCJ7O61P562EIUY" descr="IQGV9140X0K0UPBL8OGU3I44J" hidden="1">
          <a:extLst>
            <a:ext uri="{FF2B5EF4-FFF2-40B4-BE49-F238E27FC236}">
              <a16:creationId xmlns:a16="http://schemas.microsoft.com/office/drawing/2014/main" id="{B120F2F5-5ABD-4C30-8698-E28A3CBE2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95" name="BEx5AQZ4ETQ9LMY5EBWVH20Z7VXQ" hidden="1">
          <a:extLst>
            <a:ext uri="{FF2B5EF4-FFF2-40B4-BE49-F238E27FC236}">
              <a16:creationId xmlns:a16="http://schemas.microsoft.com/office/drawing/2014/main" id="{DF3C0C8D-E4BC-4E92-9489-45451CC48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96" name="BEx5BJQWS6YWHH4ZMSUAMD641V6Y" descr="ZTMFMXCIQSECDX38ALEFHUB00" hidden="1">
          <a:extLst>
            <a:ext uri="{FF2B5EF4-FFF2-40B4-BE49-F238E27FC236}">
              <a16:creationId xmlns:a16="http://schemas.microsoft.com/office/drawing/2014/main" id="{07B86BEC-D343-40F1-B55A-D932C74C4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697" name="BExUBK0YZ5VYFY8TTITJGJU9S06A" hidden="1">
          <a:extLst>
            <a:ext uri="{FF2B5EF4-FFF2-40B4-BE49-F238E27FC236}">
              <a16:creationId xmlns:a16="http://schemas.microsoft.com/office/drawing/2014/main" id="{D5C00397-A16E-4FC1-9221-4C98C8201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98" name="BEx1KD7H6UB1VYCJ7O61P562EIUY" descr="IQGV9140X0K0UPBL8OGU3I44J" hidden="1">
          <a:extLst>
            <a:ext uri="{FF2B5EF4-FFF2-40B4-BE49-F238E27FC236}">
              <a16:creationId xmlns:a16="http://schemas.microsoft.com/office/drawing/2014/main" id="{66F742FD-F960-45BB-803A-D036C8FC9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699" name="BEx5AQZ4ETQ9LMY5EBWVH20Z7VXQ" hidden="1">
          <a:extLst>
            <a:ext uri="{FF2B5EF4-FFF2-40B4-BE49-F238E27FC236}">
              <a16:creationId xmlns:a16="http://schemas.microsoft.com/office/drawing/2014/main" id="{3E75741F-EF59-499D-A5B0-AA7A08E8A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00" name="BEx5BJQWS6YWHH4ZMSUAMD641V6Y" descr="ZTMFMXCIQSECDX38ALEFHUB00" hidden="1">
          <a:extLst>
            <a:ext uri="{FF2B5EF4-FFF2-40B4-BE49-F238E27FC236}">
              <a16:creationId xmlns:a16="http://schemas.microsoft.com/office/drawing/2014/main" id="{2D37833B-3086-4DFA-8218-0B944161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01" name="BExUBK0YZ5VYFY8TTITJGJU9S06A" hidden="1">
          <a:extLst>
            <a:ext uri="{FF2B5EF4-FFF2-40B4-BE49-F238E27FC236}">
              <a16:creationId xmlns:a16="http://schemas.microsoft.com/office/drawing/2014/main" id="{F046E797-9D24-482D-9415-528EF8B5C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02" name="BEx5BJQWS6YWHH4ZMSUAMD641V6Y" descr="ZTMFMXCIQSECDX38ALEFHUB00" hidden="1">
          <a:extLst>
            <a:ext uri="{FF2B5EF4-FFF2-40B4-BE49-F238E27FC236}">
              <a16:creationId xmlns:a16="http://schemas.microsoft.com/office/drawing/2014/main" id="{A1E736AD-7000-45F6-81DB-4FBD46327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03" name="BExUBK0YZ5VYFY8TTITJGJU9S06A" hidden="1">
          <a:extLst>
            <a:ext uri="{FF2B5EF4-FFF2-40B4-BE49-F238E27FC236}">
              <a16:creationId xmlns:a16="http://schemas.microsoft.com/office/drawing/2014/main" id="{540D67C9-C47C-4088-B59C-7C2623800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704" name="BEx1KD7H6UB1VYCJ7O61P562EIUY" descr="IQGV9140X0K0UPBL8OGU3I44J" hidden="1">
          <a:extLst>
            <a:ext uri="{FF2B5EF4-FFF2-40B4-BE49-F238E27FC236}">
              <a16:creationId xmlns:a16="http://schemas.microsoft.com/office/drawing/2014/main" id="{3C087B94-E3D7-4B2D-9442-C46B3C873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705" name="BEx5AQZ4ETQ9LMY5EBWVH20Z7VXQ" hidden="1">
          <a:extLst>
            <a:ext uri="{FF2B5EF4-FFF2-40B4-BE49-F238E27FC236}">
              <a16:creationId xmlns:a16="http://schemas.microsoft.com/office/drawing/2014/main" id="{64464871-32D5-4E9F-9504-B09877BE1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06" name="BEx5BJQWS6YWHH4ZMSUAMD641V6Y" descr="ZTMFMXCIQSECDX38ALEFHUB00" hidden="1">
          <a:extLst>
            <a:ext uri="{FF2B5EF4-FFF2-40B4-BE49-F238E27FC236}">
              <a16:creationId xmlns:a16="http://schemas.microsoft.com/office/drawing/2014/main" id="{60964951-6A1C-46A5-9654-E61F34789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07" name="BExUBK0YZ5VYFY8TTITJGJU9S06A" hidden="1">
          <a:extLst>
            <a:ext uri="{FF2B5EF4-FFF2-40B4-BE49-F238E27FC236}">
              <a16:creationId xmlns:a16="http://schemas.microsoft.com/office/drawing/2014/main" id="{341E04AE-CC8E-4412-AE5F-300A195E4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08" name="BEx5BJQWS6YWHH4ZMSUAMD641V6Y" descr="ZTMFMXCIQSECDX38ALEFHUB00" hidden="1">
          <a:extLst>
            <a:ext uri="{FF2B5EF4-FFF2-40B4-BE49-F238E27FC236}">
              <a16:creationId xmlns:a16="http://schemas.microsoft.com/office/drawing/2014/main" id="{57DAFA9F-1095-4F91-B5F7-D87123AFE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09" name="BExUBK0YZ5VYFY8TTITJGJU9S06A" hidden="1">
          <a:extLst>
            <a:ext uri="{FF2B5EF4-FFF2-40B4-BE49-F238E27FC236}">
              <a16:creationId xmlns:a16="http://schemas.microsoft.com/office/drawing/2014/main" id="{B3DD98B1-3FAF-4978-9379-03F1A3A98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10" name="BEx5BJQWS6YWHH4ZMSUAMD641V6Y" descr="ZTMFMXCIQSECDX38ALEFHUB00" hidden="1">
          <a:extLst>
            <a:ext uri="{FF2B5EF4-FFF2-40B4-BE49-F238E27FC236}">
              <a16:creationId xmlns:a16="http://schemas.microsoft.com/office/drawing/2014/main" id="{33073495-1C11-4806-9F90-824F0E00E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11" name="BExUBK0YZ5VYFY8TTITJGJU9S06A" hidden="1">
          <a:extLst>
            <a:ext uri="{FF2B5EF4-FFF2-40B4-BE49-F238E27FC236}">
              <a16:creationId xmlns:a16="http://schemas.microsoft.com/office/drawing/2014/main" id="{DD59A283-3854-4078-9D42-378FBC3E3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712" name="BEx1KD7H6UB1VYCJ7O61P562EIUY" descr="IQGV9140X0K0UPBL8OGU3I44J" hidden="1">
          <a:extLst>
            <a:ext uri="{FF2B5EF4-FFF2-40B4-BE49-F238E27FC236}">
              <a16:creationId xmlns:a16="http://schemas.microsoft.com/office/drawing/2014/main" id="{0C318CA3-1E03-4122-B0FD-1BC8DEC50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713" name="BEx5AQZ4ETQ9LMY5EBWVH20Z7VXQ" hidden="1">
          <a:extLst>
            <a:ext uri="{FF2B5EF4-FFF2-40B4-BE49-F238E27FC236}">
              <a16:creationId xmlns:a16="http://schemas.microsoft.com/office/drawing/2014/main" id="{72C92D9A-C4B3-490A-89B7-9AD37320A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14" name="BEx5BJQWS6YWHH4ZMSUAMD641V6Y" descr="ZTMFMXCIQSECDX38ALEFHUB00" hidden="1">
          <a:extLst>
            <a:ext uri="{FF2B5EF4-FFF2-40B4-BE49-F238E27FC236}">
              <a16:creationId xmlns:a16="http://schemas.microsoft.com/office/drawing/2014/main" id="{FB342F5D-3100-44FF-A6A7-96073D3C8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15" name="BExUBK0YZ5VYFY8TTITJGJU9S06A" hidden="1">
          <a:extLst>
            <a:ext uri="{FF2B5EF4-FFF2-40B4-BE49-F238E27FC236}">
              <a16:creationId xmlns:a16="http://schemas.microsoft.com/office/drawing/2014/main" id="{F8E0A0CB-699C-4FDB-93A0-6DBF4C622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16" name="BEx5BJQWS6YWHH4ZMSUAMD641V6Y" descr="ZTMFMXCIQSECDX38ALEFHUB00" hidden="1">
          <a:extLst>
            <a:ext uri="{FF2B5EF4-FFF2-40B4-BE49-F238E27FC236}">
              <a16:creationId xmlns:a16="http://schemas.microsoft.com/office/drawing/2014/main" id="{4F0F590E-FF39-4F75-AADA-AA4D96BE5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17" name="BExUBK0YZ5VYFY8TTITJGJU9S06A" hidden="1">
          <a:extLst>
            <a:ext uri="{FF2B5EF4-FFF2-40B4-BE49-F238E27FC236}">
              <a16:creationId xmlns:a16="http://schemas.microsoft.com/office/drawing/2014/main" id="{A4E77E75-6C9E-49A4-BE00-B08543763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18" name="BEx5BJQWS6YWHH4ZMSUAMD641V6Y" descr="ZTMFMXCIQSECDX38ALEFHUB00" hidden="1">
          <a:extLst>
            <a:ext uri="{FF2B5EF4-FFF2-40B4-BE49-F238E27FC236}">
              <a16:creationId xmlns:a16="http://schemas.microsoft.com/office/drawing/2014/main" id="{DA18814F-01E5-4F35-90AA-2A9D1B35E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19" name="BExUBK0YZ5VYFY8TTITJGJU9S06A" hidden="1">
          <a:extLst>
            <a:ext uri="{FF2B5EF4-FFF2-40B4-BE49-F238E27FC236}">
              <a16:creationId xmlns:a16="http://schemas.microsoft.com/office/drawing/2014/main" id="{1792B0A8-6813-46ED-9FEB-B7A32E229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20" name="BEx5BJQWS6YWHH4ZMSUAMD641V6Y" descr="ZTMFMXCIQSECDX38ALEFHUB00" hidden="1">
          <a:extLst>
            <a:ext uri="{FF2B5EF4-FFF2-40B4-BE49-F238E27FC236}">
              <a16:creationId xmlns:a16="http://schemas.microsoft.com/office/drawing/2014/main" id="{D181C625-CA57-4F6E-BEA6-08A65D0CC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21" name="BExUBK0YZ5VYFY8TTITJGJU9S06A" hidden="1">
          <a:extLst>
            <a:ext uri="{FF2B5EF4-FFF2-40B4-BE49-F238E27FC236}">
              <a16:creationId xmlns:a16="http://schemas.microsoft.com/office/drawing/2014/main" id="{5268D252-3A21-4C18-BB47-3E059C783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22" name="BEx5BJQWS6YWHH4ZMSUAMD641V6Y" descr="ZTMFMXCIQSECDX38ALEFHUB00" hidden="1">
          <a:extLst>
            <a:ext uri="{FF2B5EF4-FFF2-40B4-BE49-F238E27FC236}">
              <a16:creationId xmlns:a16="http://schemas.microsoft.com/office/drawing/2014/main" id="{3316ECA8-01DD-4637-884A-82E90EAE4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23" name="BExUBK0YZ5VYFY8TTITJGJU9S06A" hidden="1">
          <a:extLst>
            <a:ext uri="{FF2B5EF4-FFF2-40B4-BE49-F238E27FC236}">
              <a16:creationId xmlns:a16="http://schemas.microsoft.com/office/drawing/2014/main" id="{672AD277-9C62-4828-A4FA-207F8D692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724" name="BEx1KD7H6UB1VYCJ7O61P562EIUY" descr="IQGV9140X0K0UPBL8OGU3I44J" hidden="1">
          <a:extLst>
            <a:ext uri="{FF2B5EF4-FFF2-40B4-BE49-F238E27FC236}">
              <a16:creationId xmlns:a16="http://schemas.microsoft.com/office/drawing/2014/main" id="{916CE968-2D38-49DB-8C47-D421F24F3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25" name="BEx5BJQWS6YWHH4ZMSUAMD641V6Y" descr="ZTMFMXCIQSECDX38ALEFHUB00" hidden="1">
          <a:extLst>
            <a:ext uri="{FF2B5EF4-FFF2-40B4-BE49-F238E27FC236}">
              <a16:creationId xmlns:a16="http://schemas.microsoft.com/office/drawing/2014/main" id="{39DF774E-8690-4990-B422-B49AACA7E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726" name="BEx5AQZ4ETQ9LMY5EBWVH20Z7VXQ" hidden="1">
          <a:extLst>
            <a:ext uri="{FF2B5EF4-FFF2-40B4-BE49-F238E27FC236}">
              <a16:creationId xmlns:a16="http://schemas.microsoft.com/office/drawing/2014/main" id="{9D821C4D-A0D6-473D-9065-AFB57A5D5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27" name="BExUBK0YZ5VYFY8TTITJGJU9S06A" hidden="1">
          <a:extLst>
            <a:ext uri="{FF2B5EF4-FFF2-40B4-BE49-F238E27FC236}">
              <a16:creationId xmlns:a16="http://schemas.microsoft.com/office/drawing/2014/main" id="{4B5C9133-38D3-45E5-8A05-EA96022EF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28" name="BEx5BJQWS6YWHH4ZMSUAMD641V6Y" descr="ZTMFMXCIQSECDX38ALEFHUB00" hidden="1">
          <a:extLst>
            <a:ext uri="{FF2B5EF4-FFF2-40B4-BE49-F238E27FC236}">
              <a16:creationId xmlns:a16="http://schemas.microsoft.com/office/drawing/2014/main" id="{174FDC61-D40C-401F-B2A1-AA3FD5E6D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29" name="BExUBK0YZ5VYFY8TTITJGJU9S06A" hidden="1">
          <a:extLst>
            <a:ext uri="{FF2B5EF4-FFF2-40B4-BE49-F238E27FC236}">
              <a16:creationId xmlns:a16="http://schemas.microsoft.com/office/drawing/2014/main" id="{1CB0644E-D65E-4608-82BD-249C5233D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30" name="BEx5BJQWS6YWHH4ZMSUAMD641V6Y" descr="ZTMFMXCIQSECDX38ALEFHUB00" hidden="1">
          <a:extLst>
            <a:ext uri="{FF2B5EF4-FFF2-40B4-BE49-F238E27FC236}">
              <a16:creationId xmlns:a16="http://schemas.microsoft.com/office/drawing/2014/main" id="{E4B91554-63F7-4435-8B45-02175A2A8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31" name="BExUBK0YZ5VYFY8TTITJGJU9S06A" hidden="1">
          <a:extLst>
            <a:ext uri="{FF2B5EF4-FFF2-40B4-BE49-F238E27FC236}">
              <a16:creationId xmlns:a16="http://schemas.microsoft.com/office/drawing/2014/main" id="{9FE0E136-DD04-4002-9D22-09A62D71C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32" name="BEx5BJQWS6YWHH4ZMSUAMD641V6Y" descr="ZTMFMXCIQSECDX38ALEFHUB00" hidden="1">
          <a:extLst>
            <a:ext uri="{FF2B5EF4-FFF2-40B4-BE49-F238E27FC236}">
              <a16:creationId xmlns:a16="http://schemas.microsoft.com/office/drawing/2014/main" id="{E361C110-BBA7-4954-983E-8892BF81A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33" name="BExUBK0YZ5VYFY8TTITJGJU9S06A" hidden="1">
          <a:extLst>
            <a:ext uri="{FF2B5EF4-FFF2-40B4-BE49-F238E27FC236}">
              <a16:creationId xmlns:a16="http://schemas.microsoft.com/office/drawing/2014/main" id="{3DCE8429-C289-4EDC-A3E6-947E2F297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34" name="BEx5BJQWS6YWHH4ZMSUAMD641V6Y" descr="ZTMFMXCIQSECDX38ALEFHUB00" hidden="1">
          <a:extLst>
            <a:ext uri="{FF2B5EF4-FFF2-40B4-BE49-F238E27FC236}">
              <a16:creationId xmlns:a16="http://schemas.microsoft.com/office/drawing/2014/main" id="{694FFB2B-75AF-4990-8C52-6A0B2475E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35" name="BExUBK0YZ5VYFY8TTITJGJU9S06A" hidden="1">
          <a:extLst>
            <a:ext uri="{FF2B5EF4-FFF2-40B4-BE49-F238E27FC236}">
              <a16:creationId xmlns:a16="http://schemas.microsoft.com/office/drawing/2014/main" id="{5303FBE7-C35B-414F-BDF7-CD97ECD7C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36" name="BEx5BJQWS6YWHH4ZMSUAMD641V6Y" descr="ZTMFMXCIQSECDX38ALEFHUB00" hidden="1">
          <a:extLst>
            <a:ext uri="{FF2B5EF4-FFF2-40B4-BE49-F238E27FC236}">
              <a16:creationId xmlns:a16="http://schemas.microsoft.com/office/drawing/2014/main" id="{1DADD538-5104-4F12-8A33-72D4A1730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37" name="BExUBK0YZ5VYFY8TTITJGJU9S06A" hidden="1">
          <a:extLst>
            <a:ext uri="{FF2B5EF4-FFF2-40B4-BE49-F238E27FC236}">
              <a16:creationId xmlns:a16="http://schemas.microsoft.com/office/drawing/2014/main" id="{40F2B9FF-F067-409D-862D-0066DB7C9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738" name="BEx1KD7H6UB1VYCJ7O61P562EIUY" descr="IQGV9140X0K0UPBL8OGU3I44J" hidden="1">
          <a:extLst>
            <a:ext uri="{FF2B5EF4-FFF2-40B4-BE49-F238E27FC236}">
              <a16:creationId xmlns:a16="http://schemas.microsoft.com/office/drawing/2014/main" id="{1DC78169-A618-4951-8D83-3F314182F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739" name="BEx5AQZ4ETQ9LMY5EBWVH20Z7VXQ" hidden="1">
          <a:extLst>
            <a:ext uri="{FF2B5EF4-FFF2-40B4-BE49-F238E27FC236}">
              <a16:creationId xmlns:a16="http://schemas.microsoft.com/office/drawing/2014/main" id="{00D9A5F3-70E1-4F94-8DE5-4C0F502F0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740" name="BEx1KD7H6UB1VYCJ7O61P562EIUY" descr="IQGV9140X0K0UPBL8OGU3I44J" hidden="1">
          <a:extLst>
            <a:ext uri="{FF2B5EF4-FFF2-40B4-BE49-F238E27FC236}">
              <a16:creationId xmlns:a16="http://schemas.microsoft.com/office/drawing/2014/main" id="{8C4102DD-5ED4-4B39-A43B-8A290B770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741" name="BEx5AQZ4ETQ9LMY5EBWVH20Z7VXQ" hidden="1">
          <a:extLst>
            <a:ext uri="{FF2B5EF4-FFF2-40B4-BE49-F238E27FC236}">
              <a16:creationId xmlns:a16="http://schemas.microsoft.com/office/drawing/2014/main" id="{2CBB4665-C3B9-479E-9924-FCB63AEDC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42" name="BEx5BJQWS6YWHH4ZMSUAMD641V6Y" descr="ZTMFMXCIQSECDX38ALEFHUB00" hidden="1">
          <a:extLst>
            <a:ext uri="{FF2B5EF4-FFF2-40B4-BE49-F238E27FC236}">
              <a16:creationId xmlns:a16="http://schemas.microsoft.com/office/drawing/2014/main" id="{DD8B098F-FDE4-470C-8763-AADAC209E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43" name="BExUBK0YZ5VYFY8TTITJGJU9S06A" hidden="1">
          <a:extLst>
            <a:ext uri="{FF2B5EF4-FFF2-40B4-BE49-F238E27FC236}">
              <a16:creationId xmlns:a16="http://schemas.microsoft.com/office/drawing/2014/main" id="{7EF66AE1-542A-4FDB-B83E-9860482E2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744" name="BEx1KD7H6UB1VYCJ7O61P562EIUY" descr="IQGV9140X0K0UPBL8OGU3I44J" hidden="1">
          <a:extLst>
            <a:ext uri="{FF2B5EF4-FFF2-40B4-BE49-F238E27FC236}">
              <a16:creationId xmlns:a16="http://schemas.microsoft.com/office/drawing/2014/main" id="{D9600796-F115-4A45-A590-5B1EC1D67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745" name="BEx5AQZ4ETQ9LMY5EBWVH20Z7VXQ" hidden="1">
          <a:extLst>
            <a:ext uri="{FF2B5EF4-FFF2-40B4-BE49-F238E27FC236}">
              <a16:creationId xmlns:a16="http://schemas.microsoft.com/office/drawing/2014/main" id="{B3A7DBB6-3D8F-4114-89D8-A36955085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46" name="BEx5BJQWS6YWHH4ZMSUAMD641V6Y" descr="ZTMFMXCIQSECDX38ALEFHUB00" hidden="1">
          <a:extLst>
            <a:ext uri="{FF2B5EF4-FFF2-40B4-BE49-F238E27FC236}">
              <a16:creationId xmlns:a16="http://schemas.microsoft.com/office/drawing/2014/main" id="{EA328BE4-056C-4FB3-9116-2BEDB6928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47" name="BExUBK0YZ5VYFY8TTITJGJU9S06A" hidden="1">
          <a:extLst>
            <a:ext uri="{FF2B5EF4-FFF2-40B4-BE49-F238E27FC236}">
              <a16:creationId xmlns:a16="http://schemas.microsoft.com/office/drawing/2014/main" id="{442D0C24-2B02-4C60-8838-E6CE093AF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48" name="BEx5BJQWS6YWHH4ZMSUAMD641V6Y" descr="ZTMFMXCIQSECDX38ALEFHUB00" hidden="1">
          <a:extLst>
            <a:ext uri="{FF2B5EF4-FFF2-40B4-BE49-F238E27FC236}">
              <a16:creationId xmlns:a16="http://schemas.microsoft.com/office/drawing/2014/main" id="{C49314F4-E31A-4DB6-81BD-AD28E8B27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49" name="BExUBK0YZ5VYFY8TTITJGJU9S06A" hidden="1">
          <a:extLst>
            <a:ext uri="{FF2B5EF4-FFF2-40B4-BE49-F238E27FC236}">
              <a16:creationId xmlns:a16="http://schemas.microsoft.com/office/drawing/2014/main" id="{7E05EA6B-269E-4C86-AB86-054F866F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750" name="BEx1KD7H6UB1VYCJ7O61P562EIUY" descr="IQGV9140X0K0UPBL8OGU3I44J" hidden="1">
          <a:extLst>
            <a:ext uri="{FF2B5EF4-FFF2-40B4-BE49-F238E27FC236}">
              <a16:creationId xmlns:a16="http://schemas.microsoft.com/office/drawing/2014/main" id="{D7CADB49-CBBD-42AC-80B0-B30E421EA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751" name="BEx5AQZ4ETQ9LMY5EBWVH20Z7VXQ" hidden="1">
          <a:extLst>
            <a:ext uri="{FF2B5EF4-FFF2-40B4-BE49-F238E27FC236}">
              <a16:creationId xmlns:a16="http://schemas.microsoft.com/office/drawing/2014/main" id="{79D59C05-4216-4150-933C-4348214E8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52" name="BEx5BJQWS6YWHH4ZMSUAMD641V6Y" descr="ZTMFMXCIQSECDX38ALEFHUB00" hidden="1">
          <a:extLst>
            <a:ext uri="{FF2B5EF4-FFF2-40B4-BE49-F238E27FC236}">
              <a16:creationId xmlns:a16="http://schemas.microsoft.com/office/drawing/2014/main" id="{E270F5DC-ED97-4141-AF95-548847906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53" name="BExUBK0YZ5VYFY8TTITJGJU9S06A" hidden="1">
          <a:extLst>
            <a:ext uri="{FF2B5EF4-FFF2-40B4-BE49-F238E27FC236}">
              <a16:creationId xmlns:a16="http://schemas.microsoft.com/office/drawing/2014/main" id="{925C58DA-FBF4-49EA-9C3D-9AA347C07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54" name="BEx5BJQWS6YWHH4ZMSUAMD641V6Y" descr="ZTMFMXCIQSECDX38ALEFHUB00" hidden="1">
          <a:extLst>
            <a:ext uri="{FF2B5EF4-FFF2-40B4-BE49-F238E27FC236}">
              <a16:creationId xmlns:a16="http://schemas.microsoft.com/office/drawing/2014/main" id="{8D92EE80-C302-4EDF-8C62-28A1FAE96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55" name="BExUBK0YZ5VYFY8TTITJGJU9S06A" hidden="1">
          <a:extLst>
            <a:ext uri="{FF2B5EF4-FFF2-40B4-BE49-F238E27FC236}">
              <a16:creationId xmlns:a16="http://schemas.microsoft.com/office/drawing/2014/main" id="{A484CA1D-E821-470E-AB31-3694E3358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56" name="BEx5BJQWS6YWHH4ZMSUAMD641V6Y" descr="ZTMFMXCIQSECDX38ALEFHUB00" hidden="1">
          <a:extLst>
            <a:ext uri="{FF2B5EF4-FFF2-40B4-BE49-F238E27FC236}">
              <a16:creationId xmlns:a16="http://schemas.microsoft.com/office/drawing/2014/main" id="{59B86787-73FF-45C5-ADB3-A8EA3AFD3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57" name="BExUBK0YZ5VYFY8TTITJGJU9S06A" hidden="1">
          <a:extLst>
            <a:ext uri="{FF2B5EF4-FFF2-40B4-BE49-F238E27FC236}">
              <a16:creationId xmlns:a16="http://schemas.microsoft.com/office/drawing/2014/main" id="{223344F8-C3AB-41EC-8F73-BA5C83E12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758" name="BEx1KD7H6UB1VYCJ7O61P562EIUY" descr="IQGV9140X0K0UPBL8OGU3I44J" hidden="1">
          <a:extLst>
            <a:ext uri="{FF2B5EF4-FFF2-40B4-BE49-F238E27FC236}">
              <a16:creationId xmlns:a16="http://schemas.microsoft.com/office/drawing/2014/main" id="{5CCCE985-E57D-47E9-B186-52B0EE7ED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759" name="BEx5AQZ4ETQ9LMY5EBWVH20Z7VXQ" hidden="1">
          <a:extLst>
            <a:ext uri="{FF2B5EF4-FFF2-40B4-BE49-F238E27FC236}">
              <a16:creationId xmlns:a16="http://schemas.microsoft.com/office/drawing/2014/main" id="{D0BC5A52-2E80-448B-9AC5-AEAD157B1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60" name="BEx5BJQWS6YWHH4ZMSUAMD641V6Y" descr="ZTMFMXCIQSECDX38ALEFHUB00" hidden="1">
          <a:extLst>
            <a:ext uri="{FF2B5EF4-FFF2-40B4-BE49-F238E27FC236}">
              <a16:creationId xmlns:a16="http://schemas.microsoft.com/office/drawing/2014/main" id="{47C6C1E0-1F6D-4B9A-9640-E58D908AC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61" name="BExUBK0YZ5VYFY8TTITJGJU9S06A" hidden="1">
          <a:extLst>
            <a:ext uri="{FF2B5EF4-FFF2-40B4-BE49-F238E27FC236}">
              <a16:creationId xmlns:a16="http://schemas.microsoft.com/office/drawing/2014/main" id="{635B6BAA-87BA-443F-9D76-D660040E0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62" name="BEx5BJQWS6YWHH4ZMSUAMD641V6Y" descr="ZTMFMXCIQSECDX38ALEFHUB00" hidden="1">
          <a:extLst>
            <a:ext uri="{FF2B5EF4-FFF2-40B4-BE49-F238E27FC236}">
              <a16:creationId xmlns:a16="http://schemas.microsoft.com/office/drawing/2014/main" id="{A0549C6A-6CC8-4373-B4AB-D1BA8F842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63" name="BExUBK0YZ5VYFY8TTITJGJU9S06A" hidden="1">
          <a:extLst>
            <a:ext uri="{FF2B5EF4-FFF2-40B4-BE49-F238E27FC236}">
              <a16:creationId xmlns:a16="http://schemas.microsoft.com/office/drawing/2014/main" id="{E8F389D7-0419-4921-8D85-D653E7417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64" name="BEx5BJQWS6YWHH4ZMSUAMD641V6Y" descr="ZTMFMXCIQSECDX38ALEFHUB00" hidden="1">
          <a:extLst>
            <a:ext uri="{FF2B5EF4-FFF2-40B4-BE49-F238E27FC236}">
              <a16:creationId xmlns:a16="http://schemas.microsoft.com/office/drawing/2014/main" id="{82B4B55E-FBC0-4FF8-9026-D2ED9A5EB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65" name="BExUBK0YZ5VYFY8TTITJGJU9S06A" hidden="1">
          <a:extLst>
            <a:ext uri="{FF2B5EF4-FFF2-40B4-BE49-F238E27FC236}">
              <a16:creationId xmlns:a16="http://schemas.microsoft.com/office/drawing/2014/main" id="{6610DE62-C928-494F-81AB-8E106BA00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66" name="BEx5BJQWS6YWHH4ZMSUAMD641V6Y" descr="ZTMFMXCIQSECDX38ALEFHUB00" hidden="1">
          <a:extLst>
            <a:ext uri="{FF2B5EF4-FFF2-40B4-BE49-F238E27FC236}">
              <a16:creationId xmlns:a16="http://schemas.microsoft.com/office/drawing/2014/main" id="{22A5859C-C424-4561-B749-258AF247B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67" name="BExUBK0YZ5VYFY8TTITJGJU9S06A" hidden="1">
          <a:extLst>
            <a:ext uri="{FF2B5EF4-FFF2-40B4-BE49-F238E27FC236}">
              <a16:creationId xmlns:a16="http://schemas.microsoft.com/office/drawing/2014/main" id="{71E62C0E-83B6-4C7C-918B-D0EFE831F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68" name="BEx5BJQWS6YWHH4ZMSUAMD641V6Y" descr="ZTMFMXCIQSECDX38ALEFHUB00" hidden="1">
          <a:extLst>
            <a:ext uri="{FF2B5EF4-FFF2-40B4-BE49-F238E27FC236}">
              <a16:creationId xmlns:a16="http://schemas.microsoft.com/office/drawing/2014/main" id="{055CC2A6-9730-4825-89C7-EC223E58F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69" name="BExUBK0YZ5VYFY8TTITJGJU9S06A" hidden="1">
          <a:extLst>
            <a:ext uri="{FF2B5EF4-FFF2-40B4-BE49-F238E27FC236}">
              <a16:creationId xmlns:a16="http://schemas.microsoft.com/office/drawing/2014/main" id="{F4683235-563F-4183-B9A2-83B394914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70" name="BEx5BJQWS6YWHH4ZMSUAMD641V6Y" descr="ZTMFMXCIQSECDX38ALEFHUB00" hidden="1">
          <a:extLst>
            <a:ext uri="{FF2B5EF4-FFF2-40B4-BE49-F238E27FC236}">
              <a16:creationId xmlns:a16="http://schemas.microsoft.com/office/drawing/2014/main" id="{61FAB224-BD08-4794-BC1D-E9FA4110F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71" name="BExUBK0YZ5VYFY8TTITJGJU9S06A" hidden="1">
          <a:extLst>
            <a:ext uri="{FF2B5EF4-FFF2-40B4-BE49-F238E27FC236}">
              <a16:creationId xmlns:a16="http://schemas.microsoft.com/office/drawing/2014/main" id="{3A823BDB-DD19-495A-BCF5-62142A3CF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772" name="BExMO7VFCN4EL59982UR4AJ25JNJ" descr="XX6TINEJADZGKR0CTM7ZRT0RA" hidden="1">
          <a:extLst>
            <a:ext uri="{FF2B5EF4-FFF2-40B4-BE49-F238E27FC236}">
              <a16:creationId xmlns:a16="http://schemas.microsoft.com/office/drawing/2014/main" id="{FCE2A408-3244-44D7-8143-435151E40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773" name="BExU3EX5JJCXCII4YKUJBFBGIJR2" descr="OF5ZI9PI5WH36VPANJ2DYLNMI" hidden="1">
          <a:extLst>
            <a:ext uri="{FF2B5EF4-FFF2-40B4-BE49-F238E27FC236}">
              <a16:creationId xmlns:a16="http://schemas.microsoft.com/office/drawing/2014/main" id="{9A6C57EA-9AEA-43D1-8078-B41CEB6F9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774" name="BEx1KD7H6UB1VYCJ7O61P562EIUY" descr="IQGV9140X0K0UPBL8OGU3I44J" hidden="1">
          <a:extLst>
            <a:ext uri="{FF2B5EF4-FFF2-40B4-BE49-F238E27FC236}">
              <a16:creationId xmlns:a16="http://schemas.microsoft.com/office/drawing/2014/main" id="{EC72E7CB-EE56-4C6B-B78D-6C3A781E5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75" name="BEx5BJQWS6YWHH4ZMSUAMD641V6Y" descr="ZTMFMXCIQSECDX38ALEFHUB00" hidden="1">
          <a:extLst>
            <a:ext uri="{FF2B5EF4-FFF2-40B4-BE49-F238E27FC236}">
              <a16:creationId xmlns:a16="http://schemas.microsoft.com/office/drawing/2014/main" id="{A4DCE470-7D8A-4183-BB7A-9E5B0036B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1776" name="BExVTO5Q8G2M7BPL4B2584LQS0R0" descr="OB6Q8NA4LZFE4GM9Y3V56BPMQ" hidden="1">
          <a:extLst>
            <a:ext uri="{FF2B5EF4-FFF2-40B4-BE49-F238E27FC236}">
              <a16:creationId xmlns:a16="http://schemas.microsoft.com/office/drawing/2014/main" id="{BB49B3E5-7E73-4C73-8A56-712A82989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1777" name="BExIFSCLN1G86X78PFLTSMRP0US5" descr="9JK4SPV4DG7VTCZIILWHXQU5J" hidden="1">
          <a:extLst>
            <a:ext uri="{FF2B5EF4-FFF2-40B4-BE49-F238E27FC236}">
              <a16:creationId xmlns:a16="http://schemas.microsoft.com/office/drawing/2014/main" id="{DBB41662-20E0-4554-8F0E-2274D01E2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778" name="BEx1I152WN2D3A85O2XN0DGXCWHN" descr="KHBZFMANRA4UMJR1AB4M5NJNT" hidden="1">
          <a:extLst>
            <a:ext uri="{FF2B5EF4-FFF2-40B4-BE49-F238E27FC236}">
              <a16:creationId xmlns:a16="http://schemas.microsoft.com/office/drawing/2014/main" id="{B3EFE02C-D9B1-4A7D-A40C-168FB3B58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779" name="BExW9676P0SKCVKK25QCGHPA3PAD" descr="9A4PWZ20RMSRF0PNECCDM75CA" hidden="1">
          <a:extLst>
            <a:ext uri="{FF2B5EF4-FFF2-40B4-BE49-F238E27FC236}">
              <a16:creationId xmlns:a16="http://schemas.microsoft.com/office/drawing/2014/main" id="{40EB2658-DB81-4B4E-A1D8-63ECA2184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780" name="BExS5CPQ8P8JOQPK7ANNKHLSGOKU" hidden="1">
          <a:extLst>
            <a:ext uri="{FF2B5EF4-FFF2-40B4-BE49-F238E27FC236}">
              <a16:creationId xmlns:a16="http://schemas.microsoft.com/office/drawing/2014/main" id="{141E5B9C-EA6F-4526-8052-B8AD48E6D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781" name="BExMM0AVUAIRNJLXB1FW8R0YB4ZZ" hidden="1">
          <a:extLst>
            <a:ext uri="{FF2B5EF4-FFF2-40B4-BE49-F238E27FC236}">
              <a16:creationId xmlns:a16="http://schemas.microsoft.com/office/drawing/2014/main" id="{BAD14F2F-199C-426D-92FF-F1E89E6FB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1782" name="BExXZ7Y09CBS0XA7IPB3IRJ8RJM4" hidden="1">
          <a:extLst>
            <a:ext uri="{FF2B5EF4-FFF2-40B4-BE49-F238E27FC236}">
              <a16:creationId xmlns:a16="http://schemas.microsoft.com/office/drawing/2014/main" id="{60951EC8-19EB-467A-83F8-DEEBA7709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783" name="BExQ7SXS9VUG7P6CACU2J7R2SGIZ" hidden="1">
          <a:extLst>
            <a:ext uri="{FF2B5EF4-FFF2-40B4-BE49-F238E27FC236}">
              <a16:creationId xmlns:a16="http://schemas.microsoft.com/office/drawing/2014/main" id="{4FC655B3-FBAE-46F9-9F21-85B9660C1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784" name="BEx5AQZ4ETQ9LMY5EBWVH20Z7VXQ" hidden="1">
          <a:extLst>
            <a:ext uri="{FF2B5EF4-FFF2-40B4-BE49-F238E27FC236}">
              <a16:creationId xmlns:a16="http://schemas.microsoft.com/office/drawing/2014/main" id="{FC7E32A5-5F81-418A-BC90-C3BF3D5B0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85" name="BExUBK0YZ5VYFY8TTITJGJU9S06A" hidden="1">
          <a:extLst>
            <a:ext uri="{FF2B5EF4-FFF2-40B4-BE49-F238E27FC236}">
              <a16:creationId xmlns:a16="http://schemas.microsoft.com/office/drawing/2014/main" id="{58B67C69-2B36-40EE-946F-DBA641360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1786" name="BExUEZCSSJ7RN4J18I2NUIQR2FZS" hidden="1">
          <a:extLst>
            <a:ext uri="{FF2B5EF4-FFF2-40B4-BE49-F238E27FC236}">
              <a16:creationId xmlns:a16="http://schemas.microsoft.com/office/drawing/2014/main" id="{66D48430-B2A5-4655-848E-585608A92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354705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1787" name="BExS3JDQWF7U3F5JTEVOE16ASIYK" hidden="1">
          <a:extLst>
            <a:ext uri="{FF2B5EF4-FFF2-40B4-BE49-F238E27FC236}">
              <a16:creationId xmlns:a16="http://schemas.microsoft.com/office/drawing/2014/main" id="{2723AF86-6557-4DBE-B9FB-7B7F9973E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3528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788" name="BEx1KD7H6UB1VYCJ7O61P562EIUY" descr="IQGV9140X0K0UPBL8OGU3I44J" hidden="1">
          <a:extLst>
            <a:ext uri="{FF2B5EF4-FFF2-40B4-BE49-F238E27FC236}">
              <a16:creationId xmlns:a16="http://schemas.microsoft.com/office/drawing/2014/main" id="{3506E623-263B-4D6E-9EA7-E7E70F33B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89" name="BEx5BJQWS6YWHH4ZMSUAMD641V6Y" descr="ZTMFMXCIQSECDX38ALEFHUB00" hidden="1">
          <a:extLst>
            <a:ext uri="{FF2B5EF4-FFF2-40B4-BE49-F238E27FC236}">
              <a16:creationId xmlns:a16="http://schemas.microsoft.com/office/drawing/2014/main" id="{3EBDCCEA-6C0D-4DCD-BBA0-B0430C916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790" name="BEx5AQZ4ETQ9LMY5EBWVH20Z7VXQ" hidden="1">
          <a:extLst>
            <a:ext uri="{FF2B5EF4-FFF2-40B4-BE49-F238E27FC236}">
              <a16:creationId xmlns:a16="http://schemas.microsoft.com/office/drawing/2014/main" id="{2E4E202C-8173-474D-BC29-3E70CE0F3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791" name="BExUBK0YZ5VYFY8TTITJGJU9S06A" hidden="1">
          <a:extLst>
            <a:ext uri="{FF2B5EF4-FFF2-40B4-BE49-F238E27FC236}">
              <a16:creationId xmlns:a16="http://schemas.microsoft.com/office/drawing/2014/main" id="{C6BCF293-800E-4F72-9B85-FF8573AC0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1905</xdr:rowOff>
    </xdr:from>
    <xdr:ext cx="59531" cy="829901"/>
    <xdr:pic>
      <xdr:nvPicPr>
        <xdr:cNvPr id="1792" name="BExMO7VFCN4EL59982UR4AJ25JNJ" descr="XX6TINEJADZGKR0CTM7ZRT0RA" hidden="1">
          <a:extLst>
            <a:ext uri="{FF2B5EF4-FFF2-40B4-BE49-F238E27FC236}">
              <a16:creationId xmlns:a16="http://schemas.microsoft.com/office/drawing/2014/main" id="{7DC53DFD-179C-4AAC-B159-0943452AB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793" name="BExU3EX5JJCXCII4YKUJBFBGIJR2" descr="OF5ZI9PI5WH36VPANJ2DYLNMI" hidden="1">
          <a:extLst>
            <a:ext uri="{FF2B5EF4-FFF2-40B4-BE49-F238E27FC236}">
              <a16:creationId xmlns:a16="http://schemas.microsoft.com/office/drawing/2014/main" id="{A2F35F82-479A-452F-B187-4F9501A71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1905</xdr:rowOff>
    </xdr:from>
    <xdr:ext cx="59531" cy="829901"/>
    <xdr:pic>
      <xdr:nvPicPr>
        <xdr:cNvPr id="1794" name="BEx1I152WN2D3A85O2XN0DGXCWHN" descr="KHBZFMANRA4UMJR1AB4M5NJNT" hidden="1">
          <a:extLst>
            <a:ext uri="{FF2B5EF4-FFF2-40B4-BE49-F238E27FC236}">
              <a16:creationId xmlns:a16="http://schemas.microsoft.com/office/drawing/2014/main" id="{C967CBED-68B0-49C4-93A2-1695D05FA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795" name="BExW9676P0SKCVKK25QCGHPA3PAD" descr="9A4PWZ20RMSRF0PNECCDM75CA" hidden="1">
          <a:extLst>
            <a:ext uri="{FF2B5EF4-FFF2-40B4-BE49-F238E27FC236}">
              <a16:creationId xmlns:a16="http://schemas.microsoft.com/office/drawing/2014/main" id="{FB1CF1B6-917F-48DE-9C8C-7465D13EB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1905</xdr:rowOff>
    </xdr:from>
    <xdr:ext cx="59531" cy="829901"/>
    <xdr:pic>
      <xdr:nvPicPr>
        <xdr:cNvPr id="1796" name="BExS5CPQ8P8JOQPK7ANNKHLSGOKU" hidden="1">
          <a:extLst>
            <a:ext uri="{FF2B5EF4-FFF2-40B4-BE49-F238E27FC236}">
              <a16:creationId xmlns:a16="http://schemas.microsoft.com/office/drawing/2014/main" id="{3CB4B1E8-3A42-4F47-B487-0FC516822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797" name="BExMM0AVUAIRNJLXB1FW8R0YB4ZZ" hidden="1">
          <a:extLst>
            <a:ext uri="{FF2B5EF4-FFF2-40B4-BE49-F238E27FC236}">
              <a16:creationId xmlns:a16="http://schemas.microsoft.com/office/drawing/2014/main" id="{E05E3711-201C-48D5-9FC6-449C7E59F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1905</xdr:rowOff>
    </xdr:from>
    <xdr:ext cx="59531" cy="829901"/>
    <xdr:pic>
      <xdr:nvPicPr>
        <xdr:cNvPr id="1798" name="BExXZ7Y09CBS0XA7IPB3IRJ8RJM4" hidden="1">
          <a:extLst>
            <a:ext uri="{FF2B5EF4-FFF2-40B4-BE49-F238E27FC236}">
              <a16:creationId xmlns:a16="http://schemas.microsoft.com/office/drawing/2014/main" id="{6EB0EB08-D2FA-4DAC-A8EF-75058C410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799" name="BExQ7SXS9VUG7P6CACU2J7R2SGIZ" hidden="1">
          <a:extLst>
            <a:ext uri="{FF2B5EF4-FFF2-40B4-BE49-F238E27FC236}">
              <a16:creationId xmlns:a16="http://schemas.microsoft.com/office/drawing/2014/main" id="{676360DE-509A-42C5-9BF5-1DD5CBFBA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20</xdr:row>
      <xdr:rowOff>0</xdr:rowOff>
    </xdr:from>
    <xdr:ext cx="59531" cy="295275"/>
    <xdr:pic>
      <xdr:nvPicPr>
        <xdr:cNvPr id="1800" name="BExU3EX5JJCXCII4YKUJBFBGIJR2" descr="OF5ZI9PI5WH36VPANJ2DYLNMI" hidden="1">
          <a:extLst>
            <a:ext uri="{FF2B5EF4-FFF2-40B4-BE49-F238E27FC236}">
              <a16:creationId xmlns:a16="http://schemas.microsoft.com/office/drawing/2014/main" id="{F645455E-4158-4C15-BFD8-D92279D7E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20</xdr:row>
      <xdr:rowOff>0</xdr:rowOff>
    </xdr:from>
    <xdr:ext cx="59531" cy="295275"/>
    <xdr:pic>
      <xdr:nvPicPr>
        <xdr:cNvPr id="1801" name="BExW9676P0SKCVKK25QCGHPA3PAD" descr="9A4PWZ20RMSRF0PNECCDM75CA" hidden="1">
          <a:extLst>
            <a:ext uri="{FF2B5EF4-FFF2-40B4-BE49-F238E27FC236}">
              <a16:creationId xmlns:a16="http://schemas.microsoft.com/office/drawing/2014/main" id="{2B71EFD3-F1F3-405D-96C3-9F134FA3F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20</xdr:row>
      <xdr:rowOff>0</xdr:rowOff>
    </xdr:from>
    <xdr:ext cx="59531" cy="295275"/>
    <xdr:pic>
      <xdr:nvPicPr>
        <xdr:cNvPr id="1802" name="BExMM0AVUAIRNJLXB1FW8R0YB4ZZ" hidden="1">
          <a:extLst>
            <a:ext uri="{FF2B5EF4-FFF2-40B4-BE49-F238E27FC236}">
              <a16:creationId xmlns:a16="http://schemas.microsoft.com/office/drawing/2014/main" id="{F96E5BE7-8FFB-4B99-B146-38366C0F8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20</xdr:row>
      <xdr:rowOff>0</xdr:rowOff>
    </xdr:from>
    <xdr:ext cx="59531" cy="295275"/>
    <xdr:pic>
      <xdr:nvPicPr>
        <xdr:cNvPr id="1803" name="BExQ7SXS9VUG7P6CACU2J7R2SGIZ" hidden="1">
          <a:extLst>
            <a:ext uri="{FF2B5EF4-FFF2-40B4-BE49-F238E27FC236}">
              <a16:creationId xmlns:a16="http://schemas.microsoft.com/office/drawing/2014/main" id="{8307FB27-557A-46D7-9AFB-02A6D785F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04" name="BEx1KD7H6UB1VYCJ7O61P562EIUY" descr="IQGV9140X0K0UPBL8OGU3I44J" hidden="1">
          <a:extLst>
            <a:ext uri="{FF2B5EF4-FFF2-40B4-BE49-F238E27FC236}">
              <a16:creationId xmlns:a16="http://schemas.microsoft.com/office/drawing/2014/main" id="{8F8A193F-17B2-4D1C-A309-8CF65580A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805" name="BEx5BJQWS6YWHH4ZMSUAMD641V6Y" descr="ZTMFMXCIQSECDX38ALEFHUB00" hidden="1">
          <a:extLst>
            <a:ext uri="{FF2B5EF4-FFF2-40B4-BE49-F238E27FC236}">
              <a16:creationId xmlns:a16="http://schemas.microsoft.com/office/drawing/2014/main" id="{4975F910-DC4D-4F63-9BF0-D93D7FBDD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06" name="BEx5AQZ4ETQ9LMY5EBWVH20Z7VXQ" hidden="1">
          <a:extLst>
            <a:ext uri="{FF2B5EF4-FFF2-40B4-BE49-F238E27FC236}">
              <a16:creationId xmlns:a16="http://schemas.microsoft.com/office/drawing/2014/main" id="{A37C7162-E1B2-4AD8-B4CC-1E0030D88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807" name="BExUBK0YZ5VYFY8TTITJGJU9S06A" hidden="1">
          <a:extLst>
            <a:ext uri="{FF2B5EF4-FFF2-40B4-BE49-F238E27FC236}">
              <a16:creationId xmlns:a16="http://schemas.microsoft.com/office/drawing/2014/main" id="{E0DA9EA0-C4FF-422E-A01E-37BDBA29D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808" name="BEx5BJQWS6YWHH4ZMSUAMD641V6Y" descr="ZTMFMXCIQSECDX38ALEFHUB00" hidden="1">
          <a:extLst>
            <a:ext uri="{FF2B5EF4-FFF2-40B4-BE49-F238E27FC236}">
              <a16:creationId xmlns:a16="http://schemas.microsoft.com/office/drawing/2014/main" id="{13B091D7-8E2E-4E5B-B80A-BD8BA863A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809" name="BExUBK0YZ5VYFY8TTITJGJU9S06A" hidden="1">
          <a:extLst>
            <a:ext uri="{FF2B5EF4-FFF2-40B4-BE49-F238E27FC236}">
              <a16:creationId xmlns:a16="http://schemas.microsoft.com/office/drawing/2014/main" id="{61458BFE-C7A2-439E-80E4-B1D9CFDEA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10" name="BEx1KD7H6UB1VYCJ7O61P562EIUY" descr="IQGV9140X0K0UPBL8OGU3I44J" hidden="1">
          <a:extLst>
            <a:ext uri="{FF2B5EF4-FFF2-40B4-BE49-F238E27FC236}">
              <a16:creationId xmlns:a16="http://schemas.microsoft.com/office/drawing/2014/main" id="{DD0A0EE3-8B2E-450E-9989-EE6D5C36C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811" name="BEx5BJQWS6YWHH4ZMSUAMD641V6Y" descr="ZTMFMXCIQSECDX38ALEFHUB00" hidden="1">
          <a:extLst>
            <a:ext uri="{FF2B5EF4-FFF2-40B4-BE49-F238E27FC236}">
              <a16:creationId xmlns:a16="http://schemas.microsoft.com/office/drawing/2014/main" id="{2D0874C4-893A-4AEE-99FD-6E1C2BFB6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12" name="BEx5AQZ4ETQ9LMY5EBWVH20Z7VXQ" hidden="1">
          <a:extLst>
            <a:ext uri="{FF2B5EF4-FFF2-40B4-BE49-F238E27FC236}">
              <a16:creationId xmlns:a16="http://schemas.microsoft.com/office/drawing/2014/main" id="{569D1DEA-6F3D-4170-9D59-D4B911702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813" name="BExUBK0YZ5VYFY8TTITJGJU9S06A" hidden="1">
          <a:extLst>
            <a:ext uri="{FF2B5EF4-FFF2-40B4-BE49-F238E27FC236}">
              <a16:creationId xmlns:a16="http://schemas.microsoft.com/office/drawing/2014/main" id="{E8E1CD4A-80BC-46F3-8EF7-35B68D84F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814" name="BEx5BJQWS6YWHH4ZMSUAMD641V6Y" descr="ZTMFMXCIQSECDX38ALEFHUB00" hidden="1">
          <a:extLst>
            <a:ext uri="{FF2B5EF4-FFF2-40B4-BE49-F238E27FC236}">
              <a16:creationId xmlns:a16="http://schemas.microsoft.com/office/drawing/2014/main" id="{44C145EB-3777-48FC-AF12-ABB16B73C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815" name="BExUBK0YZ5VYFY8TTITJGJU9S06A" hidden="1">
          <a:extLst>
            <a:ext uri="{FF2B5EF4-FFF2-40B4-BE49-F238E27FC236}">
              <a16:creationId xmlns:a16="http://schemas.microsoft.com/office/drawing/2014/main" id="{3779D9B0-69FC-4162-8E73-5C2939E03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816" name="BEx5BJQWS6YWHH4ZMSUAMD641V6Y" descr="ZTMFMXCIQSECDX38ALEFHUB00" hidden="1">
          <a:extLst>
            <a:ext uri="{FF2B5EF4-FFF2-40B4-BE49-F238E27FC236}">
              <a16:creationId xmlns:a16="http://schemas.microsoft.com/office/drawing/2014/main" id="{4619FC29-D7A7-49B0-8D62-52FB5A82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817" name="BExUBK0YZ5VYFY8TTITJGJU9S06A" hidden="1">
          <a:extLst>
            <a:ext uri="{FF2B5EF4-FFF2-40B4-BE49-F238E27FC236}">
              <a16:creationId xmlns:a16="http://schemas.microsoft.com/office/drawing/2014/main" id="{68BF3289-0BA5-4258-B09B-1D586A83D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18" name="BEx1KD7H6UB1VYCJ7O61P562EIUY" descr="IQGV9140X0K0UPBL8OGU3I44J" hidden="1">
          <a:extLst>
            <a:ext uri="{FF2B5EF4-FFF2-40B4-BE49-F238E27FC236}">
              <a16:creationId xmlns:a16="http://schemas.microsoft.com/office/drawing/2014/main" id="{1C3C6D3A-9DAE-45B3-8886-39D127CF6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819" name="BEx5BJQWS6YWHH4ZMSUAMD641V6Y" descr="ZTMFMXCIQSECDX38ALEFHUB00" hidden="1">
          <a:extLst>
            <a:ext uri="{FF2B5EF4-FFF2-40B4-BE49-F238E27FC236}">
              <a16:creationId xmlns:a16="http://schemas.microsoft.com/office/drawing/2014/main" id="{81F78F1B-A88D-4CF3-94A9-3DB1FAB5C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20" name="BEx5AQZ4ETQ9LMY5EBWVH20Z7VXQ" hidden="1">
          <a:extLst>
            <a:ext uri="{FF2B5EF4-FFF2-40B4-BE49-F238E27FC236}">
              <a16:creationId xmlns:a16="http://schemas.microsoft.com/office/drawing/2014/main" id="{51C2E448-96BC-40EF-8C35-E0552F6A0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821" name="BExUBK0YZ5VYFY8TTITJGJU9S06A" hidden="1">
          <a:extLst>
            <a:ext uri="{FF2B5EF4-FFF2-40B4-BE49-F238E27FC236}">
              <a16:creationId xmlns:a16="http://schemas.microsoft.com/office/drawing/2014/main" id="{2A9D6D14-5752-48DE-8FFF-EA0679240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822" name="BEx5BJQWS6YWHH4ZMSUAMD641V6Y" descr="ZTMFMXCIQSECDX38ALEFHUB00" hidden="1">
          <a:extLst>
            <a:ext uri="{FF2B5EF4-FFF2-40B4-BE49-F238E27FC236}">
              <a16:creationId xmlns:a16="http://schemas.microsoft.com/office/drawing/2014/main" id="{08575252-1538-4910-AAC5-12FA1A999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823" name="BExUBK0YZ5VYFY8TTITJGJU9S06A" hidden="1">
          <a:extLst>
            <a:ext uri="{FF2B5EF4-FFF2-40B4-BE49-F238E27FC236}">
              <a16:creationId xmlns:a16="http://schemas.microsoft.com/office/drawing/2014/main" id="{01F62AE1-7E98-46DA-BB32-F4A507587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824" name="BEx5BJQWS6YWHH4ZMSUAMD641V6Y" descr="ZTMFMXCIQSECDX38ALEFHUB00" hidden="1">
          <a:extLst>
            <a:ext uri="{FF2B5EF4-FFF2-40B4-BE49-F238E27FC236}">
              <a16:creationId xmlns:a16="http://schemas.microsoft.com/office/drawing/2014/main" id="{38C57671-D268-4777-94CB-2F1FFC0CC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825" name="BExUBK0YZ5VYFY8TTITJGJU9S06A" hidden="1">
          <a:extLst>
            <a:ext uri="{FF2B5EF4-FFF2-40B4-BE49-F238E27FC236}">
              <a16:creationId xmlns:a16="http://schemas.microsoft.com/office/drawing/2014/main" id="{BF6A995F-6FA6-45B0-A1EF-E8F5B4151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826" name="BEx5BJQWS6YWHH4ZMSUAMD641V6Y" descr="ZTMFMXCIQSECDX38ALEFHUB00" hidden="1">
          <a:extLst>
            <a:ext uri="{FF2B5EF4-FFF2-40B4-BE49-F238E27FC236}">
              <a16:creationId xmlns:a16="http://schemas.microsoft.com/office/drawing/2014/main" id="{D8F91C33-E2D3-4DE0-B45A-4814CF0AB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827" name="BExUBK0YZ5VYFY8TTITJGJU9S06A" hidden="1">
          <a:extLst>
            <a:ext uri="{FF2B5EF4-FFF2-40B4-BE49-F238E27FC236}">
              <a16:creationId xmlns:a16="http://schemas.microsoft.com/office/drawing/2014/main" id="{8638E1B9-338E-4C33-84D9-DDB47982F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1905</xdr:rowOff>
    </xdr:from>
    <xdr:ext cx="59531" cy="829901"/>
    <xdr:pic>
      <xdr:nvPicPr>
        <xdr:cNvPr id="1828" name="BExMO7VFCN4EL59982UR4AJ25JNJ" descr="XX6TINEJADZGKR0CTM7ZRT0RA" hidden="1">
          <a:extLst>
            <a:ext uri="{FF2B5EF4-FFF2-40B4-BE49-F238E27FC236}">
              <a16:creationId xmlns:a16="http://schemas.microsoft.com/office/drawing/2014/main" id="{D7ECC0F5-EF10-4DA6-88B7-0693D5A9C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829" name="BExU3EX5JJCXCII4YKUJBFBGIJR2" descr="OF5ZI9PI5WH36VPANJ2DYLNMI" hidden="1">
          <a:extLst>
            <a:ext uri="{FF2B5EF4-FFF2-40B4-BE49-F238E27FC236}">
              <a16:creationId xmlns:a16="http://schemas.microsoft.com/office/drawing/2014/main" id="{4B0C0A74-4982-45EE-A54A-4354BE91E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1905</xdr:rowOff>
    </xdr:from>
    <xdr:ext cx="59531" cy="829901"/>
    <xdr:pic>
      <xdr:nvPicPr>
        <xdr:cNvPr id="1830" name="BEx1I152WN2D3A85O2XN0DGXCWHN" descr="KHBZFMANRA4UMJR1AB4M5NJNT" hidden="1">
          <a:extLst>
            <a:ext uri="{FF2B5EF4-FFF2-40B4-BE49-F238E27FC236}">
              <a16:creationId xmlns:a16="http://schemas.microsoft.com/office/drawing/2014/main" id="{D7CF4984-3B56-4B69-ABCE-8D505B078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831" name="BExW9676P0SKCVKK25QCGHPA3PAD" descr="9A4PWZ20RMSRF0PNECCDM75CA" hidden="1">
          <a:extLst>
            <a:ext uri="{FF2B5EF4-FFF2-40B4-BE49-F238E27FC236}">
              <a16:creationId xmlns:a16="http://schemas.microsoft.com/office/drawing/2014/main" id="{13557220-40C4-4E13-87E2-2222D6625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1905</xdr:rowOff>
    </xdr:from>
    <xdr:ext cx="59531" cy="829901"/>
    <xdr:pic>
      <xdr:nvPicPr>
        <xdr:cNvPr id="1832" name="BExS5CPQ8P8JOQPK7ANNKHLSGOKU" hidden="1">
          <a:extLst>
            <a:ext uri="{FF2B5EF4-FFF2-40B4-BE49-F238E27FC236}">
              <a16:creationId xmlns:a16="http://schemas.microsoft.com/office/drawing/2014/main" id="{4DA0B74F-CBF4-477D-8653-52336BBA2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833" name="BExMM0AVUAIRNJLXB1FW8R0YB4ZZ" hidden="1">
          <a:extLst>
            <a:ext uri="{FF2B5EF4-FFF2-40B4-BE49-F238E27FC236}">
              <a16:creationId xmlns:a16="http://schemas.microsoft.com/office/drawing/2014/main" id="{B7488FFF-026A-4D05-A2EF-697EC2E3B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1905</xdr:rowOff>
    </xdr:from>
    <xdr:ext cx="59531" cy="829901"/>
    <xdr:pic>
      <xdr:nvPicPr>
        <xdr:cNvPr id="1834" name="BExXZ7Y09CBS0XA7IPB3IRJ8RJM4" hidden="1">
          <a:extLst>
            <a:ext uri="{FF2B5EF4-FFF2-40B4-BE49-F238E27FC236}">
              <a16:creationId xmlns:a16="http://schemas.microsoft.com/office/drawing/2014/main" id="{1B6F6A27-AD53-41D0-B880-62A6641AE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1835" name="BExQ7SXS9VUG7P6CACU2J7R2SGIZ" hidden="1">
          <a:extLst>
            <a:ext uri="{FF2B5EF4-FFF2-40B4-BE49-F238E27FC236}">
              <a16:creationId xmlns:a16="http://schemas.microsoft.com/office/drawing/2014/main" id="{6F6C36AD-7091-4504-B7F3-F76CE49E8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20</xdr:row>
      <xdr:rowOff>0</xdr:rowOff>
    </xdr:from>
    <xdr:ext cx="59531" cy="295275"/>
    <xdr:pic>
      <xdr:nvPicPr>
        <xdr:cNvPr id="1836" name="BExU3EX5JJCXCII4YKUJBFBGIJR2" descr="OF5ZI9PI5WH36VPANJ2DYLNMI" hidden="1">
          <a:extLst>
            <a:ext uri="{FF2B5EF4-FFF2-40B4-BE49-F238E27FC236}">
              <a16:creationId xmlns:a16="http://schemas.microsoft.com/office/drawing/2014/main" id="{3FBDB1F4-9ECB-4988-ADC1-0721132CC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20</xdr:row>
      <xdr:rowOff>0</xdr:rowOff>
    </xdr:from>
    <xdr:ext cx="59531" cy="295275"/>
    <xdr:pic>
      <xdr:nvPicPr>
        <xdr:cNvPr id="1837" name="BExW9676P0SKCVKK25QCGHPA3PAD" descr="9A4PWZ20RMSRF0PNECCDM75CA" hidden="1">
          <a:extLst>
            <a:ext uri="{FF2B5EF4-FFF2-40B4-BE49-F238E27FC236}">
              <a16:creationId xmlns:a16="http://schemas.microsoft.com/office/drawing/2014/main" id="{40B50ACB-2C41-4877-93BE-DA0EDDD8C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20</xdr:row>
      <xdr:rowOff>0</xdr:rowOff>
    </xdr:from>
    <xdr:ext cx="59531" cy="295275"/>
    <xdr:pic>
      <xdr:nvPicPr>
        <xdr:cNvPr id="1838" name="BExMM0AVUAIRNJLXB1FW8R0YB4ZZ" hidden="1">
          <a:extLst>
            <a:ext uri="{FF2B5EF4-FFF2-40B4-BE49-F238E27FC236}">
              <a16:creationId xmlns:a16="http://schemas.microsoft.com/office/drawing/2014/main" id="{A1FBF3D4-56FE-4D1D-948E-C7BF2FB9C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20</xdr:row>
      <xdr:rowOff>0</xdr:rowOff>
    </xdr:from>
    <xdr:ext cx="59531" cy="295275"/>
    <xdr:pic>
      <xdr:nvPicPr>
        <xdr:cNvPr id="1839" name="BExQ7SXS9VUG7P6CACU2J7R2SGIZ" hidden="1">
          <a:extLst>
            <a:ext uri="{FF2B5EF4-FFF2-40B4-BE49-F238E27FC236}">
              <a16:creationId xmlns:a16="http://schemas.microsoft.com/office/drawing/2014/main" id="{2E7F9F28-FDB9-491B-9809-B453A6C89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40" name="BEx1KD7H6UB1VYCJ7O61P562EIUY" descr="IQGV9140X0K0UPBL8OGU3I44J" hidden="1">
          <a:extLst>
            <a:ext uri="{FF2B5EF4-FFF2-40B4-BE49-F238E27FC236}">
              <a16:creationId xmlns:a16="http://schemas.microsoft.com/office/drawing/2014/main" id="{B88AC008-64CF-49E7-BD07-E87EC8168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841" name="BEx5BJQWS6YWHH4ZMSUAMD641V6Y" descr="ZTMFMXCIQSECDX38ALEFHUB00" hidden="1">
          <a:extLst>
            <a:ext uri="{FF2B5EF4-FFF2-40B4-BE49-F238E27FC236}">
              <a16:creationId xmlns:a16="http://schemas.microsoft.com/office/drawing/2014/main" id="{29BD8D95-32DB-42FC-97AD-B9550C7A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42" name="BEx5AQZ4ETQ9LMY5EBWVH20Z7VXQ" hidden="1">
          <a:extLst>
            <a:ext uri="{FF2B5EF4-FFF2-40B4-BE49-F238E27FC236}">
              <a16:creationId xmlns:a16="http://schemas.microsoft.com/office/drawing/2014/main" id="{9DFB5909-3123-4CF1-B971-2B31DD4AA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843" name="BExUBK0YZ5VYFY8TTITJGJU9S06A" hidden="1">
          <a:extLst>
            <a:ext uri="{FF2B5EF4-FFF2-40B4-BE49-F238E27FC236}">
              <a16:creationId xmlns:a16="http://schemas.microsoft.com/office/drawing/2014/main" id="{F51512AF-B72E-4507-B449-38EF0E514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844" name="BEx5BJQWS6YWHH4ZMSUAMD641V6Y" descr="ZTMFMXCIQSECDX38ALEFHUB00" hidden="1">
          <a:extLst>
            <a:ext uri="{FF2B5EF4-FFF2-40B4-BE49-F238E27FC236}">
              <a16:creationId xmlns:a16="http://schemas.microsoft.com/office/drawing/2014/main" id="{DE86AB8D-3AD7-4B0C-8B31-5D4B4C06B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845" name="BExUBK0YZ5VYFY8TTITJGJU9S06A" hidden="1">
          <a:extLst>
            <a:ext uri="{FF2B5EF4-FFF2-40B4-BE49-F238E27FC236}">
              <a16:creationId xmlns:a16="http://schemas.microsoft.com/office/drawing/2014/main" id="{1FFA44C2-A620-41F6-B0D4-59EB4EA54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846" name="BEx5BJQWS6YWHH4ZMSUAMD641V6Y" descr="ZTMFMXCIQSECDX38ALEFHUB00" hidden="1">
          <a:extLst>
            <a:ext uri="{FF2B5EF4-FFF2-40B4-BE49-F238E27FC236}">
              <a16:creationId xmlns:a16="http://schemas.microsoft.com/office/drawing/2014/main" id="{4DAF521B-B58C-4509-8403-7A47AFAB9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847" name="BExUBK0YZ5VYFY8TTITJGJU9S06A" hidden="1">
          <a:extLst>
            <a:ext uri="{FF2B5EF4-FFF2-40B4-BE49-F238E27FC236}">
              <a16:creationId xmlns:a16="http://schemas.microsoft.com/office/drawing/2014/main" id="{19E1AC56-C208-4EED-B4F4-B47B9A5E8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848" name="BEx5BJQWS6YWHH4ZMSUAMD641V6Y" descr="ZTMFMXCIQSECDX38ALEFHUB00" hidden="1">
          <a:extLst>
            <a:ext uri="{FF2B5EF4-FFF2-40B4-BE49-F238E27FC236}">
              <a16:creationId xmlns:a16="http://schemas.microsoft.com/office/drawing/2014/main" id="{3A806815-FE36-4983-B026-DA942FE66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849" name="BExUBK0YZ5VYFY8TTITJGJU9S06A" hidden="1">
          <a:extLst>
            <a:ext uri="{FF2B5EF4-FFF2-40B4-BE49-F238E27FC236}">
              <a16:creationId xmlns:a16="http://schemas.microsoft.com/office/drawing/2014/main" id="{56C57634-758D-4457-9871-810383206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850" name="BEx5BJQWS6YWHH4ZMSUAMD641V6Y" descr="ZTMFMXCIQSECDX38ALEFHUB00" hidden="1">
          <a:extLst>
            <a:ext uri="{FF2B5EF4-FFF2-40B4-BE49-F238E27FC236}">
              <a16:creationId xmlns:a16="http://schemas.microsoft.com/office/drawing/2014/main" id="{FFB65914-E50D-4B68-8AC5-6F7C74340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851" name="BExUBK0YZ5VYFY8TTITJGJU9S06A" hidden="1">
          <a:extLst>
            <a:ext uri="{FF2B5EF4-FFF2-40B4-BE49-F238E27FC236}">
              <a16:creationId xmlns:a16="http://schemas.microsoft.com/office/drawing/2014/main" id="{01E2CC0E-89F2-4260-8445-467CBC144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20</xdr:row>
      <xdr:rowOff>0</xdr:rowOff>
    </xdr:from>
    <xdr:ext cx="59531" cy="295275"/>
    <xdr:pic>
      <xdr:nvPicPr>
        <xdr:cNvPr id="1852" name="BExU3EX5JJCXCII4YKUJBFBGIJR2" descr="OF5ZI9PI5WH36VPANJ2DYLNMI" hidden="1">
          <a:extLst>
            <a:ext uri="{FF2B5EF4-FFF2-40B4-BE49-F238E27FC236}">
              <a16:creationId xmlns:a16="http://schemas.microsoft.com/office/drawing/2014/main" id="{F28458BC-ECF1-40D3-AC52-CC75D3596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853" name="BEx5BJQWS6YWHH4ZMSUAMD641V6Y" descr="ZTMFMXCIQSECDX38ALEFHUB00" hidden="1">
          <a:extLst>
            <a:ext uri="{FF2B5EF4-FFF2-40B4-BE49-F238E27FC236}">
              <a16:creationId xmlns:a16="http://schemas.microsoft.com/office/drawing/2014/main" id="{AB5D4A84-0974-4754-B1D9-1F736FD7C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20</xdr:row>
      <xdr:rowOff>0</xdr:rowOff>
    </xdr:from>
    <xdr:ext cx="59531" cy="295275"/>
    <xdr:pic>
      <xdr:nvPicPr>
        <xdr:cNvPr id="1854" name="BExIFSCLN1G86X78PFLTSMRP0US5" descr="9JK4SPV4DG7VTCZIILWHXQU5J" hidden="1">
          <a:extLst>
            <a:ext uri="{FF2B5EF4-FFF2-40B4-BE49-F238E27FC236}">
              <a16:creationId xmlns:a16="http://schemas.microsoft.com/office/drawing/2014/main" id="{B972E9E8-E94C-4915-9896-7B22B7224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20</xdr:row>
      <xdr:rowOff>0</xdr:rowOff>
    </xdr:from>
    <xdr:ext cx="59531" cy="295275"/>
    <xdr:pic>
      <xdr:nvPicPr>
        <xdr:cNvPr id="1855" name="BExW9676P0SKCVKK25QCGHPA3PAD" descr="9A4PWZ20RMSRF0PNECCDM75CA" hidden="1">
          <a:extLst>
            <a:ext uri="{FF2B5EF4-FFF2-40B4-BE49-F238E27FC236}">
              <a16:creationId xmlns:a16="http://schemas.microsoft.com/office/drawing/2014/main" id="{3206F62A-614E-4B12-B84E-59788D1C4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20</xdr:row>
      <xdr:rowOff>0</xdr:rowOff>
    </xdr:from>
    <xdr:ext cx="59531" cy="295275"/>
    <xdr:pic>
      <xdr:nvPicPr>
        <xdr:cNvPr id="1856" name="BExMM0AVUAIRNJLXB1FW8R0YB4ZZ" hidden="1">
          <a:extLst>
            <a:ext uri="{FF2B5EF4-FFF2-40B4-BE49-F238E27FC236}">
              <a16:creationId xmlns:a16="http://schemas.microsoft.com/office/drawing/2014/main" id="{C2A1095F-0DAC-48A5-B882-0DCA25350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20</xdr:row>
      <xdr:rowOff>0</xdr:rowOff>
    </xdr:from>
    <xdr:ext cx="59531" cy="295275"/>
    <xdr:pic>
      <xdr:nvPicPr>
        <xdr:cNvPr id="1857" name="BExQ7SXS9VUG7P6CACU2J7R2SGIZ" hidden="1">
          <a:extLst>
            <a:ext uri="{FF2B5EF4-FFF2-40B4-BE49-F238E27FC236}">
              <a16:creationId xmlns:a16="http://schemas.microsoft.com/office/drawing/2014/main" id="{5AB69FAE-C0A3-4414-BEC3-62FA9C29D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858" name="BExUBK0YZ5VYFY8TTITJGJU9S06A" hidden="1">
          <a:extLst>
            <a:ext uri="{FF2B5EF4-FFF2-40B4-BE49-F238E27FC236}">
              <a16:creationId xmlns:a16="http://schemas.microsoft.com/office/drawing/2014/main" id="{3DBE5D58-C789-43B9-BF59-65DD5EA31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20</xdr:row>
      <xdr:rowOff>0</xdr:rowOff>
    </xdr:from>
    <xdr:ext cx="47625" cy="295275"/>
    <xdr:pic>
      <xdr:nvPicPr>
        <xdr:cNvPr id="1859" name="BExS3JDQWF7U3F5JTEVOE16ASIYK" hidden="1">
          <a:extLst>
            <a:ext uri="{FF2B5EF4-FFF2-40B4-BE49-F238E27FC236}">
              <a16:creationId xmlns:a16="http://schemas.microsoft.com/office/drawing/2014/main" id="{28773FD4-A0D0-4C7F-B074-D541859A9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86715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860" name="BEx1KD7H6UB1VYCJ7O61P562EIUY" descr="IQGV9140X0K0UPBL8OGU3I44J" hidden="1">
          <a:extLst>
            <a:ext uri="{FF2B5EF4-FFF2-40B4-BE49-F238E27FC236}">
              <a16:creationId xmlns:a16="http://schemas.microsoft.com/office/drawing/2014/main" id="{81CD8DEB-8CBD-4193-9F47-69131B680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861" name="BEx5AQZ4ETQ9LMY5EBWVH20Z7VXQ" hidden="1">
          <a:extLst>
            <a:ext uri="{FF2B5EF4-FFF2-40B4-BE49-F238E27FC236}">
              <a16:creationId xmlns:a16="http://schemas.microsoft.com/office/drawing/2014/main" id="{EFC8EF8C-18C5-4722-B213-7FC32D152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862" name="BEx1KD7H6UB1VYCJ7O61P562EIUY" descr="IQGV9140X0K0UPBL8OGU3I44J" hidden="1">
          <a:extLst>
            <a:ext uri="{FF2B5EF4-FFF2-40B4-BE49-F238E27FC236}">
              <a16:creationId xmlns:a16="http://schemas.microsoft.com/office/drawing/2014/main" id="{A378EE57-9826-4886-BF71-169DE81F0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863" name="BEx5AQZ4ETQ9LMY5EBWVH20Z7VXQ" hidden="1">
          <a:extLst>
            <a:ext uri="{FF2B5EF4-FFF2-40B4-BE49-F238E27FC236}">
              <a16:creationId xmlns:a16="http://schemas.microsoft.com/office/drawing/2014/main" id="{7D7470D7-A849-45FD-AAC8-5254D1DDE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64" name="BEx1KD7H6UB1VYCJ7O61P562EIUY" descr="IQGV9140X0K0UPBL8OGU3I44J" hidden="1">
          <a:extLst>
            <a:ext uri="{FF2B5EF4-FFF2-40B4-BE49-F238E27FC236}">
              <a16:creationId xmlns:a16="http://schemas.microsoft.com/office/drawing/2014/main" id="{8E698F6C-ACC8-491E-8309-21F70C1E3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865" name="BEx5BJQWS6YWHH4ZMSUAMD641V6Y" descr="ZTMFMXCIQSECDX38ALEFHUB00" hidden="1">
          <a:extLst>
            <a:ext uri="{FF2B5EF4-FFF2-40B4-BE49-F238E27FC236}">
              <a16:creationId xmlns:a16="http://schemas.microsoft.com/office/drawing/2014/main" id="{4B032F6A-8669-48AB-B07C-0AFB9BFBA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66" name="BEx5AQZ4ETQ9LMY5EBWVH20Z7VXQ" hidden="1">
          <a:extLst>
            <a:ext uri="{FF2B5EF4-FFF2-40B4-BE49-F238E27FC236}">
              <a16:creationId xmlns:a16="http://schemas.microsoft.com/office/drawing/2014/main" id="{F9B2D501-F121-4D51-9425-52CB58385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867" name="BExUBK0YZ5VYFY8TTITJGJU9S06A" hidden="1">
          <a:extLst>
            <a:ext uri="{FF2B5EF4-FFF2-40B4-BE49-F238E27FC236}">
              <a16:creationId xmlns:a16="http://schemas.microsoft.com/office/drawing/2014/main" id="{BF05F51E-9890-4E92-97C7-5EF3B3423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868" name="BEx1KD7H6UB1VYCJ7O61P562EIUY" descr="IQGV9140X0K0UPBL8OGU3I44J" hidden="1">
          <a:extLst>
            <a:ext uri="{FF2B5EF4-FFF2-40B4-BE49-F238E27FC236}">
              <a16:creationId xmlns:a16="http://schemas.microsoft.com/office/drawing/2014/main" id="{E5E95468-72C4-4335-96D3-45D21E6F9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869" name="BEx5AQZ4ETQ9LMY5EBWVH20Z7VXQ" hidden="1">
          <a:extLst>
            <a:ext uri="{FF2B5EF4-FFF2-40B4-BE49-F238E27FC236}">
              <a16:creationId xmlns:a16="http://schemas.microsoft.com/office/drawing/2014/main" id="{5C21EF7B-0202-48F1-BBFB-FA3071E6F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70" name="BEx1KD7H6UB1VYCJ7O61P562EIUY" descr="IQGV9140X0K0UPBL8OGU3I44J" hidden="1">
          <a:extLst>
            <a:ext uri="{FF2B5EF4-FFF2-40B4-BE49-F238E27FC236}">
              <a16:creationId xmlns:a16="http://schemas.microsoft.com/office/drawing/2014/main" id="{5214CBFC-4F81-451A-8CDA-0BDE341EA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871" name="BEx5BJQWS6YWHH4ZMSUAMD641V6Y" descr="ZTMFMXCIQSECDX38ALEFHUB00" hidden="1">
          <a:extLst>
            <a:ext uri="{FF2B5EF4-FFF2-40B4-BE49-F238E27FC236}">
              <a16:creationId xmlns:a16="http://schemas.microsoft.com/office/drawing/2014/main" id="{E8AEBE3E-95AB-4815-AB55-E74FDF92F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72" name="BEx5AQZ4ETQ9LMY5EBWVH20Z7VXQ" hidden="1">
          <a:extLst>
            <a:ext uri="{FF2B5EF4-FFF2-40B4-BE49-F238E27FC236}">
              <a16:creationId xmlns:a16="http://schemas.microsoft.com/office/drawing/2014/main" id="{4E19A115-8F39-47EF-950A-F6EB9D011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873" name="BExUBK0YZ5VYFY8TTITJGJU9S06A" hidden="1">
          <a:extLst>
            <a:ext uri="{FF2B5EF4-FFF2-40B4-BE49-F238E27FC236}">
              <a16:creationId xmlns:a16="http://schemas.microsoft.com/office/drawing/2014/main" id="{34307417-C0AD-4B65-BE96-FBA6CB0A4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74" name="BEx1KD7H6UB1VYCJ7O61P562EIUY" descr="IQGV9140X0K0UPBL8OGU3I44J" hidden="1">
          <a:extLst>
            <a:ext uri="{FF2B5EF4-FFF2-40B4-BE49-F238E27FC236}">
              <a16:creationId xmlns:a16="http://schemas.microsoft.com/office/drawing/2014/main" id="{91C40F6B-A190-4A18-9543-8289339C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875" name="BEx5BJQWS6YWHH4ZMSUAMD641V6Y" descr="ZTMFMXCIQSECDX38ALEFHUB00" hidden="1">
          <a:extLst>
            <a:ext uri="{FF2B5EF4-FFF2-40B4-BE49-F238E27FC236}">
              <a16:creationId xmlns:a16="http://schemas.microsoft.com/office/drawing/2014/main" id="{711E9231-3206-416D-A7E3-B2D507131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76" name="BEx5AQZ4ETQ9LMY5EBWVH20Z7VXQ" hidden="1">
          <a:extLst>
            <a:ext uri="{FF2B5EF4-FFF2-40B4-BE49-F238E27FC236}">
              <a16:creationId xmlns:a16="http://schemas.microsoft.com/office/drawing/2014/main" id="{4ACD1115-5737-489D-9F20-EB168933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877" name="BExUBK0YZ5VYFY8TTITJGJU9S06A" hidden="1">
          <a:extLst>
            <a:ext uri="{FF2B5EF4-FFF2-40B4-BE49-F238E27FC236}">
              <a16:creationId xmlns:a16="http://schemas.microsoft.com/office/drawing/2014/main" id="{D9D3F815-F901-415B-A916-C87ADDC12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878" name="BEx1KD7H6UB1VYCJ7O61P562EIUY" descr="IQGV9140X0K0UPBL8OGU3I44J" hidden="1">
          <a:extLst>
            <a:ext uri="{FF2B5EF4-FFF2-40B4-BE49-F238E27FC236}">
              <a16:creationId xmlns:a16="http://schemas.microsoft.com/office/drawing/2014/main" id="{87EB558D-AE05-4FAE-8C68-93B3DEDAB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879" name="BEx5AQZ4ETQ9LMY5EBWVH20Z7VXQ" hidden="1">
          <a:extLst>
            <a:ext uri="{FF2B5EF4-FFF2-40B4-BE49-F238E27FC236}">
              <a16:creationId xmlns:a16="http://schemas.microsoft.com/office/drawing/2014/main" id="{FA13706A-91B0-45F6-A0B7-6A31B2FC6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80" name="BEx1KD7H6UB1VYCJ7O61P562EIUY" descr="IQGV9140X0K0UPBL8OGU3I44J" hidden="1">
          <a:extLst>
            <a:ext uri="{FF2B5EF4-FFF2-40B4-BE49-F238E27FC236}">
              <a16:creationId xmlns:a16="http://schemas.microsoft.com/office/drawing/2014/main" id="{C18ED9C6-5945-4D89-8FC5-F27471DAB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881" name="BEx5BJQWS6YWHH4ZMSUAMD641V6Y" descr="ZTMFMXCIQSECDX38ALEFHUB00" hidden="1">
          <a:extLst>
            <a:ext uri="{FF2B5EF4-FFF2-40B4-BE49-F238E27FC236}">
              <a16:creationId xmlns:a16="http://schemas.microsoft.com/office/drawing/2014/main" id="{26A223B4-D21A-4BEA-88E2-8C43918CE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82" name="BEx5AQZ4ETQ9LMY5EBWVH20Z7VXQ" hidden="1">
          <a:extLst>
            <a:ext uri="{FF2B5EF4-FFF2-40B4-BE49-F238E27FC236}">
              <a16:creationId xmlns:a16="http://schemas.microsoft.com/office/drawing/2014/main" id="{05D225B5-42F6-4F39-A08B-8EE7B1D6D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883" name="BExUBK0YZ5VYFY8TTITJGJU9S06A" hidden="1">
          <a:extLst>
            <a:ext uri="{FF2B5EF4-FFF2-40B4-BE49-F238E27FC236}">
              <a16:creationId xmlns:a16="http://schemas.microsoft.com/office/drawing/2014/main" id="{854252EB-28A8-44F2-B870-3E60399BE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84" name="BEx1KD7H6UB1VYCJ7O61P562EIUY" descr="IQGV9140X0K0UPBL8OGU3I44J" hidden="1">
          <a:extLst>
            <a:ext uri="{FF2B5EF4-FFF2-40B4-BE49-F238E27FC236}">
              <a16:creationId xmlns:a16="http://schemas.microsoft.com/office/drawing/2014/main" id="{0148C252-D852-43D5-9AE9-9D28664CF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885" name="BEx5BJQWS6YWHH4ZMSUAMD641V6Y" descr="ZTMFMXCIQSECDX38ALEFHUB00" hidden="1">
          <a:extLst>
            <a:ext uri="{FF2B5EF4-FFF2-40B4-BE49-F238E27FC236}">
              <a16:creationId xmlns:a16="http://schemas.microsoft.com/office/drawing/2014/main" id="{02325526-0BF1-4A51-8C0D-8E845B6A1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86" name="BEx5AQZ4ETQ9LMY5EBWVH20Z7VXQ" hidden="1">
          <a:extLst>
            <a:ext uri="{FF2B5EF4-FFF2-40B4-BE49-F238E27FC236}">
              <a16:creationId xmlns:a16="http://schemas.microsoft.com/office/drawing/2014/main" id="{D8648941-A16B-4E69-A04A-B22960E33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887" name="BExUBK0YZ5VYFY8TTITJGJU9S06A" hidden="1">
          <a:extLst>
            <a:ext uri="{FF2B5EF4-FFF2-40B4-BE49-F238E27FC236}">
              <a16:creationId xmlns:a16="http://schemas.microsoft.com/office/drawing/2014/main" id="{95C34F21-306D-4426-89CE-BDE2750E9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88" name="BEx1KD7H6UB1VYCJ7O61P562EIUY" descr="IQGV9140X0K0UPBL8OGU3I44J" hidden="1">
          <a:extLst>
            <a:ext uri="{FF2B5EF4-FFF2-40B4-BE49-F238E27FC236}">
              <a16:creationId xmlns:a16="http://schemas.microsoft.com/office/drawing/2014/main" id="{DF456176-506E-45AD-8EAE-1D7BE4092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889" name="BEx5BJQWS6YWHH4ZMSUAMD641V6Y" descr="ZTMFMXCIQSECDX38ALEFHUB00" hidden="1">
          <a:extLst>
            <a:ext uri="{FF2B5EF4-FFF2-40B4-BE49-F238E27FC236}">
              <a16:creationId xmlns:a16="http://schemas.microsoft.com/office/drawing/2014/main" id="{1F661F62-03ED-4043-A92A-51D035D17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90" name="BEx5AQZ4ETQ9LMY5EBWVH20Z7VXQ" hidden="1">
          <a:extLst>
            <a:ext uri="{FF2B5EF4-FFF2-40B4-BE49-F238E27FC236}">
              <a16:creationId xmlns:a16="http://schemas.microsoft.com/office/drawing/2014/main" id="{310348D5-0D94-48CA-BE58-9001EE642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891" name="BExUBK0YZ5VYFY8TTITJGJU9S06A" hidden="1">
          <a:extLst>
            <a:ext uri="{FF2B5EF4-FFF2-40B4-BE49-F238E27FC236}">
              <a16:creationId xmlns:a16="http://schemas.microsoft.com/office/drawing/2014/main" id="{421B6205-0C6A-4866-A34C-3A246A74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92" name="BEx1KD7H6UB1VYCJ7O61P562EIUY" descr="IQGV9140X0K0UPBL8OGU3I44J" hidden="1">
          <a:extLst>
            <a:ext uri="{FF2B5EF4-FFF2-40B4-BE49-F238E27FC236}">
              <a16:creationId xmlns:a16="http://schemas.microsoft.com/office/drawing/2014/main" id="{2F637F9D-D0E7-4403-8850-4F2E9CBD5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93" name="BEx5AQZ4ETQ9LMY5EBWVH20Z7VXQ" hidden="1">
          <a:extLst>
            <a:ext uri="{FF2B5EF4-FFF2-40B4-BE49-F238E27FC236}">
              <a16:creationId xmlns:a16="http://schemas.microsoft.com/office/drawing/2014/main" id="{4EEBE3D9-50C8-4E9D-9EF7-6031E5861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94" name="BEx1KD7H6UB1VYCJ7O61P562EIUY" descr="IQGV9140X0K0UPBL8OGU3I44J" hidden="1">
          <a:extLst>
            <a:ext uri="{FF2B5EF4-FFF2-40B4-BE49-F238E27FC236}">
              <a16:creationId xmlns:a16="http://schemas.microsoft.com/office/drawing/2014/main" id="{D7062150-E4D7-4D57-86B4-607910EC9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95" name="BEx5AQZ4ETQ9LMY5EBWVH20Z7VXQ" hidden="1">
          <a:extLst>
            <a:ext uri="{FF2B5EF4-FFF2-40B4-BE49-F238E27FC236}">
              <a16:creationId xmlns:a16="http://schemas.microsoft.com/office/drawing/2014/main" id="{EAD46781-9970-447A-AFCD-519A039C7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96" name="BEx1KD7H6UB1VYCJ7O61P562EIUY" descr="IQGV9140X0K0UPBL8OGU3I44J" hidden="1">
          <a:extLst>
            <a:ext uri="{FF2B5EF4-FFF2-40B4-BE49-F238E27FC236}">
              <a16:creationId xmlns:a16="http://schemas.microsoft.com/office/drawing/2014/main" id="{1470A463-6C0B-46A9-8058-1E2AA5F13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97" name="BEx5AQZ4ETQ9LMY5EBWVH20Z7VXQ" hidden="1">
          <a:extLst>
            <a:ext uri="{FF2B5EF4-FFF2-40B4-BE49-F238E27FC236}">
              <a16:creationId xmlns:a16="http://schemas.microsoft.com/office/drawing/2014/main" id="{24417BA5-9021-43AA-A42A-82E63FE02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98" name="BEx1KD7H6UB1VYCJ7O61P562EIUY" descr="IQGV9140X0K0UPBL8OGU3I44J" hidden="1">
          <a:extLst>
            <a:ext uri="{FF2B5EF4-FFF2-40B4-BE49-F238E27FC236}">
              <a16:creationId xmlns:a16="http://schemas.microsoft.com/office/drawing/2014/main" id="{F3A4EFAB-8D05-41DF-BAC8-918866E2E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899" name="BEx5AQZ4ETQ9LMY5EBWVH20Z7VXQ" hidden="1">
          <a:extLst>
            <a:ext uri="{FF2B5EF4-FFF2-40B4-BE49-F238E27FC236}">
              <a16:creationId xmlns:a16="http://schemas.microsoft.com/office/drawing/2014/main" id="{EBCB6D63-8138-4751-9801-C9140B6FF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900" name="BEx1KD7H6UB1VYCJ7O61P562EIUY" descr="IQGV9140X0K0UPBL8OGU3I44J" hidden="1">
          <a:extLst>
            <a:ext uri="{FF2B5EF4-FFF2-40B4-BE49-F238E27FC236}">
              <a16:creationId xmlns:a16="http://schemas.microsoft.com/office/drawing/2014/main" id="{6AD79D5D-3668-4C50-A087-8F5BA8C42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1901" name="BEx5AQZ4ETQ9LMY5EBWVH20Z7VXQ" hidden="1">
          <a:extLst>
            <a:ext uri="{FF2B5EF4-FFF2-40B4-BE49-F238E27FC236}">
              <a16:creationId xmlns:a16="http://schemas.microsoft.com/office/drawing/2014/main" id="{BB81C7A6-1DA6-475B-A9EB-9A94CBEE3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02" name="BEx1KD7H6UB1VYCJ7O61P562EIUY" descr="IQGV9140X0K0UPBL8OGU3I44J" hidden="1">
          <a:extLst>
            <a:ext uri="{FF2B5EF4-FFF2-40B4-BE49-F238E27FC236}">
              <a16:creationId xmlns:a16="http://schemas.microsoft.com/office/drawing/2014/main" id="{9CC2E9AD-300D-40A0-8BFB-65BFDFE91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903" name="BEx5BJQWS6YWHH4ZMSUAMD641V6Y" descr="ZTMFMXCIQSECDX38ALEFHUB00" hidden="1">
          <a:extLst>
            <a:ext uri="{FF2B5EF4-FFF2-40B4-BE49-F238E27FC236}">
              <a16:creationId xmlns:a16="http://schemas.microsoft.com/office/drawing/2014/main" id="{393BCA09-D86A-4663-9766-24F9F8D70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04" name="BEx5AQZ4ETQ9LMY5EBWVH20Z7VXQ" hidden="1">
          <a:extLst>
            <a:ext uri="{FF2B5EF4-FFF2-40B4-BE49-F238E27FC236}">
              <a16:creationId xmlns:a16="http://schemas.microsoft.com/office/drawing/2014/main" id="{B4EFD922-617F-4D87-B291-CA685BAD9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905" name="BExUBK0YZ5VYFY8TTITJGJU9S06A" hidden="1">
          <a:extLst>
            <a:ext uri="{FF2B5EF4-FFF2-40B4-BE49-F238E27FC236}">
              <a16:creationId xmlns:a16="http://schemas.microsoft.com/office/drawing/2014/main" id="{8BCE5506-B475-4339-BCF1-2670C40A7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06" name="BEx1KD7H6UB1VYCJ7O61P562EIUY" descr="IQGV9140X0K0UPBL8OGU3I44J" hidden="1">
          <a:extLst>
            <a:ext uri="{FF2B5EF4-FFF2-40B4-BE49-F238E27FC236}">
              <a16:creationId xmlns:a16="http://schemas.microsoft.com/office/drawing/2014/main" id="{3D0842A4-8179-4042-8727-CC2B0D921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907" name="BEx5BJQWS6YWHH4ZMSUAMD641V6Y" descr="ZTMFMXCIQSECDX38ALEFHUB00" hidden="1">
          <a:extLst>
            <a:ext uri="{FF2B5EF4-FFF2-40B4-BE49-F238E27FC236}">
              <a16:creationId xmlns:a16="http://schemas.microsoft.com/office/drawing/2014/main" id="{DE1A043B-E0AC-4C37-9A2F-F7C4DBE3C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08" name="BEx5AQZ4ETQ9LMY5EBWVH20Z7VXQ" hidden="1">
          <a:extLst>
            <a:ext uri="{FF2B5EF4-FFF2-40B4-BE49-F238E27FC236}">
              <a16:creationId xmlns:a16="http://schemas.microsoft.com/office/drawing/2014/main" id="{A2A42611-6D34-461D-A5BE-F586312DD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909" name="BExUBK0YZ5VYFY8TTITJGJU9S06A" hidden="1">
          <a:extLst>
            <a:ext uri="{FF2B5EF4-FFF2-40B4-BE49-F238E27FC236}">
              <a16:creationId xmlns:a16="http://schemas.microsoft.com/office/drawing/2014/main" id="{9F0EBBF8-77DF-4916-96CA-783734AC7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10" name="BEx1KD7H6UB1VYCJ7O61P562EIUY" descr="IQGV9140X0K0UPBL8OGU3I44J" hidden="1">
          <a:extLst>
            <a:ext uri="{FF2B5EF4-FFF2-40B4-BE49-F238E27FC236}">
              <a16:creationId xmlns:a16="http://schemas.microsoft.com/office/drawing/2014/main" id="{1B8341B1-11CB-4003-B89D-9D0FC0360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911" name="BEx5BJQWS6YWHH4ZMSUAMD641V6Y" descr="ZTMFMXCIQSECDX38ALEFHUB00" hidden="1">
          <a:extLst>
            <a:ext uri="{FF2B5EF4-FFF2-40B4-BE49-F238E27FC236}">
              <a16:creationId xmlns:a16="http://schemas.microsoft.com/office/drawing/2014/main" id="{BD9E68C6-3CCD-44CF-BF34-B96D81749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12" name="BEx5AQZ4ETQ9LMY5EBWVH20Z7VXQ" hidden="1">
          <a:extLst>
            <a:ext uri="{FF2B5EF4-FFF2-40B4-BE49-F238E27FC236}">
              <a16:creationId xmlns:a16="http://schemas.microsoft.com/office/drawing/2014/main" id="{F24E06E5-3EA4-42C4-BF41-5CF2F1CC2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913" name="BExUBK0YZ5VYFY8TTITJGJU9S06A" hidden="1">
          <a:extLst>
            <a:ext uri="{FF2B5EF4-FFF2-40B4-BE49-F238E27FC236}">
              <a16:creationId xmlns:a16="http://schemas.microsoft.com/office/drawing/2014/main" id="{22FDE99D-7839-40D9-A6CE-694367883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14" name="BEx1KD7H6UB1VYCJ7O61P562EIUY" descr="IQGV9140X0K0UPBL8OGU3I44J" hidden="1">
          <a:extLst>
            <a:ext uri="{FF2B5EF4-FFF2-40B4-BE49-F238E27FC236}">
              <a16:creationId xmlns:a16="http://schemas.microsoft.com/office/drawing/2014/main" id="{27BDB58E-46A0-40D4-A5F5-5AA389662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915" name="BEx5BJQWS6YWHH4ZMSUAMD641V6Y" descr="ZTMFMXCIQSECDX38ALEFHUB00" hidden="1">
          <a:extLst>
            <a:ext uri="{FF2B5EF4-FFF2-40B4-BE49-F238E27FC236}">
              <a16:creationId xmlns:a16="http://schemas.microsoft.com/office/drawing/2014/main" id="{E525977D-A0BF-49FD-B927-C5FE7D5A7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16" name="BEx5AQZ4ETQ9LMY5EBWVH20Z7VXQ" hidden="1">
          <a:extLst>
            <a:ext uri="{FF2B5EF4-FFF2-40B4-BE49-F238E27FC236}">
              <a16:creationId xmlns:a16="http://schemas.microsoft.com/office/drawing/2014/main" id="{C8F19633-8277-4148-A281-34AF25F6E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917" name="BExUBK0YZ5VYFY8TTITJGJU9S06A" hidden="1">
          <a:extLst>
            <a:ext uri="{FF2B5EF4-FFF2-40B4-BE49-F238E27FC236}">
              <a16:creationId xmlns:a16="http://schemas.microsoft.com/office/drawing/2014/main" id="{D0C9E41F-DC6E-42B3-A706-AFB9AF673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18" name="BEx1KD7H6UB1VYCJ7O61P562EIUY" descr="IQGV9140X0K0UPBL8OGU3I44J" hidden="1">
          <a:extLst>
            <a:ext uri="{FF2B5EF4-FFF2-40B4-BE49-F238E27FC236}">
              <a16:creationId xmlns:a16="http://schemas.microsoft.com/office/drawing/2014/main" id="{99E6AF8E-D0EF-4E28-838B-96E929CF8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919" name="BEx5BJQWS6YWHH4ZMSUAMD641V6Y" descr="ZTMFMXCIQSECDX38ALEFHUB00" hidden="1">
          <a:extLst>
            <a:ext uri="{FF2B5EF4-FFF2-40B4-BE49-F238E27FC236}">
              <a16:creationId xmlns:a16="http://schemas.microsoft.com/office/drawing/2014/main" id="{1DC09E6A-A98F-4FBB-9C33-953C17E2A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20" name="BEx5AQZ4ETQ9LMY5EBWVH20Z7VXQ" hidden="1">
          <a:extLst>
            <a:ext uri="{FF2B5EF4-FFF2-40B4-BE49-F238E27FC236}">
              <a16:creationId xmlns:a16="http://schemas.microsoft.com/office/drawing/2014/main" id="{3FDA41A6-622C-43F4-A439-EBD8F69BA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921" name="BExUBK0YZ5VYFY8TTITJGJU9S06A" hidden="1">
          <a:extLst>
            <a:ext uri="{FF2B5EF4-FFF2-40B4-BE49-F238E27FC236}">
              <a16:creationId xmlns:a16="http://schemas.microsoft.com/office/drawing/2014/main" id="{586B4677-CB69-4815-849F-17E5A1550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22" name="BEx1KD7H6UB1VYCJ7O61P562EIUY" descr="IQGV9140X0K0UPBL8OGU3I44J" hidden="1">
          <a:extLst>
            <a:ext uri="{FF2B5EF4-FFF2-40B4-BE49-F238E27FC236}">
              <a16:creationId xmlns:a16="http://schemas.microsoft.com/office/drawing/2014/main" id="{AD6F486D-EC9F-43F2-8309-65A57DF9B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923" name="BEx5BJQWS6YWHH4ZMSUAMD641V6Y" descr="ZTMFMXCIQSECDX38ALEFHUB00" hidden="1">
          <a:extLst>
            <a:ext uri="{FF2B5EF4-FFF2-40B4-BE49-F238E27FC236}">
              <a16:creationId xmlns:a16="http://schemas.microsoft.com/office/drawing/2014/main" id="{4635ECDE-AC4B-4F27-9AF4-EEFFC6A6D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24" name="BEx5AQZ4ETQ9LMY5EBWVH20Z7VXQ" hidden="1">
          <a:extLst>
            <a:ext uri="{FF2B5EF4-FFF2-40B4-BE49-F238E27FC236}">
              <a16:creationId xmlns:a16="http://schemas.microsoft.com/office/drawing/2014/main" id="{785DE2F6-DF22-47CD-8AD3-0E06C69CF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925" name="BExUBK0YZ5VYFY8TTITJGJU9S06A" hidden="1">
          <a:extLst>
            <a:ext uri="{FF2B5EF4-FFF2-40B4-BE49-F238E27FC236}">
              <a16:creationId xmlns:a16="http://schemas.microsoft.com/office/drawing/2014/main" id="{1EBB728E-A304-4C0E-BCED-6B6071104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26" name="BEx5BJQWS6YWHH4ZMSUAMD641V6Y" descr="ZTMFMXCIQSECDX38ALEFHUB00" hidden="1">
          <a:extLst>
            <a:ext uri="{FF2B5EF4-FFF2-40B4-BE49-F238E27FC236}">
              <a16:creationId xmlns:a16="http://schemas.microsoft.com/office/drawing/2014/main" id="{D58AB0F6-1695-4919-A5E8-662E1C71B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27" name="BExUBK0YZ5VYFY8TTITJGJU9S06A" hidden="1">
          <a:extLst>
            <a:ext uri="{FF2B5EF4-FFF2-40B4-BE49-F238E27FC236}">
              <a16:creationId xmlns:a16="http://schemas.microsoft.com/office/drawing/2014/main" id="{F1029D80-B8D9-4217-B45A-B5D0CBBF5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28" name="BEx5BJQWS6YWHH4ZMSUAMD641V6Y" descr="ZTMFMXCIQSECDX38ALEFHUB00" hidden="1">
          <a:extLst>
            <a:ext uri="{FF2B5EF4-FFF2-40B4-BE49-F238E27FC236}">
              <a16:creationId xmlns:a16="http://schemas.microsoft.com/office/drawing/2014/main" id="{B4421668-411A-4BBD-BE12-314CEAAC4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29" name="BExUBK0YZ5VYFY8TTITJGJU9S06A" hidden="1">
          <a:extLst>
            <a:ext uri="{FF2B5EF4-FFF2-40B4-BE49-F238E27FC236}">
              <a16:creationId xmlns:a16="http://schemas.microsoft.com/office/drawing/2014/main" id="{5E9F9A07-F5AC-4C05-B618-FB3DDB5E6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30" name="BEx5BJQWS6YWHH4ZMSUAMD641V6Y" descr="ZTMFMXCIQSECDX38ALEFHUB00" hidden="1">
          <a:extLst>
            <a:ext uri="{FF2B5EF4-FFF2-40B4-BE49-F238E27FC236}">
              <a16:creationId xmlns:a16="http://schemas.microsoft.com/office/drawing/2014/main" id="{C0D4F535-9FEC-4CEC-AC5C-2ADE4329E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31" name="BExUBK0YZ5VYFY8TTITJGJU9S06A" hidden="1">
          <a:extLst>
            <a:ext uri="{FF2B5EF4-FFF2-40B4-BE49-F238E27FC236}">
              <a16:creationId xmlns:a16="http://schemas.microsoft.com/office/drawing/2014/main" id="{97B40A22-3A2F-46BE-B357-DAB90D38D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32" name="BEx5BJQWS6YWHH4ZMSUAMD641V6Y" descr="ZTMFMXCIQSECDX38ALEFHUB00" hidden="1">
          <a:extLst>
            <a:ext uri="{FF2B5EF4-FFF2-40B4-BE49-F238E27FC236}">
              <a16:creationId xmlns:a16="http://schemas.microsoft.com/office/drawing/2014/main" id="{205916E1-CF2A-462E-BFE6-02705D51B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33" name="BExUBK0YZ5VYFY8TTITJGJU9S06A" hidden="1">
          <a:extLst>
            <a:ext uri="{FF2B5EF4-FFF2-40B4-BE49-F238E27FC236}">
              <a16:creationId xmlns:a16="http://schemas.microsoft.com/office/drawing/2014/main" id="{E78F1967-5469-4B2D-9E48-8878BBA72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34" name="BEx5BJQWS6YWHH4ZMSUAMD641V6Y" descr="ZTMFMXCIQSECDX38ALEFHUB00" hidden="1">
          <a:extLst>
            <a:ext uri="{FF2B5EF4-FFF2-40B4-BE49-F238E27FC236}">
              <a16:creationId xmlns:a16="http://schemas.microsoft.com/office/drawing/2014/main" id="{547662FC-5B5B-4EC7-8B92-5CF4DA691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35" name="BExUBK0YZ5VYFY8TTITJGJU9S06A" hidden="1">
          <a:extLst>
            <a:ext uri="{FF2B5EF4-FFF2-40B4-BE49-F238E27FC236}">
              <a16:creationId xmlns:a16="http://schemas.microsoft.com/office/drawing/2014/main" id="{87B5EE29-1873-4C20-ABE2-DE3C7B67B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36" name="BEx1KD7H6UB1VYCJ7O61P562EIUY" descr="IQGV9140X0K0UPBL8OGU3I44J" hidden="1">
          <a:extLst>
            <a:ext uri="{FF2B5EF4-FFF2-40B4-BE49-F238E27FC236}">
              <a16:creationId xmlns:a16="http://schemas.microsoft.com/office/drawing/2014/main" id="{7996D574-F935-44EF-845C-79A725DE1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37" name="BEx5AQZ4ETQ9LMY5EBWVH20Z7VXQ" hidden="1">
          <a:extLst>
            <a:ext uri="{FF2B5EF4-FFF2-40B4-BE49-F238E27FC236}">
              <a16:creationId xmlns:a16="http://schemas.microsoft.com/office/drawing/2014/main" id="{90AFDDA5-AA52-4D0E-AA0D-C1748515E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38" name="BEx1KD7H6UB1VYCJ7O61P562EIUY" descr="IQGV9140X0K0UPBL8OGU3I44J" hidden="1">
          <a:extLst>
            <a:ext uri="{FF2B5EF4-FFF2-40B4-BE49-F238E27FC236}">
              <a16:creationId xmlns:a16="http://schemas.microsoft.com/office/drawing/2014/main" id="{7CDE9EC5-E5CA-4F6A-8ECE-D15EB359C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39" name="BEx5AQZ4ETQ9LMY5EBWVH20Z7VXQ" hidden="1">
          <a:extLst>
            <a:ext uri="{FF2B5EF4-FFF2-40B4-BE49-F238E27FC236}">
              <a16:creationId xmlns:a16="http://schemas.microsoft.com/office/drawing/2014/main" id="{6E968216-E7A5-42AF-A260-FD405E75B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40" name="BEx5BJQWS6YWHH4ZMSUAMD641V6Y" descr="ZTMFMXCIQSECDX38ALEFHUB00" hidden="1">
          <a:extLst>
            <a:ext uri="{FF2B5EF4-FFF2-40B4-BE49-F238E27FC236}">
              <a16:creationId xmlns:a16="http://schemas.microsoft.com/office/drawing/2014/main" id="{E67BE177-73F0-40B5-9ED9-35D76F52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41" name="BExUBK0YZ5VYFY8TTITJGJU9S06A" hidden="1">
          <a:extLst>
            <a:ext uri="{FF2B5EF4-FFF2-40B4-BE49-F238E27FC236}">
              <a16:creationId xmlns:a16="http://schemas.microsoft.com/office/drawing/2014/main" id="{DA8F158C-3E0E-4696-88D5-1E54F8F57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42" name="BEx1KD7H6UB1VYCJ7O61P562EIUY" descr="IQGV9140X0K0UPBL8OGU3I44J" hidden="1">
          <a:extLst>
            <a:ext uri="{FF2B5EF4-FFF2-40B4-BE49-F238E27FC236}">
              <a16:creationId xmlns:a16="http://schemas.microsoft.com/office/drawing/2014/main" id="{5AE89556-3696-414B-96E4-9A8092211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43" name="BEx5AQZ4ETQ9LMY5EBWVH20Z7VXQ" hidden="1">
          <a:extLst>
            <a:ext uri="{FF2B5EF4-FFF2-40B4-BE49-F238E27FC236}">
              <a16:creationId xmlns:a16="http://schemas.microsoft.com/office/drawing/2014/main" id="{6045B2C9-6352-444D-A474-D2437281B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44" name="BEx5BJQWS6YWHH4ZMSUAMD641V6Y" descr="ZTMFMXCIQSECDX38ALEFHUB00" hidden="1">
          <a:extLst>
            <a:ext uri="{FF2B5EF4-FFF2-40B4-BE49-F238E27FC236}">
              <a16:creationId xmlns:a16="http://schemas.microsoft.com/office/drawing/2014/main" id="{8D6EE9E1-70D1-4C04-9121-9086FEBF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45" name="BExUBK0YZ5VYFY8TTITJGJU9S06A" hidden="1">
          <a:extLst>
            <a:ext uri="{FF2B5EF4-FFF2-40B4-BE49-F238E27FC236}">
              <a16:creationId xmlns:a16="http://schemas.microsoft.com/office/drawing/2014/main" id="{7041AED2-E348-4CA3-8B89-3352BF2AF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46" name="BEx5BJQWS6YWHH4ZMSUAMD641V6Y" descr="ZTMFMXCIQSECDX38ALEFHUB00" hidden="1">
          <a:extLst>
            <a:ext uri="{FF2B5EF4-FFF2-40B4-BE49-F238E27FC236}">
              <a16:creationId xmlns:a16="http://schemas.microsoft.com/office/drawing/2014/main" id="{C61A4BC8-AEA7-49A4-BE1B-FFD0AE308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47" name="BExUBK0YZ5VYFY8TTITJGJU9S06A" hidden="1">
          <a:extLst>
            <a:ext uri="{FF2B5EF4-FFF2-40B4-BE49-F238E27FC236}">
              <a16:creationId xmlns:a16="http://schemas.microsoft.com/office/drawing/2014/main" id="{32A311C8-CEEF-408B-8624-09F1252B3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48" name="BEx1KD7H6UB1VYCJ7O61P562EIUY" descr="IQGV9140X0K0UPBL8OGU3I44J" hidden="1">
          <a:extLst>
            <a:ext uri="{FF2B5EF4-FFF2-40B4-BE49-F238E27FC236}">
              <a16:creationId xmlns:a16="http://schemas.microsoft.com/office/drawing/2014/main" id="{3EAED8D7-3043-45BE-867A-2A18DCF6A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49" name="BEx5AQZ4ETQ9LMY5EBWVH20Z7VXQ" hidden="1">
          <a:extLst>
            <a:ext uri="{FF2B5EF4-FFF2-40B4-BE49-F238E27FC236}">
              <a16:creationId xmlns:a16="http://schemas.microsoft.com/office/drawing/2014/main" id="{04A8321C-BA1A-476D-BD88-E51D10C1A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50" name="BEx5BJQWS6YWHH4ZMSUAMD641V6Y" descr="ZTMFMXCIQSECDX38ALEFHUB00" hidden="1">
          <a:extLst>
            <a:ext uri="{FF2B5EF4-FFF2-40B4-BE49-F238E27FC236}">
              <a16:creationId xmlns:a16="http://schemas.microsoft.com/office/drawing/2014/main" id="{0957D9DC-1D89-493F-8C39-93B06882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51" name="BExUBK0YZ5VYFY8TTITJGJU9S06A" hidden="1">
          <a:extLst>
            <a:ext uri="{FF2B5EF4-FFF2-40B4-BE49-F238E27FC236}">
              <a16:creationId xmlns:a16="http://schemas.microsoft.com/office/drawing/2014/main" id="{4E1EB264-2391-43FE-AB7A-F339CD19B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52" name="BEx5BJQWS6YWHH4ZMSUAMD641V6Y" descr="ZTMFMXCIQSECDX38ALEFHUB00" hidden="1">
          <a:extLst>
            <a:ext uri="{FF2B5EF4-FFF2-40B4-BE49-F238E27FC236}">
              <a16:creationId xmlns:a16="http://schemas.microsoft.com/office/drawing/2014/main" id="{CB2C7852-CE77-444F-A79A-B08DC5A7F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53" name="BExUBK0YZ5VYFY8TTITJGJU9S06A" hidden="1">
          <a:extLst>
            <a:ext uri="{FF2B5EF4-FFF2-40B4-BE49-F238E27FC236}">
              <a16:creationId xmlns:a16="http://schemas.microsoft.com/office/drawing/2014/main" id="{6CA58C4A-C04C-4877-A31B-F8E8C78B2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54" name="BEx5BJQWS6YWHH4ZMSUAMD641V6Y" descr="ZTMFMXCIQSECDX38ALEFHUB00" hidden="1">
          <a:extLst>
            <a:ext uri="{FF2B5EF4-FFF2-40B4-BE49-F238E27FC236}">
              <a16:creationId xmlns:a16="http://schemas.microsoft.com/office/drawing/2014/main" id="{47BD2DA3-E8F0-4336-8E2A-38B1083D1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55" name="BExUBK0YZ5VYFY8TTITJGJU9S06A" hidden="1">
          <a:extLst>
            <a:ext uri="{FF2B5EF4-FFF2-40B4-BE49-F238E27FC236}">
              <a16:creationId xmlns:a16="http://schemas.microsoft.com/office/drawing/2014/main" id="{287BD751-0178-4061-82D7-DE26AC0BB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56" name="BEx1KD7H6UB1VYCJ7O61P562EIUY" descr="IQGV9140X0K0UPBL8OGU3I44J" hidden="1">
          <a:extLst>
            <a:ext uri="{FF2B5EF4-FFF2-40B4-BE49-F238E27FC236}">
              <a16:creationId xmlns:a16="http://schemas.microsoft.com/office/drawing/2014/main" id="{1756ACE4-BDE4-41C0-B4B1-EDB92598B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57" name="BEx5AQZ4ETQ9LMY5EBWVH20Z7VXQ" hidden="1">
          <a:extLst>
            <a:ext uri="{FF2B5EF4-FFF2-40B4-BE49-F238E27FC236}">
              <a16:creationId xmlns:a16="http://schemas.microsoft.com/office/drawing/2014/main" id="{241007BE-90F6-4E69-9C1F-DD58EA781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58" name="BEx5BJQWS6YWHH4ZMSUAMD641V6Y" descr="ZTMFMXCIQSECDX38ALEFHUB00" hidden="1">
          <a:extLst>
            <a:ext uri="{FF2B5EF4-FFF2-40B4-BE49-F238E27FC236}">
              <a16:creationId xmlns:a16="http://schemas.microsoft.com/office/drawing/2014/main" id="{1DEE1898-0E4E-49BE-AE9C-344E264FB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59" name="BExUBK0YZ5VYFY8TTITJGJU9S06A" hidden="1">
          <a:extLst>
            <a:ext uri="{FF2B5EF4-FFF2-40B4-BE49-F238E27FC236}">
              <a16:creationId xmlns:a16="http://schemas.microsoft.com/office/drawing/2014/main" id="{586967E6-A166-4B73-8DE4-C0A7FFB2A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60" name="BEx5BJQWS6YWHH4ZMSUAMD641V6Y" descr="ZTMFMXCIQSECDX38ALEFHUB00" hidden="1">
          <a:extLst>
            <a:ext uri="{FF2B5EF4-FFF2-40B4-BE49-F238E27FC236}">
              <a16:creationId xmlns:a16="http://schemas.microsoft.com/office/drawing/2014/main" id="{6FAA61CE-A53D-4E8E-8E67-E847B93C2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61" name="BExUBK0YZ5VYFY8TTITJGJU9S06A" hidden="1">
          <a:extLst>
            <a:ext uri="{FF2B5EF4-FFF2-40B4-BE49-F238E27FC236}">
              <a16:creationId xmlns:a16="http://schemas.microsoft.com/office/drawing/2014/main" id="{10AD16A2-59E2-4985-AFD4-14E913FDD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62" name="BEx5BJQWS6YWHH4ZMSUAMD641V6Y" descr="ZTMFMXCIQSECDX38ALEFHUB00" hidden="1">
          <a:extLst>
            <a:ext uri="{FF2B5EF4-FFF2-40B4-BE49-F238E27FC236}">
              <a16:creationId xmlns:a16="http://schemas.microsoft.com/office/drawing/2014/main" id="{CA3ADF37-E60A-434A-A956-26906890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63" name="BExUBK0YZ5VYFY8TTITJGJU9S06A" hidden="1">
          <a:extLst>
            <a:ext uri="{FF2B5EF4-FFF2-40B4-BE49-F238E27FC236}">
              <a16:creationId xmlns:a16="http://schemas.microsoft.com/office/drawing/2014/main" id="{F04E628F-C354-4ED7-958B-5AF156CB5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64" name="BEx5BJQWS6YWHH4ZMSUAMD641V6Y" descr="ZTMFMXCIQSECDX38ALEFHUB00" hidden="1">
          <a:extLst>
            <a:ext uri="{FF2B5EF4-FFF2-40B4-BE49-F238E27FC236}">
              <a16:creationId xmlns:a16="http://schemas.microsoft.com/office/drawing/2014/main" id="{A6103B4B-8613-4296-9874-10F87C0CD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65" name="BExUBK0YZ5VYFY8TTITJGJU9S06A" hidden="1">
          <a:extLst>
            <a:ext uri="{FF2B5EF4-FFF2-40B4-BE49-F238E27FC236}">
              <a16:creationId xmlns:a16="http://schemas.microsoft.com/office/drawing/2014/main" id="{C2F42E3E-0C6F-4B93-83CF-4670BB75F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66" name="BEx5BJQWS6YWHH4ZMSUAMD641V6Y" descr="ZTMFMXCIQSECDX38ALEFHUB00" hidden="1">
          <a:extLst>
            <a:ext uri="{FF2B5EF4-FFF2-40B4-BE49-F238E27FC236}">
              <a16:creationId xmlns:a16="http://schemas.microsoft.com/office/drawing/2014/main" id="{AEF8103F-5595-48A9-8142-418022CE9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67" name="BExUBK0YZ5VYFY8TTITJGJU9S06A" hidden="1">
          <a:extLst>
            <a:ext uri="{FF2B5EF4-FFF2-40B4-BE49-F238E27FC236}">
              <a16:creationId xmlns:a16="http://schemas.microsoft.com/office/drawing/2014/main" id="{40C72E95-2EDB-4996-B1B9-A8CD8F4B8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68" name="BEx1KD7H6UB1VYCJ7O61P562EIUY" descr="IQGV9140X0K0UPBL8OGU3I44J" hidden="1">
          <a:extLst>
            <a:ext uri="{FF2B5EF4-FFF2-40B4-BE49-F238E27FC236}">
              <a16:creationId xmlns:a16="http://schemas.microsoft.com/office/drawing/2014/main" id="{E0E18FC0-9B37-4B49-AF61-2A8FCF62D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969" name="BEx5BJQWS6YWHH4ZMSUAMD641V6Y" descr="ZTMFMXCIQSECDX38ALEFHUB00" hidden="1">
          <a:extLst>
            <a:ext uri="{FF2B5EF4-FFF2-40B4-BE49-F238E27FC236}">
              <a16:creationId xmlns:a16="http://schemas.microsoft.com/office/drawing/2014/main" id="{A0E5B40B-94BF-45DF-9F29-7CB6A13FB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70" name="BEx5AQZ4ETQ9LMY5EBWVH20Z7VXQ" hidden="1">
          <a:extLst>
            <a:ext uri="{FF2B5EF4-FFF2-40B4-BE49-F238E27FC236}">
              <a16:creationId xmlns:a16="http://schemas.microsoft.com/office/drawing/2014/main" id="{7C6C1535-055F-4FBA-AB26-6C4DF89FE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1971" name="BExUBK0YZ5VYFY8TTITJGJU9S06A" hidden="1">
          <a:extLst>
            <a:ext uri="{FF2B5EF4-FFF2-40B4-BE49-F238E27FC236}">
              <a16:creationId xmlns:a16="http://schemas.microsoft.com/office/drawing/2014/main" id="{66F64F1B-B793-4E08-9892-AF10CD907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72" name="BEx5BJQWS6YWHH4ZMSUAMD641V6Y" descr="ZTMFMXCIQSECDX38ALEFHUB00" hidden="1">
          <a:extLst>
            <a:ext uri="{FF2B5EF4-FFF2-40B4-BE49-F238E27FC236}">
              <a16:creationId xmlns:a16="http://schemas.microsoft.com/office/drawing/2014/main" id="{C32D0353-8246-4C65-8A4D-B420247A9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73" name="BExUBK0YZ5VYFY8TTITJGJU9S06A" hidden="1">
          <a:extLst>
            <a:ext uri="{FF2B5EF4-FFF2-40B4-BE49-F238E27FC236}">
              <a16:creationId xmlns:a16="http://schemas.microsoft.com/office/drawing/2014/main" id="{0E5B10D9-6C73-45C9-8354-D18B0A36E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74" name="BEx5BJQWS6YWHH4ZMSUAMD641V6Y" descr="ZTMFMXCIQSECDX38ALEFHUB00" hidden="1">
          <a:extLst>
            <a:ext uri="{FF2B5EF4-FFF2-40B4-BE49-F238E27FC236}">
              <a16:creationId xmlns:a16="http://schemas.microsoft.com/office/drawing/2014/main" id="{0E8F2184-0746-4460-B667-0582A726F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75" name="BExUBK0YZ5VYFY8TTITJGJU9S06A" hidden="1">
          <a:extLst>
            <a:ext uri="{FF2B5EF4-FFF2-40B4-BE49-F238E27FC236}">
              <a16:creationId xmlns:a16="http://schemas.microsoft.com/office/drawing/2014/main" id="{F598E3EE-23AB-46DF-8A1E-B47D055C4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76" name="BEx5BJQWS6YWHH4ZMSUAMD641V6Y" descr="ZTMFMXCIQSECDX38ALEFHUB00" hidden="1">
          <a:extLst>
            <a:ext uri="{FF2B5EF4-FFF2-40B4-BE49-F238E27FC236}">
              <a16:creationId xmlns:a16="http://schemas.microsoft.com/office/drawing/2014/main" id="{0290F294-5056-491B-8BA7-CE115B8FE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77" name="BExUBK0YZ5VYFY8TTITJGJU9S06A" hidden="1">
          <a:extLst>
            <a:ext uri="{FF2B5EF4-FFF2-40B4-BE49-F238E27FC236}">
              <a16:creationId xmlns:a16="http://schemas.microsoft.com/office/drawing/2014/main" id="{607C477E-C2AE-4301-8D41-38350C16A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78" name="BEx5BJQWS6YWHH4ZMSUAMD641V6Y" descr="ZTMFMXCIQSECDX38ALEFHUB00" hidden="1">
          <a:extLst>
            <a:ext uri="{FF2B5EF4-FFF2-40B4-BE49-F238E27FC236}">
              <a16:creationId xmlns:a16="http://schemas.microsoft.com/office/drawing/2014/main" id="{06620B3D-31E4-433E-A563-53A99EAF8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79" name="BExUBK0YZ5VYFY8TTITJGJU9S06A" hidden="1">
          <a:extLst>
            <a:ext uri="{FF2B5EF4-FFF2-40B4-BE49-F238E27FC236}">
              <a16:creationId xmlns:a16="http://schemas.microsoft.com/office/drawing/2014/main" id="{2E674818-A0E9-4901-AB89-F2E5D9949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80" name="BEx5BJQWS6YWHH4ZMSUAMD641V6Y" descr="ZTMFMXCIQSECDX38ALEFHUB00" hidden="1">
          <a:extLst>
            <a:ext uri="{FF2B5EF4-FFF2-40B4-BE49-F238E27FC236}">
              <a16:creationId xmlns:a16="http://schemas.microsoft.com/office/drawing/2014/main" id="{B9246FBD-E446-4CC8-AA48-73B24B515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81" name="BExUBK0YZ5VYFY8TTITJGJU9S06A" hidden="1">
          <a:extLst>
            <a:ext uri="{FF2B5EF4-FFF2-40B4-BE49-F238E27FC236}">
              <a16:creationId xmlns:a16="http://schemas.microsoft.com/office/drawing/2014/main" id="{C4E56FCD-9B5C-4B65-BA9C-7863BA360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82" name="BEx1KD7H6UB1VYCJ7O61P562EIUY" descr="IQGV9140X0K0UPBL8OGU3I44J" hidden="1">
          <a:extLst>
            <a:ext uri="{FF2B5EF4-FFF2-40B4-BE49-F238E27FC236}">
              <a16:creationId xmlns:a16="http://schemas.microsoft.com/office/drawing/2014/main" id="{32B5FFA6-FD50-4DF5-B01E-1EFFEAC13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83" name="BEx5AQZ4ETQ9LMY5EBWVH20Z7VXQ" hidden="1">
          <a:extLst>
            <a:ext uri="{FF2B5EF4-FFF2-40B4-BE49-F238E27FC236}">
              <a16:creationId xmlns:a16="http://schemas.microsoft.com/office/drawing/2014/main" id="{643721FD-F460-4FB4-AE86-FA98BA352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84" name="BEx1KD7H6UB1VYCJ7O61P562EIUY" descr="IQGV9140X0K0UPBL8OGU3I44J" hidden="1">
          <a:extLst>
            <a:ext uri="{FF2B5EF4-FFF2-40B4-BE49-F238E27FC236}">
              <a16:creationId xmlns:a16="http://schemas.microsoft.com/office/drawing/2014/main" id="{62106E69-DC79-44DB-8043-37390F160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85" name="BEx5AQZ4ETQ9LMY5EBWVH20Z7VXQ" hidden="1">
          <a:extLst>
            <a:ext uri="{FF2B5EF4-FFF2-40B4-BE49-F238E27FC236}">
              <a16:creationId xmlns:a16="http://schemas.microsoft.com/office/drawing/2014/main" id="{C3F0B791-6DB7-4940-BB36-DEBF13BCF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86" name="BEx5BJQWS6YWHH4ZMSUAMD641V6Y" descr="ZTMFMXCIQSECDX38ALEFHUB00" hidden="1">
          <a:extLst>
            <a:ext uri="{FF2B5EF4-FFF2-40B4-BE49-F238E27FC236}">
              <a16:creationId xmlns:a16="http://schemas.microsoft.com/office/drawing/2014/main" id="{7B0E9165-B8C6-4B07-981F-575BD162D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87" name="BExUBK0YZ5VYFY8TTITJGJU9S06A" hidden="1">
          <a:extLst>
            <a:ext uri="{FF2B5EF4-FFF2-40B4-BE49-F238E27FC236}">
              <a16:creationId xmlns:a16="http://schemas.microsoft.com/office/drawing/2014/main" id="{FCFED66A-CA2D-4FD4-B32E-003E71E6E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88" name="BEx1KD7H6UB1VYCJ7O61P562EIUY" descr="IQGV9140X0K0UPBL8OGU3I44J" hidden="1">
          <a:extLst>
            <a:ext uri="{FF2B5EF4-FFF2-40B4-BE49-F238E27FC236}">
              <a16:creationId xmlns:a16="http://schemas.microsoft.com/office/drawing/2014/main" id="{E9AB248B-9F48-4CF7-B6BC-5BC1C3314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89" name="BEx5AQZ4ETQ9LMY5EBWVH20Z7VXQ" hidden="1">
          <a:extLst>
            <a:ext uri="{FF2B5EF4-FFF2-40B4-BE49-F238E27FC236}">
              <a16:creationId xmlns:a16="http://schemas.microsoft.com/office/drawing/2014/main" id="{27B5473B-8456-4DD0-9A6F-F2DCB1ACE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90" name="BEx5BJQWS6YWHH4ZMSUAMD641V6Y" descr="ZTMFMXCIQSECDX38ALEFHUB00" hidden="1">
          <a:extLst>
            <a:ext uri="{FF2B5EF4-FFF2-40B4-BE49-F238E27FC236}">
              <a16:creationId xmlns:a16="http://schemas.microsoft.com/office/drawing/2014/main" id="{70AD6B11-65C7-4AF6-AF12-857438E08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91" name="BExUBK0YZ5VYFY8TTITJGJU9S06A" hidden="1">
          <a:extLst>
            <a:ext uri="{FF2B5EF4-FFF2-40B4-BE49-F238E27FC236}">
              <a16:creationId xmlns:a16="http://schemas.microsoft.com/office/drawing/2014/main" id="{11047A5A-39C8-4F54-AD2F-1E991D5B3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92" name="BEx5BJQWS6YWHH4ZMSUAMD641V6Y" descr="ZTMFMXCIQSECDX38ALEFHUB00" hidden="1">
          <a:extLst>
            <a:ext uri="{FF2B5EF4-FFF2-40B4-BE49-F238E27FC236}">
              <a16:creationId xmlns:a16="http://schemas.microsoft.com/office/drawing/2014/main" id="{FE407670-9166-4FD6-8734-CAD5D20D9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93" name="BExUBK0YZ5VYFY8TTITJGJU9S06A" hidden="1">
          <a:extLst>
            <a:ext uri="{FF2B5EF4-FFF2-40B4-BE49-F238E27FC236}">
              <a16:creationId xmlns:a16="http://schemas.microsoft.com/office/drawing/2014/main" id="{9AB04645-9759-4DF5-A630-0C3C0439E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94" name="BEx1KD7H6UB1VYCJ7O61P562EIUY" descr="IQGV9140X0K0UPBL8OGU3I44J" hidden="1">
          <a:extLst>
            <a:ext uri="{FF2B5EF4-FFF2-40B4-BE49-F238E27FC236}">
              <a16:creationId xmlns:a16="http://schemas.microsoft.com/office/drawing/2014/main" id="{C3B27F33-EE3F-4ACF-AD49-E2D25C639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1995" name="BEx5AQZ4ETQ9LMY5EBWVH20Z7VXQ" hidden="1">
          <a:extLst>
            <a:ext uri="{FF2B5EF4-FFF2-40B4-BE49-F238E27FC236}">
              <a16:creationId xmlns:a16="http://schemas.microsoft.com/office/drawing/2014/main" id="{C4B09767-E097-472C-B2E2-A00F4AB04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96" name="BEx5BJQWS6YWHH4ZMSUAMD641V6Y" descr="ZTMFMXCIQSECDX38ALEFHUB00" hidden="1">
          <a:extLst>
            <a:ext uri="{FF2B5EF4-FFF2-40B4-BE49-F238E27FC236}">
              <a16:creationId xmlns:a16="http://schemas.microsoft.com/office/drawing/2014/main" id="{DA3F2EAC-F5AB-497A-A675-54CC9942E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97" name="BExUBK0YZ5VYFY8TTITJGJU9S06A" hidden="1">
          <a:extLst>
            <a:ext uri="{FF2B5EF4-FFF2-40B4-BE49-F238E27FC236}">
              <a16:creationId xmlns:a16="http://schemas.microsoft.com/office/drawing/2014/main" id="{025CBF9D-2A60-4328-A755-74C434841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98" name="BEx5BJQWS6YWHH4ZMSUAMD641V6Y" descr="ZTMFMXCIQSECDX38ALEFHUB00" hidden="1">
          <a:extLst>
            <a:ext uri="{FF2B5EF4-FFF2-40B4-BE49-F238E27FC236}">
              <a16:creationId xmlns:a16="http://schemas.microsoft.com/office/drawing/2014/main" id="{77B548DD-0A46-4270-980F-A69D8177E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1999" name="BExUBK0YZ5VYFY8TTITJGJU9S06A" hidden="1">
          <a:extLst>
            <a:ext uri="{FF2B5EF4-FFF2-40B4-BE49-F238E27FC236}">
              <a16:creationId xmlns:a16="http://schemas.microsoft.com/office/drawing/2014/main" id="{63B5EDEF-64D0-4D58-844F-0D86E33CA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2000" name="BEx5BJQWS6YWHH4ZMSUAMD641V6Y" descr="ZTMFMXCIQSECDX38ALEFHUB00" hidden="1">
          <a:extLst>
            <a:ext uri="{FF2B5EF4-FFF2-40B4-BE49-F238E27FC236}">
              <a16:creationId xmlns:a16="http://schemas.microsoft.com/office/drawing/2014/main" id="{C1A44E72-6242-4C58-9AE0-699FDEB5D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2001" name="BExUBK0YZ5VYFY8TTITJGJU9S06A" hidden="1">
          <a:extLst>
            <a:ext uri="{FF2B5EF4-FFF2-40B4-BE49-F238E27FC236}">
              <a16:creationId xmlns:a16="http://schemas.microsoft.com/office/drawing/2014/main" id="{93A39832-8CC7-4A55-AAD9-EA5AF3FC9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2002" name="BEx1KD7H6UB1VYCJ7O61P562EIUY" descr="IQGV9140X0K0UPBL8OGU3I44J" hidden="1">
          <a:extLst>
            <a:ext uri="{FF2B5EF4-FFF2-40B4-BE49-F238E27FC236}">
              <a16:creationId xmlns:a16="http://schemas.microsoft.com/office/drawing/2014/main" id="{542FF860-02CD-49C8-9B45-7BD2AFDCA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2003" name="BEx5AQZ4ETQ9LMY5EBWVH20Z7VXQ" hidden="1">
          <a:extLst>
            <a:ext uri="{FF2B5EF4-FFF2-40B4-BE49-F238E27FC236}">
              <a16:creationId xmlns:a16="http://schemas.microsoft.com/office/drawing/2014/main" id="{F298D3DF-CDB7-4226-8D03-0159D0117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2004" name="BEx5BJQWS6YWHH4ZMSUAMD641V6Y" descr="ZTMFMXCIQSECDX38ALEFHUB00" hidden="1">
          <a:extLst>
            <a:ext uri="{FF2B5EF4-FFF2-40B4-BE49-F238E27FC236}">
              <a16:creationId xmlns:a16="http://schemas.microsoft.com/office/drawing/2014/main" id="{18224BAE-55F7-4DFB-85CC-C06FB916B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2005" name="BExUBK0YZ5VYFY8TTITJGJU9S06A" hidden="1">
          <a:extLst>
            <a:ext uri="{FF2B5EF4-FFF2-40B4-BE49-F238E27FC236}">
              <a16:creationId xmlns:a16="http://schemas.microsoft.com/office/drawing/2014/main" id="{1E237CFD-D80A-4626-A090-24C9606B7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2006" name="BEx5BJQWS6YWHH4ZMSUAMD641V6Y" descr="ZTMFMXCIQSECDX38ALEFHUB00" hidden="1">
          <a:extLst>
            <a:ext uri="{FF2B5EF4-FFF2-40B4-BE49-F238E27FC236}">
              <a16:creationId xmlns:a16="http://schemas.microsoft.com/office/drawing/2014/main" id="{7E9C4527-CEA2-4B4A-9CCE-0CAABC93B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2007" name="BExUBK0YZ5VYFY8TTITJGJU9S06A" hidden="1">
          <a:extLst>
            <a:ext uri="{FF2B5EF4-FFF2-40B4-BE49-F238E27FC236}">
              <a16:creationId xmlns:a16="http://schemas.microsoft.com/office/drawing/2014/main" id="{0DF45029-C41A-4F3D-820A-941C883D2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2008" name="BEx5BJQWS6YWHH4ZMSUAMD641V6Y" descr="ZTMFMXCIQSECDX38ALEFHUB00" hidden="1">
          <a:extLst>
            <a:ext uri="{FF2B5EF4-FFF2-40B4-BE49-F238E27FC236}">
              <a16:creationId xmlns:a16="http://schemas.microsoft.com/office/drawing/2014/main" id="{1D3D9474-28B5-4EF3-A9A9-71AB82F46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2009" name="BExUBK0YZ5VYFY8TTITJGJU9S06A" hidden="1">
          <a:extLst>
            <a:ext uri="{FF2B5EF4-FFF2-40B4-BE49-F238E27FC236}">
              <a16:creationId xmlns:a16="http://schemas.microsoft.com/office/drawing/2014/main" id="{0F325915-FB9C-420C-A0B4-A22F890C6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2010" name="BEx5BJQWS6YWHH4ZMSUAMD641V6Y" descr="ZTMFMXCIQSECDX38ALEFHUB00" hidden="1">
          <a:extLst>
            <a:ext uri="{FF2B5EF4-FFF2-40B4-BE49-F238E27FC236}">
              <a16:creationId xmlns:a16="http://schemas.microsoft.com/office/drawing/2014/main" id="{B7ED3B0C-ED8D-4DCA-8121-C53AC9993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2011" name="BExUBK0YZ5VYFY8TTITJGJU9S06A" hidden="1">
          <a:extLst>
            <a:ext uri="{FF2B5EF4-FFF2-40B4-BE49-F238E27FC236}">
              <a16:creationId xmlns:a16="http://schemas.microsoft.com/office/drawing/2014/main" id="{08687159-97F6-4227-98CF-93C092D99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2012" name="BEx5BJQWS6YWHH4ZMSUAMD641V6Y" descr="ZTMFMXCIQSECDX38ALEFHUB00" hidden="1">
          <a:extLst>
            <a:ext uri="{FF2B5EF4-FFF2-40B4-BE49-F238E27FC236}">
              <a16:creationId xmlns:a16="http://schemas.microsoft.com/office/drawing/2014/main" id="{08709C20-1585-4E8E-85CA-B53230213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2013" name="BExUBK0YZ5VYFY8TTITJGJU9S06A" hidden="1">
          <a:extLst>
            <a:ext uri="{FF2B5EF4-FFF2-40B4-BE49-F238E27FC236}">
              <a16:creationId xmlns:a16="http://schemas.microsoft.com/office/drawing/2014/main" id="{D675C60B-C392-4D27-88A3-B948B87E4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2014" name="BEx5BJQWS6YWHH4ZMSUAMD641V6Y" descr="ZTMFMXCIQSECDX38ALEFHUB00" hidden="1">
          <a:extLst>
            <a:ext uri="{FF2B5EF4-FFF2-40B4-BE49-F238E27FC236}">
              <a16:creationId xmlns:a16="http://schemas.microsoft.com/office/drawing/2014/main" id="{E6E2A0A2-16BD-464F-BBA2-40CC7EC7F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2015" name="BExUBK0YZ5VYFY8TTITJGJU9S06A" hidden="1">
          <a:extLst>
            <a:ext uri="{FF2B5EF4-FFF2-40B4-BE49-F238E27FC236}">
              <a16:creationId xmlns:a16="http://schemas.microsoft.com/office/drawing/2014/main" id="{285418EB-4050-4F05-A027-927D43593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20</xdr:row>
      <xdr:rowOff>1905</xdr:rowOff>
    </xdr:from>
    <xdr:ext cx="59531" cy="829901"/>
    <xdr:pic>
      <xdr:nvPicPr>
        <xdr:cNvPr id="2016" name="BExMO7VFCN4EL59982UR4AJ25JNJ" descr="XX6TINEJADZGKR0CTM7ZRT0RA" hidden="1">
          <a:extLst>
            <a:ext uri="{FF2B5EF4-FFF2-40B4-BE49-F238E27FC236}">
              <a16:creationId xmlns:a16="http://schemas.microsoft.com/office/drawing/2014/main" id="{8F5B2B7C-C687-4771-99A9-FB2A1FDC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20</xdr:row>
      <xdr:rowOff>0</xdr:rowOff>
    </xdr:from>
    <xdr:ext cx="59531" cy="295275"/>
    <xdr:pic>
      <xdr:nvPicPr>
        <xdr:cNvPr id="2017" name="BExU3EX5JJCXCII4YKUJBFBGIJR2" descr="OF5ZI9PI5WH36VPANJ2DYLNMI" hidden="1">
          <a:extLst>
            <a:ext uri="{FF2B5EF4-FFF2-40B4-BE49-F238E27FC236}">
              <a16:creationId xmlns:a16="http://schemas.microsoft.com/office/drawing/2014/main" id="{BDF09742-417C-4F5C-AB47-78C73C25E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2018" name="BEx1KD7H6UB1VYCJ7O61P562EIUY" descr="IQGV9140X0K0UPBL8OGU3I44J" hidden="1">
          <a:extLst>
            <a:ext uri="{FF2B5EF4-FFF2-40B4-BE49-F238E27FC236}">
              <a16:creationId xmlns:a16="http://schemas.microsoft.com/office/drawing/2014/main" id="{D55390BD-7399-4BFD-8336-9E293868C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2019" name="BEx5BJQWS6YWHH4ZMSUAMD641V6Y" descr="ZTMFMXCIQSECDX38ALEFHUB00" hidden="1">
          <a:extLst>
            <a:ext uri="{FF2B5EF4-FFF2-40B4-BE49-F238E27FC236}">
              <a16:creationId xmlns:a16="http://schemas.microsoft.com/office/drawing/2014/main" id="{2951639B-0319-4A3D-B953-BC8EA79F7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20</xdr:row>
      <xdr:rowOff>1905</xdr:rowOff>
    </xdr:from>
    <xdr:ext cx="59531" cy="829901"/>
    <xdr:pic>
      <xdr:nvPicPr>
        <xdr:cNvPr id="2020" name="BExVTO5Q8G2M7BPL4B2584LQS0R0" descr="OB6Q8NA4LZFE4GM9Y3V56BPMQ" hidden="1">
          <a:extLst>
            <a:ext uri="{FF2B5EF4-FFF2-40B4-BE49-F238E27FC236}">
              <a16:creationId xmlns:a16="http://schemas.microsoft.com/office/drawing/2014/main" id="{70B90A31-2152-422F-9024-DFF4E997E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20</xdr:row>
      <xdr:rowOff>0</xdr:rowOff>
    </xdr:from>
    <xdr:ext cx="59531" cy="295275"/>
    <xdr:pic>
      <xdr:nvPicPr>
        <xdr:cNvPr id="2021" name="BExIFSCLN1G86X78PFLTSMRP0US5" descr="9JK4SPV4DG7VTCZIILWHXQU5J" hidden="1">
          <a:extLst>
            <a:ext uri="{FF2B5EF4-FFF2-40B4-BE49-F238E27FC236}">
              <a16:creationId xmlns:a16="http://schemas.microsoft.com/office/drawing/2014/main" id="{3E35812D-C553-44B9-8D13-FD630498F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20</xdr:row>
      <xdr:rowOff>1905</xdr:rowOff>
    </xdr:from>
    <xdr:ext cx="59531" cy="829901"/>
    <xdr:pic>
      <xdr:nvPicPr>
        <xdr:cNvPr id="2022" name="BEx1I152WN2D3A85O2XN0DGXCWHN" descr="KHBZFMANRA4UMJR1AB4M5NJNT" hidden="1">
          <a:extLst>
            <a:ext uri="{FF2B5EF4-FFF2-40B4-BE49-F238E27FC236}">
              <a16:creationId xmlns:a16="http://schemas.microsoft.com/office/drawing/2014/main" id="{BD28C6A2-EDFE-42F3-A7C3-939C9486F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20</xdr:row>
      <xdr:rowOff>0</xdr:rowOff>
    </xdr:from>
    <xdr:ext cx="59531" cy="295275"/>
    <xdr:pic>
      <xdr:nvPicPr>
        <xdr:cNvPr id="2023" name="BExW9676P0SKCVKK25QCGHPA3PAD" descr="9A4PWZ20RMSRF0PNECCDM75CA" hidden="1">
          <a:extLst>
            <a:ext uri="{FF2B5EF4-FFF2-40B4-BE49-F238E27FC236}">
              <a16:creationId xmlns:a16="http://schemas.microsoft.com/office/drawing/2014/main" id="{5A94D44D-65DA-40F4-88BD-1B7ED6225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20</xdr:row>
      <xdr:rowOff>1905</xdr:rowOff>
    </xdr:from>
    <xdr:ext cx="59531" cy="829901"/>
    <xdr:pic>
      <xdr:nvPicPr>
        <xdr:cNvPr id="2024" name="BExS5CPQ8P8JOQPK7ANNKHLSGOKU" hidden="1">
          <a:extLst>
            <a:ext uri="{FF2B5EF4-FFF2-40B4-BE49-F238E27FC236}">
              <a16:creationId xmlns:a16="http://schemas.microsoft.com/office/drawing/2014/main" id="{9E8B0AED-560B-4F46-99B0-9F56DECB9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20</xdr:row>
      <xdr:rowOff>0</xdr:rowOff>
    </xdr:from>
    <xdr:ext cx="59531" cy="295275"/>
    <xdr:pic>
      <xdr:nvPicPr>
        <xdr:cNvPr id="2025" name="BExMM0AVUAIRNJLXB1FW8R0YB4ZZ" hidden="1">
          <a:extLst>
            <a:ext uri="{FF2B5EF4-FFF2-40B4-BE49-F238E27FC236}">
              <a16:creationId xmlns:a16="http://schemas.microsoft.com/office/drawing/2014/main" id="{579B2514-12CB-469A-8511-44D3002D4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20</xdr:row>
      <xdr:rowOff>1905</xdr:rowOff>
    </xdr:from>
    <xdr:ext cx="59531" cy="829901"/>
    <xdr:pic>
      <xdr:nvPicPr>
        <xdr:cNvPr id="2026" name="BExXZ7Y09CBS0XA7IPB3IRJ8RJM4" hidden="1">
          <a:extLst>
            <a:ext uri="{FF2B5EF4-FFF2-40B4-BE49-F238E27FC236}">
              <a16:creationId xmlns:a16="http://schemas.microsoft.com/office/drawing/2014/main" id="{D8A8361A-D5AC-40C2-9ED6-537E849BC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20</xdr:row>
      <xdr:rowOff>0</xdr:rowOff>
    </xdr:from>
    <xdr:ext cx="59531" cy="295275"/>
    <xdr:pic>
      <xdr:nvPicPr>
        <xdr:cNvPr id="2027" name="BExQ7SXS9VUG7P6CACU2J7R2SGIZ" hidden="1">
          <a:extLst>
            <a:ext uri="{FF2B5EF4-FFF2-40B4-BE49-F238E27FC236}">
              <a16:creationId xmlns:a16="http://schemas.microsoft.com/office/drawing/2014/main" id="{6212B6A8-078C-4199-AA4C-AFF026F58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2028" name="BEx5AQZ4ETQ9LMY5EBWVH20Z7VXQ" hidden="1">
          <a:extLst>
            <a:ext uri="{FF2B5EF4-FFF2-40B4-BE49-F238E27FC236}">
              <a16:creationId xmlns:a16="http://schemas.microsoft.com/office/drawing/2014/main" id="{99811B36-EA97-456C-A37F-E71965D70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2029" name="BExUBK0YZ5VYFY8TTITJGJU9S06A" hidden="1">
          <a:extLst>
            <a:ext uri="{FF2B5EF4-FFF2-40B4-BE49-F238E27FC236}">
              <a16:creationId xmlns:a16="http://schemas.microsoft.com/office/drawing/2014/main" id="{DA329DA8-2423-420A-B076-CFE1D3C4A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20</xdr:row>
      <xdr:rowOff>1905</xdr:rowOff>
    </xdr:from>
    <xdr:ext cx="47625" cy="829901"/>
    <xdr:pic>
      <xdr:nvPicPr>
        <xdr:cNvPr id="2030" name="BExUEZCSSJ7RN4J18I2NUIQR2FZS" hidden="1">
          <a:extLst>
            <a:ext uri="{FF2B5EF4-FFF2-40B4-BE49-F238E27FC236}">
              <a16:creationId xmlns:a16="http://schemas.microsoft.com/office/drawing/2014/main" id="{B805F0B8-199F-4190-98B2-965A233C7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869055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20</xdr:row>
      <xdr:rowOff>0</xdr:rowOff>
    </xdr:from>
    <xdr:ext cx="47625" cy="295275"/>
    <xdr:pic>
      <xdr:nvPicPr>
        <xdr:cNvPr id="2031" name="BExS3JDQWF7U3F5JTEVOE16ASIYK" hidden="1">
          <a:extLst>
            <a:ext uri="{FF2B5EF4-FFF2-40B4-BE49-F238E27FC236}">
              <a16:creationId xmlns:a16="http://schemas.microsoft.com/office/drawing/2014/main" id="{A42A2ACE-D4DC-4459-A269-6D1C7226C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86715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032" name="BEx1KD7H6UB1VYCJ7O61P562EIUY" descr="IQGV9140X0K0UPBL8OGU3I44J" hidden="1">
          <a:extLst>
            <a:ext uri="{FF2B5EF4-FFF2-40B4-BE49-F238E27FC236}">
              <a16:creationId xmlns:a16="http://schemas.microsoft.com/office/drawing/2014/main" id="{7E489278-65CF-4B10-862B-8ED493A85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033" name="BEx5BJQWS6YWHH4ZMSUAMD641V6Y" descr="ZTMFMXCIQSECDX38ALEFHUB00" hidden="1">
          <a:extLst>
            <a:ext uri="{FF2B5EF4-FFF2-40B4-BE49-F238E27FC236}">
              <a16:creationId xmlns:a16="http://schemas.microsoft.com/office/drawing/2014/main" id="{6D38D41A-E10D-45AF-94FA-5676F4CC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034" name="BEx5AQZ4ETQ9LMY5EBWVH20Z7VXQ" hidden="1">
          <a:extLst>
            <a:ext uri="{FF2B5EF4-FFF2-40B4-BE49-F238E27FC236}">
              <a16:creationId xmlns:a16="http://schemas.microsoft.com/office/drawing/2014/main" id="{F9702B09-5294-41A4-B95E-1D0795287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035" name="BExUBK0YZ5VYFY8TTITJGJU9S06A" hidden="1">
          <a:extLst>
            <a:ext uri="{FF2B5EF4-FFF2-40B4-BE49-F238E27FC236}">
              <a16:creationId xmlns:a16="http://schemas.microsoft.com/office/drawing/2014/main" id="{9FB522B3-5E20-417F-8D94-CCF360A95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21</xdr:row>
      <xdr:rowOff>1905</xdr:rowOff>
    </xdr:from>
    <xdr:ext cx="59531" cy="829901"/>
    <xdr:pic>
      <xdr:nvPicPr>
        <xdr:cNvPr id="2036" name="BExMO7VFCN4EL59982UR4AJ25JNJ" descr="XX6TINEJADZGKR0CTM7ZRT0RA" hidden="1">
          <a:extLst>
            <a:ext uri="{FF2B5EF4-FFF2-40B4-BE49-F238E27FC236}">
              <a16:creationId xmlns:a16="http://schemas.microsoft.com/office/drawing/2014/main" id="{4B9B9E69-F660-471B-9EAC-E323AF383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21</xdr:row>
      <xdr:rowOff>0</xdr:rowOff>
    </xdr:from>
    <xdr:ext cx="59531" cy="295275"/>
    <xdr:pic>
      <xdr:nvPicPr>
        <xdr:cNvPr id="2037" name="BExU3EX5JJCXCII4YKUJBFBGIJR2" descr="OF5ZI9PI5WH36VPANJ2DYLNMI" hidden="1">
          <a:extLst>
            <a:ext uri="{FF2B5EF4-FFF2-40B4-BE49-F238E27FC236}">
              <a16:creationId xmlns:a16="http://schemas.microsoft.com/office/drawing/2014/main" id="{2B818696-46F3-460A-983B-991B6CD82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21</xdr:row>
      <xdr:rowOff>1905</xdr:rowOff>
    </xdr:from>
    <xdr:ext cx="59531" cy="829901"/>
    <xdr:pic>
      <xdr:nvPicPr>
        <xdr:cNvPr id="2038" name="BEx1I152WN2D3A85O2XN0DGXCWHN" descr="KHBZFMANRA4UMJR1AB4M5NJNT" hidden="1">
          <a:extLst>
            <a:ext uri="{FF2B5EF4-FFF2-40B4-BE49-F238E27FC236}">
              <a16:creationId xmlns:a16="http://schemas.microsoft.com/office/drawing/2014/main" id="{F5B370D9-C0A9-4AAD-98C9-19FECC0B9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21</xdr:row>
      <xdr:rowOff>0</xdr:rowOff>
    </xdr:from>
    <xdr:ext cx="59531" cy="295275"/>
    <xdr:pic>
      <xdr:nvPicPr>
        <xdr:cNvPr id="2039" name="BExW9676P0SKCVKK25QCGHPA3PAD" descr="9A4PWZ20RMSRF0PNECCDM75CA" hidden="1">
          <a:extLst>
            <a:ext uri="{FF2B5EF4-FFF2-40B4-BE49-F238E27FC236}">
              <a16:creationId xmlns:a16="http://schemas.microsoft.com/office/drawing/2014/main" id="{AD4F15F0-CCEA-4115-BF9F-1963B5814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21</xdr:row>
      <xdr:rowOff>1905</xdr:rowOff>
    </xdr:from>
    <xdr:ext cx="59531" cy="829901"/>
    <xdr:pic>
      <xdr:nvPicPr>
        <xdr:cNvPr id="2040" name="BExS5CPQ8P8JOQPK7ANNKHLSGOKU" hidden="1">
          <a:extLst>
            <a:ext uri="{FF2B5EF4-FFF2-40B4-BE49-F238E27FC236}">
              <a16:creationId xmlns:a16="http://schemas.microsoft.com/office/drawing/2014/main" id="{CA0E8F5F-DAA6-4488-B014-11A5A926C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21</xdr:row>
      <xdr:rowOff>0</xdr:rowOff>
    </xdr:from>
    <xdr:ext cx="59531" cy="295275"/>
    <xdr:pic>
      <xdr:nvPicPr>
        <xdr:cNvPr id="2041" name="BExMM0AVUAIRNJLXB1FW8R0YB4ZZ" hidden="1">
          <a:extLst>
            <a:ext uri="{FF2B5EF4-FFF2-40B4-BE49-F238E27FC236}">
              <a16:creationId xmlns:a16="http://schemas.microsoft.com/office/drawing/2014/main" id="{A08D3F1A-0C9F-479A-8790-B75933242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21</xdr:row>
      <xdr:rowOff>1905</xdr:rowOff>
    </xdr:from>
    <xdr:ext cx="59531" cy="829901"/>
    <xdr:pic>
      <xdr:nvPicPr>
        <xdr:cNvPr id="2042" name="BExXZ7Y09CBS0XA7IPB3IRJ8RJM4" hidden="1">
          <a:extLst>
            <a:ext uri="{FF2B5EF4-FFF2-40B4-BE49-F238E27FC236}">
              <a16:creationId xmlns:a16="http://schemas.microsoft.com/office/drawing/2014/main" id="{1A646AB1-5FDA-49BB-B147-6E1F9EA2C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21</xdr:row>
      <xdr:rowOff>0</xdr:rowOff>
    </xdr:from>
    <xdr:ext cx="59531" cy="295275"/>
    <xdr:pic>
      <xdr:nvPicPr>
        <xdr:cNvPr id="2043" name="BExQ7SXS9VUG7P6CACU2J7R2SGIZ" hidden="1">
          <a:extLst>
            <a:ext uri="{FF2B5EF4-FFF2-40B4-BE49-F238E27FC236}">
              <a16:creationId xmlns:a16="http://schemas.microsoft.com/office/drawing/2014/main" id="{5A3CB0D9-0E39-4D07-876F-CC7BA2FB9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044" name="BExMO7VFCN4EL59982UR4AJ25JNJ" descr="XX6TINEJADZGKR0CTM7ZRT0RA" hidden="1">
          <a:extLst>
            <a:ext uri="{FF2B5EF4-FFF2-40B4-BE49-F238E27FC236}">
              <a16:creationId xmlns:a16="http://schemas.microsoft.com/office/drawing/2014/main" id="{8141612C-EDA2-4AB8-A058-FAF47DB8F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0</xdr:rowOff>
    </xdr:from>
    <xdr:ext cx="59531" cy="295275"/>
    <xdr:pic>
      <xdr:nvPicPr>
        <xdr:cNvPr id="2045" name="BExU3EX5JJCXCII4YKUJBFBGIJR2" descr="OF5ZI9PI5WH36VPANJ2DYLNMI" hidden="1">
          <a:extLst>
            <a:ext uri="{FF2B5EF4-FFF2-40B4-BE49-F238E27FC236}">
              <a16:creationId xmlns:a16="http://schemas.microsoft.com/office/drawing/2014/main" id="{79889425-E14A-47A3-BA73-EE6A2A5BF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046" name="BEx1I152WN2D3A85O2XN0DGXCWHN" descr="KHBZFMANRA4UMJR1AB4M5NJNT" hidden="1">
          <a:extLst>
            <a:ext uri="{FF2B5EF4-FFF2-40B4-BE49-F238E27FC236}">
              <a16:creationId xmlns:a16="http://schemas.microsoft.com/office/drawing/2014/main" id="{3E66D105-0646-4499-8B6D-3180F5FA3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0</xdr:rowOff>
    </xdr:from>
    <xdr:ext cx="59531" cy="295275"/>
    <xdr:pic>
      <xdr:nvPicPr>
        <xdr:cNvPr id="2047" name="BExW9676P0SKCVKK25QCGHPA3PAD" descr="9A4PWZ20RMSRF0PNECCDM75CA" hidden="1">
          <a:extLst>
            <a:ext uri="{FF2B5EF4-FFF2-40B4-BE49-F238E27FC236}">
              <a16:creationId xmlns:a16="http://schemas.microsoft.com/office/drawing/2014/main" id="{E51E9475-C063-4563-BC98-53FEC30F9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048" name="BExS5CPQ8P8JOQPK7ANNKHLSGOKU" hidden="1">
          <a:extLst>
            <a:ext uri="{FF2B5EF4-FFF2-40B4-BE49-F238E27FC236}">
              <a16:creationId xmlns:a16="http://schemas.microsoft.com/office/drawing/2014/main" id="{B81B92DD-4EF8-438C-936E-4E95F9A64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0</xdr:rowOff>
    </xdr:from>
    <xdr:ext cx="59531" cy="295275"/>
    <xdr:pic>
      <xdr:nvPicPr>
        <xdr:cNvPr id="2049" name="BExMM0AVUAIRNJLXB1FW8R0YB4ZZ" hidden="1">
          <a:extLst>
            <a:ext uri="{FF2B5EF4-FFF2-40B4-BE49-F238E27FC236}">
              <a16:creationId xmlns:a16="http://schemas.microsoft.com/office/drawing/2014/main" id="{5D9AE613-069E-46FB-92AF-BDEF3680B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050" name="BExXZ7Y09CBS0XA7IPB3IRJ8RJM4" hidden="1">
          <a:extLst>
            <a:ext uri="{FF2B5EF4-FFF2-40B4-BE49-F238E27FC236}">
              <a16:creationId xmlns:a16="http://schemas.microsoft.com/office/drawing/2014/main" id="{E07F3CA1-E337-4F50-AF4D-2497B807B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0</xdr:rowOff>
    </xdr:from>
    <xdr:ext cx="59531" cy="295275"/>
    <xdr:pic>
      <xdr:nvPicPr>
        <xdr:cNvPr id="2051" name="BExQ7SXS9VUG7P6CACU2J7R2SGIZ" hidden="1">
          <a:extLst>
            <a:ext uri="{FF2B5EF4-FFF2-40B4-BE49-F238E27FC236}">
              <a16:creationId xmlns:a16="http://schemas.microsoft.com/office/drawing/2014/main" id="{45FD6F8B-C567-49B9-B2EE-94E153AA6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052" name="BEx1KD7H6UB1VYCJ7O61P562EIUY" descr="IQGV9140X0K0UPBL8OGU3I44J" hidden="1">
          <a:extLst>
            <a:ext uri="{FF2B5EF4-FFF2-40B4-BE49-F238E27FC236}">
              <a16:creationId xmlns:a16="http://schemas.microsoft.com/office/drawing/2014/main" id="{595CF009-0DFA-4C26-8023-C66B6B935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053" name="BEx5BJQWS6YWHH4ZMSUAMD641V6Y" descr="ZTMFMXCIQSECDX38ALEFHUB00" hidden="1">
          <a:extLst>
            <a:ext uri="{FF2B5EF4-FFF2-40B4-BE49-F238E27FC236}">
              <a16:creationId xmlns:a16="http://schemas.microsoft.com/office/drawing/2014/main" id="{4B8E9A7C-DE4D-4F40-94DA-BFCE19F4D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054" name="BEx5AQZ4ETQ9LMY5EBWVH20Z7VXQ" hidden="1">
          <a:extLst>
            <a:ext uri="{FF2B5EF4-FFF2-40B4-BE49-F238E27FC236}">
              <a16:creationId xmlns:a16="http://schemas.microsoft.com/office/drawing/2014/main" id="{FCB9EE59-4C48-4B04-9543-0C877E5BD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055" name="BExUBK0YZ5VYFY8TTITJGJU9S06A" hidden="1">
          <a:extLst>
            <a:ext uri="{FF2B5EF4-FFF2-40B4-BE49-F238E27FC236}">
              <a16:creationId xmlns:a16="http://schemas.microsoft.com/office/drawing/2014/main" id="{3362632C-A5C5-49F7-8723-C15E35FF5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056" name="BEx1KD7H6UB1VYCJ7O61P562EIUY" descr="IQGV9140X0K0UPBL8OGU3I44J" hidden="1">
          <a:extLst>
            <a:ext uri="{FF2B5EF4-FFF2-40B4-BE49-F238E27FC236}">
              <a16:creationId xmlns:a16="http://schemas.microsoft.com/office/drawing/2014/main" id="{55F8C1E3-93F2-4013-BCF9-1A734494F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057" name="BEx5BJQWS6YWHH4ZMSUAMD641V6Y" descr="ZTMFMXCIQSECDX38ALEFHUB00" hidden="1">
          <a:extLst>
            <a:ext uri="{FF2B5EF4-FFF2-40B4-BE49-F238E27FC236}">
              <a16:creationId xmlns:a16="http://schemas.microsoft.com/office/drawing/2014/main" id="{9AFBE2AF-731D-4FF0-B8C2-EE1266AF0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058" name="BEx5AQZ4ETQ9LMY5EBWVH20Z7VXQ" hidden="1">
          <a:extLst>
            <a:ext uri="{FF2B5EF4-FFF2-40B4-BE49-F238E27FC236}">
              <a16:creationId xmlns:a16="http://schemas.microsoft.com/office/drawing/2014/main" id="{A35AEEDC-B5D9-4CF1-9553-0D93839CB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059" name="BExUBK0YZ5VYFY8TTITJGJU9S06A" hidden="1">
          <a:extLst>
            <a:ext uri="{FF2B5EF4-FFF2-40B4-BE49-F238E27FC236}">
              <a16:creationId xmlns:a16="http://schemas.microsoft.com/office/drawing/2014/main" id="{4306DA7F-D3D0-460D-8FA3-1FAE1957B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060" name="BEx1KD7H6UB1VYCJ7O61P562EIUY" descr="IQGV9140X0K0UPBL8OGU3I44J" hidden="1">
          <a:extLst>
            <a:ext uri="{FF2B5EF4-FFF2-40B4-BE49-F238E27FC236}">
              <a16:creationId xmlns:a16="http://schemas.microsoft.com/office/drawing/2014/main" id="{4B86087B-E8D3-42AA-B6ED-97BA63A9A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061" name="BEx5BJQWS6YWHH4ZMSUAMD641V6Y" descr="ZTMFMXCIQSECDX38ALEFHUB00" hidden="1">
          <a:extLst>
            <a:ext uri="{FF2B5EF4-FFF2-40B4-BE49-F238E27FC236}">
              <a16:creationId xmlns:a16="http://schemas.microsoft.com/office/drawing/2014/main" id="{330D6ACB-8689-41F6-ACE5-20F4692CB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062" name="BEx5AQZ4ETQ9LMY5EBWVH20Z7VXQ" hidden="1">
          <a:extLst>
            <a:ext uri="{FF2B5EF4-FFF2-40B4-BE49-F238E27FC236}">
              <a16:creationId xmlns:a16="http://schemas.microsoft.com/office/drawing/2014/main" id="{FC36B0BB-F5E9-4E3E-A7FF-FD4A0D76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063" name="BExUBK0YZ5VYFY8TTITJGJU9S06A" hidden="1">
          <a:extLst>
            <a:ext uri="{FF2B5EF4-FFF2-40B4-BE49-F238E27FC236}">
              <a16:creationId xmlns:a16="http://schemas.microsoft.com/office/drawing/2014/main" id="{957DA690-B6E9-41A6-A12B-B5EBBFEA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064" name="BEx1KD7H6UB1VYCJ7O61P562EIUY" descr="IQGV9140X0K0UPBL8OGU3I44J" hidden="1">
          <a:extLst>
            <a:ext uri="{FF2B5EF4-FFF2-40B4-BE49-F238E27FC236}">
              <a16:creationId xmlns:a16="http://schemas.microsoft.com/office/drawing/2014/main" id="{15A8FE44-DDBA-4143-8F31-BC902ABC2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065" name="BEx5BJQWS6YWHH4ZMSUAMD641V6Y" descr="ZTMFMXCIQSECDX38ALEFHUB00" hidden="1">
          <a:extLst>
            <a:ext uri="{FF2B5EF4-FFF2-40B4-BE49-F238E27FC236}">
              <a16:creationId xmlns:a16="http://schemas.microsoft.com/office/drawing/2014/main" id="{72AFC0C4-8DE3-4A97-BDAE-37E80EE00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066" name="BEx5AQZ4ETQ9LMY5EBWVH20Z7VXQ" hidden="1">
          <a:extLst>
            <a:ext uri="{FF2B5EF4-FFF2-40B4-BE49-F238E27FC236}">
              <a16:creationId xmlns:a16="http://schemas.microsoft.com/office/drawing/2014/main" id="{CDDE7F0F-5EF4-4E99-9FA9-24706C5B7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067" name="BExUBK0YZ5VYFY8TTITJGJU9S06A" hidden="1">
          <a:extLst>
            <a:ext uri="{FF2B5EF4-FFF2-40B4-BE49-F238E27FC236}">
              <a16:creationId xmlns:a16="http://schemas.microsoft.com/office/drawing/2014/main" id="{399BFC83-F38B-441A-AFEF-B5B27F92B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068" name="BEx1KD7H6UB1VYCJ7O61P562EIUY" descr="IQGV9140X0K0UPBL8OGU3I44J" hidden="1">
          <a:extLst>
            <a:ext uri="{FF2B5EF4-FFF2-40B4-BE49-F238E27FC236}">
              <a16:creationId xmlns:a16="http://schemas.microsoft.com/office/drawing/2014/main" id="{EAB95DAB-4AFF-4DA9-AB72-A5D51CC0B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069" name="BEx5BJQWS6YWHH4ZMSUAMD641V6Y" descr="ZTMFMXCIQSECDX38ALEFHUB00" hidden="1">
          <a:extLst>
            <a:ext uri="{FF2B5EF4-FFF2-40B4-BE49-F238E27FC236}">
              <a16:creationId xmlns:a16="http://schemas.microsoft.com/office/drawing/2014/main" id="{9C89F576-30C9-49A8-81E5-4F6A36633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070" name="BEx5AQZ4ETQ9LMY5EBWVH20Z7VXQ" hidden="1">
          <a:extLst>
            <a:ext uri="{FF2B5EF4-FFF2-40B4-BE49-F238E27FC236}">
              <a16:creationId xmlns:a16="http://schemas.microsoft.com/office/drawing/2014/main" id="{3D8D67B6-4EAC-49C3-BA30-FA2737BE8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071" name="BExUBK0YZ5VYFY8TTITJGJU9S06A" hidden="1">
          <a:extLst>
            <a:ext uri="{FF2B5EF4-FFF2-40B4-BE49-F238E27FC236}">
              <a16:creationId xmlns:a16="http://schemas.microsoft.com/office/drawing/2014/main" id="{2EF0F7CC-20A3-4AC8-9A29-A713FD613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072" name="BEx1KD7H6UB1VYCJ7O61P562EIUY" descr="IQGV9140X0K0UPBL8OGU3I44J" hidden="1">
          <a:extLst>
            <a:ext uri="{FF2B5EF4-FFF2-40B4-BE49-F238E27FC236}">
              <a16:creationId xmlns:a16="http://schemas.microsoft.com/office/drawing/2014/main" id="{7FC81447-C6CE-493A-8FB0-64F42E201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073" name="BEx5BJQWS6YWHH4ZMSUAMD641V6Y" descr="ZTMFMXCIQSECDX38ALEFHUB00" hidden="1">
          <a:extLst>
            <a:ext uri="{FF2B5EF4-FFF2-40B4-BE49-F238E27FC236}">
              <a16:creationId xmlns:a16="http://schemas.microsoft.com/office/drawing/2014/main" id="{5841ECA5-A5F6-4666-A071-FF54719B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074" name="BEx5AQZ4ETQ9LMY5EBWVH20Z7VXQ" hidden="1">
          <a:extLst>
            <a:ext uri="{FF2B5EF4-FFF2-40B4-BE49-F238E27FC236}">
              <a16:creationId xmlns:a16="http://schemas.microsoft.com/office/drawing/2014/main" id="{E343AE40-D492-4712-812B-694D4F0B4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075" name="BExUBK0YZ5VYFY8TTITJGJU9S06A" hidden="1">
          <a:extLst>
            <a:ext uri="{FF2B5EF4-FFF2-40B4-BE49-F238E27FC236}">
              <a16:creationId xmlns:a16="http://schemas.microsoft.com/office/drawing/2014/main" id="{E69956E5-9806-48E3-B3D8-FDAA4BF9C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076" name="BEx1KD7H6UB1VYCJ7O61P562EIUY" descr="IQGV9140X0K0UPBL8OGU3I44J" hidden="1">
          <a:extLst>
            <a:ext uri="{FF2B5EF4-FFF2-40B4-BE49-F238E27FC236}">
              <a16:creationId xmlns:a16="http://schemas.microsoft.com/office/drawing/2014/main" id="{DEB4F04A-7277-49C3-9C75-028B653ED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077" name="BEx5BJQWS6YWHH4ZMSUAMD641V6Y" descr="ZTMFMXCIQSECDX38ALEFHUB00" hidden="1">
          <a:extLst>
            <a:ext uri="{FF2B5EF4-FFF2-40B4-BE49-F238E27FC236}">
              <a16:creationId xmlns:a16="http://schemas.microsoft.com/office/drawing/2014/main" id="{B8513F90-3978-4DB1-9729-A6C1CCDE6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078" name="BEx5AQZ4ETQ9LMY5EBWVH20Z7VXQ" hidden="1">
          <a:extLst>
            <a:ext uri="{FF2B5EF4-FFF2-40B4-BE49-F238E27FC236}">
              <a16:creationId xmlns:a16="http://schemas.microsoft.com/office/drawing/2014/main" id="{1C26EDD5-54C1-4794-8F3B-FFBAC2543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079" name="BExUBK0YZ5VYFY8TTITJGJU9S06A" hidden="1">
          <a:extLst>
            <a:ext uri="{FF2B5EF4-FFF2-40B4-BE49-F238E27FC236}">
              <a16:creationId xmlns:a16="http://schemas.microsoft.com/office/drawing/2014/main" id="{18FAD257-8E16-4EF1-88DF-05D878652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080" name="BEx1KD7H6UB1VYCJ7O61P562EIUY" descr="IQGV9140X0K0UPBL8OGU3I44J" hidden="1">
          <a:extLst>
            <a:ext uri="{FF2B5EF4-FFF2-40B4-BE49-F238E27FC236}">
              <a16:creationId xmlns:a16="http://schemas.microsoft.com/office/drawing/2014/main" id="{75F24061-AD53-484A-BDF1-11B5C01F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081" name="BEx5BJQWS6YWHH4ZMSUAMD641V6Y" descr="ZTMFMXCIQSECDX38ALEFHUB00" hidden="1">
          <a:extLst>
            <a:ext uri="{FF2B5EF4-FFF2-40B4-BE49-F238E27FC236}">
              <a16:creationId xmlns:a16="http://schemas.microsoft.com/office/drawing/2014/main" id="{B32A17B4-2CAA-472A-80B6-10C928D7F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082" name="BEx5AQZ4ETQ9LMY5EBWVH20Z7VXQ" hidden="1">
          <a:extLst>
            <a:ext uri="{FF2B5EF4-FFF2-40B4-BE49-F238E27FC236}">
              <a16:creationId xmlns:a16="http://schemas.microsoft.com/office/drawing/2014/main" id="{23C59AFE-2FE6-4ED1-A353-59FCCE9D8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083" name="BExUBK0YZ5VYFY8TTITJGJU9S06A" hidden="1">
          <a:extLst>
            <a:ext uri="{FF2B5EF4-FFF2-40B4-BE49-F238E27FC236}">
              <a16:creationId xmlns:a16="http://schemas.microsoft.com/office/drawing/2014/main" id="{08A4AF90-F0D5-4EC1-8C52-D2369E7DD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084" name="BEx1KD7H6UB1VYCJ7O61P562EIUY" descr="IQGV9140X0K0UPBL8OGU3I44J" hidden="1">
          <a:extLst>
            <a:ext uri="{FF2B5EF4-FFF2-40B4-BE49-F238E27FC236}">
              <a16:creationId xmlns:a16="http://schemas.microsoft.com/office/drawing/2014/main" id="{1F1268A8-E63B-481E-AB3D-6F4661051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085" name="BEx5BJQWS6YWHH4ZMSUAMD641V6Y" descr="ZTMFMXCIQSECDX38ALEFHUB00" hidden="1">
          <a:extLst>
            <a:ext uri="{FF2B5EF4-FFF2-40B4-BE49-F238E27FC236}">
              <a16:creationId xmlns:a16="http://schemas.microsoft.com/office/drawing/2014/main" id="{834159E6-65D9-4026-9D99-3AA8F1A60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086" name="BEx5AQZ4ETQ9LMY5EBWVH20Z7VXQ" hidden="1">
          <a:extLst>
            <a:ext uri="{FF2B5EF4-FFF2-40B4-BE49-F238E27FC236}">
              <a16:creationId xmlns:a16="http://schemas.microsoft.com/office/drawing/2014/main" id="{1728A831-7351-4251-96F9-3FD6FA44C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087" name="BExUBK0YZ5VYFY8TTITJGJU9S06A" hidden="1">
          <a:extLst>
            <a:ext uri="{FF2B5EF4-FFF2-40B4-BE49-F238E27FC236}">
              <a16:creationId xmlns:a16="http://schemas.microsoft.com/office/drawing/2014/main" id="{5B6A73AF-753B-4BBB-BFCB-52C55EB5C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21</xdr:row>
      <xdr:rowOff>1905</xdr:rowOff>
    </xdr:from>
    <xdr:ext cx="59531" cy="829901"/>
    <xdr:pic>
      <xdr:nvPicPr>
        <xdr:cNvPr id="2088" name="BExMO7VFCN4EL59982UR4AJ25JNJ" descr="XX6TINEJADZGKR0CTM7ZRT0RA" hidden="1">
          <a:extLst>
            <a:ext uri="{FF2B5EF4-FFF2-40B4-BE49-F238E27FC236}">
              <a16:creationId xmlns:a16="http://schemas.microsoft.com/office/drawing/2014/main" id="{A93C9D71-0BC2-45DC-B5BE-05BA0A3AB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21</xdr:row>
      <xdr:rowOff>0</xdr:rowOff>
    </xdr:from>
    <xdr:ext cx="59531" cy="295275"/>
    <xdr:pic>
      <xdr:nvPicPr>
        <xdr:cNvPr id="2089" name="BExU3EX5JJCXCII4YKUJBFBGIJR2" descr="OF5ZI9PI5WH36VPANJ2DYLNMI" hidden="1">
          <a:extLst>
            <a:ext uri="{FF2B5EF4-FFF2-40B4-BE49-F238E27FC236}">
              <a16:creationId xmlns:a16="http://schemas.microsoft.com/office/drawing/2014/main" id="{3DF366ED-C269-461A-AC55-5CB2C3F03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21</xdr:row>
      <xdr:rowOff>1905</xdr:rowOff>
    </xdr:from>
    <xdr:ext cx="59531" cy="829901"/>
    <xdr:pic>
      <xdr:nvPicPr>
        <xdr:cNvPr id="2090" name="BEx1I152WN2D3A85O2XN0DGXCWHN" descr="KHBZFMANRA4UMJR1AB4M5NJNT" hidden="1">
          <a:extLst>
            <a:ext uri="{FF2B5EF4-FFF2-40B4-BE49-F238E27FC236}">
              <a16:creationId xmlns:a16="http://schemas.microsoft.com/office/drawing/2014/main" id="{7D5F6C17-25B0-4D32-A29B-40472D430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21</xdr:row>
      <xdr:rowOff>0</xdr:rowOff>
    </xdr:from>
    <xdr:ext cx="59531" cy="295275"/>
    <xdr:pic>
      <xdr:nvPicPr>
        <xdr:cNvPr id="2091" name="BExW9676P0SKCVKK25QCGHPA3PAD" descr="9A4PWZ20RMSRF0PNECCDM75CA" hidden="1">
          <a:extLst>
            <a:ext uri="{FF2B5EF4-FFF2-40B4-BE49-F238E27FC236}">
              <a16:creationId xmlns:a16="http://schemas.microsoft.com/office/drawing/2014/main" id="{AADB2334-4308-4136-AFCF-C6B5E1BA3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21</xdr:row>
      <xdr:rowOff>1905</xdr:rowOff>
    </xdr:from>
    <xdr:ext cx="59531" cy="829901"/>
    <xdr:pic>
      <xdr:nvPicPr>
        <xdr:cNvPr id="2092" name="BExS5CPQ8P8JOQPK7ANNKHLSGOKU" hidden="1">
          <a:extLst>
            <a:ext uri="{FF2B5EF4-FFF2-40B4-BE49-F238E27FC236}">
              <a16:creationId xmlns:a16="http://schemas.microsoft.com/office/drawing/2014/main" id="{F8A510C4-CE83-4803-ABFC-3E832A6D6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21</xdr:row>
      <xdr:rowOff>0</xdr:rowOff>
    </xdr:from>
    <xdr:ext cx="59531" cy="295275"/>
    <xdr:pic>
      <xdr:nvPicPr>
        <xdr:cNvPr id="2093" name="BExMM0AVUAIRNJLXB1FW8R0YB4ZZ" hidden="1">
          <a:extLst>
            <a:ext uri="{FF2B5EF4-FFF2-40B4-BE49-F238E27FC236}">
              <a16:creationId xmlns:a16="http://schemas.microsoft.com/office/drawing/2014/main" id="{D45420BD-9344-43C6-B165-900B42939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21</xdr:row>
      <xdr:rowOff>1905</xdr:rowOff>
    </xdr:from>
    <xdr:ext cx="59531" cy="829901"/>
    <xdr:pic>
      <xdr:nvPicPr>
        <xdr:cNvPr id="2094" name="BExXZ7Y09CBS0XA7IPB3IRJ8RJM4" hidden="1">
          <a:extLst>
            <a:ext uri="{FF2B5EF4-FFF2-40B4-BE49-F238E27FC236}">
              <a16:creationId xmlns:a16="http://schemas.microsoft.com/office/drawing/2014/main" id="{F96870D9-248D-4EDF-8273-B1E976AB9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21</xdr:row>
      <xdr:rowOff>0</xdr:rowOff>
    </xdr:from>
    <xdr:ext cx="59531" cy="295275"/>
    <xdr:pic>
      <xdr:nvPicPr>
        <xdr:cNvPr id="2095" name="BExQ7SXS9VUG7P6CACU2J7R2SGIZ" hidden="1">
          <a:extLst>
            <a:ext uri="{FF2B5EF4-FFF2-40B4-BE49-F238E27FC236}">
              <a16:creationId xmlns:a16="http://schemas.microsoft.com/office/drawing/2014/main" id="{A53E0CA7-6790-43C5-8009-262F8FFF2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096" name="BExMO7VFCN4EL59982UR4AJ25JNJ" descr="XX6TINEJADZGKR0CTM7ZRT0RA" hidden="1">
          <a:extLst>
            <a:ext uri="{FF2B5EF4-FFF2-40B4-BE49-F238E27FC236}">
              <a16:creationId xmlns:a16="http://schemas.microsoft.com/office/drawing/2014/main" id="{43801F89-86BD-4698-8903-3B2067370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0</xdr:rowOff>
    </xdr:from>
    <xdr:ext cx="59531" cy="295275"/>
    <xdr:pic>
      <xdr:nvPicPr>
        <xdr:cNvPr id="2097" name="BExU3EX5JJCXCII4YKUJBFBGIJR2" descr="OF5ZI9PI5WH36VPANJ2DYLNMI" hidden="1">
          <a:extLst>
            <a:ext uri="{FF2B5EF4-FFF2-40B4-BE49-F238E27FC236}">
              <a16:creationId xmlns:a16="http://schemas.microsoft.com/office/drawing/2014/main" id="{E8B31BEC-14E5-437F-AE9B-3BE8C474C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098" name="BEx1I152WN2D3A85O2XN0DGXCWHN" descr="KHBZFMANRA4UMJR1AB4M5NJNT" hidden="1">
          <a:extLst>
            <a:ext uri="{FF2B5EF4-FFF2-40B4-BE49-F238E27FC236}">
              <a16:creationId xmlns:a16="http://schemas.microsoft.com/office/drawing/2014/main" id="{6C75648F-A469-4EE9-8844-EDE39F73C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0</xdr:rowOff>
    </xdr:from>
    <xdr:ext cx="59531" cy="295275"/>
    <xdr:pic>
      <xdr:nvPicPr>
        <xdr:cNvPr id="2099" name="BExW9676P0SKCVKK25QCGHPA3PAD" descr="9A4PWZ20RMSRF0PNECCDM75CA" hidden="1">
          <a:extLst>
            <a:ext uri="{FF2B5EF4-FFF2-40B4-BE49-F238E27FC236}">
              <a16:creationId xmlns:a16="http://schemas.microsoft.com/office/drawing/2014/main" id="{AFB3133D-5ABF-46F1-90DF-7D0DA2E45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100" name="BExS5CPQ8P8JOQPK7ANNKHLSGOKU" hidden="1">
          <a:extLst>
            <a:ext uri="{FF2B5EF4-FFF2-40B4-BE49-F238E27FC236}">
              <a16:creationId xmlns:a16="http://schemas.microsoft.com/office/drawing/2014/main" id="{FE1BFE49-D1F5-4CBE-8C4B-FA07CCBD0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0</xdr:rowOff>
    </xdr:from>
    <xdr:ext cx="59531" cy="295275"/>
    <xdr:pic>
      <xdr:nvPicPr>
        <xdr:cNvPr id="2101" name="BExMM0AVUAIRNJLXB1FW8R0YB4ZZ" hidden="1">
          <a:extLst>
            <a:ext uri="{FF2B5EF4-FFF2-40B4-BE49-F238E27FC236}">
              <a16:creationId xmlns:a16="http://schemas.microsoft.com/office/drawing/2014/main" id="{55A3728D-D507-4059-BC76-3DD78345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102" name="BExXZ7Y09CBS0XA7IPB3IRJ8RJM4" hidden="1">
          <a:extLst>
            <a:ext uri="{FF2B5EF4-FFF2-40B4-BE49-F238E27FC236}">
              <a16:creationId xmlns:a16="http://schemas.microsoft.com/office/drawing/2014/main" id="{4FC629D5-48FA-42E0-BB0F-5D8ABCEE6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0</xdr:rowOff>
    </xdr:from>
    <xdr:ext cx="59531" cy="295275"/>
    <xdr:pic>
      <xdr:nvPicPr>
        <xdr:cNvPr id="2103" name="BExQ7SXS9VUG7P6CACU2J7R2SGIZ" hidden="1">
          <a:extLst>
            <a:ext uri="{FF2B5EF4-FFF2-40B4-BE49-F238E27FC236}">
              <a16:creationId xmlns:a16="http://schemas.microsoft.com/office/drawing/2014/main" id="{624FB69C-215E-4B13-8E55-0A2BA4F57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104" name="BEx1KD7H6UB1VYCJ7O61P562EIUY" descr="IQGV9140X0K0UPBL8OGU3I44J" hidden="1">
          <a:extLst>
            <a:ext uri="{FF2B5EF4-FFF2-40B4-BE49-F238E27FC236}">
              <a16:creationId xmlns:a16="http://schemas.microsoft.com/office/drawing/2014/main" id="{AF04D8BA-EEB8-45F7-B5B9-B1988B7D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105" name="BEx5AQZ4ETQ9LMY5EBWVH20Z7VXQ" hidden="1">
          <a:extLst>
            <a:ext uri="{FF2B5EF4-FFF2-40B4-BE49-F238E27FC236}">
              <a16:creationId xmlns:a16="http://schemas.microsoft.com/office/drawing/2014/main" id="{80B86C1C-5AF7-45CB-8448-C1EDF2776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106" name="BExMO7VFCN4EL59982UR4AJ25JNJ" descr="XX6TINEJADZGKR0CTM7ZRT0RA" hidden="1">
          <a:extLst>
            <a:ext uri="{FF2B5EF4-FFF2-40B4-BE49-F238E27FC236}">
              <a16:creationId xmlns:a16="http://schemas.microsoft.com/office/drawing/2014/main" id="{9CD3F84B-2081-4271-A299-9EBEDD75D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107" name="BEx1I152WN2D3A85O2XN0DGXCWHN" descr="KHBZFMANRA4UMJR1AB4M5NJNT" hidden="1">
          <a:extLst>
            <a:ext uri="{FF2B5EF4-FFF2-40B4-BE49-F238E27FC236}">
              <a16:creationId xmlns:a16="http://schemas.microsoft.com/office/drawing/2014/main" id="{41242D9A-2603-446B-A178-341D9FB35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108" name="BExS5CPQ8P8JOQPK7ANNKHLSGOKU" hidden="1">
          <a:extLst>
            <a:ext uri="{FF2B5EF4-FFF2-40B4-BE49-F238E27FC236}">
              <a16:creationId xmlns:a16="http://schemas.microsoft.com/office/drawing/2014/main" id="{11CC94CE-FC37-487E-AD52-CA64A43F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109" name="BExXZ7Y09CBS0XA7IPB3IRJ8RJM4" hidden="1">
          <a:extLst>
            <a:ext uri="{FF2B5EF4-FFF2-40B4-BE49-F238E27FC236}">
              <a16:creationId xmlns:a16="http://schemas.microsoft.com/office/drawing/2014/main" id="{3B8BBDCB-B0F4-41B8-A3FF-52148CFEF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110" name="BEx1KD7H6UB1VYCJ7O61P562EIUY" descr="IQGV9140X0K0UPBL8OGU3I44J" hidden="1">
          <a:extLst>
            <a:ext uri="{FF2B5EF4-FFF2-40B4-BE49-F238E27FC236}">
              <a16:creationId xmlns:a16="http://schemas.microsoft.com/office/drawing/2014/main" id="{7268F2BA-1A03-4709-899A-5DD9CCD63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111" name="BEx5AQZ4ETQ9LMY5EBWVH20Z7VXQ" hidden="1">
          <a:extLst>
            <a:ext uri="{FF2B5EF4-FFF2-40B4-BE49-F238E27FC236}">
              <a16:creationId xmlns:a16="http://schemas.microsoft.com/office/drawing/2014/main" id="{5823238B-32D2-485D-9834-8A4984170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112" name="BEx1KD7H6UB1VYCJ7O61P562EIUY" descr="IQGV9140X0K0UPBL8OGU3I44J" hidden="1">
          <a:extLst>
            <a:ext uri="{FF2B5EF4-FFF2-40B4-BE49-F238E27FC236}">
              <a16:creationId xmlns:a16="http://schemas.microsoft.com/office/drawing/2014/main" id="{5C1F674B-709A-47E3-81F3-A3FAB4BE4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113" name="BEx5AQZ4ETQ9LMY5EBWVH20Z7VXQ" hidden="1">
          <a:extLst>
            <a:ext uri="{FF2B5EF4-FFF2-40B4-BE49-F238E27FC236}">
              <a16:creationId xmlns:a16="http://schemas.microsoft.com/office/drawing/2014/main" id="{8EC0ED5E-12E1-43EB-BE1C-A800AEC9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114" name="BEx1KD7H6UB1VYCJ7O61P562EIUY" descr="IQGV9140X0K0UPBL8OGU3I44J" hidden="1">
          <a:extLst>
            <a:ext uri="{FF2B5EF4-FFF2-40B4-BE49-F238E27FC236}">
              <a16:creationId xmlns:a16="http://schemas.microsoft.com/office/drawing/2014/main" id="{8878994D-3185-4927-8F6D-F385176F7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115" name="BEx5AQZ4ETQ9LMY5EBWVH20Z7VXQ" hidden="1">
          <a:extLst>
            <a:ext uri="{FF2B5EF4-FFF2-40B4-BE49-F238E27FC236}">
              <a16:creationId xmlns:a16="http://schemas.microsoft.com/office/drawing/2014/main" id="{4138DE51-591C-4967-A500-47224DBA6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116" name="BExMO7VFCN4EL59982UR4AJ25JNJ" descr="XX6TINEJADZGKR0CTM7ZRT0RA" hidden="1">
          <a:extLst>
            <a:ext uri="{FF2B5EF4-FFF2-40B4-BE49-F238E27FC236}">
              <a16:creationId xmlns:a16="http://schemas.microsoft.com/office/drawing/2014/main" id="{41BB6F07-0109-4D8D-B7CD-EF38DE660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117" name="BEx1I152WN2D3A85O2XN0DGXCWHN" descr="KHBZFMANRA4UMJR1AB4M5NJNT" hidden="1">
          <a:extLst>
            <a:ext uri="{FF2B5EF4-FFF2-40B4-BE49-F238E27FC236}">
              <a16:creationId xmlns:a16="http://schemas.microsoft.com/office/drawing/2014/main" id="{172609D5-B5A0-461B-88F1-9DA48E9A1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118" name="BExS5CPQ8P8JOQPK7ANNKHLSGOKU" hidden="1">
          <a:extLst>
            <a:ext uri="{FF2B5EF4-FFF2-40B4-BE49-F238E27FC236}">
              <a16:creationId xmlns:a16="http://schemas.microsoft.com/office/drawing/2014/main" id="{2E52EFB7-AA93-4711-BDB6-AF52E873F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119" name="BExXZ7Y09CBS0XA7IPB3IRJ8RJM4" hidden="1">
          <a:extLst>
            <a:ext uri="{FF2B5EF4-FFF2-40B4-BE49-F238E27FC236}">
              <a16:creationId xmlns:a16="http://schemas.microsoft.com/office/drawing/2014/main" id="{4D85F476-910B-46C5-8573-8FCA48EDD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20" name="BEx1KD7H6UB1VYCJ7O61P562EIUY" descr="IQGV9140X0K0UPBL8OGU3I44J" hidden="1">
          <a:extLst>
            <a:ext uri="{FF2B5EF4-FFF2-40B4-BE49-F238E27FC236}">
              <a16:creationId xmlns:a16="http://schemas.microsoft.com/office/drawing/2014/main" id="{CC339381-3B4B-43FC-8C19-704EFE241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121" name="BEx5BJQWS6YWHH4ZMSUAMD641V6Y" descr="ZTMFMXCIQSECDX38ALEFHUB00" hidden="1">
          <a:extLst>
            <a:ext uri="{FF2B5EF4-FFF2-40B4-BE49-F238E27FC236}">
              <a16:creationId xmlns:a16="http://schemas.microsoft.com/office/drawing/2014/main" id="{008C8F9E-1C7C-46E8-9C2C-7BAFBEB83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22" name="BEx5AQZ4ETQ9LMY5EBWVH20Z7VXQ" hidden="1">
          <a:extLst>
            <a:ext uri="{FF2B5EF4-FFF2-40B4-BE49-F238E27FC236}">
              <a16:creationId xmlns:a16="http://schemas.microsoft.com/office/drawing/2014/main" id="{3525F5AD-4AEE-4154-A18C-214773CF6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123" name="BExUBK0YZ5VYFY8TTITJGJU9S06A" hidden="1">
          <a:extLst>
            <a:ext uri="{FF2B5EF4-FFF2-40B4-BE49-F238E27FC236}">
              <a16:creationId xmlns:a16="http://schemas.microsoft.com/office/drawing/2014/main" id="{75511540-7624-43E4-B6BD-AC33FDC3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124" name="BEx1KD7H6UB1VYCJ7O61P562EIUY" descr="IQGV9140X0K0UPBL8OGU3I44J" hidden="1">
          <a:extLst>
            <a:ext uri="{FF2B5EF4-FFF2-40B4-BE49-F238E27FC236}">
              <a16:creationId xmlns:a16="http://schemas.microsoft.com/office/drawing/2014/main" id="{136825A7-ACDB-4EA9-9E94-F2C7C7D73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125" name="BEx5BJQWS6YWHH4ZMSUAMD641V6Y" descr="ZTMFMXCIQSECDX38ALEFHUB00" hidden="1">
          <a:extLst>
            <a:ext uri="{FF2B5EF4-FFF2-40B4-BE49-F238E27FC236}">
              <a16:creationId xmlns:a16="http://schemas.microsoft.com/office/drawing/2014/main" id="{FF065D25-806A-4BA5-94DC-FC38F289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126" name="BEx5AQZ4ETQ9LMY5EBWVH20Z7VXQ" hidden="1">
          <a:extLst>
            <a:ext uri="{FF2B5EF4-FFF2-40B4-BE49-F238E27FC236}">
              <a16:creationId xmlns:a16="http://schemas.microsoft.com/office/drawing/2014/main" id="{6822E931-FF25-4BBC-AFB9-F5D5B788A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127" name="BExUBK0YZ5VYFY8TTITJGJU9S06A" hidden="1">
          <a:extLst>
            <a:ext uri="{FF2B5EF4-FFF2-40B4-BE49-F238E27FC236}">
              <a16:creationId xmlns:a16="http://schemas.microsoft.com/office/drawing/2014/main" id="{EEDBFF7C-1901-4397-81AA-52205ED77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128" name="BEx1KD7H6UB1VYCJ7O61P562EIUY" descr="IQGV9140X0K0UPBL8OGU3I44J" hidden="1">
          <a:extLst>
            <a:ext uri="{FF2B5EF4-FFF2-40B4-BE49-F238E27FC236}">
              <a16:creationId xmlns:a16="http://schemas.microsoft.com/office/drawing/2014/main" id="{363A300D-46FE-4FC0-A70B-46D5EA83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129" name="BEx5BJQWS6YWHH4ZMSUAMD641V6Y" descr="ZTMFMXCIQSECDX38ALEFHUB00" hidden="1">
          <a:extLst>
            <a:ext uri="{FF2B5EF4-FFF2-40B4-BE49-F238E27FC236}">
              <a16:creationId xmlns:a16="http://schemas.microsoft.com/office/drawing/2014/main" id="{A45927A4-BDF2-48BB-9607-BAACAB48F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130" name="BEx5AQZ4ETQ9LMY5EBWVH20Z7VXQ" hidden="1">
          <a:extLst>
            <a:ext uri="{FF2B5EF4-FFF2-40B4-BE49-F238E27FC236}">
              <a16:creationId xmlns:a16="http://schemas.microsoft.com/office/drawing/2014/main" id="{745132BA-9B78-49E9-9E2C-0A18FC2BA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131" name="BExUBK0YZ5VYFY8TTITJGJU9S06A" hidden="1">
          <a:extLst>
            <a:ext uri="{FF2B5EF4-FFF2-40B4-BE49-F238E27FC236}">
              <a16:creationId xmlns:a16="http://schemas.microsoft.com/office/drawing/2014/main" id="{CBA50880-5432-4A55-A78F-928B717C9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132" name="BEx1KD7H6UB1VYCJ7O61P562EIUY" descr="IQGV9140X0K0UPBL8OGU3I44J" hidden="1">
          <a:extLst>
            <a:ext uri="{FF2B5EF4-FFF2-40B4-BE49-F238E27FC236}">
              <a16:creationId xmlns:a16="http://schemas.microsoft.com/office/drawing/2014/main" id="{58B7F1DD-CD3C-40D0-98D3-A66147205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133" name="BEx5BJQWS6YWHH4ZMSUAMD641V6Y" descr="ZTMFMXCIQSECDX38ALEFHUB00" hidden="1">
          <a:extLst>
            <a:ext uri="{FF2B5EF4-FFF2-40B4-BE49-F238E27FC236}">
              <a16:creationId xmlns:a16="http://schemas.microsoft.com/office/drawing/2014/main" id="{A5AB2983-DF0C-4691-90E8-7CDC470AD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134" name="BEx5AQZ4ETQ9LMY5EBWVH20Z7VXQ" hidden="1">
          <a:extLst>
            <a:ext uri="{FF2B5EF4-FFF2-40B4-BE49-F238E27FC236}">
              <a16:creationId xmlns:a16="http://schemas.microsoft.com/office/drawing/2014/main" id="{22F39901-132E-4143-9356-08EE76030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135" name="BExUBK0YZ5VYFY8TTITJGJU9S06A" hidden="1">
          <a:extLst>
            <a:ext uri="{FF2B5EF4-FFF2-40B4-BE49-F238E27FC236}">
              <a16:creationId xmlns:a16="http://schemas.microsoft.com/office/drawing/2014/main" id="{D4FDDBE4-2E36-4DAF-954D-BF7916DA0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136" name="BEx1KD7H6UB1VYCJ7O61P562EIUY" descr="IQGV9140X0K0UPBL8OGU3I44J" hidden="1">
          <a:extLst>
            <a:ext uri="{FF2B5EF4-FFF2-40B4-BE49-F238E27FC236}">
              <a16:creationId xmlns:a16="http://schemas.microsoft.com/office/drawing/2014/main" id="{9DDD9A3E-EDAA-4FF3-BB68-BBBF56933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137" name="BEx5BJQWS6YWHH4ZMSUAMD641V6Y" descr="ZTMFMXCIQSECDX38ALEFHUB00" hidden="1">
          <a:extLst>
            <a:ext uri="{FF2B5EF4-FFF2-40B4-BE49-F238E27FC236}">
              <a16:creationId xmlns:a16="http://schemas.microsoft.com/office/drawing/2014/main" id="{A8026805-0CEE-4567-9B3B-375D045AE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138" name="BEx5AQZ4ETQ9LMY5EBWVH20Z7VXQ" hidden="1">
          <a:extLst>
            <a:ext uri="{FF2B5EF4-FFF2-40B4-BE49-F238E27FC236}">
              <a16:creationId xmlns:a16="http://schemas.microsoft.com/office/drawing/2014/main" id="{97226529-B13F-4AAC-BFFB-002F1A82F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139" name="BExUBK0YZ5VYFY8TTITJGJU9S06A" hidden="1">
          <a:extLst>
            <a:ext uri="{FF2B5EF4-FFF2-40B4-BE49-F238E27FC236}">
              <a16:creationId xmlns:a16="http://schemas.microsoft.com/office/drawing/2014/main" id="{CD20EEB2-F63F-4527-B876-780E0A2D1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140" name="BExMO7VFCN4EL59982UR4AJ25JNJ" descr="XX6TINEJADZGKR0CTM7ZRT0RA" hidden="1">
          <a:extLst>
            <a:ext uri="{FF2B5EF4-FFF2-40B4-BE49-F238E27FC236}">
              <a16:creationId xmlns:a16="http://schemas.microsoft.com/office/drawing/2014/main" id="{909B0A02-F514-4811-80A4-978F118DF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0</xdr:rowOff>
    </xdr:from>
    <xdr:ext cx="59531" cy="295275"/>
    <xdr:pic>
      <xdr:nvPicPr>
        <xdr:cNvPr id="2141" name="BExU3EX5JJCXCII4YKUJBFBGIJR2" descr="OF5ZI9PI5WH36VPANJ2DYLNMI" hidden="1">
          <a:extLst>
            <a:ext uri="{FF2B5EF4-FFF2-40B4-BE49-F238E27FC236}">
              <a16:creationId xmlns:a16="http://schemas.microsoft.com/office/drawing/2014/main" id="{40F52A72-D2F8-49A2-944B-510A55380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142" name="BEx1KD7H6UB1VYCJ7O61P562EIUY" descr="IQGV9140X0K0UPBL8OGU3I44J" hidden="1">
          <a:extLst>
            <a:ext uri="{FF2B5EF4-FFF2-40B4-BE49-F238E27FC236}">
              <a16:creationId xmlns:a16="http://schemas.microsoft.com/office/drawing/2014/main" id="{2D34C780-7696-4E36-8D1D-2D24D9707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143" name="BEx5BJQWS6YWHH4ZMSUAMD641V6Y" descr="ZTMFMXCIQSECDX38ALEFHUB00" hidden="1">
          <a:extLst>
            <a:ext uri="{FF2B5EF4-FFF2-40B4-BE49-F238E27FC236}">
              <a16:creationId xmlns:a16="http://schemas.microsoft.com/office/drawing/2014/main" id="{6ADDE5F9-14D0-43C7-B505-32D295C5F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22</xdr:row>
      <xdr:rowOff>1905</xdr:rowOff>
    </xdr:from>
    <xdr:ext cx="59531" cy="829901"/>
    <xdr:pic>
      <xdr:nvPicPr>
        <xdr:cNvPr id="2144" name="BExVTO5Q8G2M7BPL4B2584LQS0R0" descr="OB6Q8NA4LZFE4GM9Y3V56BPMQ" hidden="1">
          <a:extLst>
            <a:ext uri="{FF2B5EF4-FFF2-40B4-BE49-F238E27FC236}">
              <a16:creationId xmlns:a16="http://schemas.microsoft.com/office/drawing/2014/main" id="{E6324F59-20A3-4DAC-AE3E-27AEF718F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22</xdr:row>
      <xdr:rowOff>0</xdr:rowOff>
    </xdr:from>
    <xdr:ext cx="59531" cy="295275"/>
    <xdr:pic>
      <xdr:nvPicPr>
        <xdr:cNvPr id="2145" name="BExIFSCLN1G86X78PFLTSMRP0US5" descr="9JK4SPV4DG7VTCZIILWHXQU5J" hidden="1">
          <a:extLst>
            <a:ext uri="{FF2B5EF4-FFF2-40B4-BE49-F238E27FC236}">
              <a16:creationId xmlns:a16="http://schemas.microsoft.com/office/drawing/2014/main" id="{77A2B7FD-6A33-4D9B-B40D-AD780787A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146" name="BEx1I152WN2D3A85O2XN0DGXCWHN" descr="KHBZFMANRA4UMJR1AB4M5NJNT" hidden="1">
          <a:extLst>
            <a:ext uri="{FF2B5EF4-FFF2-40B4-BE49-F238E27FC236}">
              <a16:creationId xmlns:a16="http://schemas.microsoft.com/office/drawing/2014/main" id="{17A29FDE-B4D0-4B32-B8B4-D0540ECDA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0</xdr:rowOff>
    </xdr:from>
    <xdr:ext cx="59531" cy="295275"/>
    <xdr:pic>
      <xdr:nvPicPr>
        <xdr:cNvPr id="2147" name="BExW9676P0SKCVKK25QCGHPA3PAD" descr="9A4PWZ20RMSRF0PNECCDM75CA" hidden="1">
          <a:extLst>
            <a:ext uri="{FF2B5EF4-FFF2-40B4-BE49-F238E27FC236}">
              <a16:creationId xmlns:a16="http://schemas.microsoft.com/office/drawing/2014/main" id="{89C608C7-4180-4CB0-8DBD-D2DA6635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148" name="BExS5CPQ8P8JOQPK7ANNKHLSGOKU" hidden="1">
          <a:extLst>
            <a:ext uri="{FF2B5EF4-FFF2-40B4-BE49-F238E27FC236}">
              <a16:creationId xmlns:a16="http://schemas.microsoft.com/office/drawing/2014/main" id="{C11A38C9-2BBE-4B78-95D9-2B80C91E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0</xdr:rowOff>
    </xdr:from>
    <xdr:ext cx="59531" cy="295275"/>
    <xdr:pic>
      <xdr:nvPicPr>
        <xdr:cNvPr id="2149" name="BExMM0AVUAIRNJLXB1FW8R0YB4ZZ" hidden="1">
          <a:extLst>
            <a:ext uri="{FF2B5EF4-FFF2-40B4-BE49-F238E27FC236}">
              <a16:creationId xmlns:a16="http://schemas.microsoft.com/office/drawing/2014/main" id="{603AC5BF-817B-4B78-B776-4AC31102B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150" name="BExXZ7Y09CBS0XA7IPB3IRJ8RJM4" hidden="1">
          <a:extLst>
            <a:ext uri="{FF2B5EF4-FFF2-40B4-BE49-F238E27FC236}">
              <a16:creationId xmlns:a16="http://schemas.microsoft.com/office/drawing/2014/main" id="{A0CF5BAC-3078-47D9-BDBA-642E05159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0</xdr:rowOff>
    </xdr:from>
    <xdr:ext cx="59531" cy="295275"/>
    <xdr:pic>
      <xdr:nvPicPr>
        <xdr:cNvPr id="2151" name="BExQ7SXS9VUG7P6CACU2J7R2SGIZ" hidden="1">
          <a:extLst>
            <a:ext uri="{FF2B5EF4-FFF2-40B4-BE49-F238E27FC236}">
              <a16:creationId xmlns:a16="http://schemas.microsoft.com/office/drawing/2014/main" id="{C55FD0DC-3FFE-44D6-BD9E-930DCB5F1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152" name="BEx5AQZ4ETQ9LMY5EBWVH20Z7VXQ" hidden="1">
          <a:extLst>
            <a:ext uri="{FF2B5EF4-FFF2-40B4-BE49-F238E27FC236}">
              <a16:creationId xmlns:a16="http://schemas.microsoft.com/office/drawing/2014/main" id="{60F8664F-FF19-4DC2-9C87-2A817AD46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153" name="BExUBK0YZ5VYFY8TTITJGJU9S06A" hidden="1">
          <a:extLst>
            <a:ext uri="{FF2B5EF4-FFF2-40B4-BE49-F238E27FC236}">
              <a16:creationId xmlns:a16="http://schemas.microsoft.com/office/drawing/2014/main" id="{84B8C645-2114-47DA-B3B9-23CC49BDC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22</xdr:row>
      <xdr:rowOff>1905</xdr:rowOff>
    </xdr:from>
    <xdr:ext cx="47625" cy="829901"/>
    <xdr:pic>
      <xdr:nvPicPr>
        <xdr:cNvPr id="2154" name="BExUEZCSSJ7RN4J18I2NUIQR2FZS" hidden="1">
          <a:extLst>
            <a:ext uri="{FF2B5EF4-FFF2-40B4-BE49-F238E27FC236}">
              <a16:creationId xmlns:a16="http://schemas.microsoft.com/office/drawing/2014/main" id="{DB472BB6-AAC6-472A-8945-B350F977D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5393055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22</xdr:row>
      <xdr:rowOff>0</xdr:rowOff>
    </xdr:from>
    <xdr:ext cx="47625" cy="295275"/>
    <xdr:pic>
      <xdr:nvPicPr>
        <xdr:cNvPr id="2155" name="BExS3JDQWF7U3F5JTEVOE16ASIYK" hidden="1">
          <a:extLst>
            <a:ext uri="{FF2B5EF4-FFF2-40B4-BE49-F238E27FC236}">
              <a16:creationId xmlns:a16="http://schemas.microsoft.com/office/drawing/2014/main" id="{BB8E0213-90B2-464A-B531-A9C8CB183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539115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2156" name="BEx1KD7H6UB1VYCJ7O61P562EIUY" descr="IQGV9140X0K0UPBL8OGU3I44J" hidden="1">
          <a:extLst>
            <a:ext uri="{FF2B5EF4-FFF2-40B4-BE49-F238E27FC236}">
              <a16:creationId xmlns:a16="http://schemas.microsoft.com/office/drawing/2014/main" id="{D43E183A-B48F-4CD1-BFF9-BB0BB07C6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2157" name="BEx5AQZ4ETQ9LMY5EBWVH20Z7VXQ" hidden="1">
          <a:extLst>
            <a:ext uri="{FF2B5EF4-FFF2-40B4-BE49-F238E27FC236}">
              <a16:creationId xmlns:a16="http://schemas.microsoft.com/office/drawing/2014/main" id="{91200F10-D61F-44F4-BF37-ECD1A1741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2158" name="BEx1KD7H6UB1VYCJ7O61P562EIUY" descr="IQGV9140X0K0UPBL8OGU3I44J" hidden="1">
          <a:extLst>
            <a:ext uri="{FF2B5EF4-FFF2-40B4-BE49-F238E27FC236}">
              <a16:creationId xmlns:a16="http://schemas.microsoft.com/office/drawing/2014/main" id="{81882DDD-8995-4927-AE5B-6E314713D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2159" name="BEx5AQZ4ETQ9LMY5EBWVH20Z7VXQ" hidden="1">
          <a:extLst>
            <a:ext uri="{FF2B5EF4-FFF2-40B4-BE49-F238E27FC236}">
              <a16:creationId xmlns:a16="http://schemas.microsoft.com/office/drawing/2014/main" id="{5A081E22-52C0-45FD-90BF-8A1C0C1EC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60" name="BEx1KD7H6UB1VYCJ7O61P562EIUY" descr="IQGV9140X0K0UPBL8OGU3I44J" hidden="1">
          <a:extLst>
            <a:ext uri="{FF2B5EF4-FFF2-40B4-BE49-F238E27FC236}">
              <a16:creationId xmlns:a16="http://schemas.microsoft.com/office/drawing/2014/main" id="{D636AA79-0486-45A9-A46A-D61C64E33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161" name="BEx5BJQWS6YWHH4ZMSUAMD641V6Y" descr="ZTMFMXCIQSECDX38ALEFHUB00" hidden="1">
          <a:extLst>
            <a:ext uri="{FF2B5EF4-FFF2-40B4-BE49-F238E27FC236}">
              <a16:creationId xmlns:a16="http://schemas.microsoft.com/office/drawing/2014/main" id="{E685EE57-C13B-4352-BE2E-48814A887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62" name="BEx5AQZ4ETQ9LMY5EBWVH20Z7VXQ" hidden="1">
          <a:extLst>
            <a:ext uri="{FF2B5EF4-FFF2-40B4-BE49-F238E27FC236}">
              <a16:creationId xmlns:a16="http://schemas.microsoft.com/office/drawing/2014/main" id="{A705120B-F261-435D-99D7-2524FB6B6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163" name="BExUBK0YZ5VYFY8TTITJGJU9S06A" hidden="1">
          <a:extLst>
            <a:ext uri="{FF2B5EF4-FFF2-40B4-BE49-F238E27FC236}">
              <a16:creationId xmlns:a16="http://schemas.microsoft.com/office/drawing/2014/main" id="{1D794BAE-1DD4-41EA-AEB8-C9390E017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2164" name="BEx1KD7H6UB1VYCJ7O61P562EIUY" descr="IQGV9140X0K0UPBL8OGU3I44J" hidden="1">
          <a:extLst>
            <a:ext uri="{FF2B5EF4-FFF2-40B4-BE49-F238E27FC236}">
              <a16:creationId xmlns:a16="http://schemas.microsoft.com/office/drawing/2014/main" id="{86C71EBB-30CE-48C1-9436-D7C0AF4EE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2165" name="BEx5AQZ4ETQ9LMY5EBWVH20Z7VXQ" hidden="1">
          <a:extLst>
            <a:ext uri="{FF2B5EF4-FFF2-40B4-BE49-F238E27FC236}">
              <a16:creationId xmlns:a16="http://schemas.microsoft.com/office/drawing/2014/main" id="{2B50E87A-A509-4B67-A4B7-D4540B3FE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66" name="BEx1KD7H6UB1VYCJ7O61P562EIUY" descr="IQGV9140X0K0UPBL8OGU3I44J" hidden="1">
          <a:extLst>
            <a:ext uri="{FF2B5EF4-FFF2-40B4-BE49-F238E27FC236}">
              <a16:creationId xmlns:a16="http://schemas.microsoft.com/office/drawing/2014/main" id="{EB039DBD-1BE8-4166-8B41-9DB7D6959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167" name="BEx5BJQWS6YWHH4ZMSUAMD641V6Y" descr="ZTMFMXCIQSECDX38ALEFHUB00" hidden="1">
          <a:extLst>
            <a:ext uri="{FF2B5EF4-FFF2-40B4-BE49-F238E27FC236}">
              <a16:creationId xmlns:a16="http://schemas.microsoft.com/office/drawing/2014/main" id="{35BA3403-5334-462E-94A9-9E043E2D2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68" name="BEx5AQZ4ETQ9LMY5EBWVH20Z7VXQ" hidden="1">
          <a:extLst>
            <a:ext uri="{FF2B5EF4-FFF2-40B4-BE49-F238E27FC236}">
              <a16:creationId xmlns:a16="http://schemas.microsoft.com/office/drawing/2014/main" id="{258F6428-B3C3-4650-BCDD-39823511C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169" name="BExUBK0YZ5VYFY8TTITJGJU9S06A" hidden="1">
          <a:extLst>
            <a:ext uri="{FF2B5EF4-FFF2-40B4-BE49-F238E27FC236}">
              <a16:creationId xmlns:a16="http://schemas.microsoft.com/office/drawing/2014/main" id="{713351BB-753F-4438-86E0-48E6DCF93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70" name="BEx1KD7H6UB1VYCJ7O61P562EIUY" descr="IQGV9140X0K0UPBL8OGU3I44J" hidden="1">
          <a:extLst>
            <a:ext uri="{FF2B5EF4-FFF2-40B4-BE49-F238E27FC236}">
              <a16:creationId xmlns:a16="http://schemas.microsoft.com/office/drawing/2014/main" id="{CDAD2F62-D4F7-4C87-9816-758819361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171" name="BEx5BJQWS6YWHH4ZMSUAMD641V6Y" descr="ZTMFMXCIQSECDX38ALEFHUB00" hidden="1">
          <a:extLst>
            <a:ext uri="{FF2B5EF4-FFF2-40B4-BE49-F238E27FC236}">
              <a16:creationId xmlns:a16="http://schemas.microsoft.com/office/drawing/2014/main" id="{E6E400C3-B767-499E-804D-4D54219F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72" name="BEx5AQZ4ETQ9LMY5EBWVH20Z7VXQ" hidden="1">
          <a:extLst>
            <a:ext uri="{FF2B5EF4-FFF2-40B4-BE49-F238E27FC236}">
              <a16:creationId xmlns:a16="http://schemas.microsoft.com/office/drawing/2014/main" id="{C969AC86-897A-409A-924F-B31A3DF6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173" name="BExUBK0YZ5VYFY8TTITJGJU9S06A" hidden="1">
          <a:extLst>
            <a:ext uri="{FF2B5EF4-FFF2-40B4-BE49-F238E27FC236}">
              <a16:creationId xmlns:a16="http://schemas.microsoft.com/office/drawing/2014/main" id="{11173E4F-001B-46E6-8084-EAC477415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2174" name="BEx1KD7H6UB1VYCJ7O61P562EIUY" descr="IQGV9140X0K0UPBL8OGU3I44J" hidden="1">
          <a:extLst>
            <a:ext uri="{FF2B5EF4-FFF2-40B4-BE49-F238E27FC236}">
              <a16:creationId xmlns:a16="http://schemas.microsoft.com/office/drawing/2014/main" id="{25EA3222-0018-4FAF-874E-F5A05BAD8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2175" name="BEx5AQZ4ETQ9LMY5EBWVH20Z7VXQ" hidden="1">
          <a:extLst>
            <a:ext uri="{FF2B5EF4-FFF2-40B4-BE49-F238E27FC236}">
              <a16:creationId xmlns:a16="http://schemas.microsoft.com/office/drawing/2014/main" id="{0F289BAF-C0D4-4D93-922E-404F57DB3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76" name="BEx1KD7H6UB1VYCJ7O61P562EIUY" descr="IQGV9140X0K0UPBL8OGU3I44J" hidden="1">
          <a:extLst>
            <a:ext uri="{FF2B5EF4-FFF2-40B4-BE49-F238E27FC236}">
              <a16:creationId xmlns:a16="http://schemas.microsoft.com/office/drawing/2014/main" id="{BB4C9563-424A-467A-B29C-3F21D15F7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177" name="BEx5BJQWS6YWHH4ZMSUAMD641V6Y" descr="ZTMFMXCIQSECDX38ALEFHUB00" hidden="1">
          <a:extLst>
            <a:ext uri="{FF2B5EF4-FFF2-40B4-BE49-F238E27FC236}">
              <a16:creationId xmlns:a16="http://schemas.microsoft.com/office/drawing/2014/main" id="{FC25F82D-104E-45ED-8FA8-BE6697A15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78" name="BEx5AQZ4ETQ9LMY5EBWVH20Z7VXQ" hidden="1">
          <a:extLst>
            <a:ext uri="{FF2B5EF4-FFF2-40B4-BE49-F238E27FC236}">
              <a16:creationId xmlns:a16="http://schemas.microsoft.com/office/drawing/2014/main" id="{1767D55D-67A1-4E6E-B3EE-983539F42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179" name="BExUBK0YZ5VYFY8TTITJGJU9S06A" hidden="1">
          <a:extLst>
            <a:ext uri="{FF2B5EF4-FFF2-40B4-BE49-F238E27FC236}">
              <a16:creationId xmlns:a16="http://schemas.microsoft.com/office/drawing/2014/main" id="{31461168-DD10-4710-8CBC-B00598D9E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80" name="BEx1KD7H6UB1VYCJ7O61P562EIUY" descr="IQGV9140X0K0UPBL8OGU3I44J" hidden="1">
          <a:extLst>
            <a:ext uri="{FF2B5EF4-FFF2-40B4-BE49-F238E27FC236}">
              <a16:creationId xmlns:a16="http://schemas.microsoft.com/office/drawing/2014/main" id="{65C167EA-0B0E-419D-9B7A-597698ABB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181" name="BEx5BJQWS6YWHH4ZMSUAMD641V6Y" descr="ZTMFMXCIQSECDX38ALEFHUB00" hidden="1">
          <a:extLst>
            <a:ext uri="{FF2B5EF4-FFF2-40B4-BE49-F238E27FC236}">
              <a16:creationId xmlns:a16="http://schemas.microsoft.com/office/drawing/2014/main" id="{64125E43-DE89-4619-AB7A-942CB77F8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82" name="BEx5AQZ4ETQ9LMY5EBWVH20Z7VXQ" hidden="1">
          <a:extLst>
            <a:ext uri="{FF2B5EF4-FFF2-40B4-BE49-F238E27FC236}">
              <a16:creationId xmlns:a16="http://schemas.microsoft.com/office/drawing/2014/main" id="{47F2C56B-F827-4873-A45E-D497F0D36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183" name="BExUBK0YZ5VYFY8TTITJGJU9S06A" hidden="1">
          <a:extLst>
            <a:ext uri="{FF2B5EF4-FFF2-40B4-BE49-F238E27FC236}">
              <a16:creationId xmlns:a16="http://schemas.microsoft.com/office/drawing/2014/main" id="{28400E01-990F-457F-9F5F-1FC7AD3D8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84" name="BEx1KD7H6UB1VYCJ7O61P562EIUY" descr="IQGV9140X0K0UPBL8OGU3I44J" hidden="1">
          <a:extLst>
            <a:ext uri="{FF2B5EF4-FFF2-40B4-BE49-F238E27FC236}">
              <a16:creationId xmlns:a16="http://schemas.microsoft.com/office/drawing/2014/main" id="{0D2BEDA3-28C9-4E61-A3A7-036B15921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185" name="BEx5BJQWS6YWHH4ZMSUAMD641V6Y" descr="ZTMFMXCIQSECDX38ALEFHUB00" hidden="1">
          <a:extLst>
            <a:ext uri="{FF2B5EF4-FFF2-40B4-BE49-F238E27FC236}">
              <a16:creationId xmlns:a16="http://schemas.microsoft.com/office/drawing/2014/main" id="{30355E73-463E-4D4C-B465-D546CE1C0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86" name="BEx5AQZ4ETQ9LMY5EBWVH20Z7VXQ" hidden="1">
          <a:extLst>
            <a:ext uri="{FF2B5EF4-FFF2-40B4-BE49-F238E27FC236}">
              <a16:creationId xmlns:a16="http://schemas.microsoft.com/office/drawing/2014/main" id="{4EA8050F-2E44-4C6F-83A3-E1A5AA914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187" name="BExUBK0YZ5VYFY8TTITJGJU9S06A" hidden="1">
          <a:extLst>
            <a:ext uri="{FF2B5EF4-FFF2-40B4-BE49-F238E27FC236}">
              <a16:creationId xmlns:a16="http://schemas.microsoft.com/office/drawing/2014/main" id="{88ABF564-311F-49D2-9E92-931793C62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88" name="BEx1KD7H6UB1VYCJ7O61P562EIUY" descr="IQGV9140X0K0UPBL8OGU3I44J" hidden="1">
          <a:extLst>
            <a:ext uri="{FF2B5EF4-FFF2-40B4-BE49-F238E27FC236}">
              <a16:creationId xmlns:a16="http://schemas.microsoft.com/office/drawing/2014/main" id="{3DBC442D-0693-4A18-8758-F2A5B36C6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89" name="BEx5AQZ4ETQ9LMY5EBWVH20Z7VXQ" hidden="1">
          <a:extLst>
            <a:ext uri="{FF2B5EF4-FFF2-40B4-BE49-F238E27FC236}">
              <a16:creationId xmlns:a16="http://schemas.microsoft.com/office/drawing/2014/main" id="{FE143366-474F-48B9-9DD5-4C3A6C641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90" name="BEx1KD7H6UB1VYCJ7O61P562EIUY" descr="IQGV9140X0K0UPBL8OGU3I44J" hidden="1">
          <a:extLst>
            <a:ext uri="{FF2B5EF4-FFF2-40B4-BE49-F238E27FC236}">
              <a16:creationId xmlns:a16="http://schemas.microsoft.com/office/drawing/2014/main" id="{346A7C3F-EC78-4F11-A156-4BD17A53C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91" name="BEx5AQZ4ETQ9LMY5EBWVH20Z7VXQ" hidden="1">
          <a:extLst>
            <a:ext uri="{FF2B5EF4-FFF2-40B4-BE49-F238E27FC236}">
              <a16:creationId xmlns:a16="http://schemas.microsoft.com/office/drawing/2014/main" id="{C2168C22-8757-4E3F-AA80-231E0F691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92" name="BEx1KD7H6UB1VYCJ7O61P562EIUY" descr="IQGV9140X0K0UPBL8OGU3I44J" hidden="1">
          <a:extLst>
            <a:ext uri="{FF2B5EF4-FFF2-40B4-BE49-F238E27FC236}">
              <a16:creationId xmlns:a16="http://schemas.microsoft.com/office/drawing/2014/main" id="{6FD11DED-363B-425B-8997-4848AEE86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93" name="BEx5AQZ4ETQ9LMY5EBWVH20Z7VXQ" hidden="1">
          <a:extLst>
            <a:ext uri="{FF2B5EF4-FFF2-40B4-BE49-F238E27FC236}">
              <a16:creationId xmlns:a16="http://schemas.microsoft.com/office/drawing/2014/main" id="{DF6DB091-875A-422C-84F3-5BE1B5445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94" name="BEx1KD7H6UB1VYCJ7O61P562EIUY" descr="IQGV9140X0K0UPBL8OGU3I44J" hidden="1">
          <a:extLst>
            <a:ext uri="{FF2B5EF4-FFF2-40B4-BE49-F238E27FC236}">
              <a16:creationId xmlns:a16="http://schemas.microsoft.com/office/drawing/2014/main" id="{7D2A0E6E-A919-4CB8-9779-38197B440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95" name="BEx5AQZ4ETQ9LMY5EBWVH20Z7VXQ" hidden="1">
          <a:extLst>
            <a:ext uri="{FF2B5EF4-FFF2-40B4-BE49-F238E27FC236}">
              <a16:creationId xmlns:a16="http://schemas.microsoft.com/office/drawing/2014/main" id="{EF148012-AB55-4086-A6BB-A16FD37AA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2196" name="BEx1KD7H6UB1VYCJ7O61P562EIUY" descr="IQGV9140X0K0UPBL8OGU3I44J" hidden="1">
          <a:extLst>
            <a:ext uri="{FF2B5EF4-FFF2-40B4-BE49-F238E27FC236}">
              <a16:creationId xmlns:a16="http://schemas.microsoft.com/office/drawing/2014/main" id="{63220AAE-DAA2-4069-A642-07E3A8234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2197" name="BEx5AQZ4ETQ9LMY5EBWVH20Z7VXQ" hidden="1">
          <a:extLst>
            <a:ext uri="{FF2B5EF4-FFF2-40B4-BE49-F238E27FC236}">
              <a16:creationId xmlns:a16="http://schemas.microsoft.com/office/drawing/2014/main" id="{D9C16B7A-5AE8-4B64-B005-D39C6D717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198" name="BEx1KD7H6UB1VYCJ7O61P562EIUY" descr="IQGV9140X0K0UPBL8OGU3I44J" hidden="1">
          <a:extLst>
            <a:ext uri="{FF2B5EF4-FFF2-40B4-BE49-F238E27FC236}">
              <a16:creationId xmlns:a16="http://schemas.microsoft.com/office/drawing/2014/main" id="{02BCB121-8600-4083-954A-3874B67EB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199" name="BEx5BJQWS6YWHH4ZMSUAMD641V6Y" descr="ZTMFMXCIQSECDX38ALEFHUB00" hidden="1">
          <a:extLst>
            <a:ext uri="{FF2B5EF4-FFF2-40B4-BE49-F238E27FC236}">
              <a16:creationId xmlns:a16="http://schemas.microsoft.com/office/drawing/2014/main" id="{8313783F-21DC-4703-8880-1400B371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200" name="BEx5AQZ4ETQ9LMY5EBWVH20Z7VXQ" hidden="1">
          <a:extLst>
            <a:ext uri="{FF2B5EF4-FFF2-40B4-BE49-F238E27FC236}">
              <a16:creationId xmlns:a16="http://schemas.microsoft.com/office/drawing/2014/main" id="{E96E42FC-6C83-49A4-83D1-385FBD892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201" name="BExUBK0YZ5VYFY8TTITJGJU9S06A" hidden="1">
          <a:extLst>
            <a:ext uri="{FF2B5EF4-FFF2-40B4-BE49-F238E27FC236}">
              <a16:creationId xmlns:a16="http://schemas.microsoft.com/office/drawing/2014/main" id="{46F07856-38E6-41A5-B309-D6B612CF4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202" name="BEx1KD7H6UB1VYCJ7O61P562EIUY" descr="IQGV9140X0K0UPBL8OGU3I44J" hidden="1">
          <a:extLst>
            <a:ext uri="{FF2B5EF4-FFF2-40B4-BE49-F238E27FC236}">
              <a16:creationId xmlns:a16="http://schemas.microsoft.com/office/drawing/2014/main" id="{39FA8F85-431F-4D6D-9666-8B05173BA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203" name="BEx5BJQWS6YWHH4ZMSUAMD641V6Y" descr="ZTMFMXCIQSECDX38ALEFHUB00" hidden="1">
          <a:extLst>
            <a:ext uri="{FF2B5EF4-FFF2-40B4-BE49-F238E27FC236}">
              <a16:creationId xmlns:a16="http://schemas.microsoft.com/office/drawing/2014/main" id="{FEDBD187-FD86-4F76-AD73-B33BE5921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204" name="BEx5AQZ4ETQ9LMY5EBWVH20Z7VXQ" hidden="1">
          <a:extLst>
            <a:ext uri="{FF2B5EF4-FFF2-40B4-BE49-F238E27FC236}">
              <a16:creationId xmlns:a16="http://schemas.microsoft.com/office/drawing/2014/main" id="{EE91F543-BC1F-4EDF-AC52-A9A329CD4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205" name="BExUBK0YZ5VYFY8TTITJGJU9S06A" hidden="1">
          <a:extLst>
            <a:ext uri="{FF2B5EF4-FFF2-40B4-BE49-F238E27FC236}">
              <a16:creationId xmlns:a16="http://schemas.microsoft.com/office/drawing/2014/main" id="{721CB227-8928-4C60-A364-3F42C6839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206" name="BEx1KD7H6UB1VYCJ7O61P562EIUY" descr="IQGV9140X0K0UPBL8OGU3I44J" hidden="1">
          <a:extLst>
            <a:ext uri="{FF2B5EF4-FFF2-40B4-BE49-F238E27FC236}">
              <a16:creationId xmlns:a16="http://schemas.microsoft.com/office/drawing/2014/main" id="{5383DF22-E5AC-474C-BA37-3CBC1019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207" name="BEx5BJQWS6YWHH4ZMSUAMD641V6Y" descr="ZTMFMXCIQSECDX38ALEFHUB00" hidden="1">
          <a:extLst>
            <a:ext uri="{FF2B5EF4-FFF2-40B4-BE49-F238E27FC236}">
              <a16:creationId xmlns:a16="http://schemas.microsoft.com/office/drawing/2014/main" id="{7B3C3295-D641-432C-B1B7-AEA4C61A2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208" name="BEx5AQZ4ETQ9LMY5EBWVH20Z7VXQ" hidden="1">
          <a:extLst>
            <a:ext uri="{FF2B5EF4-FFF2-40B4-BE49-F238E27FC236}">
              <a16:creationId xmlns:a16="http://schemas.microsoft.com/office/drawing/2014/main" id="{BB0C9472-571A-4A26-8FDC-D2EFAADD5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209" name="BExUBK0YZ5VYFY8TTITJGJU9S06A" hidden="1">
          <a:extLst>
            <a:ext uri="{FF2B5EF4-FFF2-40B4-BE49-F238E27FC236}">
              <a16:creationId xmlns:a16="http://schemas.microsoft.com/office/drawing/2014/main" id="{1F549F83-A480-435D-91D8-F88C48D2C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210" name="BEx1KD7H6UB1VYCJ7O61P562EIUY" descr="IQGV9140X0K0UPBL8OGU3I44J" hidden="1">
          <a:extLst>
            <a:ext uri="{FF2B5EF4-FFF2-40B4-BE49-F238E27FC236}">
              <a16:creationId xmlns:a16="http://schemas.microsoft.com/office/drawing/2014/main" id="{8C05ADE3-2D57-47D0-A7DF-C043D9499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211" name="BEx5BJQWS6YWHH4ZMSUAMD641V6Y" descr="ZTMFMXCIQSECDX38ALEFHUB00" hidden="1">
          <a:extLst>
            <a:ext uri="{FF2B5EF4-FFF2-40B4-BE49-F238E27FC236}">
              <a16:creationId xmlns:a16="http://schemas.microsoft.com/office/drawing/2014/main" id="{DEA22A3A-8B59-49FB-9DB5-183F3BF54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212" name="BEx5AQZ4ETQ9LMY5EBWVH20Z7VXQ" hidden="1">
          <a:extLst>
            <a:ext uri="{FF2B5EF4-FFF2-40B4-BE49-F238E27FC236}">
              <a16:creationId xmlns:a16="http://schemas.microsoft.com/office/drawing/2014/main" id="{F05B7ED2-3CC4-4778-BEDA-03D20B87F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213" name="BExUBK0YZ5VYFY8TTITJGJU9S06A" hidden="1">
          <a:extLst>
            <a:ext uri="{FF2B5EF4-FFF2-40B4-BE49-F238E27FC236}">
              <a16:creationId xmlns:a16="http://schemas.microsoft.com/office/drawing/2014/main" id="{0F60CEF9-75DD-4D0F-9B08-4359609EC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214" name="BEx1KD7H6UB1VYCJ7O61P562EIUY" descr="IQGV9140X0K0UPBL8OGU3I44J" hidden="1">
          <a:extLst>
            <a:ext uri="{FF2B5EF4-FFF2-40B4-BE49-F238E27FC236}">
              <a16:creationId xmlns:a16="http://schemas.microsoft.com/office/drawing/2014/main" id="{87CE7888-F5F4-4080-B2CA-17432E66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215" name="BEx5BJQWS6YWHH4ZMSUAMD641V6Y" descr="ZTMFMXCIQSECDX38ALEFHUB00" hidden="1">
          <a:extLst>
            <a:ext uri="{FF2B5EF4-FFF2-40B4-BE49-F238E27FC236}">
              <a16:creationId xmlns:a16="http://schemas.microsoft.com/office/drawing/2014/main" id="{53AC527C-2FFC-472C-891E-03ECA70BE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216" name="BEx5AQZ4ETQ9LMY5EBWVH20Z7VXQ" hidden="1">
          <a:extLst>
            <a:ext uri="{FF2B5EF4-FFF2-40B4-BE49-F238E27FC236}">
              <a16:creationId xmlns:a16="http://schemas.microsoft.com/office/drawing/2014/main" id="{5A63D2D1-B733-4395-AE8F-4354B69E6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217" name="BExUBK0YZ5VYFY8TTITJGJU9S06A" hidden="1">
          <a:extLst>
            <a:ext uri="{FF2B5EF4-FFF2-40B4-BE49-F238E27FC236}">
              <a16:creationId xmlns:a16="http://schemas.microsoft.com/office/drawing/2014/main" id="{30BC3AD1-62FA-44A2-A3D9-4AA9F78C9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18" name="BEx1KD7H6UB1VYCJ7O61P562EIUY" descr="IQGV9140X0K0UPBL8OGU3I44J" hidden="1">
          <a:extLst>
            <a:ext uri="{FF2B5EF4-FFF2-40B4-BE49-F238E27FC236}">
              <a16:creationId xmlns:a16="http://schemas.microsoft.com/office/drawing/2014/main" id="{B4BC10D7-03F7-44F8-B3D1-F6A122F98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19" name="BEx5AQZ4ETQ9LMY5EBWVH20Z7VXQ" hidden="1">
          <a:extLst>
            <a:ext uri="{FF2B5EF4-FFF2-40B4-BE49-F238E27FC236}">
              <a16:creationId xmlns:a16="http://schemas.microsoft.com/office/drawing/2014/main" id="{C9787CC6-CE50-4823-9128-7FBE19E3A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20" name="BEx1KD7H6UB1VYCJ7O61P562EIUY" descr="IQGV9140X0K0UPBL8OGU3I44J" hidden="1">
          <a:extLst>
            <a:ext uri="{FF2B5EF4-FFF2-40B4-BE49-F238E27FC236}">
              <a16:creationId xmlns:a16="http://schemas.microsoft.com/office/drawing/2014/main" id="{5AE61B09-35FD-433A-B215-B70DE44D3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21" name="BEx5AQZ4ETQ9LMY5EBWVH20Z7VXQ" hidden="1">
          <a:extLst>
            <a:ext uri="{FF2B5EF4-FFF2-40B4-BE49-F238E27FC236}">
              <a16:creationId xmlns:a16="http://schemas.microsoft.com/office/drawing/2014/main" id="{BBDA4E6D-5152-426D-BFF3-838FE1983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22" name="BEx1KD7H6UB1VYCJ7O61P562EIUY" descr="IQGV9140X0K0UPBL8OGU3I44J" hidden="1">
          <a:extLst>
            <a:ext uri="{FF2B5EF4-FFF2-40B4-BE49-F238E27FC236}">
              <a16:creationId xmlns:a16="http://schemas.microsoft.com/office/drawing/2014/main" id="{4292778F-FE62-4137-A5F1-8D5395454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23" name="BEx5AQZ4ETQ9LMY5EBWVH20Z7VXQ" hidden="1">
          <a:extLst>
            <a:ext uri="{FF2B5EF4-FFF2-40B4-BE49-F238E27FC236}">
              <a16:creationId xmlns:a16="http://schemas.microsoft.com/office/drawing/2014/main" id="{34D71ABA-BD97-4B1D-B409-BD28DD69A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24" name="BEx1KD7H6UB1VYCJ7O61P562EIUY" descr="IQGV9140X0K0UPBL8OGU3I44J" hidden="1">
          <a:extLst>
            <a:ext uri="{FF2B5EF4-FFF2-40B4-BE49-F238E27FC236}">
              <a16:creationId xmlns:a16="http://schemas.microsoft.com/office/drawing/2014/main" id="{58DA42FC-9F36-42DA-823C-2DB6916C0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25" name="BEx5AQZ4ETQ9LMY5EBWVH20Z7VXQ" hidden="1">
          <a:extLst>
            <a:ext uri="{FF2B5EF4-FFF2-40B4-BE49-F238E27FC236}">
              <a16:creationId xmlns:a16="http://schemas.microsoft.com/office/drawing/2014/main" id="{8E8CC35A-3F79-40EA-97FC-B6893E85E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26" name="BEx1KD7H6UB1VYCJ7O61P562EIUY" descr="IQGV9140X0K0UPBL8OGU3I44J" hidden="1">
          <a:extLst>
            <a:ext uri="{FF2B5EF4-FFF2-40B4-BE49-F238E27FC236}">
              <a16:creationId xmlns:a16="http://schemas.microsoft.com/office/drawing/2014/main" id="{E88217B1-68BB-4B1B-8526-1D6A78DF5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27" name="BEx5AQZ4ETQ9LMY5EBWVH20Z7VXQ" hidden="1">
          <a:extLst>
            <a:ext uri="{FF2B5EF4-FFF2-40B4-BE49-F238E27FC236}">
              <a16:creationId xmlns:a16="http://schemas.microsoft.com/office/drawing/2014/main" id="{C8FA7E86-677D-4865-84BB-5CF7D132A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28" name="BEx1KD7H6UB1VYCJ7O61P562EIUY" descr="IQGV9140X0K0UPBL8OGU3I44J" hidden="1">
          <a:extLst>
            <a:ext uri="{FF2B5EF4-FFF2-40B4-BE49-F238E27FC236}">
              <a16:creationId xmlns:a16="http://schemas.microsoft.com/office/drawing/2014/main" id="{ACEE86F0-C195-4CCD-93C9-CCB32821E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29" name="BEx5AQZ4ETQ9LMY5EBWVH20Z7VXQ" hidden="1">
          <a:extLst>
            <a:ext uri="{FF2B5EF4-FFF2-40B4-BE49-F238E27FC236}">
              <a16:creationId xmlns:a16="http://schemas.microsoft.com/office/drawing/2014/main" id="{4846E19A-FBC0-458B-B762-D54588DD2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30" name="BEx1KD7H6UB1VYCJ7O61P562EIUY" descr="IQGV9140X0K0UPBL8OGU3I44J" hidden="1">
          <a:extLst>
            <a:ext uri="{FF2B5EF4-FFF2-40B4-BE49-F238E27FC236}">
              <a16:creationId xmlns:a16="http://schemas.microsoft.com/office/drawing/2014/main" id="{4EAD94AB-5471-4F79-9F59-D896010EE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31" name="BEx5AQZ4ETQ9LMY5EBWVH20Z7VXQ" hidden="1">
          <a:extLst>
            <a:ext uri="{FF2B5EF4-FFF2-40B4-BE49-F238E27FC236}">
              <a16:creationId xmlns:a16="http://schemas.microsoft.com/office/drawing/2014/main" id="{CF2E2036-0170-4D0A-8C9A-6BD75965E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32" name="BEx1KD7H6UB1VYCJ7O61P562EIUY" descr="IQGV9140X0K0UPBL8OGU3I44J" hidden="1">
          <a:extLst>
            <a:ext uri="{FF2B5EF4-FFF2-40B4-BE49-F238E27FC236}">
              <a16:creationId xmlns:a16="http://schemas.microsoft.com/office/drawing/2014/main" id="{BF6535AE-878E-4BA3-A4C4-09689FB44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33" name="BEx5AQZ4ETQ9LMY5EBWVH20Z7VXQ" hidden="1">
          <a:extLst>
            <a:ext uri="{FF2B5EF4-FFF2-40B4-BE49-F238E27FC236}">
              <a16:creationId xmlns:a16="http://schemas.microsoft.com/office/drawing/2014/main" id="{08428374-BC7A-4811-9212-17558F51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34" name="BEx1KD7H6UB1VYCJ7O61P562EIUY" descr="IQGV9140X0K0UPBL8OGU3I44J" hidden="1">
          <a:extLst>
            <a:ext uri="{FF2B5EF4-FFF2-40B4-BE49-F238E27FC236}">
              <a16:creationId xmlns:a16="http://schemas.microsoft.com/office/drawing/2014/main" id="{850F428A-6A92-4634-BB79-F6A504721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35" name="BEx5AQZ4ETQ9LMY5EBWVH20Z7VXQ" hidden="1">
          <a:extLst>
            <a:ext uri="{FF2B5EF4-FFF2-40B4-BE49-F238E27FC236}">
              <a16:creationId xmlns:a16="http://schemas.microsoft.com/office/drawing/2014/main" id="{69E1DFAE-A2D5-4018-9795-31F528415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36" name="BEx1KD7H6UB1VYCJ7O61P562EIUY" descr="IQGV9140X0K0UPBL8OGU3I44J" hidden="1">
          <a:extLst>
            <a:ext uri="{FF2B5EF4-FFF2-40B4-BE49-F238E27FC236}">
              <a16:creationId xmlns:a16="http://schemas.microsoft.com/office/drawing/2014/main" id="{2ADAB67F-FE1F-4F05-A162-A3D11E27B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37" name="BEx5AQZ4ETQ9LMY5EBWVH20Z7VXQ" hidden="1">
          <a:extLst>
            <a:ext uri="{FF2B5EF4-FFF2-40B4-BE49-F238E27FC236}">
              <a16:creationId xmlns:a16="http://schemas.microsoft.com/office/drawing/2014/main" id="{23FAC380-2B4D-482D-A958-0CC11A27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38" name="BEx1KD7H6UB1VYCJ7O61P562EIUY" descr="IQGV9140X0K0UPBL8OGU3I44J" hidden="1">
          <a:extLst>
            <a:ext uri="{FF2B5EF4-FFF2-40B4-BE49-F238E27FC236}">
              <a16:creationId xmlns:a16="http://schemas.microsoft.com/office/drawing/2014/main" id="{E3B8DB13-491D-416C-9F38-A49AA627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39" name="BEx5AQZ4ETQ9LMY5EBWVH20Z7VXQ" hidden="1">
          <a:extLst>
            <a:ext uri="{FF2B5EF4-FFF2-40B4-BE49-F238E27FC236}">
              <a16:creationId xmlns:a16="http://schemas.microsoft.com/office/drawing/2014/main" id="{D5D6F46F-7029-4786-9999-AC408249F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40" name="BEx1KD7H6UB1VYCJ7O61P562EIUY" descr="IQGV9140X0K0UPBL8OGU3I44J" hidden="1">
          <a:extLst>
            <a:ext uri="{FF2B5EF4-FFF2-40B4-BE49-F238E27FC236}">
              <a16:creationId xmlns:a16="http://schemas.microsoft.com/office/drawing/2014/main" id="{E4B46ACB-BC78-4C35-A8CA-9CA7878B3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41" name="BEx5AQZ4ETQ9LMY5EBWVH20Z7VXQ" hidden="1">
          <a:extLst>
            <a:ext uri="{FF2B5EF4-FFF2-40B4-BE49-F238E27FC236}">
              <a16:creationId xmlns:a16="http://schemas.microsoft.com/office/drawing/2014/main" id="{928BE7B0-CB90-4271-A8FF-2DD1B7035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42" name="BEx1KD7H6UB1VYCJ7O61P562EIUY" descr="IQGV9140X0K0UPBL8OGU3I44J" hidden="1">
          <a:extLst>
            <a:ext uri="{FF2B5EF4-FFF2-40B4-BE49-F238E27FC236}">
              <a16:creationId xmlns:a16="http://schemas.microsoft.com/office/drawing/2014/main" id="{3878107C-3743-4040-9A5A-6330109DB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43" name="BEx5AQZ4ETQ9LMY5EBWVH20Z7VXQ" hidden="1">
          <a:extLst>
            <a:ext uri="{FF2B5EF4-FFF2-40B4-BE49-F238E27FC236}">
              <a16:creationId xmlns:a16="http://schemas.microsoft.com/office/drawing/2014/main" id="{0EC37E83-A605-4A3B-BB12-DF93D42B9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44" name="BEx1KD7H6UB1VYCJ7O61P562EIUY" descr="IQGV9140X0K0UPBL8OGU3I44J" hidden="1">
          <a:extLst>
            <a:ext uri="{FF2B5EF4-FFF2-40B4-BE49-F238E27FC236}">
              <a16:creationId xmlns:a16="http://schemas.microsoft.com/office/drawing/2014/main" id="{C19F248A-3D7F-40EB-81A9-A83AF3DE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45" name="BEx5AQZ4ETQ9LMY5EBWVH20Z7VXQ" hidden="1">
          <a:extLst>
            <a:ext uri="{FF2B5EF4-FFF2-40B4-BE49-F238E27FC236}">
              <a16:creationId xmlns:a16="http://schemas.microsoft.com/office/drawing/2014/main" id="{EDD523F9-9EF3-450A-9F50-A6575826F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46" name="BEx1KD7H6UB1VYCJ7O61P562EIUY" descr="IQGV9140X0K0UPBL8OGU3I44J" hidden="1">
          <a:extLst>
            <a:ext uri="{FF2B5EF4-FFF2-40B4-BE49-F238E27FC236}">
              <a16:creationId xmlns:a16="http://schemas.microsoft.com/office/drawing/2014/main" id="{160A66D3-CA9D-4EB7-923C-92D2259F7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47" name="BEx5AQZ4ETQ9LMY5EBWVH20Z7VXQ" hidden="1">
          <a:extLst>
            <a:ext uri="{FF2B5EF4-FFF2-40B4-BE49-F238E27FC236}">
              <a16:creationId xmlns:a16="http://schemas.microsoft.com/office/drawing/2014/main" id="{AAE595BB-286F-4A80-B5EA-E122A8C87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48" name="BEx1KD7H6UB1VYCJ7O61P562EIUY" descr="IQGV9140X0K0UPBL8OGU3I44J" hidden="1">
          <a:extLst>
            <a:ext uri="{FF2B5EF4-FFF2-40B4-BE49-F238E27FC236}">
              <a16:creationId xmlns:a16="http://schemas.microsoft.com/office/drawing/2014/main" id="{181C4C07-B236-4683-B51F-31822B234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49" name="BEx5AQZ4ETQ9LMY5EBWVH20Z7VXQ" hidden="1">
          <a:extLst>
            <a:ext uri="{FF2B5EF4-FFF2-40B4-BE49-F238E27FC236}">
              <a16:creationId xmlns:a16="http://schemas.microsoft.com/office/drawing/2014/main" id="{E3FD08EE-B560-4FAC-A7CC-B540A1AE7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50" name="BEx1KD7H6UB1VYCJ7O61P562EIUY" descr="IQGV9140X0K0UPBL8OGU3I44J" hidden="1">
          <a:extLst>
            <a:ext uri="{FF2B5EF4-FFF2-40B4-BE49-F238E27FC236}">
              <a16:creationId xmlns:a16="http://schemas.microsoft.com/office/drawing/2014/main" id="{821F9C4B-B46A-48CE-B00F-B2AD8BD0A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51" name="BEx5AQZ4ETQ9LMY5EBWVH20Z7VXQ" hidden="1">
          <a:extLst>
            <a:ext uri="{FF2B5EF4-FFF2-40B4-BE49-F238E27FC236}">
              <a16:creationId xmlns:a16="http://schemas.microsoft.com/office/drawing/2014/main" id="{1C7F6C1B-4A9A-45DB-895D-A78071DBD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52" name="BEx1KD7H6UB1VYCJ7O61P562EIUY" descr="IQGV9140X0K0UPBL8OGU3I44J" hidden="1">
          <a:extLst>
            <a:ext uri="{FF2B5EF4-FFF2-40B4-BE49-F238E27FC236}">
              <a16:creationId xmlns:a16="http://schemas.microsoft.com/office/drawing/2014/main" id="{E0CC631B-B637-40BA-A031-713779903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53" name="BEx5AQZ4ETQ9LMY5EBWVH20Z7VXQ" hidden="1">
          <a:extLst>
            <a:ext uri="{FF2B5EF4-FFF2-40B4-BE49-F238E27FC236}">
              <a16:creationId xmlns:a16="http://schemas.microsoft.com/office/drawing/2014/main" id="{F13F59BD-D93B-4D97-B0C3-23726225E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54" name="BEx1KD7H6UB1VYCJ7O61P562EIUY" descr="IQGV9140X0K0UPBL8OGU3I44J" hidden="1">
          <a:extLst>
            <a:ext uri="{FF2B5EF4-FFF2-40B4-BE49-F238E27FC236}">
              <a16:creationId xmlns:a16="http://schemas.microsoft.com/office/drawing/2014/main" id="{986E107F-16A5-463E-A771-26DE3D138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55" name="BEx5AQZ4ETQ9LMY5EBWVH20Z7VXQ" hidden="1">
          <a:extLst>
            <a:ext uri="{FF2B5EF4-FFF2-40B4-BE49-F238E27FC236}">
              <a16:creationId xmlns:a16="http://schemas.microsoft.com/office/drawing/2014/main" id="{575361BC-E6C8-4F12-A75A-34E3582A5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56" name="BEx1KD7H6UB1VYCJ7O61P562EIUY" descr="IQGV9140X0K0UPBL8OGU3I44J" hidden="1">
          <a:extLst>
            <a:ext uri="{FF2B5EF4-FFF2-40B4-BE49-F238E27FC236}">
              <a16:creationId xmlns:a16="http://schemas.microsoft.com/office/drawing/2014/main" id="{7B2BFD3C-3C65-4980-A2EB-311946C76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257" name="BEx5AQZ4ETQ9LMY5EBWVH20Z7VXQ" hidden="1">
          <a:extLst>
            <a:ext uri="{FF2B5EF4-FFF2-40B4-BE49-F238E27FC236}">
              <a16:creationId xmlns:a16="http://schemas.microsoft.com/office/drawing/2014/main" id="{D3484513-0958-4969-B582-A868A387A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258" name="BEx1KD7H6UB1VYCJ7O61P562EIUY" descr="IQGV9140X0K0UPBL8OGU3I44J" hidden="1">
          <a:extLst>
            <a:ext uri="{FF2B5EF4-FFF2-40B4-BE49-F238E27FC236}">
              <a16:creationId xmlns:a16="http://schemas.microsoft.com/office/drawing/2014/main" id="{7295E32D-9AFE-4436-98E6-701C0C168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259" name="BEx5BJQWS6YWHH4ZMSUAMD641V6Y" descr="ZTMFMXCIQSECDX38ALEFHUB00" hidden="1">
          <a:extLst>
            <a:ext uri="{FF2B5EF4-FFF2-40B4-BE49-F238E27FC236}">
              <a16:creationId xmlns:a16="http://schemas.microsoft.com/office/drawing/2014/main" id="{D597668C-9E4C-404D-9777-8B63AB5C0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260" name="BEx5AQZ4ETQ9LMY5EBWVH20Z7VXQ" hidden="1">
          <a:extLst>
            <a:ext uri="{FF2B5EF4-FFF2-40B4-BE49-F238E27FC236}">
              <a16:creationId xmlns:a16="http://schemas.microsoft.com/office/drawing/2014/main" id="{0117F622-1D0C-47CF-A218-DC7BE2061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261" name="BExUBK0YZ5VYFY8TTITJGJU9S06A" hidden="1">
          <a:extLst>
            <a:ext uri="{FF2B5EF4-FFF2-40B4-BE49-F238E27FC236}">
              <a16:creationId xmlns:a16="http://schemas.microsoft.com/office/drawing/2014/main" id="{D0B86988-D229-47B9-8F37-38EBC6895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62" name="BEx5BJQWS6YWHH4ZMSUAMD641V6Y" descr="ZTMFMXCIQSECDX38ALEFHUB00" hidden="1">
          <a:extLst>
            <a:ext uri="{FF2B5EF4-FFF2-40B4-BE49-F238E27FC236}">
              <a16:creationId xmlns:a16="http://schemas.microsoft.com/office/drawing/2014/main" id="{32A4AAEF-874D-459E-9D7D-B10333D5A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63" name="BExUBK0YZ5VYFY8TTITJGJU9S06A" hidden="1">
          <a:extLst>
            <a:ext uri="{FF2B5EF4-FFF2-40B4-BE49-F238E27FC236}">
              <a16:creationId xmlns:a16="http://schemas.microsoft.com/office/drawing/2014/main" id="{DF96F6AE-7C00-4803-9142-DA9098699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64" name="BEx5BJQWS6YWHH4ZMSUAMD641V6Y" descr="ZTMFMXCIQSECDX38ALEFHUB00" hidden="1">
          <a:extLst>
            <a:ext uri="{FF2B5EF4-FFF2-40B4-BE49-F238E27FC236}">
              <a16:creationId xmlns:a16="http://schemas.microsoft.com/office/drawing/2014/main" id="{DA76BCB1-8C04-408A-8BDB-FEFCBDD60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65" name="BExUBK0YZ5VYFY8TTITJGJU9S06A" hidden="1">
          <a:extLst>
            <a:ext uri="{FF2B5EF4-FFF2-40B4-BE49-F238E27FC236}">
              <a16:creationId xmlns:a16="http://schemas.microsoft.com/office/drawing/2014/main" id="{09C13522-7B9C-49DE-BBFB-84DEB152A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66" name="BEx5BJQWS6YWHH4ZMSUAMD641V6Y" descr="ZTMFMXCIQSECDX38ALEFHUB00" hidden="1">
          <a:extLst>
            <a:ext uri="{FF2B5EF4-FFF2-40B4-BE49-F238E27FC236}">
              <a16:creationId xmlns:a16="http://schemas.microsoft.com/office/drawing/2014/main" id="{174CDAAC-5011-4F81-A345-FD3F9C2C7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67" name="BExUBK0YZ5VYFY8TTITJGJU9S06A" hidden="1">
          <a:extLst>
            <a:ext uri="{FF2B5EF4-FFF2-40B4-BE49-F238E27FC236}">
              <a16:creationId xmlns:a16="http://schemas.microsoft.com/office/drawing/2014/main" id="{5080E059-8A8D-4857-951C-AC02F9B03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68" name="BEx5BJQWS6YWHH4ZMSUAMD641V6Y" descr="ZTMFMXCIQSECDX38ALEFHUB00" hidden="1">
          <a:extLst>
            <a:ext uri="{FF2B5EF4-FFF2-40B4-BE49-F238E27FC236}">
              <a16:creationId xmlns:a16="http://schemas.microsoft.com/office/drawing/2014/main" id="{B8E66F71-AB03-48E5-997C-D8661BEAD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69" name="BExUBK0YZ5VYFY8TTITJGJU9S06A" hidden="1">
          <a:extLst>
            <a:ext uri="{FF2B5EF4-FFF2-40B4-BE49-F238E27FC236}">
              <a16:creationId xmlns:a16="http://schemas.microsoft.com/office/drawing/2014/main" id="{F14E8800-C24A-4D09-9B24-983CB2CC6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70" name="BEx5BJQWS6YWHH4ZMSUAMD641V6Y" descr="ZTMFMXCIQSECDX38ALEFHUB00" hidden="1">
          <a:extLst>
            <a:ext uri="{FF2B5EF4-FFF2-40B4-BE49-F238E27FC236}">
              <a16:creationId xmlns:a16="http://schemas.microsoft.com/office/drawing/2014/main" id="{BDADFD0F-4D65-4448-AA70-2123CF69A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71" name="BExUBK0YZ5VYFY8TTITJGJU9S06A" hidden="1">
          <a:extLst>
            <a:ext uri="{FF2B5EF4-FFF2-40B4-BE49-F238E27FC236}">
              <a16:creationId xmlns:a16="http://schemas.microsoft.com/office/drawing/2014/main" id="{FAA96E3B-4272-45D4-9731-1D3347F42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272" name="BEx1KD7H6UB1VYCJ7O61P562EIUY" descr="IQGV9140X0K0UPBL8OGU3I44J" hidden="1">
          <a:extLst>
            <a:ext uri="{FF2B5EF4-FFF2-40B4-BE49-F238E27FC236}">
              <a16:creationId xmlns:a16="http://schemas.microsoft.com/office/drawing/2014/main" id="{D174CBFA-1445-4FFA-924A-FBE374078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273" name="BEx5AQZ4ETQ9LMY5EBWVH20Z7VXQ" hidden="1">
          <a:extLst>
            <a:ext uri="{FF2B5EF4-FFF2-40B4-BE49-F238E27FC236}">
              <a16:creationId xmlns:a16="http://schemas.microsoft.com/office/drawing/2014/main" id="{A56A4642-0C54-4A68-B6EB-A0BC7008A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274" name="BEx1KD7H6UB1VYCJ7O61P562EIUY" descr="IQGV9140X0K0UPBL8OGU3I44J" hidden="1">
          <a:extLst>
            <a:ext uri="{FF2B5EF4-FFF2-40B4-BE49-F238E27FC236}">
              <a16:creationId xmlns:a16="http://schemas.microsoft.com/office/drawing/2014/main" id="{0FF47CE2-091D-4A58-BB3C-43CB7FE44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275" name="BEx5AQZ4ETQ9LMY5EBWVH20Z7VXQ" hidden="1">
          <a:extLst>
            <a:ext uri="{FF2B5EF4-FFF2-40B4-BE49-F238E27FC236}">
              <a16:creationId xmlns:a16="http://schemas.microsoft.com/office/drawing/2014/main" id="{DABF21A6-7ACA-4E55-A49B-D365AF545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76" name="BEx5BJQWS6YWHH4ZMSUAMD641V6Y" descr="ZTMFMXCIQSECDX38ALEFHUB00" hidden="1">
          <a:extLst>
            <a:ext uri="{FF2B5EF4-FFF2-40B4-BE49-F238E27FC236}">
              <a16:creationId xmlns:a16="http://schemas.microsoft.com/office/drawing/2014/main" id="{E9E21984-5943-4DCF-8269-9F325C7BC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77" name="BExUBK0YZ5VYFY8TTITJGJU9S06A" hidden="1">
          <a:extLst>
            <a:ext uri="{FF2B5EF4-FFF2-40B4-BE49-F238E27FC236}">
              <a16:creationId xmlns:a16="http://schemas.microsoft.com/office/drawing/2014/main" id="{3A861830-4499-4917-86C0-DD9848668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278" name="BEx1KD7H6UB1VYCJ7O61P562EIUY" descr="IQGV9140X0K0UPBL8OGU3I44J" hidden="1">
          <a:extLst>
            <a:ext uri="{FF2B5EF4-FFF2-40B4-BE49-F238E27FC236}">
              <a16:creationId xmlns:a16="http://schemas.microsoft.com/office/drawing/2014/main" id="{B418E5CA-049C-41D8-A7CE-C0B5FF7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279" name="BEx5AQZ4ETQ9LMY5EBWVH20Z7VXQ" hidden="1">
          <a:extLst>
            <a:ext uri="{FF2B5EF4-FFF2-40B4-BE49-F238E27FC236}">
              <a16:creationId xmlns:a16="http://schemas.microsoft.com/office/drawing/2014/main" id="{0DD77B1D-C7D2-4C14-8D9C-19968595E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80" name="BEx5BJQWS6YWHH4ZMSUAMD641V6Y" descr="ZTMFMXCIQSECDX38ALEFHUB00" hidden="1">
          <a:extLst>
            <a:ext uri="{FF2B5EF4-FFF2-40B4-BE49-F238E27FC236}">
              <a16:creationId xmlns:a16="http://schemas.microsoft.com/office/drawing/2014/main" id="{BFF190DA-F0D8-4B15-B0F9-1E148D8DF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81" name="BExUBK0YZ5VYFY8TTITJGJU9S06A" hidden="1">
          <a:extLst>
            <a:ext uri="{FF2B5EF4-FFF2-40B4-BE49-F238E27FC236}">
              <a16:creationId xmlns:a16="http://schemas.microsoft.com/office/drawing/2014/main" id="{8E638041-9853-4954-A29A-4ABE63E00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82" name="BEx5BJQWS6YWHH4ZMSUAMD641V6Y" descr="ZTMFMXCIQSECDX38ALEFHUB00" hidden="1">
          <a:extLst>
            <a:ext uri="{FF2B5EF4-FFF2-40B4-BE49-F238E27FC236}">
              <a16:creationId xmlns:a16="http://schemas.microsoft.com/office/drawing/2014/main" id="{AD608FCD-5176-4BB3-B9F7-30447A70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83" name="BExUBK0YZ5VYFY8TTITJGJU9S06A" hidden="1">
          <a:extLst>
            <a:ext uri="{FF2B5EF4-FFF2-40B4-BE49-F238E27FC236}">
              <a16:creationId xmlns:a16="http://schemas.microsoft.com/office/drawing/2014/main" id="{E25AA356-8659-47C4-8BBE-8CD750247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284" name="BEx1KD7H6UB1VYCJ7O61P562EIUY" descr="IQGV9140X0K0UPBL8OGU3I44J" hidden="1">
          <a:extLst>
            <a:ext uri="{FF2B5EF4-FFF2-40B4-BE49-F238E27FC236}">
              <a16:creationId xmlns:a16="http://schemas.microsoft.com/office/drawing/2014/main" id="{C149E21B-C08E-4946-8B1A-0016BE91E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285" name="BEx5AQZ4ETQ9LMY5EBWVH20Z7VXQ" hidden="1">
          <a:extLst>
            <a:ext uri="{FF2B5EF4-FFF2-40B4-BE49-F238E27FC236}">
              <a16:creationId xmlns:a16="http://schemas.microsoft.com/office/drawing/2014/main" id="{14C57F0B-3E32-4FA8-A104-4D6FF8C23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86" name="BEx5BJQWS6YWHH4ZMSUAMD641V6Y" descr="ZTMFMXCIQSECDX38ALEFHUB00" hidden="1">
          <a:extLst>
            <a:ext uri="{FF2B5EF4-FFF2-40B4-BE49-F238E27FC236}">
              <a16:creationId xmlns:a16="http://schemas.microsoft.com/office/drawing/2014/main" id="{9E490F3C-0675-4D0A-B197-E561DDECD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87" name="BExUBK0YZ5VYFY8TTITJGJU9S06A" hidden="1">
          <a:extLst>
            <a:ext uri="{FF2B5EF4-FFF2-40B4-BE49-F238E27FC236}">
              <a16:creationId xmlns:a16="http://schemas.microsoft.com/office/drawing/2014/main" id="{6C94323A-FA4E-43D7-960E-42EA5BBEF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88" name="BEx5BJQWS6YWHH4ZMSUAMD641V6Y" descr="ZTMFMXCIQSECDX38ALEFHUB00" hidden="1">
          <a:extLst>
            <a:ext uri="{FF2B5EF4-FFF2-40B4-BE49-F238E27FC236}">
              <a16:creationId xmlns:a16="http://schemas.microsoft.com/office/drawing/2014/main" id="{D01E69F1-AEC5-4468-A6D0-9403DF49D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89" name="BExUBK0YZ5VYFY8TTITJGJU9S06A" hidden="1">
          <a:extLst>
            <a:ext uri="{FF2B5EF4-FFF2-40B4-BE49-F238E27FC236}">
              <a16:creationId xmlns:a16="http://schemas.microsoft.com/office/drawing/2014/main" id="{4FE34529-BAFF-412C-BDBA-83C8A1E84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90" name="BEx5BJQWS6YWHH4ZMSUAMD641V6Y" descr="ZTMFMXCIQSECDX38ALEFHUB00" hidden="1">
          <a:extLst>
            <a:ext uri="{FF2B5EF4-FFF2-40B4-BE49-F238E27FC236}">
              <a16:creationId xmlns:a16="http://schemas.microsoft.com/office/drawing/2014/main" id="{C769A57F-3417-4C12-B1B9-8B7BF057E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91" name="BExUBK0YZ5VYFY8TTITJGJU9S06A" hidden="1">
          <a:extLst>
            <a:ext uri="{FF2B5EF4-FFF2-40B4-BE49-F238E27FC236}">
              <a16:creationId xmlns:a16="http://schemas.microsoft.com/office/drawing/2014/main" id="{BD89C336-93F4-4BE6-893F-2A23DB329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292" name="BEx1KD7H6UB1VYCJ7O61P562EIUY" descr="IQGV9140X0K0UPBL8OGU3I44J" hidden="1">
          <a:extLst>
            <a:ext uri="{FF2B5EF4-FFF2-40B4-BE49-F238E27FC236}">
              <a16:creationId xmlns:a16="http://schemas.microsoft.com/office/drawing/2014/main" id="{3DF3769A-413B-48A4-A09E-45FDC0551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293" name="BEx5AQZ4ETQ9LMY5EBWVH20Z7VXQ" hidden="1">
          <a:extLst>
            <a:ext uri="{FF2B5EF4-FFF2-40B4-BE49-F238E27FC236}">
              <a16:creationId xmlns:a16="http://schemas.microsoft.com/office/drawing/2014/main" id="{E1493475-A94D-4699-BB19-3AD5CF299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94" name="BEx5BJQWS6YWHH4ZMSUAMD641V6Y" descr="ZTMFMXCIQSECDX38ALEFHUB00" hidden="1">
          <a:extLst>
            <a:ext uri="{FF2B5EF4-FFF2-40B4-BE49-F238E27FC236}">
              <a16:creationId xmlns:a16="http://schemas.microsoft.com/office/drawing/2014/main" id="{73C4AA17-C6E7-4E59-B556-30C84C5B0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95" name="BExUBK0YZ5VYFY8TTITJGJU9S06A" hidden="1">
          <a:extLst>
            <a:ext uri="{FF2B5EF4-FFF2-40B4-BE49-F238E27FC236}">
              <a16:creationId xmlns:a16="http://schemas.microsoft.com/office/drawing/2014/main" id="{A3C1CD00-C321-4417-98C2-FA1D89F7C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96" name="BEx5BJQWS6YWHH4ZMSUAMD641V6Y" descr="ZTMFMXCIQSECDX38ALEFHUB00" hidden="1">
          <a:extLst>
            <a:ext uri="{FF2B5EF4-FFF2-40B4-BE49-F238E27FC236}">
              <a16:creationId xmlns:a16="http://schemas.microsoft.com/office/drawing/2014/main" id="{4DD3EB51-A370-4B7E-815F-3B8B3B37D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97" name="BExUBK0YZ5VYFY8TTITJGJU9S06A" hidden="1">
          <a:extLst>
            <a:ext uri="{FF2B5EF4-FFF2-40B4-BE49-F238E27FC236}">
              <a16:creationId xmlns:a16="http://schemas.microsoft.com/office/drawing/2014/main" id="{3CB80220-A222-47D9-8E9C-541267DEF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98" name="BEx5BJQWS6YWHH4ZMSUAMD641V6Y" descr="ZTMFMXCIQSECDX38ALEFHUB00" hidden="1">
          <a:extLst>
            <a:ext uri="{FF2B5EF4-FFF2-40B4-BE49-F238E27FC236}">
              <a16:creationId xmlns:a16="http://schemas.microsoft.com/office/drawing/2014/main" id="{79EFCA9E-99E1-4129-93A5-D7023F114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299" name="BExUBK0YZ5VYFY8TTITJGJU9S06A" hidden="1">
          <a:extLst>
            <a:ext uri="{FF2B5EF4-FFF2-40B4-BE49-F238E27FC236}">
              <a16:creationId xmlns:a16="http://schemas.microsoft.com/office/drawing/2014/main" id="{981BC69C-9D41-40BE-8CD8-FBBA69698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00" name="BEx5BJQWS6YWHH4ZMSUAMD641V6Y" descr="ZTMFMXCIQSECDX38ALEFHUB00" hidden="1">
          <a:extLst>
            <a:ext uri="{FF2B5EF4-FFF2-40B4-BE49-F238E27FC236}">
              <a16:creationId xmlns:a16="http://schemas.microsoft.com/office/drawing/2014/main" id="{925F837E-9CF1-4F9E-AB65-FBEB39C1E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01" name="BExUBK0YZ5VYFY8TTITJGJU9S06A" hidden="1">
          <a:extLst>
            <a:ext uri="{FF2B5EF4-FFF2-40B4-BE49-F238E27FC236}">
              <a16:creationId xmlns:a16="http://schemas.microsoft.com/office/drawing/2014/main" id="{024600C0-226F-4DD9-8AEC-71854B8C8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02" name="BEx5BJQWS6YWHH4ZMSUAMD641V6Y" descr="ZTMFMXCIQSECDX38ALEFHUB00" hidden="1">
          <a:extLst>
            <a:ext uri="{FF2B5EF4-FFF2-40B4-BE49-F238E27FC236}">
              <a16:creationId xmlns:a16="http://schemas.microsoft.com/office/drawing/2014/main" id="{758F2A0A-838B-4813-BF6E-E7462F730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03" name="BExUBK0YZ5VYFY8TTITJGJU9S06A" hidden="1">
          <a:extLst>
            <a:ext uri="{FF2B5EF4-FFF2-40B4-BE49-F238E27FC236}">
              <a16:creationId xmlns:a16="http://schemas.microsoft.com/office/drawing/2014/main" id="{615354F3-8DC1-4C38-97D4-50412D2EA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304" name="BEx1KD7H6UB1VYCJ7O61P562EIUY" descr="IQGV9140X0K0UPBL8OGU3I44J" hidden="1">
          <a:extLst>
            <a:ext uri="{FF2B5EF4-FFF2-40B4-BE49-F238E27FC236}">
              <a16:creationId xmlns:a16="http://schemas.microsoft.com/office/drawing/2014/main" id="{120A30A4-4BF8-4D34-86AE-33988B7F0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305" name="BEx5BJQWS6YWHH4ZMSUAMD641V6Y" descr="ZTMFMXCIQSECDX38ALEFHUB00" hidden="1">
          <a:extLst>
            <a:ext uri="{FF2B5EF4-FFF2-40B4-BE49-F238E27FC236}">
              <a16:creationId xmlns:a16="http://schemas.microsoft.com/office/drawing/2014/main" id="{A82F8138-E7F9-4C2A-8298-C7AC2C148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306" name="BEx5AQZ4ETQ9LMY5EBWVH20Z7VXQ" hidden="1">
          <a:extLst>
            <a:ext uri="{FF2B5EF4-FFF2-40B4-BE49-F238E27FC236}">
              <a16:creationId xmlns:a16="http://schemas.microsoft.com/office/drawing/2014/main" id="{5E0085F3-5F9A-48CD-82A4-9445AD359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2307" name="BExUBK0YZ5VYFY8TTITJGJU9S06A" hidden="1">
          <a:extLst>
            <a:ext uri="{FF2B5EF4-FFF2-40B4-BE49-F238E27FC236}">
              <a16:creationId xmlns:a16="http://schemas.microsoft.com/office/drawing/2014/main" id="{D5C3E5D8-5253-4B31-9B4B-A107E59BF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08" name="BEx5BJQWS6YWHH4ZMSUAMD641V6Y" descr="ZTMFMXCIQSECDX38ALEFHUB00" hidden="1">
          <a:extLst>
            <a:ext uri="{FF2B5EF4-FFF2-40B4-BE49-F238E27FC236}">
              <a16:creationId xmlns:a16="http://schemas.microsoft.com/office/drawing/2014/main" id="{A85FC5F0-C0F4-40D9-AF0C-A30D382CF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09" name="BExUBK0YZ5VYFY8TTITJGJU9S06A" hidden="1">
          <a:extLst>
            <a:ext uri="{FF2B5EF4-FFF2-40B4-BE49-F238E27FC236}">
              <a16:creationId xmlns:a16="http://schemas.microsoft.com/office/drawing/2014/main" id="{FD79C981-9171-40AB-8490-2207444C6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10" name="BEx5BJQWS6YWHH4ZMSUAMD641V6Y" descr="ZTMFMXCIQSECDX38ALEFHUB00" hidden="1">
          <a:extLst>
            <a:ext uri="{FF2B5EF4-FFF2-40B4-BE49-F238E27FC236}">
              <a16:creationId xmlns:a16="http://schemas.microsoft.com/office/drawing/2014/main" id="{27ADA799-2EC0-4A4A-A4F7-2498AFC05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11" name="BExUBK0YZ5VYFY8TTITJGJU9S06A" hidden="1">
          <a:extLst>
            <a:ext uri="{FF2B5EF4-FFF2-40B4-BE49-F238E27FC236}">
              <a16:creationId xmlns:a16="http://schemas.microsoft.com/office/drawing/2014/main" id="{4D91FE7B-A86A-45D6-B810-D39B2D3D2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12" name="BEx5BJQWS6YWHH4ZMSUAMD641V6Y" descr="ZTMFMXCIQSECDX38ALEFHUB00" hidden="1">
          <a:extLst>
            <a:ext uri="{FF2B5EF4-FFF2-40B4-BE49-F238E27FC236}">
              <a16:creationId xmlns:a16="http://schemas.microsoft.com/office/drawing/2014/main" id="{CA9001DB-ED97-47F6-B872-1B5E5D825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13" name="BExUBK0YZ5VYFY8TTITJGJU9S06A" hidden="1">
          <a:extLst>
            <a:ext uri="{FF2B5EF4-FFF2-40B4-BE49-F238E27FC236}">
              <a16:creationId xmlns:a16="http://schemas.microsoft.com/office/drawing/2014/main" id="{FCB3592F-28F1-4B2A-86DA-AD36D1B1B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14" name="BEx5BJQWS6YWHH4ZMSUAMD641V6Y" descr="ZTMFMXCIQSECDX38ALEFHUB00" hidden="1">
          <a:extLst>
            <a:ext uri="{FF2B5EF4-FFF2-40B4-BE49-F238E27FC236}">
              <a16:creationId xmlns:a16="http://schemas.microsoft.com/office/drawing/2014/main" id="{85AE98CD-0311-4B58-B269-B6A9C7FFA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15" name="BExUBK0YZ5VYFY8TTITJGJU9S06A" hidden="1">
          <a:extLst>
            <a:ext uri="{FF2B5EF4-FFF2-40B4-BE49-F238E27FC236}">
              <a16:creationId xmlns:a16="http://schemas.microsoft.com/office/drawing/2014/main" id="{895115D2-0B3A-4034-859C-F3811E2AF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16" name="BEx5BJQWS6YWHH4ZMSUAMD641V6Y" descr="ZTMFMXCIQSECDX38ALEFHUB00" hidden="1">
          <a:extLst>
            <a:ext uri="{FF2B5EF4-FFF2-40B4-BE49-F238E27FC236}">
              <a16:creationId xmlns:a16="http://schemas.microsoft.com/office/drawing/2014/main" id="{4254A9AC-1174-4194-8846-2ACD76B94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17" name="BExUBK0YZ5VYFY8TTITJGJU9S06A" hidden="1">
          <a:extLst>
            <a:ext uri="{FF2B5EF4-FFF2-40B4-BE49-F238E27FC236}">
              <a16:creationId xmlns:a16="http://schemas.microsoft.com/office/drawing/2014/main" id="{7E787477-4E4A-419C-94F1-66978C5D7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318" name="BEx1KD7H6UB1VYCJ7O61P562EIUY" descr="IQGV9140X0K0UPBL8OGU3I44J" hidden="1">
          <a:extLst>
            <a:ext uri="{FF2B5EF4-FFF2-40B4-BE49-F238E27FC236}">
              <a16:creationId xmlns:a16="http://schemas.microsoft.com/office/drawing/2014/main" id="{5E8D4D42-E92C-4940-BD2A-8230F0630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319" name="BEx5AQZ4ETQ9LMY5EBWVH20Z7VXQ" hidden="1">
          <a:extLst>
            <a:ext uri="{FF2B5EF4-FFF2-40B4-BE49-F238E27FC236}">
              <a16:creationId xmlns:a16="http://schemas.microsoft.com/office/drawing/2014/main" id="{E9B29881-4AA9-41A1-A5D5-CC1DB6F40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320" name="BEx1KD7H6UB1VYCJ7O61P562EIUY" descr="IQGV9140X0K0UPBL8OGU3I44J" hidden="1">
          <a:extLst>
            <a:ext uri="{FF2B5EF4-FFF2-40B4-BE49-F238E27FC236}">
              <a16:creationId xmlns:a16="http://schemas.microsoft.com/office/drawing/2014/main" id="{831BD479-3E26-4CCE-A161-AC9789F47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321" name="BEx5AQZ4ETQ9LMY5EBWVH20Z7VXQ" hidden="1">
          <a:extLst>
            <a:ext uri="{FF2B5EF4-FFF2-40B4-BE49-F238E27FC236}">
              <a16:creationId xmlns:a16="http://schemas.microsoft.com/office/drawing/2014/main" id="{32CD726D-3EE3-42F1-A32D-1483E2C67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22" name="BEx5BJQWS6YWHH4ZMSUAMD641V6Y" descr="ZTMFMXCIQSECDX38ALEFHUB00" hidden="1">
          <a:extLst>
            <a:ext uri="{FF2B5EF4-FFF2-40B4-BE49-F238E27FC236}">
              <a16:creationId xmlns:a16="http://schemas.microsoft.com/office/drawing/2014/main" id="{2ECC1DF7-87D6-41F2-85D6-BF692744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23" name="BExUBK0YZ5VYFY8TTITJGJU9S06A" hidden="1">
          <a:extLst>
            <a:ext uri="{FF2B5EF4-FFF2-40B4-BE49-F238E27FC236}">
              <a16:creationId xmlns:a16="http://schemas.microsoft.com/office/drawing/2014/main" id="{7B08FEA8-B518-446C-ADA4-04BEF272B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324" name="BEx1KD7H6UB1VYCJ7O61P562EIUY" descr="IQGV9140X0K0UPBL8OGU3I44J" hidden="1">
          <a:extLst>
            <a:ext uri="{FF2B5EF4-FFF2-40B4-BE49-F238E27FC236}">
              <a16:creationId xmlns:a16="http://schemas.microsoft.com/office/drawing/2014/main" id="{C2910DA2-B62E-4CFF-B2C6-00781E09A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325" name="BEx5AQZ4ETQ9LMY5EBWVH20Z7VXQ" hidden="1">
          <a:extLst>
            <a:ext uri="{FF2B5EF4-FFF2-40B4-BE49-F238E27FC236}">
              <a16:creationId xmlns:a16="http://schemas.microsoft.com/office/drawing/2014/main" id="{F04E183C-0B70-4388-BDD8-AD58A2C1F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26" name="BEx5BJQWS6YWHH4ZMSUAMD641V6Y" descr="ZTMFMXCIQSECDX38ALEFHUB00" hidden="1">
          <a:extLst>
            <a:ext uri="{FF2B5EF4-FFF2-40B4-BE49-F238E27FC236}">
              <a16:creationId xmlns:a16="http://schemas.microsoft.com/office/drawing/2014/main" id="{BAF6566C-4679-460E-A7F7-55F0C7A6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27" name="BExUBK0YZ5VYFY8TTITJGJU9S06A" hidden="1">
          <a:extLst>
            <a:ext uri="{FF2B5EF4-FFF2-40B4-BE49-F238E27FC236}">
              <a16:creationId xmlns:a16="http://schemas.microsoft.com/office/drawing/2014/main" id="{7AEBD7D6-52AD-41A6-9084-3AF75CF73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28" name="BEx5BJQWS6YWHH4ZMSUAMD641V6Y" descr="ZTMFMXCIQSECDX38ALEFHUB00" hidden="1">
          <a:extLst>
            <a:ext uri="{FF2B5EF4-FFF2-40B4-BE49-F238E27FC236}">
              <a16:creationId xmlns:a16="http://schemas.microsoft.com/office/drawing/2014/main" id="{67E2FCE5-32BB-489F-BA8C-FA919D12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29" name="BExUBK0YZ5VYFY8TTITJGJU9S06A" hidden="1">
          <a:extLst>
            <a:ext uri="{FF2B5EF4-FFF2-40B4-BE49-F238E27FC236}">
              <a16:creationId xmlns:a16="http://schemas.microsoft.com/office/drawing/2014/main" id="{AF6817F3-C1A0-40BE-AD25-B1F099B4C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330" name="BEx1KD7H6UB1VYCJ7O61P562EIUY" descr="IQGV9140X0K0UPBL8OGU3I44J" hidden="1">
          <a:extLst>
            <a:ext uri="{FF2B5EF4-FFF2-40B4-BE49-F238E27FC236}">
              <a16:creationId xmlns:a16="http://schemas.microsoft.com/office/drawing/2014/main" id="{17B74565-C6D7-40E4-8256-484C4DD98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331" name="BEx5AQZ4ETQ9LMY5EBWVH20Z7VXQ" hidden="1">
          <a:extLst>
            <a:ext uri="{FF2B5EF4-FFF2-40B4-BE49-F238E27FC236}">
              <a16:creationId xmlns:a16="http://schemas.microsoft.com/office/drawing/2014/main" id="{BAB2C157-1F96-4ED2-83B2-A7D1F46DE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32" name="BEx5BJQWS6YWHH4ZMSUAMD641V6Y" descr="ZTMFMXCIQSECDX38ALEFHUB00" hidden="1">
          <a:extLst>
            <a:ext uri="{FF2B5EF4-FFF2-40B4-BE49-F238E27FC236}">
              <a16:creationId xmlns:a16="http://schemas.microsoft.com/office/drawing/2014/main" id="{68F07B7C-7A36-433C-BEC2-2BE3B3A64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33" name="BExUBK0YZ5VYFY8TTITJGJU9S06A" hidden="1">
          <a:extLst>
            <a:ext uri="{FF2B5EF4-FFF2-40B4-BE49-F238E27FC236}">
              <a16:creationId xmlns:a16="http://schemas.microsoft.com/office/drawing/2014/main" id="{A6A1E6C5-C9C2-4C8B-8113-FF77A4AA9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34" name="BEx5BJQWS6YWHH4ZMSUAMD641V6Y" descr="ZTMFMXCIQSECDX38ALEFHUB00" hidden="1">
          <a:extLst>
            <a:ext uri="{FF2B5EF4-FFF2-40B4-BE49-F238E27FC236}">
              <a16:creationId xmlns:a16="http://schemas.microsoft.com/office/drawing/2014/main" id="{4E76CC32-8A55-4847-8B94-619B48BF1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35" name="BExUBK0YZ5VYFY8TTITJGJU9S06A" hidden="1">
          <a:extLst>
            <a:ext uri="{FF2B5EF4-FFF2-40B4-BE49-F238E27FC236}">
              <a16:creationId xmlns:a16="http://schemas.microsoft.com/office/drawing/2014/main" id="{8EBECC49-071E-4A3A-8102-C5387E42C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36" name="BEx5BJQWS6YWHH4ZMSUAMD641V6Y" descr="ZTMFMXCIQSECDX38ALEFHUB00" hidden="1">
          <a:extLst>
            <a:ext uri="{FF2B5EF4-FFF2-40B4-BE49-F238E27FC236}">
              <a16:creationId xmlns:a16="http://schemas.microsoft.com/office/drawing/2014/main" id="{FFBE461B-27D0-47B3-9758-8C1EAAB1A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37" name="BExUBK0YZ5VYFY8TTITJGJU9S06A" hidden="1">
          <a:extLst>
            <a:ext uri="{FF2B5EF4-FFF2-40B4-BE49-F238E27FC236}">
              <a16:creationId xmlns:a16="http://schemas.microsoft.com/office/drawing/2014/main" id="{78A98780-DE35-4DB3-BEBB-A866AC915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338" name="BEx1KD7H6UB1VYCJ7O61P562EIUY" descr="IQGV9140X0K0UPBL8OGU3I44J" hidden="1">
          <a:extLst>
            <a:ext uri="{FF2B5EF4-FFF2-40B4-BE49-F238E27FC236}">
              <a16:creationId xmlns:a16="http://schemas.microsoft.com/office/drawing/2014/main" id="{E196D635-D930-4F75-A4E5-8365BDA91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1905</xdr:rowOff>
    </xdr:from>
    <xdr:ext cx="59531" cy="829901"/>
    <xdr:pic>
      <xdr:nvPicPr>
        <xdr:cNvPr id="2339" name="BEx5AQZ4ETQ9LMY5EBWVH20Z7VXQ" hidden="1">
          <a:extLst>
            <a:ext uri="{FF2B5EF4-FFF2-40B4-BE49-F238E27FC236}">
              <a16:creationId xmlns:a16="http://schemas.microsoft.com/office/drawing/2014/main" id="{97B48877-BC9B-4A9B-9E38-EB3A2543D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202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40" name="BEx5BJQWS6YWHH4ZMSUAMD641V6Y" descr="ZTMFMXCIQSECDX38ALEFHUB00" hidden="1">
          <a:extLst>
            <a:ext uri="{FF2B5EF4-FFF2-40B4-BE49-F238E27FC236}">
              <a16:creationId xmlns:a16="http://schemas.microsoft.com/office/drawing/2014/main" id="{964F53B0-139A-401F-8C9C-A53C9807E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41" name="BExUBK0YZ5VYFY8TTITJGJU9S06A" hidden="1">
          <a:extLst>
            <a:ext uri="{FF2B5EF4-FFF2-40B4-BE49-F238E27FC236}">
              <a16:creationId xmlns:a16="http://schemas.microsoft.com/office/drawing/2014/main" id="{CE19D8B7-A043-40C8-9DA3-0CB8122AA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42" name="BEx5BJQWS6YWHH4ZMSUAMD641V6Y" descr="ZTMFMXCIQSECDX38ALEFHUB00" hidden="1">
          <a:extLst>
            <a:ext uri="{FF2B5EF4-FFF2-40B4-BE49-F238E27FC236}">
              <a16:creationId xmlns:a16="http://schemas.microsoft.com/office/drawing/2014/main" id="{12BB7B85-F502-4854-93CD-EA918F37E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43" name="BExUBK0YZ5VYFY8TTITJGJU9S06A" hidden="1">
          <a:extLst>
            <a:ext uri="{FF2B5EF4-FFF2-40B4-BE49-F238E27FC236}">
              <a16:creationId xmlns:a16="http://schemas.microsoft.com/office/drawing/2014/main" id="{11BE7D4A-5E30-44B3-BF38-5EB7EF1AB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44" name="BEx5BJQWS6YWHH4ZMSUAMD641V6Y" descr="ZTMFMXCIQSECDX38ALEFHUB00" hidden="1">
          <a:extLst>
            <a:ext uri="{FF2B5EF4-FFF2-40B4-BE49-F238E27FC236}">
              <a16:creationId xmlns:a16="http://schemas.microsoft.com/office/drawing/2014/main" id="{B82D5DEC-2324-4EAC-8D39-F7FDAECC6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45" name="BExUBK0YZ5VYFY8TTITJGJU9S06A" hidden="1">
          <a:extLst>
            <a:ext uri="{FF2B5EF4-FFF2-40B4-BE49-F238E27FC236}">
              <a16:creationId xmlns:a16="http://schemas.microsoft.com/office/drawing/2014/main" id="{5F8B8B31-D3CC-44E0-AF6F-A8D4EF7BC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46" name="BEx5BJQWS6YWHH4ZMSUAMD641V6Y" descr="ZTMFMXCIQSECDX38ALEFHUB00" hidden="1">
          <a:extLst>
            <a:ext uri="{FF2B5EF4-FFF2-40B4-BE49-F238E27FC236}">
              <a16:creationId xmlns:a16="http://schemas.microsoft.com/office/drawing/2014/main" id="{86BE2EAB-FBB0-4EBE-BD31-0D9E3573C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47" name="BExUBK0YZ5VYFY8TTITJGJU9S06A" hidden="1">
          <a:extLst>
            <a:ext uri="{FF2B5EF4-FFF2-40B4-BE49-F238E27FC236}">
              <a16:creationId xmlns:a16="http://schemas.microsoft.com/office/drawing/2014/main" id="{DFA5B869-0DCA-467F-B61B-5EB349F60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48" name="BEx5BJQWS6YWHH4ZMSUAMD641V6Y" descr="ZTMFMXCIQSECDX38ALEFHUB00" hidden="1">
          <a:extLst>
            <a:ext uri="{FF2B5EF4-FFF2-40B4-BE49-F238E27FC236}">
              <a16:creationId xmlns:a16="http://schemas.microsoft.com/office/drawing/2014/main" id="{D582D030-B311-41EA-8C70-79E6668DC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49" name="BExUBK0YZ5VYFY8TTITJGJU9S06A" hidden="1">
          <a:extLst>
            <a:ext uri="{FF2B5EF4-FFF2-40B4-BE49-F238E27FC236}">
              <a16:creationId xmlns:a16="http://schemas.microsoft.com/office/drawing/2014/main" id="{8B5981FD-F138-415D-838D-398692A21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50" name="BEx5BJQWS6YWHH4ZMSUAMD641V6Y" descr="ZTMFMXCIQSECDX38ALEFHUB00" hidden="1">
          <a:extLst>
            <a:ext uri="{FF2B5EF4-FFF2-40B4-BE49-F238E27FC236}">
              <a16:creationId xmlns:a16="http://schemas.microsoft.com/office/drawing/2014/main" id="{EB022DA9-B292-41D1-AB75-AEE98B44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51" name="BExUBK0YZ5VYFY8TTITJGJU9S06A" hidden="1">
          <a:extLst>
            <a:ext uri="{FF2B5EF4-FFF2-40B4-BE49-F238E27FC236}">
              <a16:creationId xmlns:a16="http://schemas.microsoft.com/office/drawing/2014/main" id="{BB03FAB1-E398-428B-8B41-6F9ED56B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352" name="BExMO7VFCN4EL59982UR4AJ25JNJ" descr="XX6TINEJADZGKR0CTM7ZRT0RA" hidden="1">
          <a:extLst>
            <a:ext uri="{FF2B5EF4-FFF2-40B4-BE49-F238E27FC236}">
              <a16:creationId xmlns:a16="http://schemas.microsoft.com/office/drawing/2014/main" id="{B4A471D7-9F9C-4B6B-9E7F-6487483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0</xdr:rowOff>
    </xdr:from>
    <xdr:ext cx="59531" cy="295275"/>
    <xdr:pic>
      <xdr:nvPicPr>
        <xdr:cNvPr id="2353" name="BExU3EX5JJCXCII4YKUJBFBGIJR2" descr="OF5ZI9PI5WH36VPANJ2DYLNMI" hidden="1">
          <a:extLst>
            <a:ext uri="{FF2B5EF4-FFF2-40B4-BE49-F238E27FC236}">
              <a16:creationId xmlns:a16="http://schemas.microsoft.com/office/drawing/2014/main" id="{A7F96935-95DD-4E9D-A586-7EE295C79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354" name="BEx1KD7H6UB1VYCJ7O61P562EIUY" descr="IQGV9140X0K0UPBL8OGU3I44J" hidden="1">
          <a:extLst>
            <a:ext uri="{FF2B5EF4-FFF2-40B4-BE49-F238E27FC236}">
              <a16:creationId xmlns:a16="http://schemas.microsoft.com/office/drawing/2014/main" id="{65240E5F-A8EB-48B9-A970-1CDD1E7C0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55" name="BEx5BJQWS6YWHH4ZMSUAMD641V6Y" descr="ZTMFMXCIQSECDX38ALEFHUB00" hidden="1">
          <a:extLst>
            <a:ext uri="{FF2B5EF4-FFF2-40B4-BE49-F238E27FC236}">
              <a16:creationId xmlns:a16="http://schemas.microsoft.com/office/drawing/2014/main" id="{3C2B4547-38E5-4855-803C-A241A2895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22</xdr:row>
      <xdr:rowOff>1905</xdr:rowOff>
    </xdr:from>
    <xdr:ext cx="59531" cy="829901"/>
    <xdr:pic>
      <xdr:nvPicPr>
        <xdr:cNvPr id="2356" name="BExVTO5Q8G2M7BPL4B2584LQS0R0" descr="OB6Q8NA4LZFE4GM9Y3V56BPMQ" hidden="1">
          <a:extLst>
            <a:ext uri="{FF2B5EF4-FFF2-40B4-BE49-F238E27FC236}">
              <a16:creationId xmlns:a16="http://schemas.microsoft.com/office/drawing/2014/main" id="{C35AEFB2-6C45-4226-8D04-580C6EDF5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22</xdr:row>
      <xdr:rowOff>0</xdr:rowOff>
    </xdr:from>
    <xdr:ext cx="59531" cy="295275"/>
    <xdr:pic>
      <xdr:nvPicPr>
        <xdr:cNvPr id="2357" name="BExIFSCLN1G86X78PFLTSMRP0US5" descr="9JK4SPV4DG7VTCZIILWHXQU5J" hidden="1">
          <a:extLst>
            <a:ext uri="{FF2B5EF4-FFF2-40B4-BE49-F238E27FC236}">
              <a16:creationId xmlns:a16="http://schemas.microsoft.com/office/drawing/2014/main" id="{00E5FD72-1966-4177-8F44-DCB5748CC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358" name="BEx1I152WN2D3A85O2XN0DGXCWHN" descr="KHBZFMANRA4UMJR1AB4M5NJNT" hidden="1">
          <a:extLst>
            <a:ext uri="{FF2B5EF4-FFF2-40B4-BE49-F238E27FC236}">
              <a16:creationId xmlns:a16="http://schemas.microsoft.com/office/drawing/2014/main" id="{3334895D-631C-40F5-873B-6765F1020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0</xdr:rowOff>
    </xdr:from>
    <xdr:ext cx="59531" cy="295275"/>
    <xdr:pic>
      <xdr:nvPicPr>
        <xdr:cNvPr id="2359" name="BExW9676P0SKCVKK25QCGHPA3PAD" descr="9A4PWZ20RMSRF0PNECCDM75CA" hidden="1">
          <a:extLst>
            <a:ext uri="{FF2B5EF4-FFF2-40B4-BE49-F238E27FC236}">
              <a16:creationId xmlns:a16="http://schemas.microsoft.com/office/drawing/2014/main" id="{FB936533-8FF7-46D0-9660-947E50E11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360" name="BExS5CPQ8P8JOQPK7ANNKHLSGOKU" hidden="1">
          <a:extLst>
            <a:ext uri="{FF2B5EF4-FFF2-40B4-BE49-F238E27FC236}">
              <a16:creationId xmlns:a16="http://schemas.microsoft.com/office/drawing/2014/main" id="{46ECE36A-86E9-4CF7-AD61-5D61795E2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0</xdr:rowOff>
    </xdr:from>
    <xdr:ext cx="59531" cy="295275"/>
    <xdr:pic>
      <xdr:nvPicPr>
        <xdr:cNvPr id="2361" name="BExMM0AVUAIRNJLXB1FW8R0YB4ZZ" hidden="1">
          <a:extLst>
            <a:ext uri="{FF2B5EF4-FFF2-40B4-BE49-F238E27FC236}">
              <a16:creationId xmlns:a16="http://schemas.microsoft.com/office/drawing/2014/main" id="{C4B519A2-5D39-4260-9F65-DB0CDB7CB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22</xdr:row>
      <xdr:rowOff>1905</xdr:rowOff>
    </xdr:from>
    <xdr:ext cx="59531" cy="829901"/>
    <xdr:pic>
      <xdr:nvPicPr>
        <xdr:cNvPr id="2362" name="BExXZ7Y09CBS0XA7IPB3IRJ8RJM4" hidden="1">
          <a:extLst>
            <a:ext uri="{FF2B5EF4-FFF2-40B4-BE49-F238E27FC236}">
              <a16:creationId xmlns:a16="http://schemas.microsoft.com/office/drawing/2014/main" id="{CA895E67-9421-485F-8237-0C4FC5FAE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22</xdr:row>
      <xdr:rowOff>0</xdr:rowOff>
    </xdr:from>
    <xdr:ext cx="59531" cy="295275"/>
    <xdr:pic>
      <xdr:nvPicPr>
        <xdr:cNvPr id="2363" name="BExQ7SXS9VUG7P6CACU2J7R2SGIZ" hidden="1">
          <a:extLst>
            <a:ext uri="{FF2B5EF4-FFF2-40B4-BE49-F238E27FC236}">
              <a16:creationId xmlns:a16="http://schemas.microsoft.com/office/drawing/2014/main" id="{C1149572-38CE-4495-96D4-D38D86E87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364" name="BEx5AQZ4ETQ9LMY5EBWVH20Z7VXQ" hidden="1">
          <a:extLst>
            <a:ext uri="{FF2B5EF4-FFF2-40B4-BE49-F238E27FC236}">
              <a16:creationId xmlns:a16="http://schemas.microsoft.com/office/drawing/2014/main" id="{C86446AE-2560-42F6-B940-FAD9FE434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0</xdr:rowOff>
    </xdr:from>
    <xdr:ext cx="59531" cy="295275"/>
    <xdr:pic>
      <xdr:nvPicPr>
        <xdr:cNvPr id="2365" name="BExUBK0YZ5VYFY8TTITJGJU9S06A" hidden="1">
          <a:extLst>
            <a:ext uri="{FF2B5EF4-FFF2-40B4-BE49-F238E27FC236}">
              <a16:creationId xmlns:a16="http://schemas.microsoft.com/office/drawing/2014/main" id="{6A026D68-8E27-491E-92CF-58E19BFC4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391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22</xdr:row>
      <xdr:rowOff>1905</xdr:rowOff>
    </xdr:from>
    <xdr:ext cx="47625" cy="829901"/>
    <xdr:pic>
      <xdr:nvPicPr>
        <xdr:cNvPr id="2366" name="BExUEZCSSJ7RN4J18I2NUIQR2FZS" hidden="1">
          <a:extLst>
            <a:ext uri="{FF2B5EF4-FFF2-40B4-BE49-F238E27FC236}">
              <a16:creationId xmlns:a16="http://schemas.microsoft.com/office/drawing/2014/main" id="{5EEABCD0-4C29-4292-9F20-61ED6B749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5393055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22</xdr:row>
      <xdr:rowOff>0</xdr:rowOff>
    </xdr:from>
    <xdr:ext cx="47625" cy="295275"/>
    <xdr:pic>
      <xdr:nvPicPr>
        <xdr:cNvPr id="2367" name="BExS3JDQWF7U3F5JTEVOE16ASIYK" hidden="1">
          <a:extLst>
            <a:ext uri="{FF2B5EF4-FFF2-40B4-BE49-F238E27FC236}">
              <a16:creationId xmlns:a16="http://schemas.microsoft.com/office/drawing/2014/main" id="{7B0A8C03-EA11-4AA3-B4FA-4F5E95AD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539115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368" name="BEx1KD7H6UB1VYCJ7O61P562EIUY" descr="IQGV9140X0K0UPBL8OGU3I44J" hidden="1">
          <a:extLst>
            <a:ext uri="{FF2B5EF4-FFF2-40B4-BE49-F238E27FC236}">
              <a16:creationId xmlns:a16="http://schemas.microsoft.com/office/drawing/2014/main" id="{F2DEDF57-C3B5-496E-B764-C13B89890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369" name="BEx5BJQWS6YWHH4ZMSUAMD641V6Y" descr="ZTMFMXCIQSECDX38ALEFHUB00" hidden="1">
          <a:extLst>
            <a:ext uri="{FF2B5EF4-FFF2-40B4-BE49-F238E27FC236}">
              <a16:creationId xmlns:a16="http://schemas.microsoft.com/office/drawing/2014/main" id="{2948A264-D012-42D7-B726-F969D2B43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370" name="BEx5AQZ4ETQ9LMY5EBWVH20Z7VXQ" hidden="1">
          <a:extLst>
            <a:ext uri="{FF2B5EF4-FFF2-40B4-BE49-F238E27FC236}">
              <a16:creationId xmlns:a16="http://schemas.microsoft.com/office/drawing/2014/main" id="{07F79DF5-08DF-4860-9754-412BDAEDD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371" name="BExUBK0YZ5VYFY8TTITJGJU9S06A" hidden="1">
          <a:extLst>
            <a:ext uri="{FF2B5EF4-FFF2-40B4-BE49-F238E27FC236}">
              <a16:creationId xmlns:a16="http://schemas.microsoft.com/office/drawing/2014/main" id="{FCC54954-2623-40EA-B90A-2C2E3237D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829901"/>
    <xdr:pic>
      <xdr:nvPicPr>
        <xdr:cNvPr id="2372" name="BExMO7VFCN4EL59982UR4AJ25JNJ" descr="XX6TINEJADZGKR0CTM7ZRT0RA" hidden="1">
          <a:extLst>
            <a:ext uri="{FF2B5EF4-FFF2-40B4-BE49-F238E27FC236}">
              <a16:creationId xmlns:a16="http://schemas.microsoft.com/office/drawing/2014/main" id="{2822115E-A648-4FCE-8959-2F8A58F6C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373" name="BExU3EX5JJCXCII4YKUJBFBGIJR2" descr="OF5ZI9PI5WH36VPANJ2DYLNMI" hidden="1">
          <a:extLst>
            <a:ext uri="{FF2B5EF4-FFF2-40B4-BE49-F238E27FC236}">
              <a16:creationId xmlns:a16="http://schemas.microsoft.com/office/drawing/2014/main" id="{0085B319-B0FE-4F94-997D-9DCB958E3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829901"/>
    <xdr:pic>
      <xdr:nvPicPr>
        <xdr:cNvPr id="2374" name="BEx1I152WN2D3A85O2XN0DGXCWHN" descr="KHBZFMANRA4UMJR1AB4M5NJNT" hidden="1">
          <a:extLst>
            <a:ext uri="{FF2B5EF4-FFF2-40B4-BE49-F238E27FC236}">
              <a16:creationId xmlns:a16="http://schemas.microsoft.com/office/drawing/2014/main" id="{87761D2C-CC2C-4106-817C-91FDFBC53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375" name="BExW9676P0SKCVKK25QCGHPA3PAD" descr="9A4PWZ20RMSRF0PNECCDM75CA" hidden="1">
          <a:extLst>
            <a:ext uri="{FF2B5EF4-FFF2-40B4-BE49-F238E27FC236}">
              <a16:creationId xmlns:a16="http://schemas.microsoft.com/office/drawing/2014/main" id="{1B9E7F3E-7978-4DC3-8D38-629F37578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829901"/>
    <xdr:pic>
      <xdr:nvPicPr>
        <xdr:cNvPr id="2376" name="BExS5CPQ8P8JOQPK7ANNKHLSGOKU" hidden="1">
          <a:extLst>
            <a:ext uri="{FF2B5EF4-FFF2-40B4-BE49-F238E27FC236}">
              <a16:creationId xmlns:a16="http://schemas.microsoft.com/office/drawing/2014/main" id="{002FED50-6585-4693-ADAE-6F155C84F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377" name="BExMM0AVUAIRNJLXB1FW8R0YB4ZZ" hidden="1">
          <a:extLst>
            <a:ext uri="{FF2B5EF4-FFF2-40B4-BE49-F238E27FC236}">
              <a16:creationId xmlns:a16="http://schemas.microsoft.com/office/drawing/2014/main" id="{5DBCE2F5-7EE8-4292-A8ED-682B660EA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23</xdr:row>
      <xdr:rowOff>0</xdr:rowOff>
    </xdr:from>
    <xdr:ext cx="59531" cy="829901"/>
    <xdr:pic>
      <xdr:nvPicPr>
        <xdr:cNvPr id="2378" name="BExXZ7Y09CBS0XA7IPB3IRJ8RJM4" hidden="1">
          <a:extLst>
            <a:ext uri="{FF2B5EF4-FFF2-40B4-BE49-F238E27FC236}">
              <a16:creationId xmlns:a16="http://schemas.microsoft.com/office/drawing/2014/main" id="{0C203C2A-3786-4818-9C91-A8D2FDF9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379" name="BExQ7SXS9VUG7P6CACU2J7R2SGIZ" hidden="1">
          <a:extLst>
            <a:ext uri="{FF2B5EF4-FFF2-40B4-BE49-F238E27FC236}">
              <a16:creationId xmlns:a16="http://schemas.microsoft.com/office/drawing/2014/main" id="{52E191FA-3137-47A7-A939-D22A5DCEE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380" name="BExU3EX5JJCXCII4YKUJBFBGIJR2" descr="OF5ZI9PI5WH36VPANJ2DYLNMI" hidden="1">
          <a:extLst>
            <a:ext uri="{FF2B5EF4-FFF2-40B4-BE49-F238E27FC236}">
              <a16:creationId xmlns:a16="http://schemas.microsoft.com/office/drawing/2014/main" id="{62BA496E-C8BA-4D8A-8628-B9062154E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381" name="BExW9676P0SKCVKK25QCGHPA3PAD" descr="9A4PWZ20RMSRF0PNECCDM75CA" hidden="1">
          <a:extLst>
            <a:ext uri="{FF2B5EF4-FFF2-40B4-BE49-F238E27FC236}">
              <a16:creationId xmlns:a16="http://schemas.microsoft.com/office/drawing/2014/main" id="{F6FF3264-5F63-4D26-B8C9-85457500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382" name="BExMM0AVUAIRNJLXB1FW8R0YB4ZZ" hidden="1">
          <a:extLst>
            <a:ext uri="{FF2B5EF4-FFF2-40B4-BE49-F238E27FC236}">
              <a16:creationId xmlns:a16="http://schemas.microsoft.com/office/drawing/2014/main" id="{50E2F4E9-C4B4-40B7-B48E-DCB4D7D24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383" name="BExQ7SXS9VUG7P6CACU2J7R2SGIZ" hidden="1">
          <a:extLst>
            <a:ext uri="{FF2B5EF4-FFF2-40B4-BE49-F238E27FC236}">
              <a16:creationId xmlns:a16="http://schemas.microsoft.com/office/drawing/2014/main" id="{F3C0741E-5E85-4E17-AE2E-8E3022703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384" name="BEx1KD7H6UB1VYCJ7O61P562EIUY" descr="IQGV9140X0K0UPBL8OGU3I44J" hidden="1">
          <a:extLst>
            <a:ext uri="{FF2B5EF4-FFF2-40B4-BE49-F238E27FC236}">
              <a16:creationId xmlns:a16="http://schemas.microsoft.com/office/drawing/2014/main" id="{9D776666-DD50-40C7-908F-C94B8A9A9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385" name="BEx5BJQWS6YWHH4ZMSUAMD641V6Y" descr="ZTMFMXCIQSECDX38ALEFHUB00" hidden="1">
          <a:extLst>
            <a:ext uri="{FF2B5EF4-FFF2-40B4-BE49-F238E27FC236}">
              <a16:creationId xmlns:a16="http://schemas.microsoft.com/office/drawing/2014/main" id="{98E4F7FA-ADE7-422E-BE44-E78BE06BF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386" name="BEx5AQZ4ETQ9LMY5EBWVH20Z7VXQ" hidden="1">
          <a:extLst>
            <a:ext uri="{FF2B5EF4-FFF2-40B4-BE49-F238E27FC236}">
              <a16:creationId xmlns:a16="http://schemas.microsoft.com/office/drawing/2014/main" id="{7960CCF8-FB79-42B1-AB13-02B0312EF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387" name="BExUBK0YZ5VYFY8TTITJGJU9S06A" hidden="1">
          <a:extLst>
            <a:ext uri="{FF2B5EF4-FFF2-40B4-BE49-F238E27FC236}">
              <a16:creationId xmlns:a16="http://schemas.microsoft.com/office/drawing/2014/main" id="{287B5307-802F-41E2-8995-CF28E5BFD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388" name="BEx5BJQWS6YWHH4ZMSUAMD641V6Y" descr="ZTMFMXCIQSECDX38ALEFHUB00" hidden="1">
          <a:extLst>
            <a:ext uri="{FF2B5EF4-FFF2-40B4-BE49-F238E27FC236}">
              <a16:creationId xmlns:a16="http://schemas.microsoft.com/office/drawing/2014/main" id="{7F666E55-CE9F-4439-9E82-731E43591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389" name="BExUBK0YZ5VYFY8TTITJGJU9S06A" hidden="1">
          <a:extLst>
            <a:ext uri="{FF2B5EF4-FFF2-40B4-BE49-F238E27FC236}">
              <a16:creationId xmlns:a16="http://schemas.microsoft.com/office/drawing/2014/main" id="{B9094B01-FD72-4C67-A0ED-7454D092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390" name="BEx1KD7H6UB1VYCJ7O61P562EIUY" descr="IQGV9140X0K0UPBL8OGU3I44J" hidden="1">
          <a:extLst>
            <a:ext uri="{FF2B5EF4-FFF2-40B4-BE49-F238E27FC236}">
              <a16:creationId xmlns:a16="http://schemas.microsoft.com/office/drawing/2014/main" id="{09297D80-B2D1-4D12-A26A-DB44447F2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391" name="BEx5BJQWS6YWHH4ZMSUAMD641V6Y" descr="ZTMFMXCIQSECDX38ALEFHUB00" hidden="1">
          <a:extLst>
            <a:ext uri="{FF2B5EF4-FFF2-40B4-BE49-F238E27FC236}">
              <a16:creationId xmlns:a16="http://schemas.microsoft.com/office/drawing/2014/main" id="{1DFC00A3-3F3D-455E-B4B0-E868D62E1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392" name="BEx5AQZ4ETQ9LMY5EBWVH20Z7VXQ" hidden="1">
          <a:extLst>
            <a:ext uri="{FF2B5EF4-FFF2-40B4-BE49-F238E27FC236}">
              <a16:creationId xmlns:a16="http://schemas.microsoft.com/office/drawing/2014/main" id="{D88D4A2B-FB95-48EB-95AC-FBBFB6213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393" name="BExUBK0YZ5VYFY8TTITJGJU9S06A" hidden="1">
          <a:extLst>
            <a:ext uri="{FF2B5EF4-FFF2-40B4-BE49-F238E27FC236}">
              <a16:creationId xmlns:a16="http://schemas.microsoft.com/office/drawing/2014/main" id="{E78CD13D-2D5F-410F-81E7-78D89ECF8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394" name="BEx5BJQWS6YWHH4ZMSUAMD641V6Y" descr="ZTMFMXCIQSECDX38ALEFHUB00" hidden="1">
          <a:extLst>
            <a:ext uri="{FF2B5EF4-FFF2-40B4-BE49-F238E27FC236}">
              <a16:creationId xmlns:a16="http://schemas.microsoft.com/office/drawing/2014/main" id="{719F3F5C-86CA-4DC9-979E-AD5610A93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395" name="BExUBK0YZ5VYFY8TTITJGJU9S06A" hidden="1">
          <a:extLst>
            <a:ext uri="{FF2B5EF4-FFF2-40B4-BE49-F238E27FC236}">
              <a16:creationId xmlns:a16="http://schemas.microsoft.com/office/drawing/2014/main" id="{D34BAD0A-B0A2-4363-BAA3-9CF557908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396" name="BEx5BJQWS6YWHH4ZMSUAMD641V6Y" descr="ZTMFMXCIQSECDX38ALEFHUB00" hidden="1">
          <a:extLst>
            <a:ext uri="{FF2B5EF4-FFF2-40B4-BE49-F238E27FC236}">
              <a16:creationId xmlns:a16="http://schemas.microsoft.com/office/drawing/2014/main" id="{77B69C32-BC84-43E7-8343-0ADBEB4EF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397" name="BExUBK0YZ5VYFY8TTITJGJU9S06A" hidden="1">
          <a:extLst>
            <a:ext uri="{FF2B5EF4-FFF2-40B4-BE49-F238E27FC236}">
              <a16:creationId xmlns:a16="http://schemas.microsoft.com/office/drawing/2014/main" id="{DE8E562B-6B08-4ACF-9485-34B3C3FDE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398" name="BEx1KD7H6UB1VYCJ7O61P562EIUY" descr="IQGV9140X0K0UPBL8OGU3I44J" hidden="1">
          <a:extLst>
            <a:ext uri="{FF2B5EF4-FFF2-40B4-BE49-F238E27FC236}">
              <a16:creationId xmlns:a16="http://schemas.microsoft.com/office/drawing/2014/main" id="{1C7B4B65-4537-4A06-A8C0-DC7794F22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399" name="BEx5BJQWS6YWHH4ZMSUAMD641V6Y" descr="ZTMFMXCIQSECDX38ALEFHUB00" hidden="1">
          <a:extLst>
            <a:ext uri="{FF2B5EF4-FFF2-40B4-BE49-F238E27FC236}">
              <a16:creationId xmlns:a16="http://schemas.microsoft.com/office/drawing/2014/main" id="{5A6ABDF0-4910-4F73-A686-DCDC641E4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00" name="BEx5AQZ4ETQ9LMY5EBWVH20Z7VXQ" hidden="1">
          <a:extLst>
            <a:ext uri="{FF2B5EF4-FFF2-40B4-BE49-F238E27FC236}">
              <a16:creationId xmlns:a16="http://schemas.microsoft.com/office/drawing/2014/main" id="{45790BEB-5249-4E14-ADE2-71C22BCA3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01" name="BExUBK0YZ5VYFY8TTITJGJU9S06A" hidden="1">
          <a:extLst>
            <a:ext uri="{FF2B5EF4-FFF2-40B4-BE49-F238E27FC236}">
              <a16:creationId xmlns:a16="http://schemas.microsoft.com/office/drawing/2014/main" id="{5D9F5C40-9F35-43D9-84DC-F6FE86864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02" name="BEx5BJQWS6YWHH4ZMSUAMD641V6Y" descr="ZTMFMXCIQSECDX38ALEFHUB00" hidden="1">
          <a:extLst>
            <a:ext uri="{FF2B5EF4-FFF2-40B4-BE49-F238E27FC236}">
              <a16:creationId xmlns:a16="http://schemas.microsoft.com/office/drawing/2014/main" id="{DF2122FA-7D79-4F9F-B763-6C039C456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03" name="BExUBK0YZ5VYFY8TTITJGJU9S06A" hidden="1">
          <a:extLst>
            <a:ext uri="{FF2B5EF4-FFF2-40B4-BE49-F238E27FC236}">
              <a16:creationId xmlns:a16="http://schemas.microsoft.com/office/drawing/2014/main" id="{0F93451F-3217-4774-9E58-C93F7B0B0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04" name="BEx5BJQWS6YWHH4ZMSUAMD641V6Y" descr="ZTMFMXCIQSECDX38ALEFHUB00" hidden="1">
          <a:extLst>
            <a:ext uri="{FF2B5EF4-FFF2-40B4-BE49-F238E27FC236}">
              <a16:creationId xmlns:a16="http://schemas.microsoft.com/office/drawing/2014/main" id="{C283C229-F1CA-4B56-90E5-FE92603F4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05" name="BExUBK0YZ5VYFY8TTITJGJU9S06A" hidden="1">
          <a:extLst>
            <a:ext uri="{FF2B5EF4-FFF2-40B4-BE49-F238E27FC236}">
              <a16:creationId xmlns:a16="http://schemas.microsoft.com/office/drawing/2014/main" id="{CD278E05-45BC-4581-A879-0401BEEB0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06" name="BEx5BJQWS6YWHH4ZMSUAMD641V6Y" descr="ZTMFMXCIQSECDX38ALEFHUB00" hidden="1">
          <a:extLst>
            <a:ext uri="{FF2B5EF4-FFF2-40B4-BE49-F238E27FC236}">
              <a16:creationId xmlns:a16="http://schemas.microsoft.com/office/drawing/2014/main" id="{6BE8F295-B48F-446D-8E05-C82785B42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07" name="BExUBK0YZ5VYFY8TTITJGJU9S06A" hidden="1">
          <a:extLst>
            <a:ext uri="{FF2B5EF4-FFF2-40B4-BE49-F238E27FC236}">
              <a16:creationId xmlns:a16="http://schemas.microsoft.com/office/drawing/2014/main" id="{2156589E-BA00-41EB-B324-089079300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829901"/>
    <xdr:pic>
      <xdr:nvPicPr>
        <xdr:cNvPr id="2408" name="BExMO7VFCN4EL59982UR4AJ25JNJ" descr="XX6TINEJADZGKR0CTM7ZRT0RA" hidden="1">
          <a:extLst>
            <a:ext uri="{FF2B5EF4-FFF2-40B4-BE49-F238E27FC236}">
              <a16:creationId xmlns:a16="http://schemas.microsoft.com/office/drawing/2014/main" id="{AC269E77-D61E-406E-A6F8-AB4A120F8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409" name="BExU3EX5JJCXCII4YKUJBFBGIJR2" descr="OF5ZI9PI5WH36VPANJ2DYLNMI" hidden="1">
          <a:extLst>
            <a:ext uri="{FF2B5EF4-FFF2-40B4-BE49-F238E27FC236}">
              <a16:creationId xmlns:a16="http://schemas.microsoft.com/office/drawing/2014/main" id="{54226C14-6B13-4842-BEB2-A8AF5ACDC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829901"/>
    <xdr:pic>
      <xdr:nvPicPr>
        <xdr:cNvPr id="2410" name="BEx1I152WN2D3A85O2XN0DGXCWHN" descr="KHBZFMANRA4UMJR1AB4M5NJNT" hidden="1">
          <a:extLst>
            <a:ext uri="{FF2B5EF4-FFF2-40B4-BE49-F238E27FC236}">
              <a16:creationId xmlns:a16="http://schemas.microsoft.com/office/drawing/2014/main" id="{6650B508-435D-42BA-B6C2-C33EF3BAB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411" name="BExW9676P0SKCVKK25QCGHPA3PAD" descr="9A4PWZ20RMSRF0PNECCDM75CA" hidden="1">
          <a:extLst>
            <a:ext uri="{FF2B5EF4-FFF2-40B4-BE49-F238E27FC236}">
              <a16:creationId xmlns:a16="http://schemas.microsoft.com/office/drawing/2014/main" id="{819B2047-2096-4826-AD1D-838634040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829901"/>
    <xdr:pic>
      <xdr:nvPicPr>
        <xdr:cNvPr id="2412" name="BExS5CPQ8P8JOQPK7ANNKHLSGOKU" hidden="1">
          <a:extLst>
            <a:ext uri="{FF2B5EF4-FFF2-40B4-BE49-F238E27FC236}">
              <a16:creationId xmlns:a16="http://schemas.microsoft.com/office/drawing/2014/main" id="{E27632E5-562C-4D4B-8D3C-34A18E642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413" name="BExMM0AVUAIRNJLXB1FW8R0YB4ZZ" hidden="1">
          <a:extLst>
            <a:ext uri="{FF2B5EF4-FFF2-40B4-BE49-F238E27FC236}">
              <a16:creationId xmlns:a16="http://schemas.microsoft.com/office/drawing/2014/main" id="{F8A3DFE9-BC71-46B0-BC56-01B3A5B9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23</xdr:row>
      <xdr:rowOff>0</xdr:rowOff>
    </xdr:from>
    <xdr:ext cx="59531" cy="829901"/>
    <xdr:pic>
      <xdr:nvPicPr>
        <xdr:cNvPr id="2414" name="BExXZ7Y09CBS0XA7IPB3IRJ8RJM4" hidden="1">
          <a:extLst>
            <a:ext uri="{FF2B5EF4-FFF2-40B4-BE49-F238E27FC236}">
              <a16:creationId xmlns:a16="http://schemas.microsoft.com/office/drawing/2014/main" id="{FCA42558-C699-4578-95A0-AF1DA298B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415" name="BExQ7SXS9VUG7P6CACU2J7R2SGIZ" hidden="1">
          <a:extLst>
            <a:ext uri="{FF2B5EF4-FFF2-40B4-BE49-F238E27FC236}">
              <a16:creationId xmlns:a16="http://schemas.microsoft.com/office/drawing/2014/main" id="{18577B72-B1FB-4882-93E1-64E51046B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416" name="BExU3EX5JJCXCII4YKUJBFBGIJR2" descr="OF5ZI9PI5WH36VPANJ2DYLNMI" hidden="1">
          <a:extLst>
            <a:ext uri="{FF2B5EF4-FFF2-40B4-BE49-F238E27FC236}">
              <a16:creationId xmlns:a16="http://schemas.microsoft.com/office/drawing/2014/main" id="{B4687C54-E82B-4610-A061-A0BD24511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417" name="BExW9676P0SKCVKK25QCGHPA3PAD" descr="9A4PWZ20RMSRF0PNECCDM75CA" hidden="1">
          <a:extLst>
            <a:ext uri="{FF2B5EF4-FFF2-40B4-BE49-F238E27FC236}">
              <a16:creationId xmlns:a16="http://schemas.microsoft.com/office/drawing/2014/main" id="{AEB89A3E-A674-4F5C-B50B-BC86861B5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418" name="BExMM0AVUAIRNJLXB1FW8R0YB4ZZ" hidden="1">
          <a:extLst>
            <a:ext uri="{FF2B5EF4-FFF2-40B4-BE49-F238E27FC236}">
              <a16:creationId xmlns:a16="http://schemas.microsoft.com/office/drawing/2014/main" id="{E58CA755-62A4-4A6A-9A3F-FF4D74FFC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419" name="BExQ7SXS9VUG7P6CACU2J7R2SGIZ" hidden="1">
          <a:extLst>
            <a:ext uri="{FF2B5EF4-FFF2-40B4-BE49-F238E27FC236}">
              <a16:creationId xmlns:a16="http://schemas.microsoft.com/office/drawing/2014/main" id="{70059D02-33A2-45F1-9C28-5A4A36435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20" name="BEx1KD7H6UB1VYCJ7O61P562EIUY" descr="IQGV9140X0K0UPBL8OGU3I44J" hidden="1">
          <a:extLst>
            <a:ext uri="{FF2B5EF4-FFF2-40B4-BE49-F238E27FC236}">
              <a16:creationId xmlns:a16="http://schemas.microsoft.com/office/drawing/2014/main" id="{6709DBE5-58D7-42F1-AA01-4AB34A01C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21" name="BEx5BJQWS6YWHH4ZMSUAMD641V6Y" descr="ZTMFMXCIQSECDX38ALEFHUB00" hidden="1">
          <a:extLst>
            <a:ext uri="{FF2B5EF4-FFF2-40B4-BE49-F238E27FC236}">
              <a16:creationId xmlns:a16="http://schemas.microsoft.com/office/drawing/2014/main" id="{AC06D726-0EB4-47AD-949C-0D0BA376B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22" name="BEx5AQZ4ETQ9LMY5EBWVH20Z7VXQ" hidden="1">
          <a:extLst>
            <a:ext uri="{FF2B5EF4-FFF2-40B4-BE49-F238E27FC236}">
              <a16:creationId xmlns:a16="http://schemas.microsoft.com/office/drawing/2014/main" id="{0DCFC2C9-63F4-411C-9C56-1FC788E6B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23" name="BExUBK0YZ5VYFY8TTITJGJU9S06A" hidden="1">
          <a:extLst>
            <a:ext uri="{FF2B5EF4-FFF2-40B4-BE49-F238E27FC236}">
              <a16:creationId xmlns:a16="http://schemas.microsoft.com/office/drawing/2014/main" id="{47FF17BC-B5B1-4AE0-B691-58C878DC5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24" name="BEx5BJQWS6YWHH4ZMSUAMD641V6Y" descr="ZTMFMXCIQSECDX38ALEFHUB00" hidden="1">
          <a:extLst>
            <a:ext uri="{FF2B5EF4-FFF2-40B4-BE49-F238E27FC236}">
              <a16:creationId xmlns:a16="http://schemas.microsoft.com/office/drawing/2014/main" id="{26C78B03-79DD-4EF6-93D4-6F5FCE1E3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25" name="BExUBK0YZ5VYFY8TTITJGJU9S06A" hidden="1">
          <a:extLst>
            <a:ext uri="{FF2B5EF4-FFF2-40B4-BE49-F238E27FC236}">
              <a16:creationId xmlns:a16="http://schemas.microsoft.com/office/drawing/2014/main" id="{9029570D-D096-4FB3-B2E9-32E39E875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26" name="BEx5BJQWS6YWHH4ZMSUAMD641V6Y" descr="ZTMFMXCIQSECDX38ALEFHUB00" hidden="1">
          <a:extLst>
            <a:ext uri="{FF2B5EF4-FFF2-40B4-BE49-F238E27FC236}">
              <a16:creationId xmlns:a16="http://schemas.microsoft.com/office/drawing/2014/main" id="{44954B1E-763E-4AC3-9ABB-55E34BE0C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27" name="BExUBK0YZ5VYFY8TTITJGJU9S06A" hidden="1">
          <a:extLst>
            <a:ext uri="{FF2B5EF4-FFF2-40B4-BE49-F238E27FC236}">
              <a16:creationId xmlns:a16="http://schemas.microsoft.com/office/drawing/2014/main" id="{5AFEC1C1-9389-4D47-8312-BCE142E6D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28" name="BEx5BJQWS6YWHH4ZMSUAMD641V6Y" descr="ZTMFMXCIQSECDX38ALEFHUB00" hidden="1">
          <a:extLst>
            <a:ext uri="{FF2B5EF4-FFF2-40B4-BE49-F238E27FC236}">
              <a16:creationId xmlns:a16="http://schemas.microsoft.com/office/drawing/2014/main" id="{081B4957-B17A-49AF-B41E-F66F23CFC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29" name="BExUBK0YZ5VYFY8TTITJGJU9S06A" hidden="1">
          <a:extLst>
            <a:ext uri="{FF2B5EF4-FFF2-40B4-BE49-F238E27FC236}">
              <a16:creationId xmlns:a16="http://schemas.microsoft.com/office/drawing/2014/main" id="{EDE4E586-BA61-473B-BCDF-2D57E954A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30" name="BEx5BJQWS6YWHH4ZMSUAMD641V6Y" descr="ZTMFMXCIQSECDX38ALEFHUB00" hidden="1">
          <a:extLst>
            <a:ext uri="{FF2B5EF4-FFF2-40B4-BE49-F238E27FC236}">
              <a16:creationId xmlns:a16="http://schemas.microsoft.com/office/drawing/2014/main" id="{A7642DBD-143D-4D78-B8A1-F6B577AF8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31" name="BExUBK0YZ5VYFY8TTITJGJU9S06A" hidden="1">
          <a:extLst>
            <a:ext uri="{FF2B5EF4-FFF2-40B4-BE49-F238E27FC236}">
              <a16:creationId xmlns:a16="http://schemas.microsoft.com/office/drawing/2014/main" id="{6EC9F754-DF98-420C-9257-21208D1AC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432" name="BExU3EX5JJCXCII4YKUJBFBGIJR2" descr="OF5ZI9PI5WH36VPANJ2DYLNMI" hidden="1">
          <a:extLst>
            <a:ext uri="{FF2B5EF4-FFF2-40B4-BE49-F238E27FC236}">
              <a16:creationId xmlns:a16="http://schemas.microsoft.com/office/drawing/2014/main" id="{E3773B38-01A1-445B-BAE1-0B51777E2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33" name="BEx5BJQWS6YWHH4ZMSUAMD641V6Y" descr="ZTMFMXCIQSECDX38ALEFHUB00" hidden="1">
          <a:extLst>
            <a:ext uri="{FF2B5EF4-FFF2-40B4-BE49-F238E27FC236}">
              <a16:creationId xmlns:a16="http://schemas.microsoft.com/office/drawing/2014/main" id="{258579EF-3171-43BD-B541-106A20782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23</xdr:row>
      <xdr:rowOff>0</xdr:rowOff>
    </xdr:from>
    <xdr:ext cx="59531" cy="295275"/>
    <xdr:pic>
      <xdr:nvPicPr>
        <xdr:cNvPr id="2434" name="BExIFSCLN1G86X78PFLTSMRP0US5" descr="9JK4SPV4DG7VTCZIILWHXQU5J" hidden="1">
          <a:extLst>
            <a:ext uri="{FF2B5EF4-FFF2-40B4-BE49-F238E27FC236}">
              <a16:creationId xmlns:a16="http://schemas.microsoft.com/office/drawing/2014/main" id="{B102A6A8-D751-465C-BA15-2C8DDDFF4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435" name="BExW9676P0SKCVKK25QCGHPA3PAD" descr="9A4PWZ20RMSRF0PNECCDM75CA" hidden="1">
          <a:extLst>
            <a:ext uri="{FF2B5EF4-FFF2-40B4-BE49-F238E27FC236}">
              <a16:creationId xmlns:a16="http://schemas.microsoft.com/office/drawing/2014/main" id="{A94C7838-7A7B-457A-83B4-2D52AE159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436" name="BExMM0AVUAIRNJLXB1FW8R0YB4ZZ" hidden="1">
          <a:extLst>
            <a:ext uri="{FF2B5EF4-FFF2-40B4-BE49-F238E27FC236}">
              <a16:creationId xmlns:a16="http://schemas.microsoft.com/office/drawing/2014/main" id="{F9089226-985F-4D77-BB71-403A185A1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437" name="BExQ7SXS9VUG7P6CACU2J7R2SGIZ" hidden="1">
          <a:extLst>
            <a:ext uri="{FF2B5EF4-FFF2-40B4-BE49-F238E27FC236}">
              <a16:creationId xmlns:a16="http://schemas.microsoft.com/office/drawing/2014/main" id="{C193F8CD-6CA5-485C-8E22-643C6B5AF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38" name="BExUBK0YZ5VYFY8TTITJGJU9S06A" hidden="1">
          <a:extLst>
            <a:ext uri="{FF2B5EF4-FFF2-40B4-BE49-F238E27FC236}">
              <a16:creationId xmlns:a16="http://schemas.microsoft.com/office/drawing/2014/main" id="{56FEFD30-82EF-4C77-ABAB-5285AD963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23</xdr:row>
      <xdr:rowOff>0</xdr:rowOff>
    </xdr:from>
    <xdr:ext cx="47625" cy="295275"/>
    <xdr:pic>
      <xdr:nvPicPr>
        <xdr:cNvPr id="2439" name="BExS3JDQWF7U3F5JTEVOE16ASIYK" hidden="1">
          <a:extLst>
            <a:ext uri="{FF2B5EF4-FFF2-40B4-BE49-F238E27FC236}">
              <a16:creationId xmlns:a16="http://schemas.microsoft.com/office/drawing/2014/main" id="{943FD642-4910-4B0F-9679-61268DC80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558165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440" name="BEx1KD7H6UB1VYCJ7O61P562EIUY" descr="IQGV9140X0K0UPBL8OGU3I44J" hidden="1">
          <a:extLst>
            <a:ext uri="{FF2B5EF4-FFF2-40B4-BE49-F238E27FC236}">
              <a16:creationId xmlns:a16="http://schemas.microsoft.com/office/drawing/2014/main" id="{53F54CD3-215D-4EA5-B575-FCB81CECB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441" name="BEx5AQZ4ETQ9LMY5EBWVH20Z7VXQ" hidden="1">
          <a:extLst>
            <a:ext uri="{FF2B5EF4-FFF2-40B4-BE49-F238E27FC236}">
              <a16:creationId xmlns:a16="http://schemas.microsoft.com/office/drawing/2014/main" id="{650ED217-F48E-4176-A241-792A8D72A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442" name="BEx1KD7H6UB1VYCJ7O61P562EIUY" descr="IQGV9140X0K0UPBL8OGU3I44J" hidden="1">
          <a:extLst>
            <a:ext uri="{FF2B5EF4-FFF2-40B4-BE49-F238E27FC236}">
              <a16:creationId xmlns:a16="http://schemas.microsoft.com/office/drawing/2014/main" id="{4C229FA2-5E1F-499F-91F0-2D9825F2C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443" name="BEx5AQZ4ETQ9LMY5EBWVH20Z7VXQ" hidden="1">
          <a:extLst>
            <a:ext uri="{FF2B5EF4-FFF2-40B4-BE49-F238E27FC236}">
              <a16:creationId xmlns:a16="http://schemas.microsoft.com/office/drawing/2014/main" id="{B0C11ECD-4C5B-4550-9463-3A3402472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44" name="BEx1KD7H6UB1VYCJ7O61P562EIUY" descr="IQGV9140X0K0UPBL8OGU3I44J" hidden="1">
          <a:extLst>
            <a:ext uri="{FF2B5EF4-FFF2-40B4-BE49-F238E27FC236}">
              <a16:creationId xmlns:a16="http://schemas.microsoft.com/office/drawing/2014/main" id="{B8BEBAE5-84F5-4848-A0D2-3014CC4F6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45" name="BEx5BJQWS6YWHH4ZMSUAMD641V6Y" descr="ZTMFMXCIQSECDX38ALEFHUB00" hidden="1">
          <a:extLst>
            <a:ext uri="{FF2B5EF4-FFF2-40B4-BE49-F238E27FC236}">
              <a16:creationId xmlns:a16="http://schemas.microsoft.com/office/drawing/2014/main" id="{77655F34-1FBE-4D5B-AA9B-2267203BF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46" name="BEx5AQZ4ETQ9LMY5EBWVH20Z7VXQ" hidden="1">
          <a:extLst>
            <a:ext uri="{FF2B5EF4-FFF2-40B4-BE49-F238E27FC236}">
              <a16:creationId xmlns:a16="http://schemas.microsoft.com/office/drawing/2014/main" id="{1C9FB458-3EBA-46A8-A04A-CDAC422B3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47" name="BExUBK0YZ5VYFY8TTITJGJU9S06A" hidden="1">
          <a:extLst>
            <a:ext uri="{FF2B5EF4-FFF2-40B4-BE49-F238E27FC236}">
              <a16:creationId xmlns:a16="http://schemas.microsoft.com/office/drawing/2014/main" id="{9CC64FF7-1DF2-454C-B1B1-2BA2BD8D9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448" name="BEx1KD7H6UB1VYCJ7O61P562EIUY" descr="IQGV9140X0K0UPBL8OGU3I44J" hidden="1">
          <a:extLst>
            <a:ext uri="{FF2B5EF4-FFF2-40B4-BE49-F238E27FC236}">
              <a16:creationId xmlns:a16="http://schemas.microsoft.com/office/drawing/2014/main" id="{D27AD3AA-87C1-4F32-9DDB-A51282E22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449" name="BEx5AQZ4ETQ9LMY5EBWVH20Z7VXQ" hidden="1">
          <a:extLst>
            <a:ext uri="{FF2B5EF4-FFF2-40B4-BE49-F238E27FC236}">
              <a16:creationId xmlns:a16="http://schemas.microsoft.com/office/drawing/2014/main" id="{599AA4A2-C3AB-4565-A14E-11C9803AB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50" name="BEx1KD7H6UB1VYCJ7O61P562EIUY" descr="IQGV9140X0K0UPBL8OGU3I44J" hidden="1">
          <a:extLst>
            <a:ext uri="{FF2B5EF4-FFF2-40B4-BE49-F238E27FC236}">
              <a16:creationId xmlns:a16="http://schemas.microsoft.com/office/drawing/2014/main" id="{5EFC3322-8656-45FC-A720-3EA3DE8A9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51" name="BEx5BJQWS6YWHH4ZMSUAMD641V6Y" descr="ZTMFMXCIQSECDX38ALEFHUB00" hidden="1">
          <a:extLst>
            <a:ext uri="{FF2B5EF4-FFF2-40B4-BE49-F238E27FC236}">
              <a16:creationId xmlns:a16="http://schemas.microsoft.com/office/drawing/2014/main" id="{3C2E8EEA-7B58-40E8-82D1-B56B761E3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52" name="BEx5AQZ4ETQ9LMY5EBWVH20Z7VXQ" hidden="1">
          <a:extLst>
            <a:ext uri="{FF2B5EF4-FFF2-40B4-BE49-F238E27FC236}">
              <a16:creationId xmlns:a16="http://schemas.microsoft.com/office/drawing/2014/main" id="{90D04260-0012-41BD-B3B4-76652B2A5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53" name="BExUBK0YZ5VYFY8TTITJGJU9S06A" hidden="1">
          <a:extLst>
            <a:ext uri="{FF2B5EF4-FFF2-40B4-BE49-F238E27FC236}">
              <a16:creationId xmlns:a16="http://schemas.microsoft.com/office/drawing/2014/main" id="{4D8E3E9D-8B02-4352-ABCC-E713BD2DB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54" name="BEx1KD7H6UB1VYCJ7O61P562EIUY" descr="IQGV9140X0K0UPBL8OGU3I44J" hidden="1">
          <a:extLst>
            <a:ext uri="{FF2B5EF4-FFF2-40B4-BE49-F238E27FC236}">
              <a16:creationId xmlns:a16="http://schemas.microsoft.com/office/drawing/2014/main" id="{A5E582C2-DFF0-4E3B-9B7C-C98994462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55" name="BEx5BJQWS6YWHH4ZMSUAMD641V6Y" descr="ZTMFMXCIQSECDX38ALEFHUB00" hidden="1">
          <a:extLst>
            <a:ext uri="{FF2B5EF4-FFF2-40B4-BE49-F238E27FC236}">
              <a16:creationId xmlns:a16="http://schemas.microsoft.com/office/drawing/2014/main" id="{420F3D88-70F9-46E3-8C91-FA9F08BDF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56" name="BEx5AQZ4ETQ9LMY5EBWVH20Z7VXQ" hidden="1">
          <a:extLst>
            <a:ext uri="{FF2B5EF4-FFF2-40B4-BE49-F238E27FC236}">
              <a16:creationId xmlns:a16="http://schemas.microsoft.com/office/drawing/2014/main" id="{A9AE39E5-D08F-4BEB-B7A8-1FD8069BF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57" name="BExUBK0YZ5VYFY8TTITJGJU9S06A" hidden="1">
          <a:extLst>
            <a:ext uri="{FF2B5EF4-FFF2-40B4-BE49-F238E27FC236}">
              <a16:creationId xmlns:a16="http://schemas.microsoft.com/office/drawing/2014/main" id="{2B4272B2-D9DB-4E99-B80E-0B9EA399C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458" name="BEx1KD7H6UB1VYCJ7O61P562EIUY" descr="IQGV9140X0K0UPBL8OGU3I44J" hidden="1">
          <a:extLst>
            <a:ext uri="{FF2B5EF4-FFF2-40B4-BE49-F238E27FC236}">
              <a16:creationId xmlns:a16="http://schemas.microsoft.com/office/drawing/2014/main" id="{0B5822F3-2D93-48DF-9E6B-DA6C0113C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459" name="BEx5AQZ4ETQ9LMY5EBWVH20Z7VXQ" hidden="1">
          <a:extLst>
            <a:ext uri="{FF2B5EF4-FFF2-40B4-BE49-F238E27FC236}">
              <a16:creationId xmlns:a16="http://schemas.microsoft.com/office/drawing/2014/main" id="{7B6AD8BF-A972-4FDC-86BA-D645375FD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60" name="BEx1KD7H6UB1VYCJ7O61P562EIUY" descr="IQGV9140X0K0UPBL8OGU3I44J" hidden="1">
          <a:extLst>
            <a:ext uri="{FF2B5EF4-FFF2-40B4-BE49-F238E27FC236}">
              <a16:creationId xmlns:a16="http://schemas.microsoft.com/office/drawing/2014/main" id="{A039632E-3BF1-4AFB-BD92-A6A658B2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61" name="BEx5BJQWS6YWHH4ZMSUAMD641V6Y" descr="ZTMFMXCIQSECDX38ALEFHUB00" hidden="1">
          <a:extLst>
            <a:ext uri="{FF2B5EF4-FFF2-40B4-BE49-F238E27FC236}">
              <a16:creationId xmlns:a16="http://schemas.microsoft.com/office/drawing/2014/main" id="{83AFDEEA-95AA-47FA-B5FE-E997C8AAD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62" name="BEx5AQZ4ETQ9LMY5EBWVH20Z7VXQ" hidden="1">
          <a:extLst>
            <a:ext uri="{FF2B5EF4-FFF2-40B4-BE49-F238E27FC236}">
              <a16:creationId xmlns:a16="http://schemas.microsoft.com/office/drawing/2014/main" id="{504D062E-FBD5-415F-ABB8-FA0522174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63" name="BExUBK0YZ5VYFY8TTITJGJU9S06A" hidden="1">
          <a:extLst>
            <a:ext uri="{FF2B5EF4-FFF2-40B4-BE49-F238E27FC236}">
              <a16:creationId xmlns:a16="http://schemas.microsoft.com/office/drawing/2014/main" id="{CD3EE4EE-45E3-4684-BB18-19E56466B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64" name="BEx1KD7H6UB1VYCJ7O61P562EIUY" descr="IQGV9140X0K0UPBL8OGU3I44J" hidden="1">
          <a:extLst>
            <a:ext uri="{FF2B5EF4-FFF2-40B4-BE49-F238E27FC236}">
              <a16:creationId xmlns:a16="http://schemas.microsoft.com/office/drawing/2014/main" id="{DFED055E-2CFC-4492-BE8A-629CA72BF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65" name="BEx5BJQWS6YWHH4ZMSUAMD641V6Y" descr="ZTMFMXCIQSECDX38ALEFHUB00" hidden="1">
          <a:extLst>
            <a:ext uri="{FF2B5EF4-FFF2-40B4-BE49-F238E27FC236}">
              <a16:creationId xmlns:a16="http://schemas.microsoft.com/office/drawing/2014/main" id="{ADAFFB44-E8FD-4AF8-BB11-0280A0EE3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66" name="BEx5AQZ4ETQ9LMY5EBWVH20Z7VXQ" hidden="1">
          <a:extLst>
            <a:ext uri="{FF2B5EF4-FFF2-40B4-BE49-F238E27FC236}">
              <a16:creationId xmlns:a16="http://schemas.microsoft.com/office/drawing/2014/main" id="{9D3F2BF0-A412-43EF-B1A5-9AF603191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67" name="BExUBK0YZ5VYFY8TTITJGJU9S06A" hidden="1">
          <a:extLst>
            <a:ext uri="{FF2B5EF4-FFF2-40B4-BE49-F238E27FC236}">
              <a16:creationId xmlns:a16="http://schemas.microsoft.com/office/drawing/2014/main" id="{D1D38152-09D3-46C4-88D3-ED8FDD99E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68" name="BEx1KD7H6UB1VYCJ7O61P562EIUY" descr="IQGV9140X0K0UPBL8OGU3I44J" hidden="1">
          <a:extLst>
            <a:ext uri="{FF2B5EF4-FFF2-40B4-BE49-F238E27FC236}">
              <a16:creationId xmlns:a16="http://schemas.microsoft.com/office/drawing/2014/main" id="{810B5D7B-89DF-4B47-85CE-4F9D0D692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69" name="BEx5BJQWS6YWHH4ZMSUAMD641V6Y" descr="ZTMFMXCIQSECDX38ALEFHUB00" hidden="1">
          <a:extLst>
            <a:ext uri="{FF2B5EF4-FFF2-40B4-BE49-F238E27FC236}">
              <a16:creationId xmlns:a16="http://schemas.microsoft.com/office/drawing/2014/main" id="{087BAF45-57E5-4406-BD6C-9EF373B36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70" name="BEx5AQZ4ETQ9LMY5EBWVH20Z7VXQ" hidden="1">
          <a:extLst>
            <a:ext uri="{FF2B5EF4-FFF2-40B4-BE49-F238E27FC236}">
              <a16:creationId xmlns:a16="http://schemas.microsoft.com/office/drawing/2014/main" id="{7AC36AEF-1CEB-4674-8BD8-DD3977CEE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71" name="BExUBK0YZ5VYFY8TTITJGJU9S06A" hidden="1">
          <a:extLst>
            <a:ext uri="{FF2B5EF4-FFF2-40B4-BE49-F238E27FC236}">
              <a16:creationId xmlns:a16="http://schemas.microsoft.com/office/drawing/2014/main" id="{96CC187A-6525-426C-AE38-415D0C2EA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72" name="BEx1KD7H6UB1VYCJ7O61P562EIUY" descr="IQGV9140X0K0UPBL8OGU3I44J" hidden="1">
          <a:extLst>
            <a:ext uri="{FF2B5EF4-FFF2-40B4-BE49-F238E27FC236}">
              <a16:creationId xmlns:a16="http://schemas.microsoft.com/office/drawing/2014/main" id="{30DB7EC7-557D-4FA4-8E63-76F079CA3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73" name="BEx5AQZ4ETQ9LMY5EBWVH20Z7VXQ" hidden="1">
          <a:extLst>
            <a:ext uri="{FF2B5EF4-FFF2-40B4-BE49-F238E27FC236}">
              <a16:creationId xmlns:a16="http://schemas.microsoft.com/office/drawing/2014/main" id="{90D3A3BC-D9FE-46B5-97DF-5F3518EDC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74" name="BEx1KD7H6UB1VYCJ7O61P562EIUY" descr="IQGV9140X0K0UPBL8OGU3I44J" hidden="1">
          <a:extLst>
            <a:ext uri="{FF2B5EF4-FFF2-40B4-BE49-F238E27FC236}">
              <a16:creationId xmlns:a16="http://schemas.microsoft.com/office/drawing/2014/main" id="{AC493285-1C5A-4DF9-9709-BB2ADC03D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75" name="BEx5AQZ4ETQ9LMY5EBWVH20Z7VXQ" hidden="1">
          <a:extLst>
            <a:ext uri="{FF2B5EF4-FFF2-40B4-BE49-F238E27FC236}">
              <a16:creationId xmlns:a16="http://schemas.microsoft.com/office/drawing/2014/main" id="{B93C6211-89F8-4FBA-9763-146966D1C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76" name="BEx1KD7H6UB1VYCJ7O61P562EIUY" descr="IQGV9140X0K0UPBL8OGU3I44J" hidden="1">
          <a:extLst>
            <a:ext uri="{FF2B5EF4-FFF2-40B4-BE49-F238E27FC236}">
              <a16:creationId xmlns:a16="http://schemas.microsoft.com/office/drawing/2014/main" id="{0D40C59D-5956-4D4C-BC4C-297899C9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77" name="BEx5AQZ4ETQ9LMY5EBWVH20Z7VXQ" hidden="1">
          <a:extLst>
            <a:ext uri="{FF2B5EF4-FFF2-40B4-BE49-F238E27FC236}">
              <a16:creationId xmlns:a16="http://schemas.microsoft.com/office/drawing/2014/main" id="{42CAB34E-0791-4A2E-80BF-F1D38796E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78" name="BEx1KD7H6UB1VYCJ7O61P562EIUY" descr="IQGV9140X0K0UPBL8OGU3I44J" hidden="1">
          <a:extLst>
            <a:ext uri="{FF2B5EF4-FFF2-40B4-BE49-F238E27FC236}">
              <a16:creationId xmlns:a16="http://schemas.microsoft.com/office/drawing/2014/main" id="{1335009D-EA6A-4B50-97FD-8702F635F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79" name="BEx5AQZ4ETQ9LMY5EBWVH20Z7VXQ" hidden="1">
          <a:extLst>
            <a:ext uri="{FF2B5EF4-FFF2-40B4-BE49-F238E27FC236}">
              <a16:creationId xmlns:a16="http://schemas.microsoft.com/office/drawing/2014/main" id="{3F5991E9-5B41-4C37-950F-1147D3CAC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480" name="BEx1KD7H6UB1VYCJ7O61P562EIUY" descr="IQGV9140X0K0UPBL8OGU3I44J" hidden="1">
          <a:extLst>
            <a:ext uri="{FF2B5EF4-FFF2-40B4-BE49-F238E27FC236}">
              <a16:creationId xmlns:a16="http://schemas.microsoft.com/office/drawing/2014/main" id="{22E708D0-E2B7-4A70-B442-D27B74865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22</xdr:row>
      <xdr:rowOff>1905</xdr:rowOff>
    </xdr:from>
    <xdr:ext cx="59531" cy="829901"/>
    <xdr:pic>
      <xdr:nvPicPr>
        <xdr:cNvPr id="2481" name="BEx5AQZ4ETQ9LMY5EBWVH20Z7VXQ" hidden="1">
          <a:extLst>
            <a:ext uri="{FF2B5EF4-FFF2-40B4-BE49-F238E27FC236}">
              <a16:creationId xmlns:a16="http://schemas.microsoft.com/office/drawing/2014/main" id="{6FB9747F-55ED-43AA-B137-2FDADBD6D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393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82" name="BEx1KD7H6UB1VYCJ7O61P562EIUY" descr="IQGV9140X0K0UPBL8OGU3I44J" hidden="1">
          <a:extLst>
            <a:ext uri="{FF2B5EF4-FFF2-40B4-BE49-F238E27FC236}">
              <a16:creationId xmlns:a16="http://schemas.microsoft.com/office/drawing/2014/main" id="{1CAD6BC3-8351-49C7-ADF5-147302953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83" name="BEx5BJQWS6YWHH4ZMSUAMD641V6Y" descr="ZTMFMXCIQSECDX38ALEFHUB00" hidden="1">
          <a:extLst>
            <a:ext uri="{FF2B5EF4-FFF2-40B4-BE49-F238E27FC236}">
              <a16:creationId xmlns:a16="http://schemas.microsoft.com/office/drawing/2014/main" id="{234F99E3-819A-41F4-9377-669049FF3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84" name="BEx5AQZ4ETQ9LMY5EBWVH20Z7VXQ" hidden="1">
          <a:extLst>
            <a:ext uri="{FF2B5EF4-FFF2-40B4-BE49-F238E27FC236}">
              <a16:creationId xmlns:a16="http://schemas.microsoft.com/office/drawing/2014/main" id="{0E5FBF43-F6BF-4854-B827-A23CA9117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85" name="BExUBK0YZ5VYFY8TTITJGJU9S06A" hidden="1">
          <a:extLst>
            <a:ext uri="{FF2B5EF4-FFF2-40B4-BE49-F238E27FC236}">
              <a16:creationId xmlns:a16="http://schemas.microsoft.com/office/drawing/2014/main" id="{169589D3-373A-4FC9-8C58-663B0BA85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86" name="BEx1KD7H6UB1VYCJ7O61P562EIUY" descr="IQGV9140X0K0UPBL8OGU3I44J" hidden="1">
          <a:extLst>
            <a:ext uri="{FF2B5EF4-FFF2-40B4-BE49-F238E27FC236}">
              <a16:creationId xmlns:a16="http://schemas.microsoft.com/office/drawing/2014/main" id="{D9B0A0D5-4D80-453B-B8B1-2F34529F8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87" name="BEx5BJQWS6YWHH4ZMSUAMD641V6Y" descr="ZTMFMXCIQSECDX38ALEFHUB00" hidden="1">
          <a:extLst>
            <a:ext uri="{FF2B5EF4-FFF2-40B4-BE49-F238E27FC236}">
              <a16:creationId xmlns:a16="http://schemas.microsoft.com/office/drawing/2014/main" id="{8C311A05-CB33-43CA-8DB5-417921A18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88" name="BEx5AQZ4ETQ9LMY5EBWVH20Z7VXQ" hidden="1">
          <a:extLst>
            <a:ext uri="{FF2B5EF4-FFF2-40B4-BE49-F238E27FC236}">
              <a16:creationId xmlns:a16="http://schemas.microsoft.com/office/drawing/2014/main" id="{2EA2A294-BD84-43F8-A4A6-1BDA7AE54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89" name="BExUBK0YZ5VYFY8TTITJGJU9S06A" hidden="1">
          <a:extLst>
            <a:ext uri="{FF2B5EF4-FFF2-40B4-BE49-F238E27FC236}">
              <a16:creationId xmlns:a16="http://schemas.microsoft.com/office/drawing/2014/main" id="{1EED4610-8BE2-4A9C-9435-E3CA59F1B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90" name="BEx1KD7H6UB1VYCJ7O61P562EIUY" descr="IQGV9140X0K0UPBL8OGU3I44J" hidden="1">
          <a:extLst>
            <a:ext uri="{FF2B5EF4-FFF2-40B4-BE49-F238E27FC236}">
              <a16:creationId xmlns:a16="http://schemas.microsoft.com/office/drawing/2014/main" id="{21B55BA1-CB62-4C30-AE42-FA8A88AF0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91" name="BEx5BJQWS6YWHH4ZMSUAMD641V6Y" descr="ZTMFMXCIQSECDX38ALEFHUB00" hidden="1">
          <a:extLst>
            <a:ext uri="{FF2B5EF4-FFF2-40B4-BE49-F238E27FC236}">
              <a16:creationId xmlns:a16="http://schemas.microsoft.com/office/drawing/2014/main" id="{6B5E2DDF-C053-4E2A-A771-75447CBF9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92" name="BEx5AQZ4ETQ9LMY5EBWVH20Z7VXQ" hidden="1">
          <a:extLst>
            <a:ext uri="{FF2B5EF4-FFF2-40B4-BE49-F238E27FC236}">
              <a16:creationId xmlns:a16="http://schemas.microsoft.com/office/drawing/2014/main" id="{8428D102-C849-4B58-B459-0C81875E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93" name="BExUBK0YZ5VYFY8TTITJGJU9S06A" hidden="1">
          <a:extLst>
            <a:ext uri="{FF2B5EF4-FFF2-40B4-BE49-F238E27FC236}">
              <a16:creationId xmlns:a16="http://schemas.microsoft.com/office/drawing/2014/main" id="{AB9C97BB-752C-4224-A997-85EAC180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94" name="BEx1KD7H6UB1VYCJ7O61P562EIUY" descr="IQGV9140X0K0UPBL8OGU3I44J" hidden="1">
          <a:extLst>
            <a:ext uri="{FF2B5EF4-FFF2-40B4-BE49-F238E27FC236}">
              <a16:creationId xmlns:a16="http://schemas.microsoft.com/office/drawing/2014/main" id="{1D10396B-E704-426C-8A34-511ADB383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95" name="BEx5BJQWS6YWHH4ZMSUAMD641V6Y" descr="ZTMFMXCIQSECDX38ALEFHUB00" hidden="1">
          <a:extLst>
            <a:ext uri="{FF2B5EF4-FFF2-40B4-BE49-F238E27FC236}">
              <a16:creationId xmlns:a16="http://schemas.microsoft.com/office/drawing/2014/main" id="{ECF7DC19-669C-463C-AA37-B2812D5C2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96" name="BEx5AQZ4ETQ9LMY5EBWVH20Z7VXQ" hidden="1">
          <a:extLst>
            <a:ext uri="{FF2B5EF4-FFF2-40B4-BE49-F238E27FC236}">
              <a16:creationId xmlns:a16="http://schemas.microsoft.com/office/drawing/2014/main" id="{8B90A4F7-49DC-43D9-8F54-B8098E7CD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97" name="BExUBK0YZ5VYFY8TTITJGJU9S06A" hidden="1">
          <a:extLst>
            <a:ext uri="{FF2B5EF4-FFF2-40B4-BE49-F238E27FC236}">
              <a16:creationId xmlns:a16="http://schemas.microsoft.com/office/drawing/2014/main" id="{BD40C50A-F7E3-499D-A43A-8892EEC20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498" name="BEx1KD7H6UB1VYCJ7O61P562EIUY" descr="IQGV9140X0K0UPBL8OGU3I44J" hidden="1">
          <a:extLst>
            <a:ext uri="{FF2B5EF4-FFF2-40B4-BE49-F238E27FC236}">
              <a16:creationId xmlns:a16="http://schemas.microsoft.com/office/drawing/2014/main" id="{7E61D4EF-2136-4135-BE27-D32544D07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499" name="BEx5BJQWS6YWHH4ZMSUAMD641V6Y" descr="ZTMFMXCIQSECDX38ALEFHUB00" hidden="1">
          <a:extLst>
            <a:ext uri="{FF2B5EF4-FFF2-40B4-BE49-F238E27FC236}">
              <a16:creationId xmlns:a16="http://schemas.microsoft.com/office/drawing/2014/main" id="{F64917E7-B8DE-4CAF-A150-E96002F0F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00" name="BEx5AQZ4ETQ9LMY5EBWVH20Z7VXQ" hidden="1">
          <a:extLst>
            <a:ext uri="{FF2B5EF4-FFF2-40B4-BE49-F238E27FC236}">
              <a16:creationId xmlns:a16="http://schemas.microsoft.com/office/drawing/2014/main" id="{015CE7FF-1575-43B4-A885-4D27853AE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01" name="BExUBK0YZ5VYFY8TTITJGJU9S06A" hidden="1">
          <a:extLst>
            <a:ext uri="{FF2B5EF4-FFF2-40B4-BE49-F238E27FC236}">
              <a16:creationId xmlns:a16="http://schemas.microsoft.com/office/drawing/2014/main" id="{5DB29175-91C8-4323-9FAE-884B7D236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02" name="BEx1KD7H6UB1VYCJ7O61P562EIUY" descr="IQGV9140X0K0UPBL8OGU3I44J" hidden="1">
          <a:extLst>
            <a:ext uri="{FF2B5EF4-FFF2-40B4-BE49-F238E27FC236}">
              <a16:creationId xmlns:a16="http://schemas.microsoft.com/office/drawing/2014/main" id="{D9F3AEC8-B388-4C73-8634-23ECA1DD6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03" name="BEx5BJQWS6YWHH4ZMSUAMD641V6Y" descr="ZTMFMXCIQSECDX38ALEFHUB00" hidden="1">
          <a:extLst>
            <a:ext uri="{FF2B5EF4-FFF2-40B4-BE49-F238E27FC236}">
              <a16:creationId xmlns:a16="http://schemas.microsoft.com/office/drawing/2014/main" id="{008CEA35-D339-427B-A171-5912C6BD0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04" name="BEx5AQZ4ETQ9LMY5EBWVH20Z7VXQ" hidden="1">
          <a:extLst>
            <a:ext uri="{FF2B5EF4-FFF2-40B4-BE49-F238E27FC236}">
              <a16:creationId xmlns:a16="http://schemas.microsoft.com/office/drawing/2014/main" id="{A19743EB-E816-475A-8F08-AD437B53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05" name="BExUBK0YZ5VYFY8TTITJGJU9S06A" hidden="1">
          <a:extLst>
            <a:ext uri="{FF2B5EF4-FFF2-40B4-BE49-F238E27FC236}">
              <a16:creationId xmlns:a16="http://schemas.microsoft.com/office/drawing/2014/main" id="{37A292D6-EAEA-471A-95E8-7FDB11E14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06" name="BEx5BJQWS6YWHH4ZMSUAMD641V6Y" descr="ZTMFMXCIQSECDX38ALEFHUB00" hidden="1">
          <a:extLst>
            <a:ext uri="{FF2B5EF4-FFF2-40B4-BE49-F238E27FC236}">
              <a16:creationId xmlns:a16="http://schemas.microsoft.com/office/drawing/2014/main" id="{92E82DE0-C499-48D3-9490-3D6392CC2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07" name="BExUBK0YZ5VYFY8TTITJGJU9S06A" hidden="1">
          <a:extLst>
            <a:ext uri="{FF2B5EF4-FFF2-40B4-BE49-F238E27FC236}">
              <a16:creationId xmlns:a16="http://schemas.microsoft.com/office/drawing/2014/main" id="{DE9400D0-16F9-4442-815F-18086F8BD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08" name="BEx5BJQWS6YWHH4ZMSUAMD641V6Y" descr="ZTMFMXCIQSECDX38ALEFHUB00" hidden="1">
          <a:extLst>
            <a:ext uri="{FF2B5EF4-FFF2-40B4-BE49-F238E27FC236}">
              <a16:creationId xmlns:a16="http://schemas.microsoft.com/office/drawing/2014/main" id="{249F0D63-3779-4AD1-9133-E6957E616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09" name="BExUBK0YZ5VYFY8TTITJGJU9S06A" hidden="1">
          <a:extLst>
            <a:ext uri="{FF2B5EF4-FFF2-40B4-BE49-F238E27FC236}">
              <a16:creationId xmlns:a16="http://schemas.microsoft.com/office/drawing/2014/main" id="{4F91C6D6-729A-4153-9B00-A335F4B90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10" name="BEx5BJQWS6YWHH4ZMSUAMD641V6Y" descr="ZTMFMXCIQSECDX38ALEFHUB00" hidden="1">
          <a:extLst>
            <a:ext uri="{FF2B5EF4-FFF2-40B4-BE49-F238E27FC236}">
              <a16:creationId xmlns:a16="http://schemas.microsoft.com/office/drawing/2014/main" id="{035925DA-3C44-457C-A475-A6429C51E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11" name="BExUBK0YZ5VYFY8TTITJGJU9S06A" hidden="1">
          <a:extLst>
            <a:ext uri="{FF2B5EF4-FFF2-40B4-BE49-F238E27FC236}">
              <a16:creationId xmlns:a16="http://schemas.microsoft.com/office/drawing/2014/main" id="{BB27A0B4-C8F8-4C21-9C3D-D3A0D2EB7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12" name="BEx5BJQWS6YWHH4ZMSUAMD641V6Y" descr="ZTMFMXCIQSECDX38ALEFHUB00" hidden="1">
          <a:extLst>
            <a:ext uri="{FF2B5EF4-FFF2-40B4-BE49-F238E27FC236}">
              <a16:creationId xmlns:a16="http://schemas.microsoft.com/office/drawing/2014/main" id="{2E00CACD-999B-4580-85B2-D526F302B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13" name="BExUBK0YZ5VYFY8TTITJGJU9S06A" hidden="1">
          <a:extLst>
            <a:ext uri="{FF2B5EF4-FFF2-40B4-BE49-F238E27FC236}">
              <a16:creationId xmlns:a16="http://schemas.microsoft.com/office/drawing/2014/main" id="{04B85A33-A139-4975-97B7-05F8C9135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14" name="BEx5BJQWS6YWHH4ZMSUAMD641V6Y" descr="ZTMFMXCIQSECDX38ALEFHUB00" hidden="1">
          <a:extLst>
            <a:ext uri="{FF2B5EF4-FFF2-40B4-BE49-F238E27FC236}">
              <a16:creationId xmlns:a16="http://schemas.microsoft.com/office/drawing/2014/main" id="{A25A5EA4-BD20-428F-A131-DE861569B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15" name="BExUBK0YZ5VYFY8TTITJGJU9S06A" hidden="1">
          <a:extLst>
            <a:ext uri="{FF2B5EF4-FFF2-40B4-BE49-F238E27FC236}">
              <a16:creationId xmlns:a16="http://schemas.microsoft.com/office/drawing/2014/main" id="{FC5A9A0F-09CE-4F1E-8D27-E245AC76A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16" name="BEx1KD7H6UB1VYCJ7O61P562EIUY" descr="IQGV9140X0K0UPBL8OGU3I44J" hidden="1">
          <a:extLst>
            <a:ext uri="{FF2B5EF4-FFF2-40B4-BE49-F238E27FC236}">
              <a16:creationId xmlns:a16="http://schemas.microsoft.com/office/drawing/2014/main" id="{BB11D4F3-4049-4F6C-A83F-7D6526973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17" name="BEx5AQZ4ETQ9LMY5EBWVH20Z7VXQ" hidden="1">
          <a:extLst>
            <a:ext uri="{FF2B5EF4-FFF2-40B4-BE49-F238E27FC236}">
              <a16:creationId xmlns:a16="http://schemas.microsoft.com/office/drawing/2014/main" id="{7A7D4846-A2F7-43EB-808B-E9CEA8A14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18" name="BEx1KD7H6UB1VYCJ7O61P562EIUY" descr="IQGV9140X0K0UPBL8OGU3I44J" hidden="1">
          <a:extLst>
            <a:ext uri="{FF2B5EF4-FFF2-40B4-BE49-F238E27FC236}">
              <a16:creationId xmlns:a16="http://schemas.microsoft.com/office/drawing/2014/main" id="{B8E59917-9A43-4661-9831-A710CD721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19" name="BEx5AQZ4ETQ9LMY5EBWVH20Z7VXQ" hidden="1">
          <a:extLst>
            <a:ext uri="{FF2B5EF4-FFF2-40B4-BE49-F238E27FC236}">
              <a16:creationId xmlns:a16="http://schemas.microsoft.com/office/drawing/2014/main" id="{45E72171-49A2-4610-8B56-F5502AA0F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20" name="BEx5BJQWS6YWHH4ZMSUAMD641V6Y" descr="ZTMFMXCIQSECDX38ALEFHUB00" hidden="1">
          <a:extLst>
            <a:ext uri="{FF2B5EF4-FFF2-40B4-BE49-F238E27FC236}">
              <a16:creationId xmlns:a16="http://schemas.microsoft.com/office/drawing/2014/main" id="{02B9161E-FA2C-4A45-A65B-02371C5F3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21" name="BExUBK0YZ5VYFY8TTITJGJU9S06A" hidden="1">
          <a:extLst>
            <a:ext uri="{FF2B5EF4-FFF2-40B4-BE49-F238E27FC236}">
              <a16:creationId xmlns:a16="http://schemas.microsoft.com/office/drawing/2014/main" id="{CDBC26F0-3675-4434-A799-2E2CA3DE8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22" name="BEx1KD7H6UB1VYCJ7O61P562EIUY" descr="IQGV9140X0K0UPBL8OGU3I44J" hidden="1">
          <a:extLst>
            <a:ext uri="{FF2B5EF4-FFF2-40B4-BE49-F238E27FC236}">
              <a16:creationId xmlns:a16="http://schemas.microsoft.com/office/drawing/2014/main" id="{70C2A555-8F46-4856-8CA6-9E9D09663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23" name="BEx5AQZ4ETQ9LMY5EBWVH20Z7VXQ" hidden="1">
          <a:extLst>
            <a:ext uri="{FF2B5EF4-FFF2-40B4-BE49-F238E27FC236}">
              <a16:creationId xmlns:a16="http://schemas.microsoft.com/office/drawing/2014/main" id="{D0132F89-834E-4384-930C-1A88E2C84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24" name="BEx5BJQWS6YWHH4ZMSUAMD641V6Y" descr="ZTMFMXCIQSECDX38ALEFHUB00" hidden="1">
          <a:extLst>
            <a:ext uri="{FF2B5EF4-FFF2-40B4-BE49-F238E27FC236}">
              <a16:creationId xmlns:a16="http://schemas.microsoft.com/office/drawing/2014/main" id="{9904A9A4-1BA9-433A-BF14-85A48B25B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25" name="BExUBK0YZ5VYFY8TTITJGJU9S06A" hidden="1">
          <a:extLst>
            <a:ext uri="{FF2B5EF4-FFF2-40B4-BE49-F238E27FC236}">
              <a16:creationId xmlns:a16="http://schemas.microsoft.com/office/drawing/2014/main" id="{A4D5FFA0-B9F7-4234-BAF4-39FB1EBD7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26" name="BEx5BJQWS6YWHH4ZMSUAMD641V6Y" descr="ZTMFMXCIQSECDX38ALEFHUB00" hidden="1">
          <a:extLst>
            <a:ext uri="{FF2B5EF4-FFF2-40B4-BE49-F238E27FC236}">
              <a16:creationId xmlns:a16="http://schemas.microsoft.com/office/drawing/2014/main" id="{038F6118-D4F1-4725-B419-B5E86EB1B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27" name="BExUBK0YZ5VYFY8TTITJGJU9S06A" hidden="1">
          <a:extLst>
            <a:ext uri="{FF2B5EF4-FFF2-40B4-BE49-F238E27FC236}">
              <a16:creationId xmlns:a16="http://schemas.microsoft.com/office/drawing/2014/main" id="{DBDF759F-2B9F-4F7B-9418-E029D23E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28" name="BEx1KD7H6UB1VYCJ7O61P562EIUY" descr="IQGV9140X0K0UPBL8OGU3I44J" hidden="1">
          <a:extLst>
            <a:ext uri="{FF2B5EF4-FFF2-40B4-BE49-F238E27FC236}">
              <a16:creationId xmlns:a16="http://schemas.microsoft.com/office/drawing/2014/main" id="{ACC46733-588C-45A6-A04D-6479E5B37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29" name="BEx5AQZ4ETQ9LMY5EBWVH20Z7VXQ" hidden="1">
          <a:extLst>
            <a:ext uri="{FF2B5EF4-FFF2-40B4-BE49-F238E27FC236}">
              <a16:creationId xmlns:a16="http://schemas.microsoft.com/office/drawing/2014/main" id="{7F48B571-228A-442D-A6B6-A817E7A62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30" name="BEx5BJQWS6YWHH4ZMSUAMD641V6Y" descr="ZTMFMXCIQSECDX38ALEFHUB00" hidden="1">
          <a:extLst>
            <a:ext uri="{FF2B5EF4-FFF2-40B4-BE49-F238E27FC236}">
              <a16:creationId xmlns:a16="http://schemas.microsoft.com/office/drawing/2014/main" id="{2B90DE28-ECE4-4F6E-AE6B-0001D3A8B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31" name="BExUBK0YZ5VYFY8TTITJGJU9S06A" hidden="1">
          <a:extLst>
            <a:ext uri="{FF2B5EF4-FFF2-40B4-BE49-F238E27FC236}">
              <a16:creationId xmlns:a16="http://schemas.microsoft.com/office/drawing/2014/main" id="{5AE38397-3587-4136-8033-51AC5D7D9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32" name="BEx5BJQWS6YWHH4ZMSUAMD641V6Y" descr="ZTMFMXCIQSECDX38ALEFHUB00" hidden="1">
          <a:extLst>
            <a:ext uri="{FF2B5EF4-FFF2-40B4-BE49-F238E27FC236}">
              <a16:creationId xmlns:a16="http://schemas.microsoft.com/office/drawing/2014/main" id="{F80F0648-5953-4FB0-AD82-1D0D0A24E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33" name="BExUBK0YZ5VYFY8TTITJGJU9S06A" hidden="1">
          <a:extLst>
            <a:ext uri="{FF2B5EF4-FFF2-40B4-BE49-F238E27FC236}">
              <a16:creationId xmlns:a16="http://schemas.microsoft.com/office/drawing/2014/main" id="{6A2ED762-B754-40CB-9C18-3813F3A36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34" name="BEx5BJQWS6YWHH4ZMSUAMD641V6Y" descr="ZTMFMXCIQSECDX38ALEFHUB00" hidden="1">
          <a:extLst>
            <a:ext uri="{FF2B5EF4-FFF2-40B4-BE49-F238E27FC236}">
              <a16:creationId xmlns:a16="http://schemas.microsoft.com/office/drawing/2014/main" id="{4754BE78-44F8-43B5-87D6-4394F9908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35" name="BExUBK0YZ5VYFY8TTITJGJU9S06A" hidden="1">
          <a:extLst>
            <a:ext uri="{FF2B5EF4-FFF2-40B4-BE49-F238E27FC236}">
              <a16:creationId xmlns:a16="http://schemas.microsoft.com/office/drawing/2014/main" id="{B483807A-6DF8-45AE-8E89-04FEA5E0B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36" name="BEx1KD7H6UB1VYCJ7O61P562EIUY" descr="IQGV9140X0K0UPBL8OGU3I44J" hidden="1">
          <a:extLst>
            <a:ext uri="{FF2B5EF4-FFF2-40B4-BE49-F238E27FC236}">
              <a16:creationId xmlns:a16="http://schemas.microsoft.com/office/drawing/2014/main" id="{06C96EEF-D230-4AD9-9524-BC297CEB8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37" name="BEx5AQZ4ETQ9LMY5EBWVH20Z7VXQ" hidden="1">
          <a:extLst>
            <a:ext uri="{FF2B5EF4-FFF2-40B4-BE49-F238E27FC236}">
              <a16:creationId xmlns:a16="http://schemas.microsoft.com/office/drawing/2014/main" id="{BDD5A5A3-C0AD-4643-A482-053576D21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38" name="BEx5BJQWS6YWHH4ZMSUAMD641V6Y" descr="ZTMFMXCIQSECDX38ALEFHUB00" hidden="1">
          <a:extLst>
            <a:ext uri="{FF2B5EF4-FFF2-40B4-BE49-F238E27FC236}">
              <a16:creationId xmlns:a16="http://schemas.microsoft.com/office/drawing/2014/main" id="{367EE61C-5267-49E0-8F1E-3BDF77F91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39" name="BExUBK0YZ5VYFY8TTITJGJU9S06A" hidden="1">
          <a:extLst>
            <a:ext uri="{FF2B5EF4-FFF2-40B4-BE49-F238E27FC236}">
              <a16:creationId xmlns:a16="http://schemas.microsoft.com/office/drawing/2014/main" id="{132BB0DD-07BA-4022-B96C-42AB6C2BA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40" name="BEx5BJQWS6YWHH4ZMSUAMD641V6Y" descr="ZTMFMXCIQSECDX38ALEFHUB00" hidden="1">
          <a:extLst>
            <a:ext uri="{FF2B5EF4-FFF2-40B4-BE49-F238E27FC236}">
              <a16:creationId xmlns:a16="http://schemas.microsoft.com/office/drawing/2014/main" id="{0FDB1519-4C83-42D7-A426-5E2AC94B9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41" name="BExUBK0YZ5VYFY8TTITJGJU9S06A" hidden="1">
          <a:extLst>
            <a:ext uri="{FF2B5EF4-FFF2-40B4-BE49-F238E27FC236}">
              <a16:creationId xmlns:a16="http://schemas.microsoft.com/office/drawing/2014/main" id="{E457CFE0-628B-4143-8300-020B64213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42" name="BEx5BJQWS6YWHH4ZMSUAMD641V6Y" descr="ZTMFMXCIQSECDX38ALEFHUB00" hidden="1">
          <a:extLst>
            <a:ext uri="{FF2B5EF4-FFF2-40B4-BE49-F238E27FC236}">
              <a16:creationId xmlns:a16="http://schemas.microsoft.com/office/drawing/2014/main" id="{A85EF69F-4070-479B-93D3-171618FE8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43" name="BExUBK0YZ5VYFY8TTITJGJU9S06A" hidden="1">
          <a:extLst>
            <a:ext uri="{FF2B5EF4-FFF2-40B4-BE49-F238E27FC236}">
              <a16:creationId xmlns:a16="http://schemas.microsoft.com/office/drawing/2014/main" id="{FCD17FFA-65C8-4EC0-AEC6-D92A64C9C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44" name="BEx5BJQWS6YWHH4ZMSUAMD641V6Y" descr="ZTMFMXCIQSECDX38ALEFHUB00" hidden="1">
          <a:extLst>
            <a:ext uri="{FF2B5EF4-FFF2-40B4-BE49-F238E27FC236}">
              <a16:creationId xmlns:a16="http://schemas.microsoft.com/office/drawing/2014/main" id="{709D0BBE-0195-4465-AFD4-25CBFC675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45" name="BExUBK0YZ5VYFY8TTITJGJU9S06A" hidden="1">
          <a:extLst>
            <a:ext uri="{FF2B5EF4-FFF2-40B4-BE49-F238E27FC236}">
              <a16:creationId xmlns:a16="http://schemas.microsoft.com/office/drawing/2014/main" id="{BA63F64B-9434-448A-B197-5C2861D6C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46" name="BEx5BJQWS6YWHH4ZMSUAMD641V6Y" descr="ZTMFMXCIQSECDX38ALEFHUB00" hidden="1">
          <a:extLst>
            <a:ext uri="{FF2B5EF4-FFF2-40B4-BE49-F238E27FC236}">
              <a16:creationId xmlns:a16="http://schemas.microsoft.com/office/drawing/2014/main" id="{585EDA41-D0A2-4819-8274-75C2A69F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47" name="BExUBK0YZ5VYFY8TTITJGJU9S06A" hidden="1">
          <a:extLst>
            <a:ext uri="{FF2B5EF4-FFF2-40B4-BE49-F238E27FC236}">
              <a16:creationId xmlns:a16="http://schemas.microsoft.com/office/drawing/2014/main" id="{AF66800F-0DCD-4665-8D5F-C57F3D18A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48" name="BEx1KD7H6UB1VYCJ7O61P562EIUY" descr="IQGV9140X0K0UPBL8OGU3I44J" hidden="1">
          <a:extLst>
            <a:ext uri="{FF2B5EF4-FFF2-40B4-BE49-F238E27FC236}">
              <a16:creationId xmlns:a16="http://schemas.microsoft.com/office/drawing/2014/main" id="{B3A2628F-0EB5-4DE5-B8A2-C1862ADB2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49" name="BEx5BJQWS6YWHH4ZMSUAMD641V6Y" descr="ZTMFMXCIQSECDX38ALEFHUB00" hidden="1">
          <a:extLst>
            <a:ext uri="{FF2B5EF4-FFF2-40B4-BE49-F238E27FC236}">
              <a16:creationId xmlns:a16="http://schemas.microsoft.com/office/drawing/2014/main" id="{FA60F4A6-F8DF-4855-AE8F-0E0EEC052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50" name="BEx5AQZ4ETQ9LMY5EBWVH20Z7VXQ" hidden="1">
          <a:extLst>
            <a:ext uri="{FF2B5EF4-FFF2-40B4-BE49-F238E27FC236}">
              <a16:creationId xmlns:a16="http://schemas.microsoft.com/office/drawing/2014/main" id="{220DC30E-CA9D-4A06-B36D-A2CA1F27D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51" name="BExUBK0YZ5VYFY8TTITJGJU9S06A" hidden="1">
          <a:extLst>
            <a:ext uri="{FF2B5EF4-FFF2-40B4-BE49-F238E27FC236}">
              <a16:creationId xmlns:a16="http://schemas.microsoft.com/office/drawing/2014/main" id="{B9BF44B5-5491-4F08-BB10-4A987106F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52" name="BEx5BJQWS6YWHH4ZMSUAMD641V6Y" descr="ZTMFMXCIQSECDX38ALEFHUB00" hidden="1">
          <a:extLst>
            <a:ext uri="{FF2B5EF4-FFF2-40B4-BE49-F238E27FC236}">
              <a16:creationId xmlns:a16="http://schemas.microsoft.com/office/drawing/2014/main" id="{2B0E3120-B781-434D-AD97-1B1E752EB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53" name="BExUBK0YZ5VYFY8TTITJGJU9S06A" hidden="1">
          <a:extLst>
            <a:ext uri="{FF2B5EF4-FFF2-40B4-BE49-F238E27FC236}">
              <a16:creationId xmlns:a16="http://schemas.microsoft.com/office/drawing/2014/main" id="{04D234CD-8C7F-474F-B40F-6119B3A09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54" name="BEx5BJQWS6YWHH4ZMSUAMD641V6Y" descr="ZTMFMXCIQSECDX38ALEFHUB00" hidden="1">
          <a:extLst>
            <a:ext uri="{FF2B5EF4-FFF2-40B4-BE49-F238E27FC236}">
              <a16:creationId xmlns:a16="http://schemas.microsoft.com/office/drawing/2014/main" id="{1D707282-96C4-479E-99F0-817B33AB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55" name="BExUBK0YZ5VYFY8TTITJGJU9S06A" hidden="1">
          <a:extLst>
            <a:ext uri="{FF2B5EF4-FFF2-40B4-BE49-F238E27FC236}">
              <a16:creationId xmlns:a16="http://schemas.microsoft.com/office/drawing/2014/main" id="{F209E53E-4B2C-495B-851E-9D906C97A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56" name="BEx5BJQWS6YWHH4ZMSUAMD641V6Y" descr="ZTMFMXCIQSECDX38ALEFHUB00" hidden="1">
          <a:extLst>
            <a:ext uri="{FF2B5EF4-FFF2-40B4-BE49-F238E27FC236}">
              <a16:creationId xmlns:a16="http://schemas.microsoft.com/office/drawing/2014/main" id="{B51003F9-134D-4BC9-8435-CB837BCDD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57" name="BExUBK0YZ5VYFY8TTITJGJU9S06A" hidden="1">
          <a:extLst>
            <a:ext uri="{FF2B5EF4-FFF2-40B4-BE49-F238E27FC236}">
              <a16:creationId xmlns:a16="http://schemas.microsoft.com/office/drawing/2014/main" id="{F11A34D6-4FC7-48FE-A782-B2424B892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58" name="BEx5BJQWS6YWHH4ZMSUAMD641V6Y" descr="ZTMFMXCIQSECDX38ALEFHUB00" hidden="1">
          <a:extLst>
            <a:ext uri="{FF2B5EF4-FFF2-40B4-BE49-F238E27FC236}">
              <a16:creationId xmlns:a16="http://schemas.microsoft.com/office/drawing/2014/main" id="{FDA0801F-DD51-4321-B1D7-EB2F65FA4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59" name="BExUBK0YZ5VYFY8TTITJGJU9S06A" hidden="1">
          <a:extLst>
            <a:ext uri="{FF2B5EF4-FFF2-40B4-BE49-F238E27FC236}">
              <a16:creationId xmlns:a16="http://schemas.microsoft.com/office/drawing/2014/main" id="{2ADDFAE7-C734-458F-AA14-32F6CAF30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60" name="BEx5BJQWS6YWHH4ZMSUAMD641V6Y" descr="ZTMFMXCIQSECDX38ALEFHUB00" hidden="1">
          <a:extLst>
            <a:ext uri="{FF2B5EF4-FFF2-40B4-BE49-F238E27FC236}">
              <a16:creationId xmlns:a16="http://schemas.microsoft.com/office/drawing/2014/main" id="{E717A22C-F66B-4A21-912E-BBFEE8B73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61" name="BExUBK0YZ5VYFY8TTITJGJU9S06A" hidden="1">
          <a:extLst>
            <a:ext uri="{FF2B5EF4-FFF2-40B4-BE49-F238E27FC236}">
              <a16:creationId xmlns:a16="http://schemas.microsoft.com/office/drawing/2014/main" id="{61414486-6EDC-4FA5-9FB9-CBCE32CD7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62" name="BEx1KD7H6UB1VYCJ7O61P562EIUY" descr="IQGV9140X0K0UPBL8OGU3I44J" hidden="1">
          <a:extLst>
            <a:ext uri="{FF2B5EF4-FFF2-40B4-BE49-F238E27FC236}">
              <a16:creationId xmlns:a16="http://schemas.microsoft.com/office/drawing/2014/main" id="{7BA8B092-AA26-44C8-8D4F-B00E3302A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63" name="BEx5AQZ4ETQ9LMY5EBWVH20Z7VXQ" hidden="1">
          <a:extLst>
            <a:ext uri="{FF2B5EF4-FFF2-40B4-BE49-F238E27FC236}">
              <a16:creationId xmlns:a16="http://schemas.microsoft.com/office/drawing/2014/main" id="{17B1BC08-9C5E-4271-9CB3-41E0E5EA8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64" name="BEx1KD7H6UB1VYCJ7O61P562EIUY" descr="IQGV9140X0K0UPBL8OGU3I44J" hidden="1">
          <a:extLst>
            <a:ext uri="{FF2B5EF4-FFF2-40B4-BE49-F238E27FC236}">
              <a16:creationId xmlns:a16="http://schemas.microsoft.com/office/drawing/2014/main" id="{B6B7D2C6-8826-40B0-A94A-B7365322D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65" name="BEx5AQZ4ETQ9LMY5EBWVH20Z7VXQ" hidden="1">
          <a:extLst>
            <a:ext uri="{FF2B5EF4-FFF2-40B4-BE49-F238E27FC236}">
              <a16:creationId xmlns:a16="http://schemas.microsoft.com/office/drawing/2014/main" id="{64124909-4457-4FBD-ACD3-82130292F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66" name="BEx5BJQWS6YWHH4ZMSUAMD641V6Y" descr="ZTMFMXCIQSECDX38ALEFHUB00" hidden="1">
          <a:extLst>
            <a:ext uri="{FF2B5EF4-FFF2-40B4-BE49-F238E27FC236}">
              <a16:creationId xmlns:a16="http://schemas.microsoft.com/office/drawing/2014/main" id="{363DA7A1-D371-48E2-B428-B0EE74B20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67" name="BExUBK0YZ5VYFY8TTITJGJU9S06A" hidden="1">
          <a:extLst>
            <a:ext uri="{FF2B5EF4-FFF2-40B4-BE49-F238E27FC236}">
              <a16:creationId xmlns:a16="http://schemas.microsoft.com/office/drawing/2014/main" id="{7D0EB1B5-EDE1-496E-BB7B-BA626DE4D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68" name="BEx1KD7H6UB1VYCJ7O61P562EIUY" descr="IQGV9140X0K0UPBL8OGU3I44J" hidden="1">
          <a:extLst>
            <a:ext uri="{FF2B5EF4-FFF2-40B4-BE49-F238E27FC236}">
              <a16:creationId xmlns:a16="http://schemas.microsoft.com/office/drawing/2014/main" id="{0EC77918-DC51-4113-8CBA-015EE3672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69" name="BEx5AQZ4ETQ9LMY5EBWVH20Z7VXQ" hidden="1">
          <a:extLst>
            <a:ext uri="{FF2B5EF4-FFF2-40B4-BE49-F238E27FC236}">
              <a16:creationId xmlns:a16="http://schemas.microsoft.com/office/drawing/2014/main" id="{02B46D29-2E2A-498B-82BE-A2398AC5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70" name="BEx5BJQWS6YWHH4ZMSUAMD641V6Y" descr="ZTMFMXCIQSECDX38ALEFHUB00" hidden="1">
          <a:extLst>
            <a:ext uri="{FF2B5EF4-FFF2-40B4-BE49-F238E27FC236}">
              <a16:creationId xmlns:a16="http://schemas.microsoft.com/office/drawing/2014/main" id="{A5FDBA11-F553-4265-AC43-643115ACA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71" name="BExUBK0YZ5VYFY8TTITJGJU9S06A" hidden="1">
          <a:extLst>
            <a:ext uri="{FF2B5EF4-FFF2-40B4-BE49-F238E27FC236}">
              <a16:creationId xmlns:a16="http://schemas.microsoft.com/office/drawing/2014/main" id="{D74C408F-320A-4726-AC7D-A9E8C75C2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72" name="BEx5BJQWS6YWHH4ZMSUAMD641V6Y" descr="ZTMFMXCIQSECDX38ALEFHUB00" hidden="1">
          <a:extLst>
            <a:ext uri="{FF2B5EF4-FFF2-40B4-BE49-F238E27FC236}">
              <a16:creationId xmlns:a16="http://schemas.microsoft.com/office/drawing/2014/main" id="{43204619-A828-496C-AD9F-388A0612A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73" name="BExUBK0YZ5VYFY8TTITJGJU9S06A" hidden="1">
          <a:extLst>
            <a:ext uri="{FF2B5EF4-FFF2-40B4-BE49-F238E27FC236}">
              <a16:creationId xmlns:a16="http://schemas.microsoft.com/office/drawing/2014/main" id="{66130068-1B7E-4D97-A007-8A31B9EE8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74" name="BEx1KD7H6UB1VYCJ7O61P562EIUY" descr="IQGV9140X0K0UPBL8OGU3I44J" hidden="1">
          <a:extLst>
            <a:ext uri="{FF2B5EF4-FFF2-40B4-BE49-F238E27FC236}">
              <a16:creationId xmlns:a16="http://schemas.microsoft.com/office/drawing/2014/main" id="{C84BF360-0593-43BF-827A-3A953F27C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75" name="BEx5AQZ4ETQ9LMY5EBWVH20Z7VXQ" hidden="1">
          <a:extLst>
            <a:ext uri="{FF2B5EF4-FFF2-40B4-BE49-F238E27FC236}">
              <a16:creationId xmlns:a16="http://schemas.microsoft.com/office/drawing/2014/main" id="{E0B2295A-5E5D-4905-9308-8454BF3E6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76" name="BEx5BJQWS6YWHH4ZMSUAMD641V6Y" descr="ZTMFMXCIQSECDX38ALEFHUB00" hidden="1">
          <a:extLst>
            <a:ext uri="{FF2B5EF4-FFF2-40B4-BE49-F238E27FC236}">
              <a16:creationId xmlns:a16="http://schemas.microsoft.com/office/drawing/2014/main" id="{E67D28DF-A9D9-4F5B-93F0-C1369678C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77" name="BExUBK0YZ5VYFY8TTITJGJU9S06A" hidden="1">
          <a:extLst>
            <a:ext uri="{FF2B5EF4-FFF2-40B4-BE49-F238E27FC236}">
              <a16:creationId xmlns:a16="http://schemas.microsoft.com/office/drawing/2014/main" id="{D7C48F5D-B6B0-4F62-880D-B64C563C0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78" name="BEx5BJQWS6YWHH4ZMSUAMD641V6Y" descr="ZTMFMXCIQSECDX38ALEFHUB00" hidden="1">
          <a:extLst>
            <a:ext uri="{FF2B5EF4-FFF2-40B4-BE49-F238E27FC236}">
              <a16:creationId xmlns:a16="http://schemas.microsoft.com/office/drawing/2014/main" id="{9F90B8BF-EED5-42EB-B933-2B370AEF0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79" name="BExUBK0YZ5VYFY8TTITJGJU9S06A" hidden="1">
          <a:extLst>
            <a:ext uri="{FF2B5EF4-FFF2-40B4-BE49-F238E27FC236}">
              <a16:creationId xmlns:a16="http://schemas.microsoft.com/office/drawing/2014/main" id="{052A41CF-A28A-40DC-8A6C-27DCCA737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80" name="BEx5BJQWS6YWHH4ZMSUAMD641V6Y" descr="ZTMFMXCIQSECDX38ALEFHUB00" hidden="1">
          <a:extLst>
            <a:ext uri="{FF2B5EF4-FFF2-40B4-BE49-F238E27FC236}">
              <a16:creationId xmlns:a16="http://schemas.microsoft.com/office/drawing/2014/main" id="{8019777B-BDAB-46E8-BE68-19D211A32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81" name="BExUBK0YZ5VYFY8TTITJGJU9S06A" hidden="1">
          <a:extLst>
            <a:ext uri="{FF2B5EF4-FFF2-40B4-BE49-F238E27FC236}">
              <a16:creationId xmlns:a16="http://schemas.microsoft.com/office/drawing/2014/main" id="{8DB87E75-C7E0-48E3-838E-111EF2AB3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82" name="BEx1KD7H6UB1VYCJ7O61P562EIUY" descr="IQGV9140X0K0UPBL8OGU3I44J" hidden="1">
          <a:extLst>
            <a:ext uri="{FF2B5EF4-FFF2-40B4-BE49-F238E27FC236}">
              <a16:creationId xmlns:a16="http://schemas.microsoft.com/office/drawing/2014/main" id="{E04D1C77-F811-486E-8846-C6913401A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829901"/>
    <xdr:pic>
      <xdr:nvPicPr>
        <xdr:cNvPr id="2583" name="BEx5AQZ4ETQ9LMY5EBWVH20Z7VXQ" hidden="1">
          <a:extLst>
            <a:ext uri="{FF2B5EF4-FFF2-40B4-BE49-F238E27FC236}">
              <a16:creationId xmlns:a16="http://schemas.microsoft.com/office/drawing/2014/main" id="{2591B8D3-1F2C-4874-80C4-F572384C5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165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84" name="BEx5BJQWS6YWHH4ZMSUAMD641V6Y" descr="ZTMFMXCIQSECDX38ALEFHUB00" hidden="1">
          <a:extLst>
            <a:ext uri="{FF2B5EF4-FFF2-40B4-BE49-F238E27FC236}">
              <a16:creationId xmlns:a16="http://schemas.microsoft.com/office/drawing/2014/main" id="{9FCA306A-BAFA-4913-BCD2-FFCB1A981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85" name="BExUBK0YZ5VYFY8TTITJGJU9S06A" hidden="1">
          <a:extLst>
            <a:ext uri="{FF2B5EF4-FFF2-40B4-BE49-F238E27FC236}">
              <a16:creationId xmlns:a16="http://schemas.microsoft.com/office/drawing/2014/main" id="{1D43B2A1-E907-43F2-8826-A802CA52E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86" name="BEx5BJQWS6YWHH4ZMSUAMD641V6Y" descr="ZTMFMXCIQSECDX38ALEFHUB00" hidden="1">
          <a:extLst>
            <a:ext uri="{FF2B5EF4-FFF2-40B4-BE49-F238E27FC236}">
              <a16:creationId xmlns:a16="http://schemas.microsoft.com/office/drawing/2014/main" id="{A11BCAF5-5FB9-4036-81B1-BA837F581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87" name="BExUBK0YZ5VYFY8TTITJGJU9S06A" hidden="1">
          <a:extLst>
            <a:ext uri="{FF2B5EF4-FFF2-40B4-BE49-F238E27FC236}">
              <a16:creationId xmlns:a16="http://schemas.microsoft.com/office/drawing/2014/main" id="{1DBD078A-73E7-420E-8A00-094367777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88" name="BEx5BJQWS6YWHH4ZMSUAMD641V6Y" descr="ZTMFMXCIQSECDX38ALEFHUB00" hidden="1">
          <a:extLst>
            <a:ext uri="{FF2B5EF4-FFF2-40B4-BE49-F238E27FC236}">
              <a16:creationId xmlns:a16="http://schemas.microsoft.com/office/drawing/2014/main" id="{76770746-150D-4ABF-B4C8-8AC1134F1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89" name="BExUBK0YZ5VYFY8TTITJGJU9S06A" hidden="1">
          <a:extLst>
            <a:ext uri="{FF2B5EF4-FFF2-40B4-BE49-F238E27FC236}">
              <a16:creationId xmlns:a16="http://schemas.microsoft.com/office/drawing/2014/main" id="{2CD11208-C6D1-4E20-A047-F2BF25FC1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90" name="BEx5BJQWS6YWHH4ZMSUAMD641V6Y" descr="ZTMFMXCIQSECDX38ALEFHUB00" hidden="1">
          <a:extLst>
            <a:ext uri="{FF2B5EF4-FFF2-40B4-BE49-F238E27FC236}">
              <a16:creationId xmlns:a16="http://schemas.microsoft.com/office/drawing/2014/main" id="{777CAA78-3EE5-4E73-83B5-4F017408F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91" name="BExUBK0YZ5VYFY8TTITJGJU9S06A" hidden="1">
          <a:extLst>
            <a:ext uri="{FF2B5EF4-FFF2-40B4-BE49-F238E27FC236}">
              <a16:creationId xmlns:a16="http://schemas.microsoft.com/office/drawing/2014/main" id="{152E32D8-DEFF-426B-A714-AABA8AE84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92" name="BEx5BJQWS6YWHH4ZMSUAMD641V6Y" descr="ZTMFMXCIQSECDX38ALEFHUB00" hidden="1">
          <a:extLst>
            <a:ext uri="{FF2B5EF4-FFF2-40B4-BE49-F238E27FC236}">
              <a16:creationId xmlns:a16="http://schemas.microsoft.com/office/drawing/2014/main" id="{42D777CE-855D-4ED3-A2BB-9ECC55BA0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93" name="BExUBK0YZ5VYFY8TTITJGJU9S06A" hidden="1">
          <a:extLst>
            <a:ext uri="{FF2B5EF4-FFF2-40B4-BE49-F238E27FC236}">
              <a16:creationId xmlns:a16="http://schemas.microsoft.com/office/drawing/2014/main" id="{D9F67114-E967-47AC-8CF8-65E73570C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94" name="BEx5BJQWS6YWHH4ZMSUAMD641V6Y" descr="ZTMFMXCIQSECDX38ALEFHUB00" hidden="1">
          <a:extLst>
            <a:ext uri="{FF2B5EF4-FFF2-40B4-BE49-F238E27FC236}">
              <a16:creationId xmlns:a16="http://schemas.microsoft.com/office/drawing/2014/main" id="{8E5A46F1-B048-4023-AC76-6BA56568E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95" name="BExUBK0YZ5VYFY8TTITJGJU9S06A" hidden="1">
          <a:extLst>
            <a:ext uri="{FF2B5EF4-FFF2-40B4-BE49-F238E27FC236}">
              <a16:creationId xmlns:a16="http://schemas.microsoft.com/office/drawing/2014/main" id="{165DFCE3-438F-46B6-B6DF-50CA4411C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1905</xdr:rowOff>
    </xdr:from>
    <xdr:ext cx="59531" cy="829901"/>
    <xdr:pic>
      <xdr:nvPicPr>
        <xdr:cNvPr id="2596" name="BExMO7VFCN4EL59982UR4AJ25JNJ" descr="XX6TINEJADZGKR0CTM7ZRT0RA" hidden="1">
          <a:extLst>
            <a:ext uri="{FF2B5EF4-FFF2-40B4-BE49-F238E27FC236}">
              <a16:creationId xmlns:a16="http://schemas.microsoft.com/office/drawing/2014/main" id="{89AFE8A9-1417-45E4-84FF-F10524A64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583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597" name="BExU3EX5JJCXCII4YKUJBFBGIJR2" descr="OF5ZI9PI5WH36VPANJ2DYLNMI" hidden="1">
          <a:extLst>
            <a:ext uri="{FF2B5EF4-FFF2-40B4-BE49-F238E27FC236}">
              <a16:creationId xmlns:a16="http://schemas.microsoft.com/office/drawing/2014/main" id="{D492B837-901B-4941-A4BE-E963B103C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1905</xdr:rowOff>
    </xdr:from>
    <xdr:ext cx="59531" cy="829901"/>
    <xdr:pic>
      <xdr:nvPicPr>
        <xdr:cNvPr id="2598" name="BEx1KD7H6UB1VYCJ7O61P562EIUY" descr="IQGV9140X0K0UPBL8OGU3I44J" hidden="1">
          <a:extLst>
            <a:ext uri="{FF2B5EF4-FFF2-40B4-BE49-F238E27FC236}">
              <a16:creationId xmlns:a16="http://schemas.microsoft.com/office/drawing/2014/main" id="{5DEB5CE1-D017-46FD-A6BA-2F9E3E767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3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599" name="BEx5BJQWS6YWHH4ZMSUAMD641V6Y" descr="ZTMFMXCIQSECDX38ALEFHUB00" hidden="1">
          <a:extLst>
            <a:ext uri="{FF2B5EF4-FFF2-40B4-BE49-F238E27FC236}">
              <a16:creationId xmlns:a16="http://schemas.microsoft.com/office/drawing/2014/main" id="{D6095E64-5EE8-44A0-8E77-CE26277EB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23</xdr:row>
      <xdr:rowOff>1905</xdr:rowOff>
    </xdr:from>
    <xdr:ext cx="59531" cy="829901"/>
    <xdr:pic>
      <xdr:nvPicPr>
        <xdr:cNvPr id="2600" name="BExVTO5Q8G2M7BPL4B2584LQS0R0" descr="OB6Q8NA4LZFE4GM9Y3V56BPMQ" hidden="1">
          <a:extLst>
            <a:ext uri="{FF2B5EF4-FFF2-40B4-BE49-F238E27FC236}">
              <a16:creationId xmlns:a16="http://schemas.microsoft.com/office/drawing/2014/main" id="{A5CB27CA-D944-43E9-B76D-4F59490A7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5583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23</xdr:row>
      <xdr:rowOff>0</xdr:rowOff>
    </xdr:from>
    <xdr:ext cx="59531" cy="295275"/>
    <xdr:pic>
      <xdr:nvPicPr>
        <xdr:cNvPr id="2601" name="BExIFSCLN1G86X78PFLTSMRP0US5" descr="9JK4SPV4DG7VTCZIILWHXQU5J" hidden="1">
          <a:extLst>
            <a:ext uri="{FF2B5EF4-FFF2-40B4-BE49-F238E27FC236}">
              <a16:creationId xmlns:a16="http://schemas.microsoft.com/office/drawing/2014/main" id="{06326997-D0E7-4EA4-B0CE-71D038E9A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1905</xdr:rowOff>
    </xdr:from>
    <xdr:ext cx="59531" cy="829901"/>
    <xdr:pic>
      <xdr:nvPicPr>
        <xdr:cNvPr id="2602" name="BEx1I152WN2D3A85O2XN0DGXCWHN" descr="KHBZFMANRA4UMJR1AB4M5NJNT" hidden="1">
          <a:extLst>
            <a:ext uri="{FF2B5EF4-FFF2-40B4-BE49-F238E27FC236}">
              <a16:creationId xmlns:a16="http://schemas.microsoft.com/office/drawing/2014/main" id="{A1041FDE-D3E6-4195-8CED-2A8880E1B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583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603" name="BExW9676P0SKCVKK25QCGHPA3PAD" descr="9A4PWZ20RMSRF0PNECCDM75CA" hidden="1">
          <a:extLst>
            <a:ext uri="{FF2B5EF4-FFF2-40B4-BE49-F238E27FC236}">
              <a16:creationId xmlns:a16="http://schemas.microsoft.com/office/drawing/2014/main" id="{F0EECCE7-FE0C-4A4F-9F9E-4C7AC1225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1905</xdr:rowOff>
    </xdr:from>
    <xdr:ext cx="59531" cy="829901"/>
    <xdr:pic>
      <xdr:nvPicPr>
        <xdr:cNvPr id="2604" name="BExS5CPQ8P8JOQPK7ANNKHLSGOKU" hidden="1">
          <a:extLst>
            <a:ext uri="{FF2B5EF4-FFF2-40B4-BE49-F238E27FC236}">
              <a16:creationId xmlns:a16="http://schemas.microsoft.com/office/drawing/2014/main" id="{6BDD8BB0-F6B6-4B48-9D67-58FE14F32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583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605" name="BExMM0AVUAIRNJLXB1FW8R0YB4ZZ" hidden="1">
          <a:extLst>
            <a:ext uri="{FF2B5EF4-FFF2-40B4-BE49-F238E27FC236}">
              <a16:creationId xmlns:a16="http://schemas.microsoft.com/office/drawing/2014/main" id="{839F0A6E-4206-4762-9874-815EAB30D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23</xdr:row>
      <xdr:rowOff>1905</xdr:rowOff>
    </xdr:from>
    <xdr:ext cx="59531" cy="829901"/>
    <xdr:pic>
      <xdr:nvPicPr>
        <xdr:cNvPr id="2606" name="BExXZ7Y09CBS0XA7IPB3IRJ8RJM4" hidden="1">
          <a:extLst>
            <a:ext uri="{FF2B5EF4-FFF2-40B4-BE49-F238E27FC236}">
              <a16:creationId xmlns:a16="http://schemas.microsoft.com/office/drawing/2014/main" id="{0878AACE-03E1-4956-BBB6-E3F77527B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5583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23</xdr:row>
      <xdr:rowOff>0</xdr:rowOff>
    </xdr:from>
    <xdr:ext cx="59531" cy="295275"/>
    <xdr:pic>
      <xdr:nvPicPr>
        <xdr:cNvPr id="2607" name="BExQ7SXS9VUG7P6CACU2J7R2SGIZ" hidden="1">
          <a:extLst>
            <a:ext uri="{FF2B5EF4-FFF2-40B4-BE49-F238E27FC236}">
              <a16:creationId xmlns:a16="http://schemas.microsoft.com/office/drawing/2014/main" id="{D3D1ED97-23B7-4D3A-9227-4A6719DC4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1905</xdr:rowOff>
    </xdr:from>
    <xdr:ext cx="59531" cy="829901"/>
    <xdr:pic>
      <xdr:nvPicPr>
        <xdr:cNvPr id="2608" name="BEx5AQZ4ETQ9LMY5EBWVH20Z7VXQ" hidden="1">
          <a:extLst>
            <a:ext uri="{FF2B5EF4-FFF2-40B4-BE49-F238E27FC236}">
              <a16:creationId xmlns:a16="http://schemas.microsoft.com/office/drawing/2014/main" id="{4C4794D6-646A-4F86-AAB2-7AB096212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3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0</xdr:rowOff>
    </xdr:from>
    <xdr:ext cx="59531" cy="295275"/>
    <xdr:pic>
      <xdr:nvPicPr>
        <xdr:cNvPr id="2609" name="BExUBK0YZ5VYFY8TTITJGJU9S06A" hidden="1">
          <a:extLst>
            <a:ext uri="{FF2B5EF4-FFF2-40B4-BE49-F238E27FC236}">
              <a16:creationId xmlns:a16="http://schemas.microsoft.com/office/drawing/2014/main" id="{3A1D27D1-D860-41EE-89FA-0F12DD29F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581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23</xdr:row>
      <xdr:rowOff>1905</xdr:rowOff>
    </xdr:from>
    <xdr:ext cx="47625" cy="829901"/>
    <xdr:pic>
      <xdr:nvPicPr>
        <xdr:cNvPr id="2610" name="BExUEZCSSJ7RN4J18I2NUIQR2FZS" hidden="1">
          <a:extLst>
            <a:ext uri="{FF2B5EF4-FFF2-40B4-BE49-F238E27FC236}">
              <a16:creationId xmlns:a16="http://schemas.microsoft.com/office/drawing/2014/main" id="{DEF5C896-1655-458C-842C-C751825E6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5583555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23</xdr:row>
      <xdr:rowOff>0</xdr:rowOff>
    </xdr:from>
    <xdr:ext cx="47625" cy="295275"/>
    <xdr:pic>
      <xdr:nvPicPr>
        <xdr:cNvPr id="2611" name="BExS3JDQWF7U3F5JTEVOE16ASIYK" hidden="1">
          <a:extLst>
            <a:ext uri="{FF2B5EF4-FFF2-40B4-BE49-F238E27FC236}">
              <a16:creationId xmlns:a16="http://schemas.microsoft.com/office/drawing/2014/main" id="{CFC163EB-65A2-4AFB-B67E-8FBE95F37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558165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12" name="BEx5BJQWS6YWHH4ZMSUAMD641V6Y" descr="ZTMFMXCIQSECDX38ALEFHUB00" hidden="1">
          <a:extLst>
            <a:ext uri="{FF2B5EF4-FFF2-40B4-BE49-F238E27FC236}">
              <a16:creationId xmlns:a16="http://schemas.microsoft.com/office/drawing/2014/main" id="{851FA674-8919-4CCC-938C-3C905B7D4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13" name="BExUBK0YZ5VYFY8TTITJGJU9S06A" hidden="1">
          <a:extLst>
            <a:ext uri="{FF2B5EF4-FFF2-40B4-BE49-F238E27FC236}">
              <a16:creationId xmlns:a16="http://schemas.microsoft.com/office/drawing/2014/main" id="{28F5D66D-B506-4C7B-BF18-33A749719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14" name="BExU3EX5JJCXCII4YKUJBFBGIJR2" descr="OF5ZI9PI5WH36VPANJ2DYLNMI" hidden="1">
          <a:extLst>
            <a:ext uri="{FF2B5EF4-FFF2-40B4-BE49-F238E27FC236}">
              <a16:creationId xmlns:a16="http://schemas.microsoft.com/office/drawing/2014/main" id="{B8ABCBFC-D5CA-4391-A86A-803F4B772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15" name="BExW9676P0SKCVKK25QCGHPA3PAD" descr="9A4PWZ20RMSRF0PNECCDM75CA" hidden="1">
          <a:extLst>
            <a:ext uri="{FF2B5EF4-FFF2-40B4-BE49-F238E27FC236}">
              <a16:creationId xmlns:a16="http://schemas.microsoft.com/office/drawing/2014/main" id="{C926AC3A-1352-488A-A777-8612DD8CC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16" name="BExMM0AVUAIRNJLXB1FW8R0YB4ZZ" hidden="1">
          <a:extLst>
            <a:ext uri="{FF2B5EF4-FFF2-40B4-BE49-F238E27FC236}">
              <a16:creationId xmlns:a16="http://schemas.microsoft.com/office/drawing/2014/main" id="{06A3E5A6-1A5E-4474-B148-60B4C0284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17" name="BExQ7SXS9VUG7P6CACU2J7R2SGIZ" hidden="1">
          <a:extLst>
            <a:ext uri="{FF2B5EF4-FFF2-40B4-BE49-F238E27FC236}">
              <a16:creationId xmlns:a16="http://schemas.microsoft.com/office/drawing/2014/main" id="{070420C1-052A-4E6F-8C16-A92237CA2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18" name="BExU3EX5JJCXCII4YKUJBFBGIJR2" descr="OF5ZI9PI5WH36VPANJ2DYLNMI" hidden="1">
          <a:extLst>
            <a:ext uri="{FF2B5EF4-FFF2-40B4-BE49-F238E27FC236}">
              <a16:creationId xmlns:a16="http://schemas.microsoft.com/office/drawing/2014/main" id="{81B2D0E7-783C-4403-8D85-B8C53B699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19" name="BExW9676P0SKCVKK25QCGHPA3PAD" descr="9A4PWZ20RMSRF0PNECCDM75CA" hidden="1">
          <a:extLst>
            <a:ext uri="{FF2B5EF4-FFF2-40B4-BE49-F238E27FC236}">
              <a16:creationId xmlns:a16="http://schemas.microsoft.com/office/drawing/2014/main" id="{265F0F64-61D6-4075-AEAF-5BB88DB12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20" name="BExMM0AVUAIRNJLXB1FW8R0YB4ZZ" hidden="1">
          <a:extLst>
            <a:ext uri="{FF2B5EF4-FFF2-40B4-BE49-F238E27FC236}">
              <a16:creationId xmlns:a16="http://schemas.microsoft.com/office/drawing/2014/main" id="{48CD4C7A-55AD-4186-8904-3233F5E98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21" name="BExQ7SXS9VUG7P6CACU2J7R2SGIZ" hidden="1">
          <a:extLst>
            <a:ext uri="{FF2B5EF4-FFF2-40B4-BE49-F238E27FC236}">
              <a16:creationId xmlns:a16="http://schemas.microsoft.com/office/drawing/2014/main" id="{8F82D543-E9BF-45AA-A91F-97EAAC9B9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22" name="BEx5BJQWS6YWHH4ZMSUAMD641V6Y" descr="ZTMFMXCIQSECDX38ALEFHUB00" hidden="1">
          <a:extLst>
            <a:ext uri="{FF2B5EF4-FFF2-40B4-BE49-F238E27FC236}">
              <a16:creationId xmlns:a16="http://schemas.microsoft.com/office/drawing/2014/main" id="{890F74E4-F810-43FC-ABDF-F4A0933E7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23" name="BExUBK0YZ5VYFY8TTITJGJU9S06A" hidden="1">
          <a:extLst>
            <a:ext uri="{FF2B5EF4-FFF2-40B4-BE49-F238E27FC236}">
              <a16:creationId xmlns:a16="http://schemas.microsoft.com/office/drawing/2014/main" id="{3DF4226C-CFA7-4433-9C96-9391985D3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24" name="BEx5BJQWS6YWHH4ZMSUAMD641V6Y" descr="ZTMFMXCIQSECDX38ALEFHUB00" hidden="1">
          <a:extLst>
            <a:ext uri="{FF2B5EF4-FFF2-40B4-BE49-F238E27FC236}">
              <a16:creationId xmlns:a16="http://schemas.microsoft.com/office/drawing/2014/main" id="{4EE734D4-E3DB-4A8E-8769-C07D44882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25" name="BExUBK0YZ5VYFY8TTITJGJU9S06A" hidden="1">
          <a:extLst>
            <a:ext uri="{FF2B5EF4-FFF2-40B4-BE49-F238E27FC236}">
              <a16:creationId xmlns:a16="http://schemas.microsoft.com/office/drawing/2014/main" id="{57198B7E-F1D2-4EE5-9186-34468F493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26" name="BEx5BJQWS6YWHH4ZMSUAMD641V6Y" descr="ZTMFMXCIQSECDX38ALEFHUB00" hidden="1">
          <a:extLst>
            <a:ext uri="{FF2B5EF4-FFF2-40B4-BE49-F238E27FC236}">
              <a16:creationId xmlns:a16="http://schemas.microsoft.com/office/drawing/2014/main" id="{1186A104-9331-4C49-9A14-86EC8F7A1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27" name="BExUBK0YZ5VYFY8TTITJGJU9S06A" hidden="1">
          <a:extLst>
            <a:ext uri="{FF2B5EF4-FFF2-40B4-BE49-F238E27FC236}">
              <a16:creationId xmlns:a16="http://schemas.microsoft.com/office/drawing/2014/main" id="{E76CC1EF-E994-4468-8184-2B7C059CA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28" name="BEx5BJQWS6YWHH4ZMSUAMD641V6Y" descr="ZTMFMXCIQSECDX38ALEFHUB00" hidden="1">
          <a:extLst>
            <a:ext uri="{FF2B5EF4-FFF2-40B4-BE49-F238E27FC236}">
              <a16:creationId xmlns:a16="http://schemas.microsoft.com/office/drawing/2014/main" id="{53AE351D-E1B1-4499-A606-125A9433C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29" name="BExUBK0YZ5VYFY8TTITJGJU9S06A" hidden="1">
          <a:extLst>
            <a:ext uri="{FF2B5EF4-FFF2-40B4-BE49-F238E27FC236}">
              <a16:creationId xmlns:a16="http://schemas.microsoft.com/office/drawing/2014/main" id="{4C7F1D6C-C6BC-45ED-B378-34B7A67AB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30" name="BEx5BJQWS6YWHH4ZMSUAMD641V6Y" descr="ZTMFMXCIQSECDX38ALEFHUB00" hidden="1">
          <a:extLst>
            <a:ext uri="{FF2B5EF4-FFF2-40B4-BE49-F238E27FC236}">
              <a16:creationId xmlns:a16="http://schemas.microsoft.com/office/drawing/2014/main" id="{2F7C3760-560A-42DB-ACB5-94F430526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31" name="BExUBK0YZ5VYFY8TTITJGJU9S06A" hidden="1">
          <a:extLst>
            <a:ext uri="{FF2B5EF4-FFF2-40B4-BE49-F238E27FC236}">
              <a16:creationId xmlns:a16="http://schemas.microsoft.com/office/drawing/2014/main" id="{2FA5F7C6-FB54-45A9-B1EB-DDFDAD10C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32" name="BEx5BJQWS6YWHH4ZMSUAMD641V6Y" descr="ZTMFMXCIQSECDX38ALEFHUB00" hidden="1">
          <a:extLst>
            <a:ext uri="{FF2B5EF4-FFF2-40B4-BE49-F238E27FC236}">
              <a16:creationId xmlns:a16="http://schemas.microsoft.com/office/drawing/2014/main" id="{1DCBB14A-3363-4698-8866-6381AA336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33" name="BExUBK0YZ5VYFY8TTITJGJU9S06A" hidden="1">
          <a:extLst>
            <a:ext uri="{FF2B5EF4-FFF2-40B4-BE49-F238E27FC236}">
              <a16:creationId xmlns:a16="http://schemas.microsoft.com/office/drawing/2014/main" id="{6DA2CD93-FD58-4CAE-9E1E-3ACBCD549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34" name="BEx5BJQWS6YWHH4ZMSUAMD641V6Y" descr="ZTMFMXCIQSECDX38ALEFHUB00" hidden="1">
          <a:extLst>
            <a:ext uri="{FF2B5EF4-FFF2-40B4-BE49-F238E27FC236}">
              <a16:creationId xmlns:a16="http://schemas.microsoft.com/office/drawing/2014/main" id="{003D70D2-D7FB-4F47-AC2D-B0FB6597E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35" name="BExUBK0YZ5VYFY8TTITJGJU9S06A" hidden="1">
          <a:extLst>
            <a:ext uri="{FF2B5EF4-FFF2-40B4-BE49-F238E27FC236}">
              <a16:creationId xmlns:a16="http://schemas.microsoft.com/office/drawing/2014/main" id="{424AF6DD-9BC5-4D28-A388-7E005F3BB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36" name="BEx5BJQWS6YWHH4ZMSUAMD641V6Y" descr="ZTMFMXCIQSECDX38ALEFHUB00" hidden="1">
          <a:extLst>
            <a:ext uri="{FF2B5EF4-FFF2-40B4-BE49-F238E27FC236}">
              <a16:creationId xmlns:a16="http://schemas.microsoft.com/office/drawing/2014/main" id="{B581AD9B-F0DB-44FA-ADB3-D41D9C4CA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37" name="BExUBK0YZ5VYFY8TTITJGJU9S06A" hidden="1">
          <a:extLst>
            <a:ext uri="{FF2B5EF4-FFF2-40B4-BE49-F238E27FC236}">
              <a16:creationId xmlns:a16="http://schemas.microsoft.com/office/drawing/2014/main" id="{D0C12C30-520A-443C-B625-8BF8499D1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38" name="BEx5BJQWS6YWHH4ZMSUAMD641V6Y" descr="ZTMFMXCIQSECDX38ALEFHUB00" hidden="1">
          <a:extLst>
            <a:ext uri="{FF2B5EF4-FFF2-40B4-BE49-F238E27FC236}">
              <a16:creationId xmlns:a16="http://schemas.microsoft.com/office/drawing/2014/main" id="{6CD11676-C9BE-4D52-80E1-7EC568B70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39" name="BExUBK0YZ5VYFY8TTITJGJU9S06A" hidden="1">
          <a:extLst>
            <a:ext uri="{FF2B5EF4-FFF2-40B4-BE49-F238E27FC236}">
              <a16:creationId xmlns:a16="http://schemas.microsoft.com/office/drawing/2014/main" id="{FF5D2708-524C-43A6-B6ED-D2F8FF77D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40" name="BExU3EX5JJCXCII4YKUJBFBGIJR2" descr="OF5ZI9PI5WH36VPANJ2DYLNMI" hidden="1">
          <a:extLst>
            <a:ext uri="{FF2B5EF4-FFF2-40B4-BE49-F238E27FC236}">
              <a16:creationId xmlns:a16="http://schemas.microsoft.com/office/drawing/2014/main" id="{CEE82991-ACAE-4F5B-9CBD-DF2D7B886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41" name="BExW9676P0SKCVKK25QCGHPA3PAD" descr="9A4PWZ20RMSRF0PNECCDM75CA" hidden="1">
          <a:extLst>
            <a:ext uri="{FF2B5EF4-FFF2-40B4-BE49-F238E27FC236}">
              <a16:creationId xmlns:a16="http://schemas.microsoft.com/office/drawing/2014/main" id="{B929F8B8-4554-44B4-9880-369D2313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42" name="BExMM0AVUAIRNJLXB1FW8R0YB4ZZ" hidden="1">
          <a:extLst>
            <a:ext uri="{FF2B5EF4-FFF2-40B4-BE49-F238E27FC236}">
              <a16:creationId xmlns:a16="http://schemas.microsoft.com/office/drawing/2014/main" id="{F7C8719F-3C25-4695-B66E-F4BDC91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43" name="BExQ7SXS9VUG7P6CACU2J7R2SGIZ" hidden="1">
          <a:extLst>
            <a:ext uri="{FF2B5EF4-FFF2-40B4-BE49-F238E27FC236}">
              <a16:creationId xmlns:a16="http://schemas.microsoft.com/office/drawing/2014/main" id="{AEB60AD0-F45A-45BF-A831-7E8F581AE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44" name="BExU3EX5JJCXCII4YKUJBFBGIJR2" descr="OF5ZI9PI5WH36VPANJ2DYLNMI" hidden="1">
          <a:extLst>
            <a:ext uri="{FF2B5EF4-FFF2-40B4-BE49-F238E27FC236}">
              <a16:creationId xmlns:a16="http://schemas.microsoft.com/office/drawing/2014/main" id="{86AAB632-A569-4AA8-8402-40BF2190A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45" name="BExW9676P0SKCVKK25QCGHPA3PAD" descr="9A4PWZ20RMSRF0PNECCDM75CA" hidden="1">
          <a:extLst>
            <a:ext uri="{FF2B5EF4-FFF2-40B4-BE49-F238E27FC236}">
              <a16:creationId xmlns:a16="http://schemas.microsoft.com/office/drawing/2014/main" id="{CF66C02C-B144-43E9-9240-FBE4FB7E4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46" name="BExMM0AVUAIRNJLXB1FW8R0YB4ZZ" hidden="1">
          <a:extLst>
            <a:ext uri="{FF2B5EF4-FFF2-40B4-BE49-F238E27FC236}">
              <a16:creationId xmlns:a16="http://schemas.microsoft.com/office/drawing/2014/main" id="{258F7CA5-53AC-45EA-8466-A9B41C4DF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47" name="BExQ7SXS9VUG7P6CACU2J7R2SGIZ" hidden="1">
          <a:extLst>
            <a:ext uri="{FF2B5EF4-FFF2-40B4-BE49-F238E27FC236}">
              <a16:creationId xmlns:a16="http://schemas.microsoft.com/office/drawing/2014/main" id="{ECB1312D-6A87-45D4-BD19-83B793F6E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48" name="BEx5BJQWS6YWHH4ZMSUAMD641V6Y" descr="ZTMFMXCIQSECDX38ALEFHUB00" hidden="1">
          <a:extLst>
            <a:ext uri="{FF2B5EF4-FFF2-40B4-BE49-F238E27FC236}">
              <a16:creationId xmlns:a16="http://schemas.microsoft.com/office/drawing/2014/main" id="{79E0C2A0-257E-424D-BE2D-6661D62F5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49" name="BExUBK0YZ5VYFY8TTITJGJU9S06A" hidden="1">
          <a:extLst>
            <a:ext uri="{FF2B5EF4-FFF2-40B4-BE49-F238E27FC236}">
              <a16:creationId xmlns:a16="http://schemas.microsoft.com/office/drawing/2014/main" id="{AE3CAA4C-C57C-4F02-B276-4929A303B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50" name="BEx5BJQWS6YWHH4ZMSUAMD641V6Y" descr="ZTMFMXCIQSECDX38ALEFHUB00" hidden="1">
          <a:extLst>
            <a:ext uri="{FF2B5EF4-FFF2-40B4-BE49-F238E27FC236}">
              <a16:creationId xmlns:a16="http://schemas.microsoft.com/office/drawing/2014/main" id="{29DC759A-BF65-46E9-908E-CB04C98D4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51" name="BExUBK0YZ5VYFY8TTITJGJU9S06A" hidden="1">
          <a:extLst>
            <a:ext uri="{FF2B5EF4-FFF2-40B4-BE49-F238E27FC236}">
              <a16:creationId xmlns:a16="http://schemas.microsoft.com/office/drawing/2014/main" id="{6189BDC4-A8F5-4382-8725-5A2CC71D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52" name="BEx5BJQWS6YWHH4ZMSUAMD641V6Y" descr="ZTMFMXCIQSECDX38ALEFHUB00" hidden="1">
          <a:extLst>
            <a:ext uri="{FF2B5EF4-FFF2-40B4-BE49-F238E27FC236}">
              <a16:creationId xmlns:a16="http://schemas.microsoft.com/office/drawing/2014/main" id="{F738433F-724A-4FC4-B9D2-37DDC684F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53" name="BExUBK0YZ5VYFY8TTITJGJU9S06A" hidden="1">
          <a:extLst>
            <a:ext uri="{FF2B5EF4-FFF2-40B4-BE49-F238E27FC236}">
              <a16:creationId xmlns:a16="http://schemas.microsoft.com/office/drawing/2014/main" id="{80EB3844-CA13-4941-BE19-927E4B3BE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54" name="BEx5BJQWS6YWHH4ZMSUAMD641V6Y" descr="ZTMFMXCIQSECDX38ALEFHUB00" hidden="1">
          <a:extLst>
            <a:ext uri="{FF2B5EF4-FFF2-40B4-BE49-F238E27FC236}">
              <a16:creationId xmlns:a16="http://schemas.microsoft.com/office/drawing/2014/main" id="{05AD570E-9045-40AA-9D84-09BBE1149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55" name="BExUBK0YZ5VYFY8TTITJGJU9S06A" hidden="1">
          <a:extLst>
            <a:ext uri="{FF2B5EF4-FFF2-40B4-BE49-F238E27FC236}">
              <a16:creationId xmlns:a16="http://schemas.microsoft.com/office/drawing/2014/main" id="{3C3CFE9D-24A6-4524-A047-FF41E52A8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56" name="BEx5BJQWS6YWHH4ZMSUAMD641V6Y" descr="ZTMFMXCIQSECDX38ALEFHUB00" hidden="1">
          <a:extLst>
            <a:ext uri="{FF2B5EF4-FFF2-40B4-BE49-F238E27FC236}">
              <a16:creationId xmlns:a16="http://schemas.microsoft.com/office/drawing/2014/main" id="{6290615F-E76A-4769-82C9-56C6BF535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57" name="BExUBK0YZ5VYFY8TTITJGJU9S06A" hidden="1">
          <a:extLst>
            <a:ext uri="{FF2B5EF4-FFF2-40B4-BE49-F238E27FC236}">
              <a16:creationId xmlns:a16="http://schemas.microsoft.com/office/drawing/2014/main" id="{5BA43EED-D416-467F-884A-3B1FFA9A5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58" name="BExU3EX5JJCXCII4YKUJBFBGIJR2" descr="OF5ZI9PI5WH36VPANJ2DYLNMI" hidden="1">
          <a:extLst>
            <a:ext uri="{FF2B5EF4-FFF2-40B4-BE49-F238E27FC236}">
              <a16:creationId xmlns:a16="http://schemas.microsoft.com/office/drawing/2014/main" id="{40492238-4D27-49C7-83E4-6630ECB2B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59" name="BEx5BJQWS6YWHH4ZMSUAMD641V6Y" descr="ZTMFMXCIQSECDX38ALEFHUB00" hidden="1">
          <a:extLst>
            <a:ext uri="{FF2B5EF4-FFF2-40B4-BE49-F238E27FC236}">
              <a16:creationId xmlns:a16="http://schemas.microsoft.com/office/drawing/2014/main" id="{828CBD66-C26B-42BE-8C82-619F377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24</xdr:row>
      <xdr:rowOff>0</xdr:rowOff>
    </xdr:from>
    <xdr:ext cx="59531" cy="295275"/>
    <xdr:pic>
      <xdr:nvPicPr>
        <xdr:cNvPr id="2660" name="BExIFSCLN1G86X78PFLTSMRP0US5" descr="9JK4SPV4DG7VTCZIILWHXQU5J" hidden="1">
          <a:extLst>
            <a:ext uri="{FF2B5EF4-FFF2-40B4-BE49-F238E27FC236}">
              <a16:creationId xmlns:a16="http://schemas.microsoft.com/office/drawing/2014/main" id="{22014BCD-9302-462B-8523-A98C995EF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61" name="BExW9676P0SKCVKK25QCGHPA3PAD" descr="9A4PWZ20RMSRF0PNECCDM75CA" hidden="1">
          <a:extLst>
            <a:ext uri="{FF2B5EF4-FFF2-40B4-BE49-F238E27FC236}">
              <a16:creationId xmlns:a16="http://schemas.microsoft.com/office/drawing/2014/main" id="{FD4D68B8-3CBE-40B8-8A59-5937DEC4F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62" name="BExMM0AVUAIRNJLXB1FW8R0YB4ZZ" hidden="1">
          <a:extLst>
            <a:ext uri="{FF2B5EF4-FFF2-40B4-BE49-F238E27FC236}">
              <a16:creationId xmlns:a16="http://schemas.microsoft.com/office/drawing/2014/main" id="{2D2CA09A-E03B-42F2-B040-C8D303738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663" name="BExQ7SXS9VUG7P6CACU2J7R2SGIZ" hidden="1">
          <a:extLst>
            <a:ext uri="{FF2B5EF4-FFF2-40B4-BE49-F238E27FC236}">
              <a16:creationId xmlns:a16="http://schemas.microsoft.com/office/drawing/2014/main" id="{A05C16B4-2521-4AA5-8D31-A8665B3D1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64" name="BExUBK0YZ5VYFY8TTITJGJU9S06A" hidden="1">
          <a:extLst>
            <a:ext uri="{FF2B5EF4-FFF2-40B4-BE49-F238E27FC236}">
              <a16:creationId xmlns:a16="http://schemas.microsoft.com/office/drawing/2014/main" id="{8D9C3671-4033-4E9F-AE42-3850D4070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24</xdr:row>
      <xdr:rowOff>0</xdr:rowOff>
    </xdr:from>
    <xdr:ext cx="47625" cy="295275"/>
    <xdr:pic>
      <xdr:nvPicPr>
        <xdr:cNvPr id="2665" name="BExS3JDQWF7U3F5JTEVOE16ASIYK" hidden="1">
          <a:extLst>
            <a:ext uri="{FF2B5EF4-FFF2-40B4-BE49-F238E27FC236}">
              <a16:creationId xmlns:a16="http://schemas.microsoft.com/office/drawing/2014/main" id="{D011B0B9-7DD6-4459-8B2A-FE89D898E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577215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1905</xdr:rowOff>
    </xdr:from>
    <xdr:ext cx="59531" cy="829901"/>
    <xdr:pic>
      <xdr:nvPicPr>
        <xdr:cNvPr id="2666" name="BEx1KD7H6UB1VYCJ7O61P562EIUY" descr="IQGV9140X0K0UPBL8OGU3I44J" hidden="1">
          <a:extLst>
            <a:ext uri="{FF2B5EF4-FFF2-40B4-BE49-F238E27FC236}">
              <a16:creationId xmlns:a16="http://schemas.microsoft.com/office/drawing/2014/main" id="{0B596363-1969-41EA-8A62-A86CE609A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3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1905</xdr:rowOff>
    </xdr:from>
    <xdr:ext cx="59531" cy="829901"/>
    <xdr:pic>
      <xdr:nvPicPr>
        <xdr:cNvPr id="2667" name="BEx5AQZ4ETQ9LMY5EBWVH20Z7VXQ" hidden="1">
          <a:extLst>
            <a:ext uri="{FF2B5EF4-FFF2-40B4-BE49-F238E27FC236}">
              <a16:creationId xmlns:a16="http://schemas.microsoft.com/office/drawing/2014/main" id="{70ECB865-2342-4B80-95B4-4395305C6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3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1905</xdr:rowOff>
    </xdr:from>
    <xdr:ext cx="59531" cy="829901"/>
    <xdr:pic>
      <xdr:nvPicPr>
        <xdr:cNvPr id="2668" name="BEx1KD7H6UB1VYCJ7O61P562EIUY" descr="IQGV9140X0K0UPBL8OGU3I44J" hidden="1">
          <a:extLst>
            <a:ext uri="{FF2B5EF4-FFF2-40B4-BE49-F238E27FC236}">
              <a16:creationId xmlns:a16="http://schemas.microsoft.com/office/drawing/2014/main" id="{4699E055-BF46-4A9F-ACC4-F43DB07A2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3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1905</xdr:rowOff>
    </xdr:from>
    <xdr:ext cx="59531" cy="829901"/>
    <xdr:pic>
      <xdr:nvPicPr>
        <xdr:cNvPr id="2669" name="BEx5AQZ4ETQ9LMY5EBWVH20Z7VXQ" hidden="1">
          <a:extLst>
            <a:ext uri="{FF2B5EF4-FFF2-40B4-BE49-F238E27FC236}">
              <a16:creationId xmlns:a16="http://schemas.microsoft.com/office/drawing/2014/main" id="{919B83B9-7CAA-429F-BF9F-27441C9A1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3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70" name="BEx5BJQWS6YWHH4ZMSUAMD641V6Y" descr="ZTMFMXCIQSECDX38ALEFHUB00" hidden="1">
          <a:extLst>
            <a:ext uri="{FF2B5EF4-FFF2-40B4-BE49-F238E27FC236}">
              <a16:creationId xmlns:a16="http://schemas.microsoft.com/office/drawing/2014/main" id="{429CCE49-BBBD-4EEF-A0A8-3F23927E1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71" name="BExUBK0YZ5VYFY8TTITJGJU9S06A" hidden="1">
          <a:extLst>
            <a:ext uri="{FF2B5EF4-FFF2-40B4-BE49-F238E27FC236}">
              <a16:creationId xmlns:a16="http://schemas.microsoft.com/office/drawing/2014/main" id="{834251F7-3B6C-4938-8C8B-AD69E40BB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1905</xdr:rowOff>
    </xdr:from>
    <xdr:ext cx="59531" cy="829901"/>
    <xdr:pic>
      <xdr:nvPicPr>
        <xdr:cNvPr id="2672" name="BEx1KD7H6UB1VYCJ7O61P562EIUY" descr="IQGV9140X0K0UPBL8OGU3I44J" hidden="1">
          <a:extLst>
            <a:ext uri="{FF2B5EF4-FFF2-40B4-BE49-F238E27FC236}">
              <a16:creationId xmlns:a16="http://schemas.microsoft.com/office/drawing/2014/main" id="{08030661-8E28-4914-8524-7FD14FBFB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3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1905</xdr:rowOff>
    </xdr:from>
    <xdr:ext cx="59531" cy="829901"/>
    <xdr:pic>
      <xdr:nvPicPr>
        <xdr:cNvPr id="2673" name="BEx5AQZ4ETQ9LMY5EBWVH20Z7VXQ" hidden="1">
          <a:extLst>
            <a:ext uri="{FF2B5EF4-FFF2-40B4-BE49-F238E27FC236}">
              <a16:creationId xmlns:a16="http://schemas.microsoft.com/office/drawing/2014/main" id="{97E0C97C-82B5-4C75-A243-0AC522890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3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74" name="BEx5BJQWS6YWHH4ZMSUAMD641V6Y" descr="ZTMFMXCIQSECDX38ALEFHUB00" hidden="1">
          <a:extLst>
            <a:ext uri="{FF2B5EF4-FFF2-40B4-BE49-F238E27FC236}">
              <a16:creationId xmlns:a16="http://schemas.microsoft.com/office/drawing/2014/main" id="{6420E143-8592-4DA7-A4BB-4430A4565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75" name="BExUBK0YZ5VYFY8TTITJGJU9S06A" hidden="1">
          <a:extLst>
            <a:ext uri="{FF2B5EF4-FFF2-40B4-BE49-F238E27FC236}">
              <a16:creationId xmlns:a16="http://schemas.microsoft.com/office/drawing/2014/main" id="{12A22936-6CC6-4127-B3D3-F3D4BC1D0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76" name="BEx5BJQWS6YWHH4ZMSUAMD641V6Y" descr="ZTMFMXCIQSECDX38ALEFHUB00" hidden="1">
          <a:extLst>
            <a:ext uri="{FF2B5EF4-FFF2-40B4-BE49-F238E27FC236}">
              <a16:creationId xmlns:a16="http://schemas.microsoft.com/office/drawing/2014/main" id="{0678174C-5D2B-46AB-86D2-68F6E7C66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77" name="BExUBK0YZ5VYFY8TTITJGJU9S06A" hidden="1">
          <a:extLst>
            <a:ext uri="{FF2B5EF4-FFF2-40B4-BE49-F238E27FC236}">
              <a16:creationId xmlns:a16="http://schemas.microsoft.com/office/drawing/2014/main" id="{93AA52C0-9620-4484-B7F3-95382D167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1905</xdr:rowOff>
    </xdr:from>
    <xdr:ext cx="59531" cy="829901"/>
    <xdr:pic>
      <xdr:nvPicPr>
        <xdr:cNvPr id="2678" name="BEx1KD7H6UB1VYCJ7O61P562EIUY" descr="IQGV9140X0K0UPBL8OGU3I44J" hidden="1">
          <a:extLst>
            <a:ext uri="{FF2B5EF4-FFF2-40B4-BE49-F238E27FC236}">
              <a16:creationId xmlns:a16="http://schemas.microsoft.com/office/drawing/2014/main" id="{52FC7367-13ED-4DFE-B42B-43C75AB30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3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1905</xdr:rowOff>
    </xdr:from>
    <xdr:ext cx="59531" cy="829901"/>
    <xdr:pic>
      <xdr:nvPicPr>
        <xdr:cNvPr id="2679" name="BEx5AQZ4ETQ9LMY5EBWVH20Z7VXQ" hidden="1">
          <a:extLst>
            <a:ext uri="{FF2B5EF4-FFF2-40B4-BE49-F238E27FC236}">
              <a16:creationId xmlns:a16="http://schemas.microsoft.com/office/drawing/2014/main" id="{E98E147E-FB2D-4AE3-BFBE-F1AF4430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3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80" name="BEx5BJQWS6YWHH4ZMSUAMD641V6Y" descr="ZTMFMXCIQSECDX38ALEFHUB00" hidden="1">
          <a:extLst>
            <a:ext uri="{FF2B5EF4-FFF2-40B4-BE49-F238E27FC236}">
              <a16:creationId xmlns:a16="http://schemas.microsoft.com/office/drawing/2014/main" id="{4619EDE6-9BCB-44D9-854D-833FAC0E8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81" name="BExUBK0YZ5VYFY8TTITJGJU9S06A" hidden="1">
          <a:extLst>
            <a:ext uri="{FF2B5EF4-FFF2-40B4-BE49-F238E27FC236}">
              <a16:creationId xmlns:a16="http://schemas.microsoft.com/office/drawing/2014/main" id="{2B727C2E-EF82-464B-9897-5B5DE874A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82" name="BEx5BJQWS6YWHH4ZMSUAMD641V6Y" descr="ZTMFMXCIQSECDX38ALEFHUB00" hidden="1">
          <a:extLst>
            <a:ext uri="{FF2B5EF4-FFF2-40B4-BE49-F238E27FC236}">
              <a16:creationId xmlns:a16="http://schemas.microsoft.com/office/drawing/2014/main" id="{F2FC701D-DB68-485F-B348-0B4B53ADD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83" name="BExUBK0YZ5VYFY8TTITJGJU9S06A" hidden="1">
          <a:extLst>
            <a:ext uri="{FF2B5EF4-FFF2-40B4-BE49-F238E27FC236}">
              <a16:creationId xmlns:a16="http://schemas.microsoft.com/office/drawing/2014/main" id="{18AE1098-8E6D-4E10-938C-5A829012A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84" name="BEx5BJQWS6YWHH4ZMSUAMD641V6Y" descr="ZTMFMXCIQSECDX38ALEFHUB00" hidden="1">
          <a:extLst>
            <a:ext uri="{FF2B5EF4-FFF2-40B4-BE49-F238E27FC236}">
              <a16:creationId xmlns:a16="http://schemas.microsoft.com/office/drawing/2014/main" id="{C36813CB-E708-4D17-A565-6C4847E9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85" name="BExUBK0YZ5VYFY8TTITJGJU9S06A" hidden="1">
          <a:extLst>
            <a:ext uri="{FF2B5EF4-FFF2-40B4-BE49-F238E27FC236}">
              <a16:creationId xmlns:a16="http://schemas.microsoft.com/office/drawing/2014/main" id="{690A7424-62BC-40AB-AC9D-F049E3D49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1905</xdr:rowOff>
    </xdr:from>
    <xdr:ext cx="59531" cy="829901"/>
    <xdr:pic>
      <xdr:nvPicPr>
        <xdr:cNvPr id="2686" name="BEx1KD7H6UB1VYCJ7O61P562EIUY" descr="IQGV9140X0K0UPBL8OGU3I44J" hidden="1">
          <a:extLst>
            <a:ext uri="{FF2B5EF4-FFF2-40B4-BE49-F238E27FC236}">
              <a16:creationId xmlns:a16="http://schemas.microsoft.com/office/drawing/2014/main" id="{C8043AE8-77F6-4CE2-8B99-E52FDDB3B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3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23</xdr:row>
      <xdr:rowOff>1905</xdr:rowOff>
    </xdr:from>
    <xdr:ext cx="59531" cy="829901"/>
    <xdr:pic>
      <xdr:nvPicPr>
        <xdr:cNvPr id="2687" name="BEx5AQZ4ETQ9LMY5EBWVH20Z7VXQ" hidden="1">
          <a:extLst>
            <a:ext uri="{FF2B5EF4-FFF2-40B4-BE49-F238E27FC236}">
              <a16:creationId xmlns:a16="http://schemas.microsoft.com/office/drawing/2014/main" id="{54F04F51-9604-43F3-8F6B-F67C82161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55835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88" name="BEx5BJQWS6YWHH4ZMSUAMD641V6Y" descr="ZTMFMXCIQSECDX38ALEFHUB00" hidden="1">
          <a:extLst>
            <a:ext uri="{FF2B5EF4-FFF2-40B4-BE49-F238E27FC236}">
              <a16:creationId xmlns:a16="http://schemas.microsoft.com/office/drawing/2014/main" id="{EF787F61-C566-4B27-95B3-C6E42F9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89" name="BExUBK0YZ5VYFY8TTITJGJU9S06A" hidden="1">
          <a:extLst>
            <a:ext uri="{FF2B5EF4-FFF2-40B4-BE49-F238E27FC236}">
              <a16:creationId xmlns:a16="http://schemas.microsoft.com/office/drawing/2014/main" id="{3F0EE64D-0269-4318-8CA5-EA9746E48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90" name="BEx5BJQWS6YWHH4ZMSUAMD641V6Y" descr="ZTMFMXCIQSECDX38ALEFHUB00" hidden="1">
          <a:extLst>
            <a:ext uri="{FF2B5EF4-FFF2-40B4-BE49-F238E27FC236}">
              <a16:creationId xmlns:a16="http://schemas.microsoft.com/office/drawing/2014/main" id="{DDE25288-ACD5-400B-8B48-EB27CB3CE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91" name="BExUBK0YZ5VYFY8TTITJGJU9S06A" hidden="1">
          <a:extLst>
            <a:ext uri="{FF2B5EF4-FFF2-40B4-BE49-F238E27FC236}">
              <a16:creationId xmlns:a16="http://schemas.microsoft.com/office/drawing/2014/main" id="{08FD6995-6B4B-4B2E-86FE-C25449770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92" name="BEx5BJQWS6YWHH4ZMSUAMD641V6Y" descr="ZTMFMXCIQSECDX38ALEFHUB00" hidden="1">
          <a:extLst>
            <a:ext uri="{FF2B5EF4-FFF2-40B4-BE49-F238E27FC236}">
              <a16:creationId xmlns:a16="http://schemas.microsoft.com/office/drawing/2014/main" id="{2AA79A0D-D6D9-4FA9-BDD2-1D1A6A40A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93" name="BExUBK0YZ5VYFY8TTITJGJU9S06A" hidden="1">
          <a:extLst>
            <a:ext uri="{FF2B5EF4-FFF2-40B4-BE49-F238E27FC236}">
              <a16:creationId xmlns:a16="http://schemas.microsoft.com/office/drawing/2014/main" id="{3EC4E1AF-4CD8-4686-BA4C-5AD11C6D7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94" name="BEx5BJQWS6YWHH4ZMSUAMD641V6Y" descr="ZTMFMXCIQSECDX38ALEFHUB00" hidden="1">
          <a:extLst>
            <a:ext uri="{FF2B5EF4-FFF2-40B4-BE49-F238E27FC236}">
              <a16:creationId xmlns:a16="http://schemas.microsoft.com/office/drawing/2014/main" id="{4CD9AC0A-EAA9-4BB6-AD70-A09FFBDAB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95" name="BExUBK0YZ5VYFY8TTITJGJU9S06A" hidden="1">
          <a:extLst>
            <a:ext uri="{FF2B5EF4-FFF2-40B4-BE49-F238E27FC236}">
              <a16:creationId xmlns:a16="http://schemas.microsoft.com/office/drawing/2014/main" id="{96788B56-1920-4ED4-B525-09C4586AB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96" name="BEx5BJQWS6YWHH4ZMSUAMD641V6Y" descr="ZTMFMXCIQSECDX38ALEFHUB00" hidden="1">
          <a:extLst>
            <a:ext uri="{FF2B5EF4-FFF2-40B4-BE49-F238E27FC236}">
              <a16:creationId xmlns:a16="http://schemas.microsoft.com/office/drawing/2014/main" id="{4267A4F5-C5CA-4E86-A33F-FCF616C09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97" name="BExUBK0YZ5VYFY8TTITJGJU9S06A" hidden="1">
          <a:extLst>
            <a:ext uri="{FF2B5EF4-FFF2-40B4-BE49-F238E27FC236}">
              <a16:creationId xmlns:a16="http://schemas.microsoft.com/office/drawing/2014/main" id="{603FFD9D-C1FC-4836-9D14-5BAD1C249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98" name="BEx5BJQWS6YWHH4ZMSUAMD641V6Y" descr="ZTMFMXCIQSECDX38ALEFHUB00" hidden="1">
          <a:extLst>
            <a:ext uri="{FF2B5EF4-FFF2-40B4-BE49-F238E27FC236}">
              <a16:creationId xmlns:a16="http://schemas.microsoft.com/office/drawing/2014/main" id="{491EEB90-074B-4040-8E09-41B98E2E4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699" name="BExUBK0YZ5VYFY8TTITJGJU9S06A" hidden="1">
          <a:extLst>
            <a:ext uri="{FF2B5EF4-FFF2-40B4-BE49-F238E27FC236}">
              <a16:creationId xmlns:a16="http://schemas.microsoft.com/office/drawing/2014/main" id="{CD261970-7F91-4A51-9C3E-D890D2F4C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00" name="BEx5BJQWS6YWHH4ZMSUAMD641V6Y" descr="ZTMFMXCIQSECDX38ALEFHUB00" hidden="1">
          <a:extLst>
            <a:ext uri="{FF2B5EF4-FFF2-40B4-BE49-F238E27FC236}">
              <a16:creationId xmlns:a16="http://schemas.microsoft.com/office/drawing/2014/main" id="{5CE06F2F-6235-426E-90CA-E61CC8468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01" name="BExUBK0YZ5VYFY8TTITJGJU9S06A" hidden="1">
          <a:extLst>
            <a:ext uri="{FF2B5EF4-FFF2-40B4-BE49-F238E27FC236}">
              <a16:creationId xmlns:a16="http://schemas.microsoft.com/office/drawing/2014/main" id="{714CCD84-E39B-4425-A48E-584855258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02" name="BEx5BJQWS6YWHH4ZMSUAMD641V6Y" descr="ZTMFMXCIQSECDX38ALEFHUB00" hidden="1">
          <a:extLst>
            <a:ext uri="{FF2B5EF4-FFF2-40B4-BE49-F238E27FC236}">
              <a16:creationId xmlns:a16="http://schemas.microsoft.com/office/drawing/2014/main" id="{E5629057-4F0E-40EF-AA52-2F8BB8A18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03" name="BExUBK0YZ5VYFY8TTITJGJU9S06A" hidden="1">
          <a:extLst>
            <a:ext uri="{FF2B5EF4-FFF2-40B4-BE49-F238E27FC236}">
              <a16:creationId xmlns:a16="http://schemas.microsoft.com/office/drawing/2014/main" id="{942162EF-7275-420E-8223-C983F5C54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04" name="BEx5BJQWS6YWHH4ZMSUAMD641V6Y" descr="ZTMFMXCIQSECDX38ALEFHUB00" hidden="1">
          <a:extLst>
            <a:ext uri="{FF2B5EF4-FFF2-40B4-BE49-F238E27FC236}">
              <a16:creationId xmlns:a16="http://schemas.microsoft.com/office/drawing/2014/main" id="{DB6981E0-AB98-4F44-BBFB-79FF1A788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05" name="BExUBK0YZ5VYFY8TTITJGJU9S06A" hidden="1">
          <a:extLst>
            <a:ext uri="{FF2B5EF4-FFF2-40B4-BE49-F238E27FC236}">
              <a16:creationId xmlns:a16="http://schemas.microsoft.com/office/drawing/2014/main" id="{AC902DF2-2984-47F9-BCF8-32AF0833F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06" name="BEx5BJQWS6YWHH4ZMSUAMD641V6Y" descr="ZTMFMXCIQSECDX38ALEFHUB00" hidden="1">
          <a:extLst>
            <a:ext uri="{FF2B5EF4-FFF2-40B4-BE49-F238E27FC236}">
              <a16:creationId xmlns:a16="http://schemas.microsoft.com/office/drawing/2014/main" id="{3CA567F1-63C9-4857-A8E4-8CBD7F45A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07" name="BExUBK0YZ5VYFY8TTITJGJU9S06A" hidden="1">
          <a:extLst>
            <a:ext uri="{FF2B5EF4-FFF2-40B4-BE49-F238E27FC236}">
              <a16:creationId xmlns:a16="http://schemas.microsoft.com/office/drawing/2014/main" id="{71C554D3-3C77-4A88-B11E-F2E50F3D3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08" name="BEx5BJQWS6YWHH4ZMSUAMD641V6Y" descr="ZTMFMXCIQSECDX38ALEFHUB00" hidden="1">
          <a:extLst>
            <a:ext uri="{FF2B5EF4-FFF2-40B4-BE49-F238E27FC236}">
              <a16:creationId xmlns:a16="http://schemas.microsoft.com/office/drawing/2014/main" id="{B3FD122D-1BAC-4334-88A9-B9B9E0247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09" name="BExUBK0YZ5VYFY8TTITJGJU9S06A" hidden="1">
          <a:extLst>
            <a:ext uri="{FF2B5EF4-FFF2-40B4-BE49-F238E27FC236}">
              <a16:creationId xmlns:a16="http://schemas.microsoft.com/office/drawing/2014/main" id="{ABA5232F-3AF5-471C-8BB1-6BA2D1BF7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10" name="BEx5BJQWS6YWHH4ZMSUAMD641V6Y" descr="ZTMFMXCIQSECDX38ALEFHUB00" hidden="1">
          <a:extLst>
            <a:ext uri="{FF2B5EF4-FFF2-40B4-BE49-F238E27FC236}">
              <a16:creationId xmlns:a16="http://schemas.microsoft.com/office/drawing/2014/main" id="{7827D005-C8B7-4973-966B-06729A61F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11" name="BExUBK0YZ5VYFY8TTITJGJU9S06A" hidden="1">
          <a:extLst>
            <a:ext uri="{FF2B5EF4-FFF2-40B4-BE49-F238E27FC236}">
              <a16:creationId xmlns:a16="http://schemas.microsoft.com/office/drawing/2014/main" id="{DE324820-1A8F-4496-BD4D-5677AF80B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12" name="BEx5BJQWS6YWHH4ZMSUAMD641V6Y" descr="ZTMFMXCIQSECDX38ALEFHUB00" hidden="1">
          <a:extLst>
            <a:ext uri="{FF2B5EF4-FFF2-40B4-BE49-F238E27FC236}">
              <a16:creationId xmlns:a16="http://schemas.microsoft.com/office/drawing/2014/main" id="{4049A7BA-1FED-4682-A822-9DA5D2DAF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13" name="BExUBK0YZ5VYFY8TTITJGJU9S06A" hidden="1">
          <a:extLst>
            <a:ext uri="{FF2B5EF4-FFF2-40B4-BE49-F238E27FC236}">
              <a16:creationId xmlns:a16="http://schemas.microsoft.com/office/drawing/2014/main" id="{CA31472D-6B07-45CA-B392-C9B0403BE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14" name="BEx5BJQWS6YWHH4ZMSUAMD641V6Y" descr="ZTMFMXCIQSECDX38ALEFHUB00" hidden="1">
          <a:extLst>
            <a:ext uri="{FF2B5EF4-FFF2-40B4-BE49-F238E27FC236}">
              <a16:creationId xmlns:a16="http://schemas.microsoft.com/office/drawing/2014/main" id="{D1F075CE-84DC-4350-A465-6022A9CE9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15" name="BExUBK0YZ5VYFY8TTITJGJU9S06A" hidden="1">
          <a:extLst>
            <a:ext uri="{FF2B5EF4-FFF2-40B4-BE49-F238E27FC236}">
              <a16:creationId xmlns:a16="http://schemas.microsoft.com/office/drawing/2014/main" id="{0B9A8D29-8969-437B-9E9B-DB6EABC78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16" name="BEx5BJQWS6YWHH4ZMSUAMD641V6Y" descr="ZTMFMXCIQSECDX38ALEFHUB00" hidden="1">
          <a:extLst>
            <a:ext uri="{FF2B5EF4-FFF2-40B4-BE49-F238E27FC236}">
              <a16:creationId xmlns:a16="http://schemas.microsoft.com/office/drawing/2014/main" id="{E757048C-7D46-41BF-AC5E-E8DF41585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17" name="BExUBK0YZ5VYFY8TTITJGJU9S06A" hidden="1">
          <a:extLst>
            <a:ext uri="{FF2B5EF4-FFF2-40B4-BE49-F238E27FC236}">
              <a16:creationId xmlns:a16="http://schemas.microsoft.com/office/drawing/2014/main" id="{EE81956D-0BFC-4B93-BAF0-15435AE10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18" name="BEx5BJQWS6YWHH4ZMSUAMD641V6Y" descr="ZTMFMXCIQSECDX38ALEFHUB00" hidden="1">
          <a:extLst>
            <a:ext uri="{FF2B5EF4-FFF2-40B4-BE49-F238E27FC236}">
              <a16:creationId xmlns:a16="http://schemas.microsoft.com/office/drawing/2014/main" id="{6521E0E2-1A28-4BD8-AA97-5C92CDCD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19" name="BExUBK0YZ5VYFY8TTITJGJU9S06A" hidden="1">
          <a:extLst>
            <a:ext uri="{FF2B5EF4-FFF2-40B4-BE49-F238E27FC236}">
              <a16:creationId xmlns:a16="http://schemas.microsoft.com/office/drawing/2014/main" id="{6E47E005-71DC-4B65-8FB8-0D791AD8E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20" name="BEx5BJQWS6YWHH4ZMSUAMD641V6Y" descr="ZTMFMXCIQSECDX38ALEFHUB00" hidden="1">
          <a:extLst>
            <a:ext uri="{FF2B5EF4-FFF2-40B4-BE49-F238E27FC236}">
              <a16:creationId xmlns:a16="http://schemas.microsoft.com/office/drawing/2014/main" id="{979FEBC4-C7B4-4A36-8219-0FABEB043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21" name="BExUBK0YZ5VYFY8TTITJGJU9S06A" hidden="1">
          <a:extLst>
            <a:ext uri="{FF2B5EF4-FFF2-40B4-BE49-F238E27FC236}">
              <a16:creationId xmlns:a16="http://schemas.microsoft.com/office/drawing/2014/main" id="{263F7B9E-2F18-499F-8186-FE405CEC3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22" name="BEx5BJQWS6YWHH4ZMSUAMD641V6Y" descr="ZTMFMXCIQSECDX38ALEFHUB00" hidden="1">
          <a:extLst>
            <a:ext uri="{FF2B5EF4-FFF2-40B4-BE49-F238E27FC236}">
              <a16:creationId xmlns:a16="http://schemas.microsoft.com/office/drawing/2014/main" id="{F6E8F5F1-AEC8-465A-92F5-71BC87C97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23" name="BExUBK0YZ5VYFY8TTITJGJU9S06A" hidden="1">
          <a:extLst>
            <a:ext uri="{FF2B5EF4-FFF2-40B4-BE49-F238E27FC236}">
              <a16:creationId xmlns:a16="http://schemas.microsoft.com/office/drawing/2014/main" id="{AFC1CFE8-18BB-4C32-A96F-0D123B826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24" name="BEx5BJQWS6YWHH4ZMSUAMD641V6Y" descr="ZTMFMXCIQSECDX38ALEFHUB00" hidden="1">
          <a:extLst>
            <a:ext uri="{FF2B5EF4-FFF2-40B4-BE49-F238E27FC236}">
              <a16:creationId xmlns:a16="http://schemas.microsoft.com/office/drawing/2014/main" id="{912708B6-05D1-4840-9E48-2DB81F83A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25" name="BExUBK0YZ5VYFY8TTITJGJU9S06A" hidden="1">
          <a:extLst>
            <a:ext uri="{FF2B5EF4-FFF2-40B4-BE49-F238E27FC236}">
              <a16:creationId xmlns:a16="http://schemas.microsoft.com/office/drawing/2014/main" id="{B6F2818C-975B-4226-808F-487AF7131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26" name="BEx5BJQWS6YWHH4ZMSUAMD641V6Y" descr="ZTMFMXCIQSECDX38ALEFHUB00" hidden="1">
          <a:extLst>
            <a:ext uri="{FF2B5EF4-FFF2-40B4-BE49-F238E27FC236}">
              <a16:creationId xmlns:a16="http://schemas.microsoft.com/office/drawing/2014/main" id="{5AAD57C7-3416-4A7B-933E-10DBFE073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27" name="BExUBK0YZ5VYFY8TTITJGJU9S06A" hidden="1">
          <a:extLst>
            <a:ext uri="{FF2B5EF4-FFF2-40B4-BE49-F238E27FC236}">
              <a16:creationId xmlns:a16="http://schemas.microsoft.com/office/drawing/2014/main" id="{A2F22C3F-138C-42F7-B64A-D47B41E8D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28" name="BEx5BJQWS6YWHH4ZMSUAMD641V6Y" descr="ZTMFMXCIQSECDX38ALEFHUB00" hidden="1">
          <a:extLst>
            <a:ext uri="{FF2B5EF4-FFF2-40B4-BE49-F238E27FC236}">
              <a16:creationId xmlns:a16="http://schemas.microsoft.com/office/drawing/2014/main" id="{101A12A9-D017-4472-9951-63D46E038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29" name="BExUBK0YZ5VYFY8TTITJGJU9S06A" hidden="1">
          <a:extLst>
            <a:ext uri="{FF2B5EF4-FFF2-40B4-BE49-F238E27FC236}">
              <a16:creationId xmlns:a16="http://schemas.microsoft.com/office/drawing/2014/main" id="{B7F12F8A-2089-42B5-B2EB-B523BA187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30" name="BEx5BJQWS6YWHH4ZMSUAMD641V6Y" descr="ZTMFMXCIQSECDX38ALEFHUB00" hidden="1">
          <a:extLst>
            <a:ext uri="{FF2B5EF4-FFF2-40B4-BE49-F238E27FC236}">
              <a16:creationId xmlns:a16="http://schemas.microsoft.com/office/drawing/2014/main" id="{5E831986-F1E2-4AEB-85EA-79A12FA6D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31" name="BExUBK0YZ5VYFY8TTITJGJU9S06A" hidden="1">
          <a:extLst>
            <a:ext uri="{FF2B5EF4-FFF2-40B4-BE49-F238E27FC236}">
              <a16:creationId xmlns:a16="http://schemas.microsoft.com/office/drawing/2014/main" id="{CE928AA9-1B48-4A72-8756-0E6CEAF1F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32" name="BEx5BJQWS6YWHH4ZMSUAMD641V6Y" descr="ZTMFMXCIQSECDX38ALEFHUB00" hidden="1">
          <a:extLst>
            <a:ext uri="{FF2B5EF4-FFF2-40B4-BE49-F238E27FC236}">
              <a16:creationId xmlns:a16="http://schemas.microsoft.com/office/drawing/2014/main" id="{3CE17F46-9AC8-4A3F-B65D-0045ED741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33" name="BExUBK0YZ5VYFY8TTITJGJU9S06A" hidden="1">
          <a:extLst>
            <a:ext uri="{FF2B5EF4-FFF2-40B4-BE49-F238E27FC236}">
              <a16:creationId xmlns:a16="http://schemas.microsoft.com/office/drawing/2014/main" id="{BF9B619D-E671-499F-97B1-B951D6666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34" name="BEx5BJQWS6YWHH4ZMSUAMD641V6Y" descr="ZTMFMXCIQSECDX38ALEFHUB00" hidden="1">
          <a:extLst>
            <a:ext uri="{FF2B5EF4-FFF2-40B4-BE49-F238E27FC236}">
              <a16:creationId xmlns:a16="http://schemas.microsoft.com/office/drawing/2014/main" id="{E0F54262-3D48-4A4B-92AF-77D6F9AD8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35" name="BExUBK0YZ5VYFY8TTITJGJU9S06A" hidden="1">
          <a:extLst>
            <a:ext uri="{FF2B5EF4-FFF2-40B4-BE49-F238E27FC236}">
              <a16:creationId xmlns:a16="http://schemas.microsoft.com/office/drawing/2014/main" id="{D4931788-A935-436C-8FF3-20155861E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36" name="BEx5BJQWS6YWHH4ZMSUAMD641V6Y" descr="ZTMFMXCIQSECDX38ALEFHUB00" hidden="1">
          <a:extLst>
            <a:ext uri="{FF2B5EF4-FFF2-40B4-BE49-F238E27FC236}">
              <a16:creationId xmlns:a16="http://schemas.microsoft.com/office/drawing/2014/main" id="{B9E64583-38E4-49B2-9770-C6FC164DF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37" name="BExUBK0YZ5VYFY8TTITJGJU9S06A" hidden="1">
          <a:extLst>
            <a:ext uri="{FF2B5EF4-FFF2-40B4-BE49-F238E27FC236}">
              <a16:creationId xmlns:a16="http://schemas.microsoft.com/office/drawing/2014/main" id="{966A5A21-248B-4FB6-B424-8AA9798AF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38" name="BEx5BJQWS6YWHH4ZMSUAMD641V6Y" descr="ZTMFMXCIQSECDX38ALEFHUB00" hidden="1">
          <a:extLst>
            <a:ext uri="{FF2B5EF4-FFF2-40B4-BE49-F238E27FC236}">
              <a16:creationId xmlns:a16="http://schemas.microsoft.com/office/drawing/2014/main" id="{C362080A-4408-4C01-A936-AC65440C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39" name="BExUBK0YZ5VYFY8TTITJGJU9S06A" hidden="1">
          <a:extLst>
            <a:ext uri="{FF2B5EF4-FFF2-40B4-BE49-F238E27FC236}">
              <a16:creationId xmlns:a16="http://schemas.microsoft.com/office/drawing/2014/main" id="{BA2433CE-C2EB-43B5-8E44-1FFA2EEC4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40" name="BEx5BJQWS6YWHH4ZMSUAMD641V6Y" descr="ZTMFMXCIQSECDX38ALEFHUB00" hidden="1">
          <a:extLst>
            <a:ext uri="{FF2B5EF4-FFF2-40B4-BE49-F238E27FC236}">
              <a16:creationId xmlns:a16="http://schemas.microsoft.com/office/drawing/2014/main" id="{A468A94E-B8E2-4DA9-9E23-B5B0084B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41" name="BExUBK0YZ5VYFY8TTITJGJU9S06A" hidden="1">
          <a:extLst>
            <a:ext uri="{FF2B5EF4-FFF2-40B4-BE49-F238E27FC236}">
              <a16:creationId xmlns:a16="http://schemas.microsoft.com/office/drawing/2014/main" id="{6CBDD4F1-9AEE-4A34-9AE8-E54A2298B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42" name="BEx5BJQWS6YWHH4ZMSUAMD641V6Y" descr="ZTMFMXCIQSECDX38ALEFHUB00" hidden="1">
          <a:extLst>
            <a:ext uri="{FF2B5EF4-FFF2-40B4-BE49-F238E27FC236}">
              <a16:creationId xmlns:a16="http://schemas.microsoft.com/office/drawing/2014/main" id="{C3B9F65A-AD77-4E49-B8B2-2B69FE242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43" name="BExUBK0YZ5VYFY8TTITJGJU9S06A" hidden="1">
          <a:extLst>
            <a:ext uri="{FF2B5EF4-FFF2-40B4-BE49-F238E27FC236}">
              <a16:creationId xmlns:a16="http://schemas.microsoft.com/office/drawing/2014/main" id="{ECEA7044-02D1-4198-8F49-1256563FB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44" name="BEx5BJQWS6YWHH4ZMSUAMD641V6Y" descr="ZTMFMXCIQSECDX38ALEFHUB00" hidden="1">
          <a:extLst>
            <a:ext uri="{FF2B5EF4-FFF2-40B4-BE49-F238E27FC236}">
              <a16:creationId xmlns:a16="http://schemas.microsoft.com/office/drawing/2014/main" id="{14272891-A73A-45A2-9890-34B27C425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45" name="BExUBK0YZ5VYFY8TTITJGJU9S06A" hidden="1">
          <a:extLst>
            <a:ext uri="{FF2B5EF4-FFF2-40B4-BE49-F238E27FC236}">
              <a16:creationId xmlns:a16="http://schemas.microsoft.com/office/drawing/2014/main" id="{100F03B9-EB28-4C02-8BDD-1AB5740A5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46" name="BEx5BJQWS6YWHH4ZMSUAMD641V6Y" descr="ZTMFMXCIQSECDX38ALEFHUB00" hidden="1">
          <a:extLst>
            <a:ext uri="{FF2B5EF4-FFF2-40B4-BE49-F238E27FC236}">
              <a16:creationId xmlns:a16="http://schemas.microsoft.com/office/drawing/2014/main" id="{E964D452-A042-4BDC-909C-7EC797A14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47" name="BExUBK0YZ5VYFY8TTITJGJU9S06A" hidden="1">
          <a:extLst>
            <a:ext uri="{FF2B5EF4-FFF2-40B4-BE49-F238E27FC236}">
              <a16:creationId xmlns:a16="http://schemas.microsoft.com/office/drawing/2014/main" id="{CC1D2FA5-8BA4-4F6A-B8B4-446575CD8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48" name="BEx5BJQWS6YWHH4ZMSUAMD641V6Y" descr="ZTMFMXCIQSECDX38ALEFHUB00" hidden="1">
          <a:extLst>
            <a:ext uri="{FF2B5EF4-FFF2-40B4-BE49-F238E27FC236}">
              <a16:creationId xmlns:a16="http://schemas.microsoft.com/office/drawing/2014/main" id="{062F6AC9-13DA-4E0E-935A-A91C18D81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49" name="BExUBK0YZ5VYFY8TTITJGJU9S06A" hidden="1">
          <a:extLst>
            <a:ext uri="{FF2B5EF4-FFF2-40B4-BE49-F238E27FC236}">
              <a16:creationId xmlns:a16="http://schemas.microsoft.com/office/drawing/2014/main" id="{7A01C4D2-6D73-4226-8D26-5434F696E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50" name="BEx5BJQWS6YWHH4ZMSUAMD641V6Y" descr="ZTMFMXCIQSECDX38ALEFHUB00" hidden="1">
          <a:extLst>
            <a:ext uri="{FF2B5EF4-FFF2-40B4-BE49-F238E27FC236}">
              <a16:creationId xmlns:a16="http://schemas.microsoft.com/office/drawing/2014/main" id="{F0DF4F32-0F98-4359-86A0-646AC7F53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51" name="BExUBK0YZ5VYFY8TTITJGJU9S06A" hidden="1">
          <a:extLst>
            <a:ext uri="{FF2B5EF4-FFF2-40B4-BE49-F238E27FC236}">
              <a16:creationId xmlns:a16="http://schemas.microsoft.com/office/drawing/2014/main" id="{FDD45487-DFF5-4AD2-890B-1F0AAEED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52" name="BEx5BJQWS6YWHH4ZMSUAMD641V6Y" descr="ZTMFMXCIQSECDX38ALEFHUB00" hidden="1">
          <a:extLst>
            <a:ext uri="{FF2B5EF4-FFF2-40B4-BE49-F238E27FC236}">
              <a16:creationId xmlns:a16="http://schemas.microsoft.com/office/drawing/2014/main" id="{319FEFA3-95C3-4A42-96C2-2EC831256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53" name="BExUBK0YZ5VYFY8TTITJGJU9S06A" hidden="1">
          <a:extLst>
            <a:ext uri="{FF2B5EF4-FFF2-40B4-BE49-F238E27FC236}">
              <a16:creationId xmlns:a16="http://schemas.microsoft.com/office/drawing/2014/main" id="{8FA214FE-DCF2-43D3-91C4-949EBE34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54" name="BEx5BJQWS6YWHH4ZMSUAMD641V6Y" descr="ZTMFMXCIQSECDX38ALEFHUB00" hidden="1">
          <a:extLst>
            <a:ext uri="{FF2B5EF4-FFF2-40B4-BE49-F238E27FC236}">
              <a16:creationId xmlns:a16="http://schemas.microsoft.com/office/drawing/2014/main" id="{89797617-154E-4B68-A438-DF2451A16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55" name="BExUBK0YZ5VYFY8TTITJGJU9S06A" hidden="1">
          <a:extLst>
            <a:ext uri="{FF2B5EF4-FFF2-40B4-BE49-F238E27FC236}">
              <a16:creationId xmlns:a16="http://schemas.microsoft.com/office/drawing/2014/main" id="{6498A0D9-AC7D-4DBA-8600-CD50FEA3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56" name="BEx5BJQWS6YWHH4ZMSUAMD641V6Y" descr="ZTMFMXCIQSECDX38ALEFHUB00" hidden="1">
          <a:extLst>
            <a:ext uri="{FF2B5EF4-FFF2-40B4-BE49-F238E27FC236}">
              <a16:creationId xmlns:a16="http://schemas.microsoft.com/office/drawing/2014/main" id="{7FB965C6-AF1C-4441-B9A2-C508A216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57" name="BExUBK0YZ5VYFY8TTITJGJU9S06A" hidden="1">
          <a:extLst>
            <a:ext uri="{FF2B5EF4-FFF2-40B4-BE49-F238E27FC236}">
              <a16:creationId xmlns:a16="http://schemas.microsoft.com/office/drawing/2014/main" id="{D58D6921-9DE5-4401-835E-B539A2C3E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58" name="BEx5BJQWS6YWHH4ZMSUAMD641V6Y" descr="ZTMFMXCIQSECDX38ALEFHUB00" hidden="1">
          <a:extLst>
            <a:ext uri="{FF2B5EF4-FFF2-40B4-BE49-F238E27FC236}">
              <a16:creationId xmlns:a16="http://schemas.microsoft.com/office/drawing/2014/main" id="{58479751-7A70-4476-AEBE-893AD1CFA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59" name="BExUBK0YZ5VYFY8TTITJGJU9S06A" hidden="1">
          <a:extLst>
            <a:ext uri="{FF2B5EF4-FFF2-40B4-BE49-F238E27FC236}">
              <a16:creationId xmlns:a16="http://schemas.microsoft.com/office/drawing/2014/main" id="{11B3A780-8417-497B-9427-D8A7B8229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60" name="BEx5BJQWS6YWHH4ZMSUAMD641V6Y" descr="ZTMFMXCIQSECDX38ALEFHUB00" hidden="1">
          <a:extLst>
            <a:ext uri="{FF2B5EF4-FFF2-40B4-BE49-F238E27FC236}">
              <a16:creationId xmlns:a16="http://schemas.microsoft.com/office/drawing/2014/main" id="{573658B5-EDE6-4F47-A994-ED2113B49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61" name="BExUBK0YZ5VYFY8TTITJGJU9S06A" hidden="1">
          <a:extLst>
            <a:ext uri="{FF2B5EF4-FFF2-40B4-BE49-F238E27FC236}">
              <a16:creationId xmlns:a16="http://schemas.microsoft.com/office/drawing/2014/main" id="{37F32ECC-2701-4B36-AA6C-FA465F332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62" name="BEx5BJQWS6YWHH4ZMSUAMD641V6Y" descr="ZTMFMXCIQSECDX38ALEFHUB00" hidden="1">
          <a:extLst>
            <a:ext uri="{FF2B5EF4-FFF2-40B4-BE49-F238E27FC236}">
              <a16:creationId xmlns:a16="http://schemas.microsoft.com/office/drawing/2014/main" id="{D25C5640-B6E2-4EC1-BBF2-2A6BD504A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63" name="BExUBK0YZ5VYFY8TTITJGJU9S06A" hidden="1">
          <a:extLst>
            <a:ext uri="{FF2B5EF4-FFF2-40B4-BE49-F238E27FC236}">
              <a16:creationId xmlns:a16="http://schemas.microsoft.com/office/drawing/2014/main" id="{909F7EDB-6366-478C-B639-E5DAACEDF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64" name="BEx5BJQWS6YWHH4ZMSUAMD641V6Y" descr="ZTMFMXCIQSECDX38ALEFHUB00" hidden="1">
          <a:extLst>
            <a:ext uri="{FF2B5EF4-FFF2-40B4-BE49-F238E27FC236}">
              <a16:creationId xmlns:a16="http://schemas.microsoft.com/office/drawing/2014/main" id="{46E7B674-3A64-4E5B-89E0-1FAF96814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65" name="BExUBK0YZ5VYFY8TTITJGJU9S06A" hidden="1">
          <a:extLst>
            <a:ext uri="{FF2B5EF4-FFF2-40B4-BE49-F238E27FC236}">
              <a16:creationId xmlns:a16="http://schemas.microsoft.com/office/drawing/2014/main" id="{91B4C7D3-B9F4-42DC-A0E7-86707049E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66" name="BEx5BJQWS6YWHH4ZMSUAMD641V6Y" descr="ZTMFMXCIQSECDX38ALEFHUB00" hidden="1">
          <a:extLst>
            <a:ext uri="{FF2B5EF4-FFF2-40B4-BE49-F238E27FC236}">
              <a16:creationId xmlns:a16="http://schemas.microsoft.com/office/drawing/2014/main" id="{636285FC-4B6E-49B1-9A81-FCE2DD181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67" name="BExUBK0YZ5VYFY8TTITJGJU9S06A" hidden="1">
          <a:extLst>
            <a:ext uri="{FF2B5EF4-FFF2-40B4-BE49-F238E27FC236}">
              <a16:creationId xmlns:a16="http://schemas.microsoft.com/office/drawing/2014/main" id="{2F963F62-D113-43AB-8A47-C64E07358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768" name="BExU3EX5JJCXCII4YKUJBFBGIJR2" descr="OF5ZI9PI5WH36VPANJ2DYLNMI" hidden="1">
          <a:extLst>
            <a:ext uri="{FF2B5EF4-FFF2-40B4-BE49-F238E27FC236}">
              <a16:creationId xmlns:a16="http://schemas.microsoft.com/office/drawing/2014/main" id="{15325EBF-7EE0-433D-8796-C35AD856D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69" name="BEx5BJQWS6YWHH4ZMSUAMD641V6Y" descr="ZTMFMXCIQSECDX38ALEFHUB00" hidden="1">
          <a:extLst>
            <a:ext uri="{FF2B5EF4-FFF2-40B4-BE49-F238E27FC236}">
              <a16:creationId xmlns:a16="http://schemas.microsoft.com/office/drawing/2014/main" id="{82090942-D000-40D9-83FF-70790D3C9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24</xdr:row>
      <xdr:rowOff>0</xdr:rowOff>
    </xdr:from>
    <xdr:ext cx="59531" cy="295275"/>
    <xdr:pic>
      <xdr:nvPicPr>
        <xdr:cNvPr id="2770" name="BExIFSCLN1G86X78PFLTSMRP0US5" descr="9JK4SPV4DG7VTCZIILWHXQU5J" hidden="1">
          <a:extLst>
            <a:ext uri="{FF2B5EF4-FFF2-40B4-BE49-F238E27FC236}">
              <a16:creationId xmlns:a16="http://schemas.microsoft.com/office/drawing/2014/main" id="{5DBF5D36-ED0E-4F0E-A5E1-90ADCE907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771" name="BExW9676P0SKCVKK25QCGHPA3PAD" descr="9A4PWZ20RMSRF0PNECCDM75CA" hidden="1">
          <a:extLst>
            <a:ext uri="{FF2B5EF4-FFF2-40B4-BE49-F238E27FC236}">
              <a16:creationId xmlns:a16="http://schemas.microsoft.com/office/drawing/2014/main" id="{42A10B03-3F69-49A9-BAC1-4D230BDD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772" name="BExMM0AVUAIRNJLXB1FW8R0YB4ZZ" hidden="1">
          <a:extLst>
            <a:ext uri="{FF2B5EF4-FFF2-40B4-BE49-F238E27FC236}">
              <a16:creationId xmlns:a16="http://schemas.microsoft.com/office/drawing/2014/main" id="{9AB02F61-FF0E-4E79-974C-94C324C16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773" name="BExQ7SXS9VUG7P6CACU2J7R2SGIZ" hidden="1">
          <a:extLst>
            <a:ext uri="{FF2B5EF4-FFF2-40B4-BE49-F238E27FC236}">
              <a16:creationId xmlns:a16="http://schemas.microsoft.com/office/drawing/2014/main" id="{4E0C4B10-40F6-4DE3-9467-334CEB714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74" name="BExUBK0YZ5VYFY8TTITJGJU9S06A" hidden="1">
          <a:extLst>
            <a:ext uri="{FF2B5EF4-FFF2-40B4-BE49-F238E27FC236}">
              <a16:creationId xmlns:a16="http://schemas.microsoft.com/office/drawing/2014/main" id="{50FF0439-0F83-49E4-9BB5-63579BDAE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24</xdr:row>
      <xdr:rowOff>0</xdr:rowOff>
    </xdr:from>
    <xdr:ext cx="47625" cy="295275"/>
    <xdr:pic>
      <xdr:nvPicPr>
        <xdr:cNvPr id="2775" name="BExS3JDQWF7U3F5JTEVOE16ASIYK" hidden="1">
          <a:extLst>
            <a:ext uri="{FF2B5EF4-FFF2-40B4-BE49-F238E27FC236}">
              <a16:creationId xmlns:a16="http://schemas.microsoft.com/office/drawing/2014/main" id="{A7B9CC00-EB80-4835-B3E9-DAE1B355B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577215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76" name="BEx5BJQWS6YWHH4ZMSUAMD641V6Y" descr="ZTMFMXCIQSECDX38ALEFHUB00" hidden="1">
          <a:extLst>
            <a:ext uri="{FF2B5EF4-FFF2-40B4-BE49-F238E27FC236}">
              <a16:creationId xmlns:a16="http://schemas.microsoft.com/office/drawing/2014/main" id="{440EC5A1-0BB5-4861-A539-FFD1B0A3B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77" name="BExUBK0YZ5VYFY8TTITJGJU9S06A" hidden="1">
          <a:extLst>
            <a:ext uri="{FF2B5EF4-FFF2-40B4-BE49-F238E27FC236}">
              <a16:creationId xmlns:a16="http://schemas.microsoft.com/office/drawing/2014/main" id="{698C480C-A589-4BDA-889F-20DA5D0FF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778" name="BExU3EX5JJCXCII4YKUJBFBGIJR2" descr="OF5ZI9PI5WH36VPANJ2DYLNMI" hidden="1">
          <a:extLst>
            <a:ext uri="{FF2B5EF4-FFF2-40B4-BE49-F238E27FC236}">
              <a16:creationId xmlns:a16="http://schemas.microsoft.com/office/drawing/2014/main" id="{CD2135B8-5799-435A-9F0B-BB0877629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779" name="BExW9676P0SKCVKK25QCGHPA3PAD" descr="9A4PWZ20RMSRF0PNECCDM75CA" hidden="1">
          <a:extLst>
            <a:ext uri="{FF2B5EF4-FFF2-40B4-BE49-F238E27FC236}">
              <a16:creationId xmlns:a16="http://schemas.microsoft.com/office/drawing/2014/main" id="{250DA6B5-7958-43AC-B7D6-1B4F8B084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780" name="BExMM0AVUAIRNJLXB1FW8R0YB4ZZ" hidden="1">
          <a:extLst>
            <a:ext uri="{FF2B5EF4-FFF2-40B4-BE49-F238E27FC236}">
              <a16:creationId xmlns:a16="http://schemas.microsoft.com/office/drawing/2014/main" id="{1A970378-9756-495B-B1E7-F405EC69A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781" name="BExQ7SXS9VUG7P6CACU2J7R2SGIZ" hidden="1">
          <a:extLst>
            <a:ext uri="{FF2B5EF4-FFF2-40B4-BE49-F238E27FC236}">
              <a16:creationId xmlns:a16="http://schemas.microsoft.com/office/drawing/2014/main" id="{64BD7ED5-EA05-4B53-AB2A-D3E91453A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782" name="BExU3EX5JJCXCII4YKUJBFBGIJR2" descr="OF5ZI9PI5WH36VPANJ2DYLNMI" hidden="1">
          <a:extLst>
            <a:ext uri="{FF2B5EF4-FFF2-40B4-BE49-F238E27FC236}">
              <a16:creationId xmlns:a16="http://schemas.microsoft.com/office/drawing/2014/main" id="{AFCD515B-2C44-48F0-B307-333C8FE33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783" name="BExW9676P0SKCVKK25QCGHPA3PAD" descr="9A4PWZ20RMSRF0PNECCDM75CA" hidden="1">
          <a:extLst>
            <a:ext uri="{FF2B5EF4-FFF2-40B4-BE49-F238E27FC236}">
              <a16:creationId xmlns:a16="http://schemas.microsoft.com/office/drawing/2014/main" id="{7F073F25-8A6D-4E7A-BA5D-D7A5D6FB3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784" name="BExMM0AVUAIRNJLXB1FW8R0YB4ZZ" hidden="1">
          <a:extLst>
            <a:ext uri="{FF2B5EF4-FFF2-40B4-BE49-F238E27FC236}">
              <a16:creationId xmlns:a16="http://schemas.microsoft.com/office/drawing/2014/main" id="{6F190ACB-BFD1-4617-8502-3EEB309CC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785" name="BExQ7SXS9VUG7P6CACU2J7R2SGIZ" hidden="1">
          <a:extLst>
            <a:ext uri="{FF2B5EF4-FFF2-40B4-BE49-F238E27FC236}">
              <a16:creationId xmlns:a16="http://schemas.microsoft.com/office/drawing/2014/main" id="{C4B592DB-3176-488D-8045-4F9E10B59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86" name="BEx5BJQWS6YWHH4ZMSUAMD641V6Y" descr="ZTMFMXCIQSECDX38ALEFHUB00" hidden="1">
          <a:extLst>
            <a:ext uri="{FF2B5EF4-FFF2-40B4-BE49-F238E27FC236}">
              <a16:creationId xmlns:a16="http://schemas.microsoft.com/office/drawing/2014/main" id="{8AAFE691-D14F-48E2-8BA0-45CF03FD7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87" name="BExUBK0YZ5VYFY8TTITJGJU9S06A" hidden="1">
          <a:extLst>
            <a:ext uri="{FF2B5EF4-FFF2-40B4-BE49-F238E27FC236}">
              <a16:creationId xmlns:a16="http://schemas.microsoft.com/office/drawing/2014/main" id="{2FD4D6E0-7E5F-4883-9BB4-A7FD3E72B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88" name="BEx5BJQWS6YWHH4ZMSUAMD641V6Y" descr="ZTMFMXCIQSECDX38ALEFHUB00" hidden="1">
          <a:extLst>
            <a:ext uri="{FF2B5EF4-FFF2-40B4-BE49-F238E27FC236}">
              <a16:creationId xmlns:a16="http://schemas.microsoft.com/office/drawing/2014/main" id="{00E90A03-599F-4595-B911-FBDA1626F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89" name="BExUBK0YZ5VYFY8TTITJGJU9S06A" hidden="1">
          <a:extLst>
            <a:ext uri="{FF2B5EF4-FFF2-40B4-BE49-F238E27FC236}">
              <a16:creationId xmlns:a16="http://schemas.microsoft.com/office/drawing/2014/main" id="{A9CF9953-26A6-4882-92AA-5DB4046F2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90" name="BEx5BJQWS6YWHH4ZMSUAMD641V6Y" descr="ZTMFMXCIQSECDX38ALEFHUB00" hidden="1">
          <a:extLst>
            <a:ext uri="{FF2B5EF4-FFF2-40B4-BE49-F238E27FC236}">
              <a16:creationId xmlns:a16="http://schemas.microsoft.com/office/drawing/2014/main" id="{F6AF13BC-B570-4176-980E-04AF85D55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91" name="BExUBK0YZ5VYFY8TTITJGJU9S06A" hidden="1">
          <a:extLst>
            <a:ext uri="{FF2B5EF4-FFF2-40B4-BE49-F238E27FC236}">
              <a16:creationId xmlns:a16="http://schemas.microsoft.com/office/drawing/2014/main" id="{E918CC5A-E406-45BA-B38C-6E61DBB3F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92" name="BEx5BJQWS6YWHH4ZMSUAMD641V6Y" descr="ZTMFMXCIQSECDX38ALEFHUB00" hidden="1">
          <a:extLst>
            <a:ext uri="{FF2B5EF4-FFF2-40B4-BE49-F238E27FC236}">
              <a16:creationId xmlns:a16="http://schemas.microsoft.com/office/drawing/2014/main" id="{FF525E73-AE13-4681-BE2D-5EFE382A1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93" name="BExUBK0YZ5VYFY8TTITJGJU9S06A" hidden="1">
          <a:extLst>
            <a:ext uri="{FF2B5EF4-FFF2-40B4-BE49-F238E27FC236}">
              <a16:creationId xmlns:a16="http://schemas.microsoft.com/office/drawing/2014/main" id="{63FE2E59-0322-4008-AE33-F7160EC4D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94" name="BEx5BJQWS6YWHH4ZMSUAMD641V6Y" descr="ZTMFMXCIQSECDX38ALEFHUB00" hidden="1">
          <a:extLst>
            <a:ext uri="{FF2B5EF4-FFF2-40B4-BE49-F238E27FC236}">
              <a16:creationId xmlns:a16="http://schemas.microsoft.com/office/drawing/2014/main" id="{50A00092-8218-4328-8E99-1890D3F7F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95" name="BExUBK0YZ5VYFY8TTITJGJU9S06A" hidden="1">
          <a:extLst>
            <a:ext uri="{FF2B5EF4-FFF2-40B4-BE49-F238E27FC236}">
              <a16:creationId xmlns:a16="http://schemas.microsoft.com/office/drawing/2014/main" id="{6477F857-B3E3-43F3-BD2E-113479233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96" name="BEx5BJQWS6YWHH4ZMSUAMD641V6Y" descr="ZTMFMXCIQSECDX38ALEFHUB00" hidden="1">
          <a:extLst>
            <a:ext uri="{FF2B5EF4-FFF2-40B4-BE49-F238E27FC236}">
              <a16:creationId xmlns:a16="http://schemas.microsoft.com/office/drawing/2014/main" id="{7C9AA7BE-734B-41E6-A35C-6FEF82CFE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97" name="BExUBK0YZ5VYFY8TTITJGJU9S06A" hidden="1">
          <a:extLst>
            <a:ext uri="{FF2B5EF4-FFF2-40B4-BE49-F238E27FC236}">
              <a16:creationId xmlns:a16="http://schemas.microsoft.com/office/drawing/2014/main" id="{6BEBA575-C50E-4541-8902-7A70F06D1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98" name="BEx5BJQWS6YWHH4ZMSUAMD641V6Y" descr="ZTMFMXCIQSECDX38ALEFHUB00" hidden="1">
          <a:extLst>
            <a:ext uri="{FF2B5EF4-FFF2-40B4-BE49-F238E27FC236}">
              <a16:creationId xmlns:a16="http://schemas.microsoft.com/office/drawing/2014/main" id="{40531F26-0EA1-492A-85F4-C78F0C33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799" name="BExUBK0YZ5VYFY8TTITJGJU9S06A" hidden="1">
          <a:extLst>
            <a:ext uri="{FF2B5EF4-FFF2-40B4-BE49-F238E27FC236}">
              <a16:creationId xmlns:a16="http://schemas.microsoft.com/office/drawing/2014/main" id="{B5E8204F-04EB-4329-B279-204AF291B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00" name="BEx5BJQWS6YWHH4ZMSUAMD641V6Y" descr="ZTMFMXCIQSECDX38ALEFHUB00" hidden="1">
          <a:extLst>
            <a:ext uri="{FF2B5EF4-FFF2-40B4-BE49-F238E27FC236}">
              <a16:creationId xmlns:a16="http://schemas.microsoft.com/office/drawing/2014/main" id="{4A8BE74C-7A25-4F87-8C7E-CD57169B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01" name="BExUBK0YZ5VYFY8TTITJGJU9S06A" hidden="1">
          <a:extLst>
            <a:ext uri="{FF2B5EF4-FFF2-40B4-BE49-F238E27FC236}">
              <a16:creationId xmlns:a16="http://schemas.microsoft.com/office/drawing/2014/main" id="{D3C88776-9A31-47C8-8B86-E59221E14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02" name="BEx5BJQWS6YWHH4ZMSUAMD641V6Y" descr="ZTMFMXCIQSECDX38ALEFHUB00" hidden="1">
          <a:extLst>
            <a:ext uri="{FF2B5EF4-FFF2-40B4-BE49-F238E27FC236}">
              <a16:creationId xmlns:a16="http://schemas.microsoft.com/office/drawing/2014/main" id="{CB5E35B9-7A4C-4AEC-BB74-3209CFFFF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03" name="BExUBK0YZ5VYFY8TTITJGJU9S06A" hidden="1">
          <a:extLst>
            <a:ext uri="{FF2B5EF4-FFF2-40B4-BE49-F238E27FC236}">
              <a16:creationId xmlns:a16="http://schemas.microsoft.com/office/drawing/2014/main" id="{756F50F6-B012-434A-8A15-E56F0E582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804" name="BExU3EX5JJCXCII4YKUJBFBGIJR2" descr="OF5ZI9PI5WH36VPANJ2DYLNMI" hidden="1">
          <a:extLst>
            <a:ext uri="{FF2B5EF4-FFF2-40B4-BE49-F238E27FC236}">
              <a16:creationId xmlns:a16="http://schemas.microsoft.com/office/drawing/2014/main" id="{26BBE0B9-2A50-43A5-BCA3-3D1AABFA8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805" name="BExW9676P0SKCVKK25QCGHPA3PAD" descr="9A4PWZ20RMSRF0PNECCDM75CA" hidden="1">
          <a:extLst>
            <a:ext uri="{FF2B5EF4-FFF2-40B4-BE49-F238E27FC236}">
              <a16:creationId xmlns:a16="http://schemas.microsoft.com/office/drawing/2014/main" id="{ABA78FEE-DF88-4567-A74B-59F0123BD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806" name="BExMM0AVUAIRNJLXB1FW8R0YB4ZZ" hidden="1">
          <a:extLst>
            <a:ext uri="{FF2B5EF4-FFF2-40B4-BE49-F238E27FC236}">
              <a16:creationId xmlns:a16="http://schemas.microsoft.com/office/drawing/2014/main" id="{C0D87CD5-1C00-4C7E-89BC-747AD8043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807" name="BExQ7SXS9VUG7P6CACU2J7R2SGIZ" hidden="1">
          <a:extLst>
            <a:ext uri="{FF2B5EF4-FFF2-40B4-BE49-F238E27FC236}">
              <a16:creationId xmlns:a16="http://schemas.microsoft.com/office/drawing/2014/main" id="{3BF1051C-03B1-4D6B-8599-1216E0B38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808" name="BExU3EX5JJCXCII4YKUJBFBGIJR2" descr="OF5ZI9PI5WH36VPANJ2DYLNMI" hidden="1">
          <a:extLst>
            <a:ext uri="{FF2B5EF4-FFF2-40B4-BE49-F238E27FC236}">
              <a16:creationId xmlns:a16="http://schemas.microsoft.com/office/drawing/2014/main" id="{ACD6B45F-8F1B-4DFA-95F4-04345A68F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809" name="BExW9676P0SKCVKK25QCGHPA3PAD" descr="9A4PWZ20RMSRF0PNECCDM75CA" hidden="1">
          <a:extLst>
            <a:ext uri="{FF2B5EF4-FFF2-40B4-BE49-F238E27FC236}">
              <a16:creationId xmlns:a16="http://schemas.microsoft.com/office/drawing/2014/main" id="{3345D2CB-F9FA-49D4-9D3B-BC4691F3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810" name="BExMM0AVUAIRNJLXB1FW8R0YB4ZZ" hidden="1">
          <a:extLst>
            <a:ext uri="{FF2B5EF4-FFF2-40B4-BE49-F238E27FC236}">
              <a16:creationId xmlns:a16="http://schemas.microsoft.com/office/drawing/2014/main" id="{98C945C6-9BA3-4B09-99F1-822B70B4E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811" name="BExQ7SXS9VUG7P6CACU2J7R2SGIZ" hidden="1">
          <a:extLst>
            <a:ext uri="{FF2B5EF4-FFF2-40B4-BE49-F238E27FC236}">
              <a16:creationId xmlns:a16="http://schemas.microsoft.com/office/drawing/2014/main" id="{7C079A68-396E-4DF1-8A55-892D9C4A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12" name="BEx5BJQWS6YWHH4ZMSUAMD641V6Y" descr="ZTMFMXCIQSECDX38ALEFHUB00" hidden="1">
          <a:extLst>
            <a:ext uri="{FF2B5EF4-FFF2-40B4-BE49-F238E27FC236}">
              <a16:creationId xmlns:a16="http://schemas.microsoft.com/office/drawing/2014/main" id="{B1178BED-7DD1-4318-880D-C2824A562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13" name="BExUBK0YZ5VYFY8TTITJGJU9S06A" hidden="1">
          <a:extLst>
            <a:ext uri="{FF2B5EF4-FFF2-40B4-BE49-F238E27FC236}">
              <a16:creationId xmlns:a16="http://schemas.microsoft.com/office/drawing/2014/main" id="{3AE8A0CD-DE18-4D89-84BA-3FEAEF0C0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14" name="BEx5BJQWS6YWHH4ZMSUAMD641V6Y" descr="ZTMFMXCIQSECDX38ALEFHUB00" hidden="1">
          <a:extLst>
            <a:ext uri="{FF2B5EF4-FFF2-40B4-BE49-F238E27FC236}">
              <a16:creationId xmlns:a16="http://schemas.microsoft.com/office/drawing/2014/main" id="{A69E0590-7109-4B9C-BA05-0AD265990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15" name="BExUBK0YZ5VYFY8TTITJGJU9S06A" hidden="1">
          <a:extLst>
            <a:ext uri="{FF2B5EF4-FFF2-40B4-BE49-F238E27FC236}">
              <a16:creationId xmlns:a16="http://schemas.microsoft.com/office/drawing/2014/main" id="{53AE147C-17DB-43FE-BBF8-58A5E6E5A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16" name="BEx5BJQWS6YWHH4ZMSUAMD641V6Y" descr="ZTMFMXCIQSECDX38ALEFHUB00" hidden="1">
          <a:extLst>
            <a:ext uri="{FF2B5EF4-FFF2-40B4-BE49-F238E27FC236}">
              <a16:creationId xmlns:a16="http://schemas.microsoft.com/office/drawing/2014/main" id="{A8CBE8F1-C7F8-4B81-96DA-CCB9186CE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17" name="BExUBK0YZ5VYFY8TTITJGJU9S06A" hidden="1">
          <a:extLst>
            <a:ext uri="{FF2B5EF4-FFF2-40B4-BE49-F238E27FC236}">
              <a16:creationId xmlns:a16="http://schemas.microsoft.com/office/drawing/2014/main" id="{B3AA2152-D753-4AC9-AA9D-BB8CBE14F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18" name="BEx5BJQWS6YWHH4ZMSUAMD641V6Y" descr="ZTMFMXCIQSECDX38ALEFHUB00" hidden="1">
          <a:extLst>
            <a:ext uri="{FF2B5EF4-FFF2-40B4-BE49-F238E27FC236}">
              <a16:creationId xmlns:a16="http://schemas.microsoft.com/office/drawing/2014/main" id="{298B2D01-FC4B-43E2-B18E-959770988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19" name="BExUBK0YZ5VYFY8TTITJGJU9S06A" hidden="1">
          <a:extLst>
            <a:ext uri="{FF2B5EF4-FFF2-40B4-BE49-F238E27FC236}">
              <a16:creationId xmlns:a16="http://schemas.microsoft.com/office/drawing/2014/main" id="{E3890660-7DE4-424E-B3D2-40E20EDD5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20" name="BEx5BJQWS6YWHH4ZMSUAMD641V6Y" descr="ZTMFMXCIQSECDX38ALEFHUB00" hidden="1">
          <a:extLst>
            <a:ext uri="{FF2B5EF4-FFF2-40B4-BE49-F238E27FC236}">
              <a16:creationId xmlns:a16="http://schemas.microsoft.com/office/drawing/2014/main" id="{11D46B03-BDF2-48E5-8ECE-8FD49F572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21" name="BExUBK0YZ5VYFY8TTITJGJU9S06A" hidden="1">
          <a:extLst>
            <a:ext uri="{FF2B5EF4-FFF2-40B4-BE49-F238E27FC236}">
              <a16:creationId xmlns:a16="http://schemas.microsoft.com/office/drawing/2014/main" id="{069DF06B-B0DA-48D7-B802-80DC86281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822" name="BExU3EX5JJCXCII4YKUJBFBGIJR2" descr="OF5ZI9PI5WH36VPANJ2DYLNMI" hidden="1">
          <a:extLst>
            <a:ext uri="{FF2B5EF4-FFF2-40B4-BE49-F238E27FC236}">
              <a16:creationId xmlns:a16="http://schemas.microsoft.com/office/drawing/2014/main" id="{D2A8D00E-5CA5-4C65-BE5F-7E8423E80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23" name="BEx5BJQWS6YWHH4ZMSUAMD641V6Y" descr="ZTMFMXCIQSECDX38ALEFHUB00" hidden="1">
          <a:extLst>
            <a:ext uri="{FF2B5EF4-FFF2-40B4-BE49-F238E27FC236}">
              <a16:creationId xmlns:a16="http://schemas.microsoft.com/office/drawing/2014/main" id="{72D0D82D-C848-4432-B6DD-785431080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24</xdr:row>
      <xdr:rowOff>0</xdr:rowOff>
    </xdr:from>
    <xdr:ext cx="59531" cy="295275"/>
    <xdr:pic>
      <xdr:nvPicPr>
        <xdr:cNvPr id="2824" name="BExIFSCLN1G86X78PFLTSMRP0US5" descr="9JK4SPV4DG7VTCZIILWHXQU5J" hidden="1">
          <a:extLst>
            <a:ext uri="{FF2B5EF4-FFF2-40B4-BE49-F238E27FC236}">
              <a16:creationId xmlns:a16="http://schemas.microsoft.com/office/drawing/2014/main" id="{1B71D2E1-583B-41BD-AC4A-56B0D1C0E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825" name="BExW9676P0SKCVKK25QCGHPA3PAD" descr="9A4PWZ20RMSRF0PNECCDM75CA" hidden="1">
          <a:extLst>
            <a:ext uri="{FF2B5EF4-FFF2-40B4-BE49-F238E27FC236}">
              <a16:creationId xmlns:a16="http://schemas.microsoft.com/office/drawing/2014/main" id="{1C9C8846-CD16-443B-BDDA-3FD5F14F6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826" name="BExMM0AVUAIRNJLXB1FW8R0YB4ZZ" hidden="1">
          <a:extLst>
            <a:ext uri="{FF2B5EF4-FFF2-40B4-BE49-F238E27FC236}">
              <a16:creationId xmlns:a16="http://schemas.microsoft.com/office/drawing/2014/main" id="{E3351E97-B95B-4A27-81D9-834EC547C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24</xdr:row>
      <xdr:rowOff>0</xdr:rowOff>
    </xdr:from>
    <xdr:ext cx="59531" cy="295275"/>
    <xdr:pic>
      <xdr:nvPicPr>
        <xdr:cNvPr id="2827" name="BExQ7SXS9VUG7P6CACU2J7R2SGIZ" hidden="1">
          <a:extLst>
            <a:ext uri="{FF2B5EF4-FFF2-40B4-BE49-F238E27FC236}">
              <a16:creationId xmlns:a16="http://schemas.microsoft.com/office/drawing/2014/main" id="{7F647772-F5C8-4EC6-9DD8-166B56FAB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28" name="BExUBK0YZ5VYFY8TTITJGJU9S06A" hidden="1">
          <a:extLst>
            <a:ext uri="{FF2B5EF4-FFF2-40B4-BE49-F238E27FC236}">
              <a16:creationId xmlns:a16="http://schemas.microsoft.com/office/drawing/2014/main" id="{E719F66E-7883-4442-86CA-1AC884257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24</xdr:row>
      <xdr:rowOff>0</xdr:rowOff>
    </xdr:from>
    <xdr:ext cx="47625" cy="295275"/>
    <xdr:pic>
      <xdr:nvPicPr>
        <xdr:cNvPr id="2829" name="BExS3JDQWF7U3F5JTEVOE16ASIYK" hidden="1">
          <a:extLst>
            <a:ext uri="{FF2B5EF4-FFF2-40B4-BE49-F238E27FC236}">
              <a16:creationId xmlns:a16="http://schemas.microsoft.com/office/drawing/2014/main" id="{61938E78-0262-47F5-BFF6-2B89E1F38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577215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30" name="BEx5BJQWS6YWHH4ZMSUAMD641V6Y" descr="ZTMFMXCIQSECDX38ALEFHUB00" hidden="1">
          <a:extLst>
            <a:ext uri="{FF2B5EF4-FFF2-40B4-BE49-F238E27FC236}">
              <a16:creationId xmlns:a16="http://schemas.microsoft.com/office/drawing/2014/main" id="{389C0803-A82C-4131-9161-04FF95636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31" name="BExUBK0YZ5VYFY8TTITJGJU9S06A" hidden="1">
          <a:extLst>
            <a:ext uri="{FF2B5EF4-FFF2-40B4-BE49-F238E27FC236}">
              <a16:creationId xmlns:a16="http://schemas.microsoft.com/office/drawing/2014/main" id="{0FB40CD8-8E7D-4DCF-8E24-EE52495ED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32" name="BEx5BJQWS6YWHH4ZMSUAMD641V6Y" descr="ZTMFMXCIQSECDX38ALEFHUB00" hidden="1">
          <a:extLst>
            <a:ext uri="{FF2B5EF4-FFF2-40B4-BE49-F238E27FC236}">
              <a16:creationId xmlns:a16="http://schemas.microsoft.com/office/drawing/2014/main" id="{F46EDF4D-4B38-40AB-BEA0-8E2F98DE7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33" name="BExUBK0YZ5VYFY8TTITJGJU9S06A" hidden="1">
          <a:extLst>
            <a:ext uri="{FF2B5EF4-FFF2-40B4-BE49-F238E27FC236}">
              <a16:creationId xmlns:a16="http://schemas.microsoft.com/office/drawing/2014/main" id="{FB5C3568-ECF2-4C06-9EA2-889A2E4F1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34" name="BEx5BJQWS6YWHH4ZMSUAMD641V6Y" descr="ZTMFMXCIQSECDX38ALEFHUB00" hidden="1">
          <a:extLst>
            <a:ext uri="{FF2B5EF4-FFF2-40B4-BE49-F238E27FC236}">
              <a16:creationId xmlns:a16="http://schemas.microsoft.com/office/drawing/2014/main" id="{7F488CFF-3FB2-459C-AD25-840D39B6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35" name="BExUBK0YZ5VYFY8TTITJGJU9S06A" hidden="1">
          <a:extLst>
            <a:ext uri="{FF2B5EF4-FFF2-40B4-BE49-F238E27FC236}">
              <a16:creationId xmlns:a16="http://schemas.microsoft.com/office/drawing/2014/main" id="{09A851F9-B7C0-4405-87B4-C41BAA1B9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36" name="BEx5BJQWS6YWHH4ZMSUAMD641V6Y" descr="ZTMFMXCIQSECDX38ALEFHUB00" hidden="1">
          <a:extLst>
            <a:ext uri="{FF2B5EF4-FFF2-40B4-BE49-F238E27FC236}">
              <a16:creationId xmlns:a16="http://schemas.microsoft.com/office/drawing/2014/main" id="{997D59C8-4ED7-4B8F-BEAF-2364AFD00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37" name="BExUBK0YZ5VYFY8TTITJGJU9S06A" hidden="1">
          <a:extLst>
            <a:ext uri="{FF2B5EF4-FFF2-40B4-BE49-F238E27FC236}">
              <a16:creationId xmlns:a16="http://schemas.microsoft.com/office/drawing/2014/main" id="{A30AB624-AA77-4BCA-8F8F-4E9E73FD3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38" name="BEx5BJQWS6YWHH4ZMSUAMD641V6Y" descr="ZTMFMXCIQSECDX38ALEFHUB00" hidden="1">
          <a:extLst>
            <a:ext uri="{FF2B5EF4-FFF2-40B4-BE49-F238E27FC236}">
              <a16:creationId xmlns:a16="http://schemas.microsoft.com/office/drawing/2014/main" id="{6A46E2DF-90D5-416B-984B-4EDFAF983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39" name="BExUBK0YZ5VYFY8TTITJGJU9S06A" hidden="1">
          <a:extLst>
            <a:ext uri="{FF2B5EF4-FFF2-40B4-BE49-F238E27FC236}">
              <a16:creationId xmlns:a16="http://schemas.microsoft.com/office/drawing/2014/main" id="{11E59D18-13C8-4043-9907-417C82CDB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40" name="BEx5BJQWS6YWHH4ZMSUAMD641V6Y" descr="ZTMFMXCIQSECDX38ALEFHUB00" hidden="1">
          <a:extLst>
            <a:ext uri="{FF2B5EF4-FFF2-40B4-BE49-F238E27FC236}">
              <a16:creationId xmlns:a16="http://schemas.microsoft.com/office/drawing/2014/main" id="{B42EB22D-1590-4743-90D5-588186085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41" name="BExUBK0YZ5VYFY8TTITJGJU9S06A" hidden="1">
          <a:extLst>
            <a:ext uri="{FF2B5EF4-FFF2-40B4-BE49-F238E27FC236}">
              <a16:creationId xmlns:a16="http://schemas.microsoft.com/office/drawing/2014/main" id="{D4275469-CB78-409D-BAF4-A98CD975E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42" name="BEx5BJQWS6YWHH4ZMSUAMD641V6Y" descr="ZTMFMXCIQSECDX38ALEFHUB00" hidden="1">
          <a:extLst>
            <a:ext uri="{FF2B5EF4-FFF2-40B4-BE49-F238E27FC236}">
              <a16:creationId xmlns:a16="http://schemas.microsoft.com/office/drawing/2014/main" id="{2920BBC4-D8F4-416D-9ADD-F0953487F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43" name="BExUBK0YZ5VYFY8TTITJGJU9S06A" hidden="1">
          <a:extLst>
            <a:ext uri="{FF2B5EF4-FFF2-40B4-BE49-F238E27FC236}">
              <a16:creationId xmlns:a16="http://schemas.microsoft.com/office/drawing/2014/main" id="{84FBD402-5A4B-4F82-BCAB-FA0750B69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44" name="BEx5BJQWS6YWHH4ZMSUAMD641V6Y" descr="ZTMFMXCIQSECDX38ALEFHUB00" hidden="1">
          <a:extLst>
            <a:ext uri="{FF2B5EF4-FFF2-40B4-BE49-F238E27FC236}">
              <a16:creationId xmlns:a16="http://schemas.microsoft.com/office/drawing/2014/main" id="{8FA03233-F310-4CF0-A19C-605CC6C7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45" name="BExUBK0YZ5VYFY8TTITJGJU9S06A" hidden="1">
          <a:extLst>
            <a:ext uri="{FF2B5EF4-FFF2-40B4-BE49-F238E27FC236}">
              <a16:creationId xmlns:a16="http://schemas.microsoft.com/office/drawing/2014/main" id="{9F1B00F6-573E-4F8E-85C7-575BE590A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46" name="BEx5BJQWS6YWHH4ZMSUAMD641V6Y" descr="ZTMFMXCIQSECDX38ALEFHUB00" hidden="1">
          <a:extLst>
            <a:ext uri="{FF2B5EF4-FFF2-40B4-BE49-F238E27FC236}">
              <a16:creationId xmlns:a16="http://schemas.microsoft.com/office/drawing/2014/main" id="{F5EB0D45-3981-4DB9-80EC-9924D0B22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47" name="BExUBK0YZ5VYFY8TTITJGJU9S06A" hidden="1">
          <a:extLst>
            <a:ext uri="{FF2B5EF4-FFF2-40B4-BE49-F238E27FC236}">
              <a16:creationId xmlns:a16="http://schemas.microsoft.com/office/drawing/2014/main" id="{F434BF64-07CC-4D17-84F6-FE7361D9A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48" name="BEx5BJQWS6YWHH4ZMSUAMD641V6Y" descr="ZTMFMXCIQSECDX38ALEFHUB00" hidden="1">
          <a:extLst>
            <a:ext uri="{FF2B5EF4-FFF2-40B4-BE49-F238E27FC236}">
              <a16:creationId xmlns:a16="http://schemas.microsoft.com/office/drawing/2014/main" id="{58FF9055-EB1A-49B6-AA78-DB26B46AD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49" name="BExUBK0YZ5VYFY8TTITJGJU9S06A" hidden="1">
          <a:extLst>
            <a:ext uri="{FF2B5EF4-FFF2-40B4-BE49-F238E27FC236}">
              <a16:creationId xmlns:a16="http://schemas.microsoft.com/office/drawing/2014/main" id="{FA14748B-FA25-4870-8ACA-7DF791B8C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50" name="BEx5BJQWS6YWHH4ZMSUAMD641V6Y" descr="ZTMFMXCIQSECDX38ALEFHUB00" hidden="1">
          <a:extLst>
            <a:ext uri="{FF2B5EF4-FFF2-40B4-BE49-F238E27FC236}">
              <a16:creationId xmlns:a16="http://schemas.microsoft.com/office/drawing/2014/main" id="{108E4CB1-E34F-4152-880E-D75965492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51" name="BExUBK0YZ5VYFY8TTITJGJU9S06A" hidden="1">
          <a:extLst>
            <a:ext uri="{FF2B5EF4-FFF2-40B4-BE49-F238E27FC236}">
              <a16:creationId xmlns:a16="http://schemas.microsoft.com/office/drawing/2014/main" id="{E7DB5174-5259-4EB9-AECD-3B86A5F92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52" name="BEx5BJQWS6YWHH4ZMSUAMD641V6Y" descr="ZTMFMXCIQSECDX38ALEFHUB00" hidden="1">
          <a:extLst>
            <a:ext uri="{FF2B5EF4-FFF2-40B4-BE49-F238E27FC236}">
              <a16:creationId xmlns:a16="http://schemas.microsoft.com/office/drawing/2014/main" id="{033ABAF2-4B2A-4D5D-91ED-07315CE50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53" name="BExUBK0YZ5VYFY8TTITJGJU9S06A" hidden="1">
          <a:extLst>
            <a:ext uri="{FF2B5EF4-FFF2-40B4-BE49-F238E27FC236}">
              <a16:creationId xmlns:a16="http://schemas.microsoft.com/office/drawing/2014/main" id="{EED9BBCC-052F-4D4D-9C87-00AA4B96F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54" name="BEx5BJQWS6YWHH4ZMSUAMD641V6Y" descr="ZTMFMXCIQSECDX38ALEFHUB00" hidden="1">
          <a:extLst>
            <a:ext uri="{FF2B5EF4-FFF2-40B4-BE49-F238E27FC236}">
              <a16:creationId xmlns:a16="http://schemas.microsoft.com/office/drawing/2014/main" id="{20540A42-781B-4491-A9AC-03BFAC3BF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55" name="BExUBK0YZ5VYFY8TTITJGJU9S06A" hidden="1">
          <a:extLst>
            <a:ext uri="{FF2B5EF4-FFF2-40B4-BE49-F238E27FC236}">
              <a16:creationId xmlns:a16="http://schemas.microsoft.com/office/drawing/2014/main" id="{BA2C22F7-5F97-449A-81EE-22EA08711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56" name="BEx5BJQWS6YWHH4ZMSUAMD641V6Y" descr="ZTMFMXCIQSECDX38ALEFHUB00" hidden="1">
          <a:extLst>
            <a:ext uri="{FF2B5EF4-FFF2-40B4-BE49-F238E27FC236}">
              <a16:creationId xmlns:a16="http://schemas.microsoft.com/office/drawing/2014/main" id="{8022C1F6-1C33-4139-9F75-A4A389FCF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57" name="BExUBK0YZ5VYFY8TTITJGJU9S06A" hidden="1">
          <a:extLst>
            <a:ext uri="{FF2B5EF4-FFF2-40B4-BE49-F238E27FC236}">
              <a16:creationId xmlns:a16="http://schemas.microsoft.com/office/drawing/2014/main" id="{D242E124-5F5E-4580-9C6A-4175DEC4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58" name="BEx5BJQWS6YWHH4ZMSUAMD641V6Y" descr="ZTMFMXCIQSECDX38ALEFHUB00" hidden="1">
          <a:extLst>
            <a:ext uri="{FF2B5EF4-FFF2-40B4-BE49-F238E27FC236}">
              <a16:creationId xmlns:a16="http://schemas.microsoft.com/office/drawing/2014/main" id="{2B7C6B5D-185B-47F9-BAB3-93AA4CE5E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59" name="BExUBK0YZ5VYFY8TTITJGJU9S06A" hidden="1">
          <a:extLst>
            <a:ext uri="{FF2B5EF4-FFF2-40B4-BE49-F238E27FC236}">
              <a16:creationId xmlns:a16="http://schemas.microsoft.com/office/drawing/2014/main" id="{67879C8B-DDDF-47E8-B7EB-AD8F47857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60" name="BEx5BJQWS6YWHH4ZMSUAMD641V6Y" descr="ZTMFMXCIQSECDX38ALEFHUB00" hidden="1">
          <a:extLst>
            <a:ext uri="{FF2B5EF4-FFF2-40B4-BE49-F238E27FC236}">
              <a16:creationId xmlns:a16="http://schemas.microsoft.com/office/drawing/2014/main" id="{4C630CF0-3095-4340-8220-95AFB05B6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61" name="BExUBK0YZ5VYFY8TTITJGJU9S06A" hidden="1">
          <a:extLst>
            <a:ext uri="{FF2B5EF4-FFF2-40B4-BE49-F238E27FC236}">
              <a16:creationId xmlns:a16="http://schemas.microsoft.com/office/drawing/2014/main" id="{8E877C3E-67FA-4A5C-80FB-E4854BD0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62" name="BEx5BJQWS6YWHH4ZMSUAMD641V6Y" descr="ZTMFMXCIQSECDX38ALEFHUB00" hidden="1">
          <a:extLst>
            <a:ext uri="{FF2B5EF4-FFF2-40B4-BE49-F238E27FC236}">
              <a16:creationId xmlns:a16="http://schemas.microsoft.com/office/drawing/2014/main" id="{99112CE1-3690-4515-91BC-F0DC720AD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63" name="BExUBK0YZ5VYFY8TTITJGJU9S06A" hidden="1">
          <a:extLst>
            <a:ext uri="{FF2B5EF4-FFF2-40B4-BE49-F238E27FC236}">
              <a16:creationId xmlns:a16="http://schemas.microsoft.com/office/drawing/2014/main" id="{86AFFBF7-B65B-42AE-B860-14133C9D7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64" name="BEx5BJQWS6YWHH4ZMSUAMD641V6Y" descr="ZTMFMXCIQSECDX38ALEFHUB00" hidden="1">
          <a:extLst>
            <a:ext uri="{FF2B5EF4-FFF2-40B4-BE49-F238E27FC236}">
              <a16:creationId xmlns:a16="http://schemas.microsoft.com/office/drawing/2014/main" id="{01BB67BC-4A52-44C8-BC24-AB0547EA0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65" name="BExUBK0YZ5VYFY8TTITJGJU9S06A" hidden="1">
          <a:extLst>
            <a:ext uri="{FF2B5EF4-FFF2-40B4-BE49-F238E27FC236}">
              <a16:creationId xmlns:a16="http://schemas.microsoft.com/office/drawing/2014/main" id="{D3ABA5A8-0A69-4706-9014-FF3E29361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66" name="BEx5BJQWS6YWHH4ZMSUAMD641V6Y" descr="ZTMFMXCIQSECDX38ALEFHUB00" hidden="1">
          <a:extLst>
            <a:ext uri="{FF2B5EF4-FFF2-40B4-BE49-F238E27FC236}">
              <a16:creationId xmlns:a16="http://schemas.microsoft.com/office/drawing/2014/main" id="{2AFE56C8-3F1D-40B8-8888-A1C3CF677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67" name="BExUBK0YZ5VYFY8TTITJGJU9S06A" hidden="1">
          <a:extLst>
            <a:ext uri="{FF2B5EF4-FFF2-40B4-BE49-F238E27FC236}">
              <a16:creationId xmlns:a16="http://schemas.microsoft.com/office/drawing/2014/main" id="{50EAE1CC-ABC5-4CF1-A2A5-46C61F042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68" name="BEx5BJQWS6YWHH4ZMSUAMD641V6Y" descr="ZTMFMXCIQSECDX38ALEFHUB00" hidden="1">
          <a:extLst>
            <a:ext uri="{FF2B5EF4-FFF2-40B4-BE49-F238E27FC236}">
              <a16:creationId xmlns:a16="http://schemas.microsoft.com/office/drawing/2014/main" id="{6F67A97D-1D85-4315-B4F1-012BD2247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69" name="BExUBK0YZ5VYFY8TTITJGJU9S06A" hidden="1">
          <a:extLst>
            <a:ext uri="{FF2B5EF4-FFF2-40B4-BE49-F238E27FC236}">
              <a16:creationId xmlns:a16="http://schemas.microsoft.com/office/drawing/2014/main" id="{240D928A-2941-49E5-BCAA-2C7064386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70" name="BEx5BJQWS6YWHH4ZMSUAMD641V6Y" descr="ZTMFMXCIQSECDX38ALEFHUB00" hidden="1">
          <a:extLst>
            <a:ext uri="{FF2B5EF4-FFF2-40B4-BE49-F238E27FC236}">
              <a16:creationId xmlns:a16="http://schemas.microsoft.com/office/drawing/2014/main" id="{499A767B-05FA-45DE-B94F-6F522A2FC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71" name="BExUBK0YZ5VYFY8TTITJGJU9S06A" hidden="1">
          <a:extLst>
            <a:ext uri="{FF2B5EF4-FFF2-40B4-BE49-F238E27FC236}">
              <a16:creationId xmlns:a16="http://schemas.microsoft.com/office/drawing/2014/main" id="{0681486F-ADDA-42AE-B4A8-F21B34394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72" name="BEx5BJQWS6YWHH4ZMSUAMD641V6Y" descr="ZTMFMXCIQSECDX38ALEFHUB00" hidden="1">
          <a:extLst>
            <a:ext uri="{FF2B5EF4-FFF2-40B4-BE49-F238E27FC236}">
              <a16:creationId xmlns:a16="http://schemas.microsoft.com/office/drawing/2014/main" id="{5252C10F-B8E1-4E1B-80C8-DE4EE211A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73" name="BExUBK0YZ5VYFY8TTITJGJU9S06A" hidden="1">
          <a:extLst>
            <a:ext uri="{FF2B5EF4-FFF2-40B4-BE49-F238E27FC236}">
              <a16:creationId xmlns:a16="http://schemas.microsoft.com/office/drawing/2014/main" id="{3389E5E5-379B-40B6-82D0-CF6E80168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74" name="BEx5BJQWS6YWHH4ZMSUAMD641V6Y" descr="ZTMFMXCIQSECDX38ALEFHUB00" hidden="1">
          <a:extLst>
            <a:ext uri="{FF2B5EF4-FFF2-40B4-BE49-F238E27FC236}">
              <a16:creationId xmlns:a16="http://schemas.microsoft.com/office/drawing/2014/main" id="{9279937E-F1E8-4E0A-921C-83E53F5F5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75" name="BExUBK0YZ5VYFY8TTITJGJU9S06A" hidden="1">
          <a:extLst>
            <a:ext uri="{FF2B5EF4-FFF2-40B4-BE49-F238E27FC236}">
              <a16:creationId xmlns:a16="http://schemas.microsoft.com/office/drawing/2014/main" id="{3FB61FC0-3168-41A9-91F1-723AE3D0A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76" name="BEx5BJQWS6YWHH4ZMSUAMD641V6Y" descr="ZTMFMXCIQSECDX38ALEFHUB00" hidden="1">
          <a:extLst>
            <a:ext uri="{FF2B5EF4-FFF2-40B4-BE49-F238E27FC236}">
              <a16:creationId xmlns:a16="http://schemas.microsoft.com/office/drawing/2014/main" id="{2E1739DF-D134-47D6-960E-A2AC4163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77" name="BExUBK0YZ5VYFY8TTITJGJU9S06A" hidden="1">
          <a:extLst>
            <a:ext uri="{FF2B5EF4-FFF2-40B4-BE49-F238E27FC236}">
              <a16:creationId xmlns:a16="http://schemas.microsoft.com/office/drawing/2014/main" id="{CEF6BACE-C9A1-4B0E-8CDA-DF8AD9809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78" name="BEx5BJQWS6YWHH4ZMSUAMD641V6Y" descr="ZTMFMXCIQSECDX38ALEFHUB00" hidden="1">
          <a:extLst>
            <a:ext uri="{FF2B5EF4-FFF2-40B4-BE49-F238E27FC236}">
              <a16:creationId xmlns:a16="http://schemas.microsoft.com/office/drawing/2014/main" id="{4DAD1031-BCC2-4B62-9941-A9AC6B1DD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79" name="BExUBK0YZ5VYFY8TTITJGJU9S06A" hidden="1">
          <a:extLst>
            <a:ext uri="{FF2B5EF4-FFF2-40B4-BE49-F238E27FC236}">
              <a16:creationId xmlns:a16="http://schemas.microsoft.com/office/drawing/2014/main" id="{EB116F58-30BD-4C93-8197-4B1E9E345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80" name="BEx5BJQWS6YWHH4ZMSUAMD641V6Y" descr="ZTMFMXCIQSECDX38ALEFHUB00" hidden="1">
          <a:extLst>
            <a:ext uri="{FF2B5EF4-FFF2-40B4-BE49-F238E27FC236}">
              <a16:creationId xmlns:a16="http://schemas.microsoft.com/office/drawing/2014/main" id="{FC98E86C-224B-48AD-BB53-89BD6BB91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81" name="BExUBK0YZ5VYFY8TTITJGJU9S06A" hidden="1">
          <a:extLst>
            <a:ext uri="{FF2B5EF4-FFF2-40B4-BE49-F238E27FC236}">
              <a16:creationId xmlns:a16="http://schemas.microsoft.com/office/drawing/2014/main" id="{13DD0CF0-C125-4029-AC24-F36C5AF86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82" name="BEx5BJQWS6YWHH4ZMSUAMD641V6Y" descr="ZTMFMXCIQSECDX38ALEFHUB00" hidden="1">
          <a:extLst>
            <a:ext uri="{FF2B5EF4-FFF2-40B4-BE49-F238E27FC236}">
              <a16:creationId xmlns:a16="http://schemas.microsoft.com/office/drawing/2014/main" id="{3741F24A-DE22-4B3E-91FD-FE9B12601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83" name="BExUBK0YZ5VYFY8TTITJGJU9S06A" hidden="1">
          <a:extLst>
            <a:ext uri="{FF2B5EF4-FFF2-40B4-BE49-F238E27FC236}">
              <a16:creationId xmlns:a16="http://schemas.microsoft.com/office/drawing/2014/main" id="{CF5E7CF5-AB73-4ECE-9E60-0E4DDD5F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84" name="BEx5BJQWS6YWHH4ZMSUAMD641V6Y" descr="ZTMFMXCIQSECDX38ALEFHUB00" hidden="1">
          <a:extLst>
            <a:ext uri="{FF2B5EF4-FFF2-40B4-BE49-F238E27FC236}">
              <a16:creationId xmlns:a16="http://schemas.microsoft.com/office/drawing/2014/main" id="{3C86A3E9-6551-4A86-9B80-A052C48A0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85" name="BExUBK0YZ5VYFY8TTITJGJU9S06A" hidden="1">
          <a:extLst>
            <a:ext uri="{FF2B5EF4-FFF2-40B4-BE49-F238E27FC236}">
              <a16:creationId xmlns:a16="http://schemas.microsoft.com/office/drawing/2014/main" id="{F2B8B7FF-4C76-44E7-A6B8-6AFFDADE0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86" name="BEx5BJQWS6YWHH4ZMSUAMD641V6Y" descr="ZTMFMXCIQSECDX38ALEFHUB00" hidden="1">
          <a:extLst>
            <a:ext uri="{FF2B5EF4-FFF2-40B4-BE49-F238E27FC236}">
              <a16:creationId xmlns:a16="http://schemas.microsoft.com/office/drawing/2014/main" id="{B5204D9C-36D9-4FC3-9C40-F69C054E4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87" name="BExUBK0YZ5VYFY8TTITJGJU9S06A" hidden="1">
          <a:extLst>
            <a:ext uri="{FF2B5EF4-FFF2-40B4-BE49-F238E27FC236}">
              <a16:creationId xmlns:a16="http://schemas.microsoft.com/office/drawing/2014/main" id="{D3FCE25A-1432-45DA-AAD6-1D78AC32B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88" name="BEx5BJQWS6YWHH4ZMSUAMD641V6Y" descr="ZTMFMXCIQSECDX38ALEFHUB00" hidden="1">
          <a:extLst>
            <a:ext uri="{FF2B5EF4-FFF2-40B4-BE49-F238E27FC236}">
              <a16:creationId xmlns:a16="http://schemas.microsoft.com/office/drawing/2014/main" id="{547D3D79-65B9-40FA-9FF0-86F1CC9D9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89" name="BExUBK0YZ5VYFY8TTITJGJU9S06A" hidden="1">
          <a:extLst>
            <a:ext uri="{FF2B5EF4-FFF2-40B4-BE49-F238E27FC236}">
              <a16:creationId xmlns:a16="http://schemas.microsoft.com/office/drawing/2014/main" id="{B1B8C324-8EB4-4F89-A127-3E5224B19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90" name="BEx5BJQWS6YWHH4ZMSUAMD641V6Y" descr="ZTMFMXCIQSECDX38ALEFHUB00" hidden="1">
          <a:extLst>
            <a:ext uri="{FF2B5EF4-FFF2-40B4-BE49-F238E27FC236}">
              <a16:creationId xmlns:a16="http://schemas.microsoft.com/office/drawing/2014/main" id="{B30982B5-3E6E-4D76-8C0C-EC81BCBA4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91" name="BExUBK0YZ5VYFY8TTITJGJU9S06A" hidden="1">
          <a:extLst>
            <a:ext uri="{FF2B5EF4-FFF2-40B4-BE49-F238E27FC236}">
              <a16:creationId xmlns:a16="http://schemas.microsoft.com/office/drawing/2014/main" id="{27A9BA3F-E24F-4191-B143-230250CCE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92" name="BEx5BJQWS6YWHH4ZMSUAMD641V6Y" descr="ZTMFMXCIQSECDX38ALEFHUB00" hidden="1">
          <a:extLst>
            <a:ext uri="{FF2B5EF4-FFF2-40B4-BE49-F238E27FC236}">
              <a16:creationId xmlns:a16="http://schemas.microsoft.com/office/drawing/2014/main" id="{FBAA8C0E-17C1-4494-840E-B513084B0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93" name="BExUBK0YZ5VYFY8TTITJGJU9S06A" hidden="1">
          <a:extLst>
            <a:ext uri="{FF2B5EF4-FFF2-40B4-BE49-F238E27FC236}">
              <a16:creationId xmlns:a16="http://schemas.microsoft.com/office/drawing/2014/main" id="{BFE17C94-F136-453A-ABE7-46CDFE0E1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94" name="BEx5BJQWS6YWHH4ZMSUAMD641V6Y" descr="ZTMFMXCIQSECDX38ALEFHUB00" hidden="1">
          <a:extLst>
            <a:ext uri="{FF2B5EF4-FFF2-40B4-BE49-F238E27FC236}">
              <a16:creationId xmlns:a16="http://schemas.microsoft.com/office/drawing/2014/main" id="{E3CC3108-DDDB-4968-9B47-AA20CE634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95" name="BExUBK0YZ5VYFY8TTITJGJU9S06A" hidden="1">
          <a:extLst>
            <a:ext uri="{FF2B5EF4-FFF2-40B4-BE49-F238E27FC236}">
              <a16:creationId xmlns:a16="http://schemas.microsoft.com/office/drawing/2014/main" id="{77928D87-7178-4CDF-9065-7C2064E92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96" name="BEx5BJQWS6YWHH4ZMSUAMD641V6Y" descr="ZTMFMXCIQSECDX38ALEFHUB00" hidden="1">
          <a:extLst>
            <a:ext uri="{FF2B5EF4-FFF2-40B4-BE49-F238E27FC236}">
              <a16:creationId xmlns:a16="http://schemas.microsoft.com/office/drawing/2014/main" id="{E0E675E3-5034-4012-9A99-2CE51EA70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97" name="BExUBK0YZ5VYFY8TTITJGJU9S06A" hidden="1">
          <a:extLst>
            <a:ext uri="{FF2B5EF4-FFF2-40B4-BE49-F238E27FC236}">
              <a16:creationId xmlns:a16="http://schemas.microsoft.com/office/drawing/2014/main" id="{A0A92BEF-4197-475F-A232-BB957764F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98" name="BEx5BJQWS6YWHH4ZMSUAMD641V6Y" descr="ZTMFMXCIQSECDX38ALEFHUB00" hidden="1">
          <a:extLst>
            <a:ext uri="{FF2B5EF4-FFF2-40B4-BE49-F238E27FC236}">
              <a16:creationId xmlns:a16="http://schemas.microsoft.com/office/drawing/2014/main" id="{9C6B6336-17E0-4AA9-B096-FB3CB221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899" name="BExUBK0YZ5VYFY8TTITJGJU9S06A" hidden="1">
          <a:extLst>
            <a:ext uri="{FF2B5EF4-FFF2-40B4-BE49-F238E27FC236}">
              <a16:creationId xmlns:a16="http://schemas.microsoft.com/office/drawing/2014/main" id="{AA37C3EB-B67F-4807-A29F-6B9C95E27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00" name="BEx5BJQWS6YWHH4ZMSUAMD641V6Y" descr="ZTMFMXCIQSECDX38ALEFHUB00" hidden="1">
          <a:extLst>
            <a:ext uri="{FF2B5EF4-FFF2-40B4-BE49-F238E27FC236}">
              <a16:creationId xmlns:a16="http://schemas.microsoft.com/office/drawing/2014/main" id="{B455C2C4-14BD-4FB4-874C-C44E64A8B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01" name="BExUBK0YZ5VYFY8TTITJGJU9S06A" hidden="1">
          <a:extLst>
            <a:ext uri="{FF2B5EF4-FFF2-40B4-BE49-F238E27FC236}">
              <a16:creationId xmlns:a16="http://schemas.microsoft.com/office/drawing/2014/main" id="{30971281-8F65-410F-906F-2C4A39E9B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02" name="BEx5BJQWS6YWHH4ZMSUAMD641V6Y" descr="ZTMFMXCIQSECDX38ALEFHUB00" hidden="1">
          <a:extLst>
            <a:ext uri="{FF2B5EF4-FFF2-40B4-BE49-F238E27FC236}">
              <a16:creationId xmlns:a16="http://schemas.microsoft.com/office/drawing/2014/main" id="{4A04B230-6B50-46E2-89AF-09239A9D8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03" name="BExUBK0YZ5VYFY8TTITJGJU9S06A" hidden="1">
          <a:extLst>
            <a:ext uri="{FF2B5EF4-FFF2-40B4-BE49-F238E27FC236}">
              <a16:creationId xmlns:a16="http://schemas.microsoft.com/office/drawing/2014/main" id="{CD4B11F2-6938-4DDD-8CDD-AF1D160A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04" name="BEx5BJQWS6YWHH4ZMSUAMD641V6Y" descr="ZTMFMXCIQSECDX38ALEFHUB00" hidden="1">
          <a:extLst>
            <a:ext uri="{FF2B5EF4-FFF2-40B4-BE49-F238E27FC236}">
              <a16:creationId xmlns:a16="http://schemas.microsoft.com/office/drawing/2014/main" id="{CE7F1823-32D5-4E39-9986-FEB9AE033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05" name="BExUBK0YZ5VYFY8TTITJGJU9S06A" hidden="1">
          <a:extLst>
            <a:ext uri="{FF2B5EF4-FFF2-40B4-BE49-F238E27FC236}">
              <a16:creationId xmlns:a16="http://schemas.microsoft.com/office/drawing/2014/main" id="{F6BFEE46-F1C3-4E02-A08C-C231D1900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06" name="BEx5BJQWS6YWHH4ZMSUAMD641V6Y" descr="ZTMFMXCIQSECDX38ALEFHUB00" hidden="1">
          <a:extLst>
            <a:ext uri="{FF2B5EF4-FFF2-40B4-BE49-F238E27FC236}">
              <a16:creationId xmlns:a16="http://schemas.microsoft.com/office/drawing/2014/main" id="{047EE62C-07AE-4782-AF0C-70D08B2D0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07" name="BExUBK0YZ5VYFY8TTITJGJU9S06A" hidden="1">
          <a:extLst>
            <a:ext uri="{FF2B5EF4-FFF2-40B4-BE49-F238E27FC236}">
              <a16:creationId xmlns:a16="http://schemas.microsoft.com/office/drawing/2014/main" id="{0E11B944-DC7A-4997-8DE1-723A31050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08" name="BEx5BJQWS6YWHH4ZMSUAMD641V6Y" descr="ZTMFMXCIQSECDX38ALEFHUB00" hidden="1">
          <a:extLst>
            <a:ext uri="{FF2B5EF4-FFF2-40B4-BE49-F238E27FC236}">
              <a16:creationId xmlns:a16="http://schemas.microsoft.com/office/drawing/2014/main" id="{86FDAE16-27E4-45F5-B8AD-139004FC6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09" name="BExUBK0YZ5VYFY8TTITJGJU9S06A" hidden="1">
          <a:extLst>
            <a:ext uri="{FF2B5EF4-FFF2-40B4-BE49-F238E27FC236}">
              <a16:creationId xmlns:a16="http://schemas.microsoft.com/office/drawing/2014/main" id="{D68E82F9-24BC-416C-A047-D4C9550A7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10" name="BEx5BJQWS6YWHH4ZMSUAMD641V6Y" descr="ZTMFMXCIQSECDX38ALEFHUB00" hidden="1">
          <a:extLst>
            <a:ext uri="{FF2B5EF4-FFF2-40B4-BE49-F238E27FC236}">
              <a16:creationId xmlns:a16="http://schemas.microsoft.com/office/drawing/2014/main" id="{81A3B803-DB35-49F1-9DC2-2A4FC69CA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11" name="BExUBK0YZ5VYFY8TTITJGJU9S06A" hidden="1">
          <a:extLst>
            <a:ext uri="{FF2B5EF4-FFF2-40B4-BE49-F238E27FC236}">
              <a16:creationId xmlns:a16="http://schemas.microsoft.com/office/drawing/2014/main" id="{9688E7C5-12E4-4DBF-8C05-F7E4063AF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12" name="BEx5BJQWS6YWHH4ZMSUAMD641V6Y" descr="ZTMFMXCIQSECDX38ALEFHUB00" hidden="1">
          <a:extLst>
            <a:ext uri="{FF2B5EF4-FFF2-40B4-BE49-F238E27FC236}">
              <a16:creationId xmlns:a16="http://schemas.microsoft.com/office/drawing/2014/main" id="{05B99861-9B1F-4FBE-9898-E20498839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13" name="BExUBK0YZ5VYFY8TTITJGJU9S06A" hidden="1">
          <a:extLst>
            <a:ext uri="{FF2B5EF4-FFF2-40B4-BE49-F238E27FC236}">
              <a16:creationId xmlns:a16="http://schemas.microsoft.com/office/drawing/2014/main" id="{BCADCF39-C372-475E-B397-A59D0F68E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14" name="BEx5BJQWS6YWHH4ZMSUAMD641V6Y" descr="ZTMFMXCIQSECDX38ALEFHUB00" hidden="1">
          <a:extLst>
            <a:ext uri="{FF2B5EF4-FFF2-40B4-BE49-F238E27FC236}">
              <a16:creationId xmlns:a16="http://schemas.microsoft.com/office/drawing/2014/main" id="{3D9C49F9-BFB0-4BDD-964D-AC7D7E58F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15" name="BExUBK0YZ5VYFY8TTITJGJU9S06A" hidden="1">
          <a:extLst>
            <a:ext uri="{FF2B5EF4-FFF2-40B4-BE49-F238E27FC236}">
              <a16:creationId xmlns:a16="http://schemas.microsoft.com/office/drawing/2014/main" id="{288E935C-24C2-4763-B2C0-A55A5CDF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16" name="BEx5BJQWS6YWHH4ZMSUAMD641V6Y" descr="ZTMFMXCIQSECDX38ALEFHUB00" hidden="1">
          <a:extLst>
            <a:ext uri="{FF2B5EF4-FFF2-40B4-BE49-F238E27FC236}">
              <a16:creationId xmlns:a16="http://schemas.microsoft.com/office/drawing/2014/main" id="{B8A24225-A06D-4147-B679-F55FED1E5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17" name="BExUBK0YZ5VYFY8TTITJGJU9S06A" hidden="1">
          <a:extLst>
            <a:ext uri="{FF2B5EF4-FFF2-40B4-BE49-F238E27FC236}">
              <a16:creationId xmlns:a16="http://schemas.microsoft.com/office/drawing/2014/main" id="{22226CD4-F678-4EFD-97C3-C259DD37E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18" name="BEx5BJQWS6YWHH4ZMSUAMD641V6Y" descr="ZTMFMXCIQSECDX38ALEFHUB00" hidden="1">
          <a:extLst>
            <a:ext uri="{FF2B5EF4-FFF2-40B4-BE49-F238E27FC236}">
              <a16:creationId xmlns:a16="http://schemas.microsoft.com/office/drawing/2014/main" id="{255F60A6-0F0B-4B2B-A972-970A5D8BE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19" name="BExUBK0YZ5VYFY8TTITJGJU9S06A" hidden="1">
          <a:extLst>
            <a:ext uri="{FF2B5EF4-FFF2-40B4-BE49-F238E27FC236}">
              <a16:creationId xmlns:a16="http://schemas.microsoft.com/office/drawing/2014/main" id="{7DB251F7-AF25-4FEF-8513-7A0F661B8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20" name="BEx5BJQWS6YWHH4ZMSUAMD641V6Y" descr="ZTMFMXCIQSECDX38ALEFHUB00" hidden="1">
          <a:extLst>
            <a:ext uri="{FF2B5EF4-FFF2-40B4-BE49-F238E27FC236}">
              <a16:creationId xmlns:a16="http://schemas.microsoft.com/office/drawing/2014/main" id="{47B11063-6157-41B2-B444-D87C9C1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24</xdr:row>
      <xdr:rowOff>0</xdr:rowOff>
    </xdr:from>
    <xdr:ext cx="59531" cy="295275"/>
    <xdr:pic>
      <xdr:nvPicPr>
        <xdr:cNvPr id="2921" name="BExUBK0YZ5VYFY8TTITJGJU9S06A" hidden="1">
          <a:extLst>
            <a:ext uri="{FF2B5EF4-FFF2-40B4-BE49-F238E27FC236}">
              <a16:creationId xmlns:a16="http://schemas.microsoft.com/office/drawing/2014/main" id="{79B99487-ED9F-4012-B179-402347D66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772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17</xdr:row>
      <xdr:rowOff>1905</xdr:rowOff>
    </xdr:from>
    <xdr:ext cx="59531" cy="829901"/>
    <xdr:pic>
      <xdr:nvPicPr>
        <xdr:cNvPr id="2922" name="BExMO7VFCN4EL59982UR4AJ25JNJ" descr="XX6TINEJADZGKR0CTM7ZRT0RA" hidden="1">
          <a:extLst>
            <a:ext uri="{FF2B5EF4-FFF2-40B4-BE49-F238E27FC236}">
              <a16:creationId xmlns:a16="http://schemas.microsoft.com/office/drawing/2014/main" id="{AB984D7A-CA45-4EB4-9483-F4A3518F2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17</xdr:row>
      <xdr:rowOff>0</xdr:rowOff>
    </xdr:from>
    <xdr:ext cx="59531" cy="295275"/>
    <xdr:pic>
      <xdr:nvPicPr>
        <xdr:cNvPr id="2923" name="BExU3EX5JJCXCII4YKUJBFBGIJR2" descr="OF5ZI9PI5WH36VPANJ2DYLNMI" hidden="1">
          <a:extLst>
            <a:ext uri="{FF2B5EF4-FFF2-40B4-BE49-F238E27FC236}">
              <a16:creationId xmlns:a16="http://schemas.microsoft.com/office/drawing/2014/main" id="{EFD9175B-E207-42E6-BB00-43C6185CF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209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2924" name="BEx1KD7H6UB1VYCJ7O61P562EIUY" descr="IQGV9140X0K0UPBL8OGU3I44J" hidden="1">
          <a:extLst>
            <a:ext uri="{FF2B5EF4-FFF2-40B4-BE49-F238E27FC236}">
              <a16:creationId xmlns:a16="http://schemas.microsoft.com/office/drawing/2014/main" id="{6A54C217-CEB9-403E-86EB-697512D1C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0</xdr:rowOff>
    </xdr:from>
    <xdr:ext cx="59531" cy="295275"/>
    <xdr:pic>
      <xdr:nvPicPr>
        <xdr:cNvPr id="2925" name="BEx5BJQWS6YWHH4ZMSUAMD641V6Y" descr="ZTMFMXCIQSECDX38ALEFHUB00" hidden="1">
          <a:extLst>
            <a:ext uri="{FF2B5EF4-FFF2-40B4-BE49-F238E27FC236}">
              <a16:creationId xmlns:a16="http://schemas.microsoft.com/office/drawing/2014/main" id="{EFF466CF-7FAF-49E0-A2E2-4362FBEF3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209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17</xdr:row>
      <xdr:rowOff>1905</xdr:rowOff>
    </xdr:from>
    <xdr:ext cx="59531" cy="829901"/>
    <xdr:pic>
      <xdr:nvPicPr>
        <xdr:cNvPr id="2926" name="BExVTO5Q8G2M7BPL4B2584LQS0R0" descr="OB6Q8NA4LZFE4GM9Y3V56BPMQ" hidden="1">
          <a:extLst>
            <a:ext uri="{FF2B5EF4-FFF2-40B4-BE49-F238E27FC236}">
              <a16:creationId xmlns:a16="http://schemas.microsoft.com/office/drawing/2014/main" id="{0A16D0BD-E79B-4F14-8D5D-F3732F844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17</xdr:row>
      <xdr:rowOff>0</xdr:rowOff>
    </xdr:from>
    <xdr:ext cx="59531" cy="295275"/>
    <xdr:pic>
      <xdr:nvPicPr>
        <xdr:cNvPr id="2927" name="BExIFSCLN1G86X78PFLTSMRP0US5" descr="9JK4SPV4DG7VTCZIILWHXQU5J" hidden="1">
          <a:extLst>
            <a:ext uri="{FF2B5EF4-FFF2-40B4-BE49-F238E27FC236}">
              <a16:creationId xmlns:a16="http://schemas.microsoft.com/office/drawing/2014/main" id="{8E29690A-DFDE-42A8-9040-855AF7868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2209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17</xdr:row>
      <xdr:rowOff>1905</xdr:rowOff>
    </xdr:from>
    <xdr:ext cx="59531" cy="829901"/>
    <xdr:pic>
      <xdr:nvPicPr>
        <xdr:cNvPr id="2928" name="BEx1I152WN2D3A85O2XN0DGXCWHN" descr="KHBZFMANRA4UMJR1AB4M5NJNT" hidden="1">
          <a:extLst>
            <a:ext uri="{FF2B5EF4-FFF2-40B4-BE49-F238E27FC236}">
              <a16:creationId xmlns:a16="http://schemas.microsoft.com/office/drawing/2014/main" id="{B391C6FF-DA1F-44F3-BA80-4046605EC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17</xdr:row>
      <xdr:rowOff>0</xdr:rowOff>
    </xdr:from>
    <xdr:ext cx="59531" cy="295275"/>
    <xdr:pic>
      <xdr:nvPicPr>
        <xdr:cNvPr id="2929" name="BExW9676P0SKCVKK25QCGHPA3PAD" descr="9A4PWZ20RMSRF0PNECCDM75CA" hidden="1">
          <a:extLst>
            <a:ext uri="{FF2B5EF4-FFF2-40B4-BE49-F238E27FC236}">
              <a16:creationId xmlns:a16="http://schemas.microsoft.com/office/drawing/2014/main" id="{817F2AB6-CB70-4D22-B188-448792F7C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209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17</xdr:row>
      <xdr:rowOff>1905</xdr:rowOff>
    </xdr:from>
    <xdr:ext cx="59531" cy="829901"/>
    <xdr:pic>
      <xdr:nvPicPr>
        <xdr:cNvPr id="2930" name="BExS5CPQ8P8JOQPK7ANNKHLSGOKU" hidden="1">
          <a:extLst>
            <a:ext uri="{FF2B5EF4-FFF2-40B4-BE49-F238E27FC236}">
              <a16:creationId xmlns:a16="http://schemas.microsoft.com/office/drawing/2014/main" id="{78FA2EC0-75E7-43E3-A017-D8DBBA457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17</xdr:row>
      <xdr:rowOff>0</xdr:rowOff>
    </xdr:from>
    <xdr:ext cx="59531" cy="295275"/>
    <xdr:pic>
      <xdr:nvPicPr>
        <xdr:cNvPr id="2931" name="BExMM0AVUAIRNJLXB1FW8R0YB4ZZ" hidden="1">
          <a:extLst>
            <a:ext uri="{FF2B5EF4-FFF2-40B4-BE49-F238E27FC236}">
              <a16:creationId xmlns:a16="http://schemas.microsoft.com/office/drawing/2014/main" id="{DB612850-F3C6-4F7C-A52B-237DEF7A8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209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17</xdr:row>
      <xdr:rowOff>1905</xdr:rowOff>
    </xdr:from>
    <xdr:ext cx="59531" cy="829901"/>
    <xdr:pic>
      <xdr:nvPicPr>
        <xdr:cNvPr id="2932" name="BExXZ7Y09CBS0XA7IPB3IRJ8RJM4" hidden="1">
          <a:extLst>
            <a:ext uri="{FF2B5EF4-FFF2-40B4-BE49-F238E27FC236}">
              <a16:creationId xmlns:a16="http://schemas.microsoft.com/office/drawing/2014/main" id="{08BFB799-834F-4EF2-9BB8-8D565E23E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17</xdr:row>
      <xdr:rowOff>0</xdr:rowOff>
    </xdr:from>
    <xdr:ext cx="59531" cy="295275"/>
    <xdr:pic>
      <xdr:nvPicPr>
        <xdr:cNvPr id="2933" name="BExQ7SXS9VUG7P6CACU2J7R2SGIZ" hidden="1">
          <a:extLst>
            <a:ext uri="{FF2B5EF4-FFF2-40B4-BE49-F238E27FC236}">
              <a16:creationId xmlns:a16="http://schemas.microsoft.com/office/drawing/2014/main" id="{E02157E7-38FA-49BC-8692-4C5D91496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209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2934" name="BEx5AQZ4ETQ9LMY5EBWVH20Z7VXQ" hidden="1">
          <a:extLst>
            <a:ext uri="{FF2B5EF4-FFF2-40B4-BE49-F238E27FC236}">
              <a16:creationId xmlns:a16="http://schemas.microsoft.com/office/drawing/2014/main" id="{BB08D52B-8544-4EAD-A62A-B0148A4F0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0</xdr:rowOff>
    </xdr:from>
    <xdr:ext cx="59531" cy="295275"/>
    <xdr:pic>
      <xdr:nvPicPr>
        <xdr:cNvPr id="2935" name="BExUBK0YZ5VYFY8TTITJGJU9S06A" hidden="1">
          <a:extLst>
            <a:ext uri="{FF2B5EF4-FFF2-40B4-BE49-F238E27FC236}">
              <a16:creationId xmlns:a16="http://schemas.microsoft.com/office/drawing/2014/main" id="{378C4A9F-A333-445D-850D-A5439AEF3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209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17</xdr:row>
      <xdr:rowOff>1905</xdr:rowOff>
    </xdr:from>
    <xdr:ext cx="47625" cy="829901"/>
    <xdr:pic>
      <xdr:nvPicPr>
        <xdr:cNvPr id="2936" name="BExUEZCSSJ7RN4J18I2NUIQR2FZS" hidden="1">
          <a:extLst>
            <a:ext uri="{FF2B5EF4-FFF2-40B4-BE49-F238E27FC236}">
              <a16:creationId xmlns:a16="http://schemas.microsoft.com/office/drawing/2014/main" id="{C67C6699-BA45-4C68-9E07-2A6B95F97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2211705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17</xdr:row>
      <xdr:rowOff>0</xdr:rowOff>
    </xdr:from>
    <xdr:ext cx="47625" cy="295275"/>
    <xdr:pic>
      <xdr:nvPicPr>
        <xdr:cNvPr id="2937" name="BExS3JDQWF7U3F5JTEVOE16ASIYK" hidden="1">
          <a:extLst>
            <a:ext uri="{FF2B5EF4-FFF2-40B4-BE49-F238E27FC236}">
              <a16:creationId xmlns:a16="http://schemas.microsoft.com/office/drawing/2014/main" id="{AF7617E4-CE69-4DF7-83D0-D929DEBDB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22098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2938" name="BEx1KD7H6UB1VYCJ7O61P562EIUY" descr="IQGV9140X0K0UPBL8OGU3I44J" hidden="1">
          <a:extLst>
            <a:ext uri="{FF2B5EF4-FFF2-40B4-BE49-F238E27FC236}">
              <a16:creationId xmlns:a16="http://schemas.microsoft.com/office/drawing/2014/main" id="{575A371E-BA0C-4AEA-8FA7-FCC9D31BC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2939" name="BEx5BJQWS6YWHH4ZMSUAMD641V6Y" descr="ZTMFMXCIQSECDX38ALEFHUB00" hidden="1">
          <a:extLst>
            <a:ext uri="{FF2B5EF4-FFF2-40B4-BE49-F238E27FC236}">
              <a16:creationId xmlns:a16="http://schemas.microsoft.com/office/drawing/2014/main" id="{A8D02A65-DF93-483E-A974-28F832C4D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2940" name="BEx5AQZ4ETQ9LMY5EBWVH20Z7VXQ" hidden="1">
          <a:extLst>
            <a:ext uri="{FF2B5EF4-FFF2-40B4-BE49-F238E27FC236}">
              <a16:creationId xmlns:a16="http://schemas.microsoft.com/office/drawing/2014/main" id="{6369F9E6-C2B9-47A7-992D-3E7CE9F6C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2941" name="BExUBK0YZ5VYFY8TTITJGJU9S06A" hidden="1">
          <a:extLst>
            <a:ext uri="{FF2B5EF4-FFF2-40B4-BE49-F238E27FC236}">
              <a16:creationId xmlns:a16="http://schemas.microsoft.com/office/drawing/2014/main" id="{29C4F45F-7E41-4CAB-8A3C-08679E9D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942" name="BEx5BJQWS6YWHH4ZMSUAMD641V6Y" descr="ZTMFMXCIQSECDX38ALEFHUB00" hidden="1">
          <a:extLst>
            <a:ext uri="{FF2B5EF4-FFF2-40B4-BE49-F238E27FC236}">
              <a16:creationId xmlns:a16="http://schemas.microsoft.com/office/drawing/2014/main" id="{3148D86D-DF35-454B-A5A5-7C700206F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943" name="BExUBK0YZ5VYFY8TTITJGJU9S06A" hidden="1">
          <a:extLst>
            <a:ext uri="{FF2B5EF4-FFF2-40B4-BE49-F238E27FC236}">
              <a16:creationId xmlns:a16="http://schemas.microsoft.com/office/drawing/2014/main" id="{DBDD2100-74E0-4A93-BAC7-73CB5B1B4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944" name="BEx5BJQWS6YWHH4ZMSUAMD641V6Y" descr="ZTMFMXCIQSECDX38ALEFHUB00" hidden="1">
          <a:extLst>
            <a:ext uri="{FF2B5EF4-FFF2-40B4-BE49-F238E27FC236}">
              <a16:creationId xmlns:a16="http://schemas.microsoft.com/office/drawing/2014/main" id="{953E8F1D-4A46-4092-814B-D3C8A8A8C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945" name="BExUBK0YZ5VYFY8TTITJGJU9S06A" hidden="1">
          <a:extLst>
            <a:ext uri="{FF2B5EF4-FFF2-40B4-BE49-F238E27FC236}">
              <a16:creationId xmlns:a16="http://schemas.microsoft.com/office/drawing/2014/main" id="{104624E5-F2D5-4F64-B178-88D13C9C0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946" name="BEx5BJQWS6YWHH4ZMSUAMD641V6Y" descr="ZTMFMXCIQSECDX38ALEFHUB00" hidden="1">
          <a:extLst>
            <a:ext uri="{FF2B5EF4-FFF2-40B4-BE49-F238E27FC236}">
              <a16:creationId xmlns:a16="http://schemas.microsoft.com/office/drawing/2014/main" id="{D96CFD79-1C84-4C8E-B7E1-1BAD1F225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947" name="BExUBK0YZ5VYFY8TTITJGJU9S06A" hidden="1">
          <a:extLst>
            <a:ext uri="{FF2B5EF4-FFF2-40B4-BE49-F238E27FC236}">
              <a16:creationId xmlns:a16="http://schemas.microsoft.com/office/drawing/2014/main" id="{BD710082-945C-4739-A57F-062839853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948" name="BEx5BJQWS6YWHH4ZMSUAMD641V6Y" descr="ZTMFMXCIQSECDX38ALEFHUB00" hidden="1">
          <a:extLst>
            <a:ext uri="{FF2B5EF4-FFF2-40B4-BE49-F238E27FC236}">
              <a16:creationId xmlns:a16="http://schemas.microsoft.com/office/drawing/2014/main" id="{0EABC508-01B5-4265-8CB8-96C41A1BC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949" name="BExUBK0YZ5VYFY8TTITJGJU9S06A" hidden="1">
          <a:extLst>
            <a:ext uri="{FF2B5EF4-FFF2-40B4-BE49-F238E27FC236}">
              <a16:creationId xmlns:a16="http://schemas.microsoft.com/office/drawing/2014/main" id="{D31DB418-8D35-43E2-9B47-14AEB9F3A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1905</xdr:rowOff>
    </xdr:from>
    <xdr:ext cx="59531" cy="829901"/>
    <xdr:pic>
      <xdr:nvPicPr>
        <xdr:cNvPr id="2950" name="BExMO7VFCN4EL59982UR4AJ25JNJ" descr="XX6TINEJADZGKR0CTM7ZRT0RA" hidden="1">
          <a:extLst>
            <a:ext uri="{FF2B5EF4-FFF2-40B4-BE49-F238E27FC236}">
              <a16:creationId xmlns:a16="http://schemas.microsoft.com/office/drawing/2014/main" id="{FCE6BAB8-D7CA-4FCF-B3CB-E7A0F36C4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0</xdr:rowOff>
    </xdr:from>
    <xdr:ext cx="59531" cy="295275"/>
    <xdr:pic>
      <xdr:nvPicPr>
        <xdr:cNvPr id="2951" name="BExU3EX5JJCXCII4YKUJBFBGIJR2" descr="OF5ZI9PI5WH36VPANJ2DYLNMI" hidden="1">
          <a:extLst>
            <a:ext uri="{FF2B5EF4-FFF2-40B4-BE49-F238E27FC236}">
              <a16:creationId xmlns:a16="http://schemas.microsoft.com/office/drawing/2014/main" id="{E2C00CAA-B3C5-4092-986A-56A534AA4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1905</xdr:rowOff>
    </xdr:from>
    <xdr:ext cx="59531" cy="829901"/>
    <xdr:pic>
      <xdr:nvPicPr>
        <xdr:cNvPr id="2952" name="BEx1I152WN2D3A85O2XN0DGXCWHN" descr="KHBZFMANRA4UMJR1AB4M5NJNT" hidden="1">
          <a:extLst>
            <a:ext uri="{FF2B5EF4-FFF2-40B4-BE49-F238E27FC236}">
              <a16:creationId xmlns:a16="http://schemas.microsoft.com/office/drawing/2014/main" id="{8DDF5130-3CFF-4E26-9E22-AE74BBF06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0</xdr:rowOff>
    </xdr:from>
    <xdr:ext cx="59531" cy="295275"/>
    <xdr:pic>
      <xdr:nvPicPr>
        <xdr:cNvPr id="2953" name="BExW9676P0SKCVKK25QCGHPA3PAD" descr="9A4PWZ20RMSRF0PNECCDM75CA" hidden="1">
          <a:extLst>
            <a:ext uri="{FF2B5EF4-FFF2-40B4-BE49-F238E27FC236}">
              <a16:creationId xmlns:a16="http://schemas.microsoft.com/office/drawing/2014/main" id="{55C0B95C-BEEE-4AB0-839D-EEEAED0F5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1905</xdr:rowOff>
    </xdr:from>
    <xdr:ext cx="59531" cy="829901"/>
    <xdr:pic>
      <xdr:nvPicPr>
        <xdr:cNvPr id="2954" name="BExS5CPQ8P8JOQPK7ANNKHLSGOKU" hidden="1">
          <a:extLst>
            <a:ext uri="{FF2B5EF4-FFF2-40B4-BE49-F238E27FC236}">
              <a16:creationId xmlns:a16="http://schemas.microsoft.com/office/drawing/2014/main" id="{04D4ED85-3499-4B43-A15A-4830B9CFD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0</xdr:rowOff>
    </xdr:from>
    <xdr:ext cx="59531" cy="295275"/>
    <xdr:pic>
      <xdr:nvPicPr>
        <xdr:cNvPr id="2955" name="BExMM0AVUAIRNJLXB1FW8R0YB4ZZ" hidden="1">
          <a:extLst>
            <a:ext uri="{FF2B5EF4-FFF2-40B4-BE49-F238E27FC236}">
              <a16:creationId xmlns:a16="http://schemas.microsoft.com/office/drawing/2014/main" id="{CF58C311-03FE-4C46-B849-3DBCFDD83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18</xdr:row>
      <xdr:rowOff>1905</xdr:rowOff>
    </xdr:from>
    <xdr:ext cx="59531" cy="829901"/>
    <xdr:pic>
      <xdr:nvPicPr>
        <xdr:cNvPr id="2956" name="BExXZ7Y09CBS0XA7IPB3IRJ8RJM4" hidden="1">
          <a:extLst>
            <a:ext uri="{FF2B5EF4-FFF2-40B4-BE49-F238E27FC236}">
              <a16:creationId xmlns:a16="http://schemas.microsoft.com/office/drawing/2014/main" id="{9D5BF796-DE78-4630-9DC8-0F9CAFCB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0</xdr:rowOff>
    </xdr:from>
    <xdr:ext cx="59531" cy="295275"/>
    <xdr:pic>
      <xdr:nvPicPr>
        <xdr:cNvPr id="2957" name="BExQ7SXS9VUG7P6CACU2J7R2SGIZ" hidden="1">
          <a:extLst>
            <a:ext uri="{FF2B5EF4-FFF2-40B4-BE49-F238E27FC236}">
              <a16:creationId xmlns:a16="http://schemas.microsoft.com/office/drawing/2014/main" id="{EBC070F1-8A83-49AC-A5BB-599C59BEF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2958" name="BExMO7VFCN4EL59982UR4AJ25JNJ" descr="XX6TINEJADZGKR0CTM7ZRT0RA" hidden="1">
          <a:extLst>
            <a:ext uri="{FF2B5EF4-FFF2-40B4-BE49-F238E27FC236}">
              <a16:creationId xmlns:a16="http://schemas.microsoft.com/office/drawing/2014/main" id="{2D78C2AE-69CE-4901-93D5-697C04E30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2959" name="BExU3EX5JJCXCII4YKUJBFBGIJR2" descr="OF5ZI9PI5WH36VPANJ2DYLNMI" hidden="1">
          <a:extLst>
            <a:ext uri="{FF2B5EF4-FFF2-40B4-BE49-F238E27FC236}">
              <a16:creationId xmlns:a16="http://schemas.microsoft.com/office/drawing/2014/main" id="{836BED87-6503-40A0-B098-5AEF541B1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2960" name="BEx1I152WN2D3A85O2XN0DGXCWHN" descr="KHBZFMANRA4UMJR1AB4M5NJNT" hidden="1">
          <a:extLst>
            <a:ext uri="{FF2B5EF4-FFF2-40B4-BE49-F238E27FC236}">
              <a16:creationId xmlns:a16="http://schemas.microsoft.com/office/drawing/2014/main" id="{93370525-32FA-4533-B681-65695C38F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2961" name="BExW9676P0SKCVKK25QCGHPA3PAD" descr="9A4PWZ20RMSRF0PNECCDM75CA" hidden="1">
          <a:extLst>
            <a:ext uri="{FF2B5EF4-FFF2-40B4-BE49-F238E27FC236}">
              <a16:creationId xmlns:a16="http://schemas.microsoft.com/office/drawing/2014/main" id="{8DD35E08-18C7-4125-95DF-E769C6C69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2962" name="BExS5CPQ8P8JOQPK7ANNKHLSGOKU" hidden="1">
          <a:extLst>
            <a:ext uri="{FF2B5EF4-FFF2-40B4-BE49-F238E27FC236}">
              <a16:creationId xmlns:a16="http://schemas.microsoft.com/office/drawing/2014/main" id="{F64B355D-6DC3-4F02-B25B-C8D4E279F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2963" name="BExMM0AVUAIRNJLXB1FW8R0YB4ZZ" hidden="1">
          <a:extLst>
            <a:ext uri="{FF2B5EF4-FFF2-40B4-BE49-F238E27FC236}">
              <a16:creationId xmlns:a16="http://schemas.microsoft.com/office/drawing/2014/main" id="{0E69F3D9-C0A7-4D3F-8BB8-6CB596159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2964" name="BExXZ7Y09CBS0XA7IPB3IRJ8RJM4" hidden="1">
          <a:extLst>
            <a:ext uri="{FF2B5EF4-FFF2-40B4-BE49-F238E27FC236}">
              <a16:creationId xmlns:a16="http://schemas.microsoft.com/office/drawing/2014/main" id="{1EB02E12-8088-44D7-A5A5-E3B8195F7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2965" name="BExQ7SXS9VUG7P6CACU2J7R2SGIZ" hidden="1">
          <a:extLst>
            <a:ext uri="{FF2B5EF4-FFF2-40B4-BE49-F238E27FC236}">
              <a16:creationId xmlns:a16="http://schemas.microsoft.com/office/drawing/2014/main" id="{C46EE087-28E2-4BB0-9770-EAE79E071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2966" name="BExU3EX5JJCXCII4YKUJBFBGIJR2" descr="OF5ZI9PI5WH36VPANJ2DYLNMI" hidden="1">
          <a:extLst>
            <a:ext uri="{FF2B5EF4-FFF2-40B4-BE49-F238E27FC236}">
              <a16:creationId xmlns:a16="http://schemas.microsoft.com/office/drawing/2014/main" id="{B1F6B0C5-B0FF-4D9D-A455-721CDA159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2967" name="BExW9676P0SKCVKK25QCGHPA3PAD" descr="9A4PWZ20RMSRF0PNECCDM75CA" hidden="1">
          <a:extLst>
            <a:ext uri="{FF2B5EF4-FFF2-40B4-BE49-F238E27FC236}">
              <a16:creationId xmlns:a16="http://schemas.microsoft.com/office/drawing/2014/main" id="{56B8B79A-503C-4058-80EE-BF3B1E43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2968" name="BExMM0AVUAIRNJLXB1FW8R0YB4ZZ" hidden="1">
          <a:extLst>
            <a:ext uri="{FF2B5EF4-FFF2-40B4-BE49-F238E27FC236}">
              <a16:creationId xmlns:a16="http://schemas.microsoft.com/office/drawing/2014/main" id="{78D86AC8-B7BC-4DEE-A2CC-113D43D1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2969" name="BExQ7SXS9VUG7P6CACU2J7R2SGIZ" hidden="1">
          <a:extLst>
            <a:ext uri="{FF2B5EF4-FFF2-40B4-BE49-F238E27FC236}">
              <a16:creationId xmlns:a16="http://schemas.microsoft.com/office/drawing/2014/main" id="{4D954710-10DD-4AF0-BEEB-C83DAE49D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970" name="BEx5BJQWS6YWHH4ZMSUAMD641V6Y" descr="ZTMFMXCIQSECDX38ALEFHUB00" hidden="1">
          <a:extLst>
            <a:ext uri="{FF2B5EF4-FFF2-40B4-BE49-F238E27FC236}">
              <a16:creationId xmlns:a16="http://schemas.microsoft.com/office/drawing/2014/main" id="{85817BE2-EC98-468A-832F-39E67BEA5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971" name="BExUBK0YZ5VYFY8TTITJGJU9S06A" hidden="1">
          <a:extLst>
            <a:ext uri="{FF2B5EF4-FFF2-40B4-BE49-F238E27FC236}">
              <a16:creationId xmlns:a16="http://schemas.microsoft.com/office/drawing/2014/main" id="{22A6C142-8BB3-4B5C-88D8-2D5C3A300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972" name="BEx5BJQWS6YWHH4ZMSUAMD641V6Y" descr="ZTMFMXCIQSECDX38ALEFHUB00" hidden="1">
          <a:extLst>
            <a:ext uri="{FF2B5EF4-FFF2-40B4-BE49-F238E27FC236}">
              <a16:creationId xmlns:a16="http://schemas.microsoft.com/office/drawing/2014/main" id="{41CE163C-2B46-4CF1-BAA3-801D65BF5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973" name="BExUBK0YZ5VYFY8TTITJGJU9S06A" hidden="1">
          <a:extLst>
            <a:ext uri="{FF2B5EF4-FFF2-40B4-BE49-F238E27FC236}">
              <a16:creationId xmlns:a16="http://schemas.microsoft.com/office/drawing/2014/main" id="{916617AD-82C2-43DF-8C96-644B82BF2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2974" name="BEx1KD7H6UB1VYCJ7O61P562EIUY" descr="IQGV9140X0K0UPBL8OGU3I44J" hidden="1">
          <a:extLst>
            <a:ext uri="{FF2B5EF4-FFF2-40B4-BE49-F238E27FC236}">
              <a16:creationId xmlns:a16="http://schemas.microsoft.com/office/drawing/2014/main" id="{6710E963-B678-4560-8020-D97798575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2975" name="BEx5BJQWS6YWHH4ZMSUAMD641V6Y" descr="ZTMFMXCIQSECDX38ALEFHUB00" hidden="1">
          <a:extLst>
            <a:ext uri="{FF2B5EF4-FFF2-40B4-BE49-F238E27FC236}">
              <a16:creationId xmlns:a16="http://schemas.microsoft.com/office/drawing/2014/main" id="{20A03D0E-0014-484F-9E61-0D7E91FB4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2976" name="BEx5AQZ4ETQ9LMY5EBWVH20Z7VXQ" hidden="1">
          <a:extLst>
            <a:ext uri="{FF2B5EF4-FFF2-40B4-BE49-F238E27FC236}">
              <a16:creationId xmlns:a16="http://schemas.microsoft.com/office/drawing/2014/main" id="{F4EEEBEA-A33E-452F-8CC3-DCCFCE15C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2977" name="BExUBK0YZ5VYFY8TTITJGJU9S06A" hidden="1">
          <a:extLst>
            <a:ext uri="{FF2B5EF4-FFF2-40B4-BE49-F238E27FC236}">
              <a16:creationId xmlns:a16="http://schemas.microsoft.com/office/drawing/2014/main" id="{D6FF7BA5-04D1-4DCA-8989-343D46320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2978" name="BEx1KD7H6UB1VYCJ7O61P562EIUY" descr="IQGV9140X0K0UPBL8OGU3I44J" hidden="1">
          <a:extLst>
            <a:ext uri="{FF2B5EF4-FFF2-40B4-BE49-F238E27FC236}">
              <a16:creationId xmlns:a16="http://schemas.microsoft.com/office/drawing/2014/main" id="{8C53CB94-4E60-48B4-A3EF-EEC7E9C2E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979" name="BEx5BJQWS6YWHH4ZMSUAMD641V6Y" descr="ZTMFMXCIQSECDX38ALEFHUB00" hidden="1">
          <a:extLst>
            <a:ext uri="{FF2B5EF4-FFF2-40B4-BE49-F238E27FC236}">
              <a16:creationId xmlns:a16="http://schemas.microsoft.com/office/drawing/2014/main" id="{80AE420B-243F-41D5-BADC-86A7C620F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2980" name="BEx5AQZ4ETQ9LMY5EBWVH20Z7VXQ" hidden="1">
          <a:extLst>
            <a:ext uri="{FF2B5EF4-FFF2-40B4-BE49-F238E27FC236}">
              <a16:creationId xmlns:a16="http://schemas.microsoft.com/office/drawing/2014/main" id="{303D63F7-974B-4779-9748-8366FBD18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981" name="BExUBK0YZ5VYFY8TTITJGJU9S06A" hidden="1">
          <a:extLst>
            <a:ext uri="{FF2B5EF4-FFF2-40B4-BE49-F238E27FC236}">
              <a16:creationId xmlns:a16="http://schemas.microsoft.com/office/drawing/2014/main" id="{AD6F3E9B-FFD7-4900-8EB4-BC3DC6F38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2982" name="BEx1KD7H6UB1VYCJ7O61P562EIUY" descr="IQGV9140X0K0UPBL8OGU3I44J" hidden="1">
          <a:extLst>
            <a:ext uri="{FF2B5EF4-FFF2-40B4-BE49-F238E27FC236}">
              <a16:creationId xmlns:a16="http://schemas.microsoft.com/office/drawing/2014/main" id="{15C95D0E-12E4-4929-8F99-C2BC33CF1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2983" name="BEx5BJQWS6YWHH4ZMSUAMD641V6Y" descr="ZTMFMXCIQSECDX38ALEFHUB00" hidden="1">
          <a:extLst>
            <a:ext uri="{FF2B5EF4-FFF2-40B4-BE49-F238E27FC236}">
              <a16:creationId xmlns:a16="http://schemas.microsoft.com/office/drawing/2014/main" id="{71B0D4D2-B540-41E1-8BEA-EA526751B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2984" name="BEx5AQZ4ETQ9LMY5EBWVH20Z7VXQ" hidden="1">
          <a:extLst>
            <a:ext uri="{FF2B5EF4-FFF2-40B4-BE49-F238E27FC236}">
              <a16:creationId xmlns:a16="http://schemas.microsoft.com/office/drawing/2014/main" id="{2A34F277-5D1D-48CC-AEBF-A157A2AAB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2985" name="BExUBK0YZ5VYFY8TTITJGJU9S06A" hidden="1">
          <a:extLst>
            <a:ext uri="{FF2B5EF4-FFF2-40B4-BE49-F238E27FC236}">
              <a16:creationId xmlns:a16="http://schemas.microsoft.com/office/drawing/2014/main" id="{34FB409C-C9C8-40FB-803C-E03978608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2986" name="BEx1KD7H6UB1VYCJ7O61P562EIUY" descr="IQGV9140X0K0UPBL8OGU3I44J" hidden="1">
          <a:extLst>
            <a:ext uri="{FF2B5EF4-FFF2-40B4-BE49-F238E27FC236}">
              <a16:creationId xmlns:a16="http://schemas.microsoft.com/office/drawing/2014/main" id="{48B8038A-C111-46BD-A738-BD05DA118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987" name="BEx5BJQWS6YWHH4ZMSUAMD641V6Y" descr="ZTMFMXCIQSECDX38ALEFHUB00" hidden="1">
          <a:extLst>
            <a:ext uri="{FF2B5EF4-FFF2-40B4-BE49-F238E27FC236}">
              <a16:creationId xmlns:a16="http://schemas.microsoft.com/office/drawing/2014/main" id="{DC759CCF-24DA-49D3-8171-5CFD868DE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2988" name="BEx5AQZ4ETQ9LMY5EBWVH20Z7VXQ" hidden="1">
          <a:extLst>
            <a:ext uri="{FF2B5EF4-FFF2-40B4-BE49-F238E27FC236}">
              <a16:creationId xmlns:a16="http://schemas.microsoft.com/office/drawing/2014/main" id="{CBE6384B-B308-432D-820C-2D0209A99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989" name="BExUBK0YZ5VYFY8TTITJGJU9S06A" hidden="1">
          <a:extLst>
            <a:ext uri="{FF2B5EF4-FFF2-40B4-BE49-F238E27FC236}">
              <a16:creationId xmlns:a16="http://schemas.microsoft.com/office/drawing/2014/main" id="{088E7935-377D-4306-B8FC-108E4D63B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2990" name="BEx1KD7H6UB1VYCJ7O61P562EIUY" descr="IQGV9140X0K0UPBL8OGU3I44J" hidden="1">
          <a:extLst>
            <a:ext uri="{FF2B5EF4-FFF2-40B4-BE49-F238E27FC236}">
              <a16:creationId xmlns:a16="http://schemas.microsoft.com/office/drawing/2014/main" id="{F7D4AC62-112D-4AE5-A21A-A1740F459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991" name="BEx5BJQWS6YWHH4ZMSUAMD641V6Y" descr="ZTMFMXCIQSECDX38ALEFHUB00" hidden="1">
          <a:extLst>
            <a:ext uri="{FF2B5EF4-FFF2-40B4-BE49-F238E27FC236}">
              <a16:creationId xmlns:a16="http://schemas.microsoft.com/office/drawing/2014/main" id="{3AFD622D-346B-4F05-BD0E-EF147B364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2992" name="BEx5AQZ4ETQ9LMY5EBWVH20Z7VXQ" hidden="1">
          <a:extLst>
            <a:ext uri="{FF2B5EF4-FFF2-40B4-BE49-F238E27FC236}">
              <a16:creationId xmlns:a16="http://schemas.microsoft.com/office/drawing/2014/main" id="{14E77AA1-7BC3-4C4C-8C48-BB08A4C92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993" name="BExUBK0YZ5VYFY8TTITJGJU9S06A" hidden="1">
          <a:extLst>
            <a:ext uri="{FF2B5EF4-FFF2-40B4-BE49-F238E27FC236}">
              <a16:creationId xmlns:a16="http://schemas.microsoft.com/office/drawing/2014/main" id="{91B1FE60-11F3-4467-9D38-908F5B29E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2994" name="BEx1KD7H6UB1VYCJ7O61P562EIUY" descr="IQGV9140X0K0UPBL8OGU3I44J" hidden="1">
          <a:extLst>
            <a:ext uri="{FF2B5EF4-FFF2-40B4-BE49-F238E27FC236}">
              <a16:creationId xmlns:a16="http://schemas.microsoft.com/office/drawing/2014/main" id="{87200C57-9EFE-4440-AC69-12CB312FB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2995" name="BEx5BJQWS6YWHH4ZMSUAMD641V6Y" descr="ZTMFMXCIQSECDX38ALEFHUB00" hidden="1">
          <a:extLst>
            <a:ext uri="{FF2B5EF4-FFF2-40B4-BE49-F238E27FC236}">
              <a16:creationId xmlns:a16="http://schemas.microsoft.com/office/drawing/2014/main" id="{7A3F6550-4A01-48D3-81FE-B462D6221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2996" name="BEx5AQZ4ETQ9LMY5EBWVH20Z7VXQ" hidden="1">
          <a:extLst>
            <a:ext uri="{FF2B5EF4-FFF2-40B4-BE49-F238E27FC236}">
              <a16:creationId xmlns:a16="http://schemas.microsoft.com/office/drawing/2014/main" id="{66A08998-6393-43CC-BAAD-E23B3502F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2997" name="BExUBK0YZ5VYFY8TTITJGJU9S06A" hidden="1">
          <a:extLst>
            <a:ext uri="{FF2B5EF4-FFF2-40B4-BE49-F238E27FC236}">
              <a16:creationId xmlns:a16="http://schemas.microsoft.com/office/drawing/2014/main" id="{E1C9D765-090B-493D-ACFD-DFB11346A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2998" name="BEx1KD7H6UB1VYCJ7O61P562EIUY" descr="IQGV9140X0K0UPBL8OGU3I44J" hidden="1">
          <a:extLst>
            <a:ext uri="{FF2B5EF4-FFF2-40B4-BE49-F238E27FC236}">
              <a16:creationId xmlns:a16="http://schemas.microsoft.com/office/drawing/2014/main" id="{4ADBA7A3-732A-45AB-B1AD-DE8F630A5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2999" name="BEx5BJQWS6YWHH4ZMSUAMD641V6Y" descr="ZTMFMXCIQSECDX38ALEFHUB00" hidden="1">
          <a:extLst>
            <a:ext uri="{FF2B5EF4-FFF2-40B4-BE49-F238E27FC236}">
              <a16:creationId xmlns:a16="http://schemas.microsoft.com/office/drawing/2014/main" id="{0ACF7230-9428-4F02-8988-01EA78D30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000" name="BEx5AQZ4ETQ9LMY5EBWVH20Z7VXQ" hidden="1">
          <a:extLst>
            <a:ext uri="{FF2B5EF4-FFF2-40B4-BE49-F238E27FC236}">
              <a16:creationId xmlns:a16="http://schemas.microsoft.com/office/drawing/2014/main" id="{58A4208D-41E4-4B96-8255-B90ADFC49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01" name="BExUBK0YZ5VYFY8TTITJGJU9S06A" hidden="1">
          <a:extLst>
            <a:ext uri="{FF2B5EF4-FFF2-40B4-BE49-F238E27FC236}">
              <a16:creationId xmlns:a16="http://schemas.microsoft.com/office/drawing/2014/main" id="{E8DC0FEB-9381-41CE-95F5-1BD8F5BCF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002" name="BEx1KD7H6UB1VYCJ7O61P562EIUY" descr="IQGV9140X0K0UPBL8OGU3I44J" hidden="1">
          <a:extLst>
            <a:ext uri="{FF2B5EF4-FFF2-40B4-BE49-F238E27FC236}">
              <a16:creationId xmlns:a16="http://schemas.microsoft.com/office/drawing/2014/main" id="{EA023006-A429-4536-9B8E-CAF0F5986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03" name="BEx5BJQWS6YWHH4ZMSUAMD641V6Y" descr="ZTMFMXCIQSECDX38ALEFHUB00" hidden="1">
          <a:extLst>
            <a:ext uri="{FF2B5EF4-FFF2-40B4-BE49-F238E27FC236}">
              <a16:creationId xmlns:a16="http://schemas.microsoft.com/office/drawing/2014/main" id="{AB9832AC-DFD0-4528-92E1-4D9A0CE65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004" name="BEx5AQZ4ETQ9LMY5EBWVH20Z7VXQ" hidden="1">
          <a:extLst>
            <a:ext uri="{FF2B5EF4-FFF2-40B4-BE49-F238E27FC236}">
              <a16:creationId xmlns:a16="http://schemas.microsoft.com/office/drawing/2014/main" id="{8747D889-D541-403F-8514-EE4178F27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05" name="BExUBK0YZ5VYFY8TTITJGJU9S06A" hidden="1">
          <a:extLst>
            <a:ext uri="{FF2B5EF4-FFF2-40B4-BE49-F238E27FC236}">
              <a16:creationId xmlns:a16="http://schemas.microsoft.com/office/drawing/2014/main" id="{C51723BB-2AE0-486B-B97B-2B37EB8A1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006" name="BEx1KD7H6UB1VYCJ7O61P562EIUY" descr="IQGV9140X0K0UPBL8OGU3I44J" hidden="1">
          <a:extLst>
            <a:ext uri="{FF2B5EF4-FFF2-40B4-BE49-F238E27FC236}">
              <a16:creationId xmlns:a16="http://schemas.microsoft.com/office/drawing/2014/main" id="{A7EAF227-81AE-4859-901C-164BC61EC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07" name="BEx5BJQWS6YWHH4ZMSUAMD641V6Y" descr="ZTMFMXCIQSECDX38ALEFHUB00" hidden="1">
          <a:extLst>
            <a:ext uri="{FF2B5EF4-FFF2-40B4-BE49-F238E27FC236}">
              <a16:creationId xmlns:a16="http://schemas.microsoft.com/office/drawing/2014/main" id="{96E589B8-D52E-46DD-9CDB-040BE84DB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008" name="BEx5AQZ4ETQ9LMY5EBWVH20Z7VXQ" hidden="1">
          <a:extLst>
            <a:ext uri="{FF2B5EF4-FFF2-40B4-BE49-F238E27FC236}">
              <a16:creationId xmlns:a16="http://schemas.microsoft.com/office/drawing/2014/main" id="{D95B5DEA-B5D5-498D-9C2B-E1DCD7800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09" name="BExUBK0YZ5VYFY8TTITJGJU9S06A" hidden="1">
          <a:extLst>
            <a:ext uri="{FF2B5EF4-FFF2-40B4-BE49-F238E27FC236}">
              <a16:creationId xmlns:a16="http://schemas.microsoft.com/office/drawing/2014/main" id="{A0B1D432-5F9C-47BE-871C-99D8D398F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1905</xdr:rowOff>
    </xdr:from>
    <xdr:ext cx="59531" cy="829901"/>
    <xdr:pic>
      <xdr:nvPicPr>
        <xdr:cNvPr id="3010" name="BExMO7VFCN4EL59982UR4AJ25JNJ" descr="XX6TINEJADZGKR0CTM7ZRT0RA" hidden="1">
          <a:extLst>
            <a:ext uri="{FF2B5EF4-FFF2-40B4-BE49-F238E27FC236}">
              <a16:creationId xmlns:a16="http://schemas.microsoft.com/office/drawing/2014/main" id="{755A433A-DE60-4A83-8738-DDE89B7A0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0</xdr:rowOff>
    </xdr:from>
    <xdr:ext cx="59531" cy="295275"/>
    <xdr:pic>
      <xdr:nvPicPr>
        <xdr:cNvPr id="3011" name="BExU3EX5JJCXCII4YKUJBFBGIJR2" descr="OF5ZI9PI5WH36VPANJ2DYLNMI" hidden="1">
          <a:extLst>
            <a:ext uri="{FF2B5EF4-FFF2-40B4-BE49-F238E27FC236}">
              <a16:creationId xmlns:a16="http://schemas.microsoft.com/office/drawing/2014/main" id="{6E081F43-BF83-42C2-B36B-3A743C58D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1905</xdr:rowOff>
    </xdr:from>
    <xdr:ext cx="59531" cy="829901"/>
    <xdr:pic>
      <xdr:nvPicPr>
        <xdr:cNvPr id="3012" name="BEx1I152WN2D3A85O2XN0DGXCWHN" descr="KHBZFMANRA4UMJR1AB4M5NJNT" hidden="1">
          <a:extLst>
            <a:ext uri="{FF2B5EF4-FFF2-40B4-BE49-F238E27FC236}">
              <a16:creationId xmlns:a16="http://schemas.microsoft.com/office/drawing/2014/main" id="{B2AB0EDD-BEDC-422C-9B22-9B3DA8210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0</xdr:rowOff>
    </xdr:from>
    <xdr:ext cx="59531" cy="295275"/>
    <xdr:pic>
      <xdr:nvPicPr>
        <xdr:cNvPr id="3013" name="BExW9676P0SKCVKK25QCGHPA3PAD" descr="9A4PWZ20RMSRF0PNECCDM75CA" hidden="1">
          <a:extLst>
            <a:ext uri="{FF2B5EF4-FFF2-40B4-BE49-F238E27FC236}">
              <a16:creationId xmlns:a16="http://schemas.microsoft.com/office/drawing/2014/main" id="{724D51AA-581D-42F4-9D58-4D3018F5D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1905</xdr:rowOff>
    </xdr:from>
    <xdr:ext cx="59531" cy="829901"/>
    <xdr:pic>
      <xdr:nvPicPr>
        <xdr:cNvPr id="3014" name="BExS5CPQ8P8JOQPK7ANNKHLSGOKU" hidden="1">
          <a:extLst>
            <a:ext uri="{FF2B5EF4-FFF2-40B4-BE49-F238E27FC236}">
              <a16:creationId xmlns:a16="http://schemas.microsoft.com/office/drawing/2014/main" id="{485BFEE1-D4C0-4052-B062-CDA0A8763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0</xdr:rowOff>
    </xdr:from>
    <xdr:ext cx="59531" cy="295275"/>
    <xdr:pic>
      <xdr:nvPicPr>
        <xdr:cNvPr id="3015" name="BExMM0AVUAIRNJLXB1FW8R0YB4ZZ" hidden="1">
          <a:extLst>
            <a:ext uri="{FF2B5EF4-FFF2-40B4-BE49-F238E27FC236}">
              <a16:creationId xmlns:a16="http://schemas.microsoft.com/office/drawing/2014/main" id="{7318C5CC-342A-45FD-8D75-592FA90D9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18</xdr:row>
      <xdr:rowOff>1905</xdr:rowOff>
    </xdr:from>
    <xdr:ext cx="59531" cy="829901"/>
    <xdr:pic>
      <xdr:nvPicPr>
        <xdr:cNvPr id="3016" name="BExXZ7Y09CBS0XA7IPB3IRJ8RJM4" hidden="1">
          <a:extLst>
            <a:ext uri="{FF2B5EF4-FFF2-40B4-BE49-F238E27FC236}">
              <a16:creationId xmlns:a16="http://schemas.microsoft.com/office/drawing/2014/main" id="{AC568553-C8A1-4D68-AD82-480A558C6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18</xdr:row>
      <xdr:rowOff>0</xdr:rowOff>
    </xdr:from>
    <xdr:ext cx="59531" cy="295275"/>
    <xdr:pic>
      <xdr:nvPicPr>
        <xdr:cNvPr id="3017" name="BExQ7SXS9VUG7P6CACU2J7R2SGIZ" hidden="1">
          <a:extLst>
            <a:ext uri="{FF2B5EF4-FFF2-40B4-BE49-F238E27FC236}">
              <a16:creationId xmlns:a16="http://schemas.microsoft.com/office/drawing/2014/main" id="{5539359D-CDE7-403F-A4BB-9C70EC74C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3018" name="BExMO7VFCN4EL59982UR4AJ25JNJ" descr="XX6TINEJADZGKR0CTM7ZRT0RA" hidden="1">
          <a:extLst>
            <a:ext uri="{FF2B5EF4-FFF2-40B4-BE49-F238E27FC236}">
              <a16:creationId xmlns:a16="http://schemas.microsoft.com/office/drawing/2014/main" id="{4CCF51A6-6979-45D7-A766-EFE66522A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19" name="BExU3EX5JJCXCII4YKUJBFBGIJR2" descr="OF5ZI9PI5WH36VPANJ2DYLNMI" hidden="1">
          <a:extLst>
            <a:ext uri="{FF2B5EF4-FFF2-40B4-BE49-F238E27FC236}">
              <a16:creationId xmlns:a16="http://schemas.microsoft.com/office/drawing/2014/main" id="{B1774A39-912B-4142-8C3F-4841BA4D4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3020" name="BEx1I152WN2D3A85O2XN0DGXCWHN" descr="KHBZFMANRA4UMJR1AB4M5NJNT" hidden="1">
          <a:extLst>
            <a:ext uri="{FF2B5EF4-FFF2-40B4-BE49-F238E27FC236}">
              <a16:creationId xmlns:a16="http://schemas.microsoft.com/office/drawing/2014/main" id="{0AB50653-C744-420E-A80E-2FDD02369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21" name="BExW9676P0SKCVKK25QCGHPA3PAD" descr="9A4PWZ20RMSRF0PNECCDM75CA" hidden="1">
          <a:extLst>
            <a:ext uri="{FF2B5EF4-FFF2-40B4-BE49-F238E27FC236}">
              <a16:creationId xmlns:a16="http://schemas.microsoft.com/office/drawing/2014/main" id="{5A7DE4BC-6BE3-48E0-A2D5-B449B7814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3022" name="BExS5CPQ8P8JOQPK7ANNKHLSGOKU" hidden="1">
          <a:extLst>
            <a:ext uri="{FF2B5EF4-FFF2-40B4-BE49-F238E27FC236}">
              <a16:creationId xmlns:a16="http://schemas.microsoft.com/office/drawing/2014/main" id="{7D628D62-B5B3-4B89-B4E2-2F0AEEAB1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23" name="BExMM0AVUAIRNJLXB1FW8R0YB4ZZ" hidden="1">
          <a:extLst>
            <a:ext uri="{FF2B5EF4-FFF2-40B4-BE49-F238E27FC236}">
              <a16:creationId xmlns:a16="http://schemas.microsoft.com/office/drawing/2014/main" id="{ACF690F2-519F-476D-A686-9FEC07636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3024" name="BExXZ7Y09CBS0XA7IPB3IRJ8RJM4" hidden="1">
          <a:extLst>
            <a:ext uri="{FF2B5EF4-FFF2-40B4-BE49-F238E27FC236}">
              <a16:creationId xmlns:a16="http://schemas.microsoft.com/office/drawing/2014/main" id="{8D0C1B8E-173C-4446-8BA6-36A6618A2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25" name="BExQ7SXS9VUG7P6CACU2J7R2SGIZ" hidden="1">
          <a:extLst>
            <a:ext uri="{FF2B5EF4-FFF2-40B4-BE49-F238E27FC236}">
              <a16:creationId xmlns:a16="http://schemas.microsoft.com/office/drawing/2014/main" id="{62166338-B968-42B2-807F-2BE169F19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026" name="BEx1KD7H6UB1VYCJ7O61P562EIUY" descr="IQGV9140X0K0UPBL8OGU3I44J" hidden="1">
          <a:extLst>
            <a:ext uri="{FF2B5EF4-FFF2-40B4-BE49-F238E27FC236}">
              <a16:creationId xmlns:a16="http://schemas.microsoft.com/office/drawing/2014/main" id="{A1DD335C-B459-47D4-9BD9-B8DA8FC36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027" name="BEx5AQZ4ETQ9LMY5EBWVH20Z7VXQ" hidden="1">
          <a:extLst>
            <a:ext uri="{FF2B5EF4-FFF2-40B4-BE49-F238E27FC236}">
              <a16:creationId xmlns:a16="http://schemas.microsoft.com/office/drawing/2014/main" id="{26B7524C-CF57-4FE0-B99F-9740E04AB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3028" name="BExMO7VFCN4EL59982UR4AJ25JNJ" descr="XX6TINEJADZGKR0CTM7ZRT0RA" hidden="1">
          <a:extLst>
            <a:ext uri="{FF2B5EF4-FFF2-40B4-BE49-F238E27FC236}">
              <a16:creationId xmlns:a16="http://schemas.microsoft.com/office/drawing/2014/main" id="{D95C78AD-1903-4E7F-A6E8-311FD2E8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3029" name="BEx1I152WN2D3A85O2XN0DGXCWHN" descr="KHBZFMANRA4UMJR1AB4M5NJNT" hidden="1">
          <a:extLst>
            <a:ext uri="{FF2B5EF4-FFF2-40B4-BE49-F238E27FC236}">
              <a16:creationId xmlns:a16="http://schemas.microsoft.com/office/drawing/2014/main" id="{6AAFE962-D014-4CB1-B7D1-1CC7B9B80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3030" name="BExS5CPQ8P8JOQPK7ANNKHLSGOKU" hidden="1">
          <a:extLst>
            <a:ext uri="{FF2B5EF4-FFF2-40B4-BE49-F238E27FC236}">
              <a16:creationId xmlns:a16="http://schemas.microsoft.com/office/drawing/2014/main" id="{29E90601-53C8-4EED-A7F3-9BEBE2138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3031" name="BExXZ7Y09CBS0XA7IPB3IRJ8RJM4" hidden="1">
          <a:extLst>
            <a:ext uri="{FF2B5EF4-FFF2-40B4-BE49-F238E27FC236}">
              <a16:creationId xmlns:a16="http://schemas.microsoft.com/office/drawing/2014/main" id="{DBDAC228-8D2D-4659-855A-E2C7A0379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32" name="BExU3EX5JJCXCII4YKUJBFBGIJR2" descr="OF5ZI9PI5WH36VPANJ2DYLNMI" hidden="1">
          <a:extLst>
            <a:ext uri="{FF2B5EF4-FFF2-40B4-BE49-F238E27FC236}">
              <a16:creationId xmlns:a16="http://schemas.microsoft.com/office/drawing/2014/main" id="{FCEF7960-4A21-4BDD-B2AC-BD56DCD4C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33" name="BExW9676P0SKCVKK25QCGHPA3PAD" descr="9A4PWZ20RMSRF0PNECCDM75CA" hidden="1">
          <a:extLst>
            <a:ext uri="{FF2B5EF4-FFF2-40B4-BE49-F238E27FC236}">
              <a16:creationId xmlns:a16="http://schemas.microsoft.com/office/drawing/2014/main" id="{3294B5EC-8874-4CCE-9BD8-CDCFBECB3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34" name="BExMM0AVUAIRNJLXB1FW8R0YB4ZZ" hidden="1">
          <a:extLst>
            <a:ext uri="{FF2B5EF4-FFF2-40B4-BE49-F238E27FC236}">
              <a16:creationId xmlns:a16="http://schemas.microsoft.com/office/drawing/2014/main" id="{53C59B86-42B4-45B0-AE95-3A6D81F32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35" name="BExQ7SXS9VUG7P6CACU2J7R2SGIZ" hidden="1">
          <a:extLst>
            <a:ext uri="{FF2B5EF4-FFF2-40B4-BE49-F238E27FC236}">
              <a16:creationId xmlns:a16="http://schemas.microsoft.com/office/drawing/2014/main" id="{85FCDE04-42BB-45AD-8134-892F520A3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036" name="BEx1KD7H6UB1VYCJ7O61P562EIUY" descr="IQGV9140X0K0UPBL8OGU3I44J" hidden="1">
          <a:extLst>
            <a:ext uri="{FF2B5EF4-FFF2-40B4-BE49-F238E27FC236}">
              <a16:creationId xmlns:a16="http://schemas.microsoft.com/office/drawing/2014/main" id="{AEA20867-39BF-4954-94BE-340661893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037" name="BEx5AQZ4ETQ9LMY5EBWVH20Z7VXQ" hidden="1">
          <a:extLst>
            <a:ext uri="{FF2B5EF4-FFF2-40B4-BE49-F238E27FC236}">
              <a16:creationId xmlns:a16="http://schemas.microsoft.com/office/drawing/2014/main" id="{49D25BDE-DC4F-4DCF-A608-5D8E1C641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38" name="BEx5BJQWS6YWHH4ZMSUAMD641V6Y" descr="ZTMFMXCIQSECDX38ALEFHUB00" hidden="1">
          <a:extLst>
            <a:ext uri="{FF2B5EF4-FFF2-40B4-BE49-F238E27FC236}">
              <a16:creationId xmlns:a16="http://schemas.microsoft.com/office/drawing/2014/main" id="{5D453175-048F-4542-973A-F9EB4B240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39" name="BExUBK0YZ5VYFY8TTITJGJU9S06A" hidden="1">
          <a:extLst>
            <a:ext uri="{FF2B5EF4-FFF2-40B4-BE49-F238E27FC236}">
              <a16:creationId xmlns:a16="http://schemas.microsoft.com/office/drawing/2014/main" id="{61C0FDC8-F7DD-4ADB-AEF0-9767FF704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040" name="BEx1KD7H6UB1VYCJ7O61P562EIUY" descr="IQGV9140X0K0UPBL8OGU3I44J" hidden="1">
          <a:extLst>
            <a:ext uri="{FF2B5EF4-FFF2-40B4-BE49-F238E27FC236}">
              <a16:creationId xmlns:a16="http://schemas.microsoft.com/office/drawing/2014/main" id="{44638317-B004-47F1-9D52-73D3C9DD9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041" name="BEx5AQZ4ETQ9LMY5EBWVH20Z7VXQ" hidden="1">
          <a:extLst>
            <a:ext uri="{FF2B5EF4-FFF2-40B4-BE49-F238E27FC236}">
              <a16:creationId xmlns:a16="http://schemas.microsoft.com/office/drawing/2014/main" id="{4936E4D2-564E-4F4B-AF5A-B18F340BE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42" name="BEx5BJQWS6YWHH4ZMSUAMD641V6Y" descr="ZTMFMXCIQSECDX38ALEFHUB00" hidden="1">
          <a:extLst>
            <a:ext uri="{FF2B5EF4-FFF2-40B4-BE49-F238E27FC236}">
              <a16:creationId xmlns:a16="http://schemas.microsoft.com/office/drawing/2014/main" id="{CBED0A4B-CE59-4BA3-83CD-A2933B3D0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43" name="BExUBK0YZ5VYFY8TTITJGJU9S06A" hidden="1">
          <a:extLst>
            <a:ext uri="{FF2B5EF4-FFF2-40B4-BE49-F238E27FC236}">
              <a16:creationId xmlns:a16="http://schemas.microsoft.com/office/drawing/2014/main" id="{DD5464C8-6A34-40E0-B49E-4D35E8DEE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44" name="BEx5BJQWS6YWHH4ZMSUAMD641V6Y" descr="ZTMFMXCIQSECDX38ALEFHUB00" hidden="1">
          <a:extLst>
            <a:ext uri="{FF2B5EF4-FFF2-40B4-BE49-F238E27FC236}">
              <a16:creationId xmlns:a16="http://schemas.microsoft.com/office/drawing/2014/main" id="{5B684F1A-25E2-42DE-AAEB-E57FA168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45" name="BExUBK0YZ5VYFY8TTITJGJU9S06A" hidden="1">
          <a:extLst>
            <a:ext uri="{FF2B5EF4-FFF2-40B4-BE49-F238E27FC236}">
              <a16:creationId xmlns:a16="http://schemas.microsoft.com/office/drawing/2014/main" id="{A7019636-7FB5-4CD7-9353-0CB42076E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046" name="BEx1KD7H6UB1VYCJ7O61P562EIUY" descr="IQGV9140X0K0UPBL8OGU3I44J" hidden="1">
          <a:extLst>
            <a:ext uri="{FF2B5EF4-FFF2-40B4-BE49-F238E27FC236}">
              <a16:creationId xmlns:a16="http://schemas.microsoft.com/office/drawing/2014/main" id="{00D08FDD-F596-4289-AC2F-6E35D6AD2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047" name="BEx5AQZ4ETQ9LMY5EBWVH20Z7VXQ" hidden="1">
          <a:extLst>
            <a:ext uri="{FF2B5EF4-FFF2-40B4-BE49-F238E27FC236}">
              <a16:creationId xmlns:a16="http://schemas.microsoft.com/office/drawing/2014/main" id="{C74F1C04-3BC0-4A4B-9B3C-B52958CCE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48" name="BEx5BJQWS6YWHH4ZMSUAMD641V6Y" descr="ZTMFMXCIQSECDX38ALEFHUB00" hidden="1">
          <a:extLst>
            <a:ext uri="{FF2B5EF4-FFF2-40B4-BE49-F238E27FC236}">
              <a16:creationId xmlns:a16="http://schemas.microsoft.com/office/drawing/2014/main" id="{7B13ACBC-4C64-4729-A2A9-EA82DF7F5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49" name="BExUBK0YZ5VYFY8TTITJGJU9S06A" hidden="1">
          <a:extLst>
            <a:ext uri="{FF2B5EF4-FFF2-40B4-BE49-F238E27FC236}">
              <a16:creationId xmlns:a16="http://schemas.microsoft.com/office/drawing/2014/main" id="{DBAE478D-E6DF-4289-8FDE-EACC0173A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50" name="BEx5BJQWS6YWHH4ZMSUAMD641V6Y" descr="ZTMFMXCIQSECDX38ALEFHUB00" hidden="1">
          <a:extLst>
            <a:ext uri="{FF2B5EF4-FFF2-40B4-BE49-F238E27FC236}">
              <a16:creationId xmlns:a16="http://schemas.microsoft.com/office/drawing/2014/main" id="{290F545F-2F11-4C57-82C8-8948E6F0D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51" name="BExUBK0YZ5VYFY8TTITJGJU9S06A" hidden="1">
          <a:extLst>
            <a:ext uri="{FF2B5EF4-FFF2-40B4-BE49-F238E27FC236}">
              <a16:creationId xmlns:a16="http://schemas.microsoft.com/office/drawing/2014/main" id="{5355250E-819C-48DF-9343-3018FCC44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52" name="BEx5BJQWS6YWHH4ZMSUAMD641V6Y" descr="ZTMFMXCIQSECDX38ALEFHUB00" hidden="1">
          <a:extLst>
            <a:ext uri="{FF2B5EF4-FFF2-40B4-BE49-F238E27FC236}">
              <a16:creationId xmlns:a16="http://schemas.microsoft.com/office/drawing/2014/main" id="{AF777073-B3C6-41B6-B45C-483666E0C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53" name="BExUBK0YZ5VYFY8TTITJGJU9S06A" hidden="1">
          <a:extLst>
            <a:ext uri="{FF2B5EF4-FFF2-40B4-BE49-F238E27FC236}">
              <a16:creationId xmlns:a16="http://schemas.microsoft.com/office/drawing/2014/main" id="{61AA189C-BD92-478E-AC13-6C1217C1C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3054" name="BExMO7VFCN4EL59982UR4AJ25JNJ" descr="XX6TINEJADZGKR0CTM7ZRT0RA" hidden="1">
          <a:extLst>
            <a:ext uri="{FF2B5EF4-FFF2-40B4-BE49-F238E27FC236}">
              <a16:creationId xmlns:a16="http://schemas.microsoft.com/office/drawing/2014/main" id="{12DD5016-1B68-47DA-B44A-6DB0CDB5F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3055" name="BEx1I152WN2D3A85O2XN0DGXCWHN" descr="KHBZFMANRA4UMJR1AB4M5NJNT" hidden="1">
          <a:extLst>
            <a:ext uri="{FF2B5EF4-FFF2-40B4-BE49-F238E27FC236}">
              <a16:creationId xmlns:a16="http://schemas.microsoft.com/office/drawing/2014/main" id="{3A7765CA-0B1E-4C0F-AA9A-FD23E93A6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3056" name="BExS5CPQ8P8JOQPK7ANNKHLSGOKU" hidden="1">
          <a:extLst>
            <a:ext uri="{FF2B5EF4-FFF2-40B4-BE49-F238E27FC236}">
              <a16:creationId xmlns:a16="http://schemas.microsoft.com/office/drawing/2014/main" id="{319C11C6-C811-4D6E-B023-508B361DB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3057" name="BExXZ7Y09CBS0XA7IPB3IRJ8RJM4" hidden="1">
          <a:extLst>
            <a:ext uri="{FF2B5EF4-FFF2-40B4-BE49-F238E27FC236}">
              <a16:creationId xmlns:a16="http://schemas.microsoft.com/office/drawing/2014/main" id="{F4DE93B1-F727-4976-A9AC-E3FDBBA93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58" name="BExU3EX5JJCXCII4YKUJBFBGIJR2" descr="OF5ZI9PI5WH36VPANJ2DYLNMI" hidden="1">
          <a:extLst>
            <a:ext uri="{FF2B5EF4-FFF2-40B4-BE49-F238E27FC236}">
              <a16:creationId xmlns:a16="http://schemas.microsoft.com/office/drawing/2014/main" id="{E6B8F049-DC9B-4341-ADD2-8746A36C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59" name="BExW9676P0SKCVKK25QCGHPA3PAD" descr="9A4PWZ20RMSRF0PNECCDM75CA" hidden="1">
          <a:extLst>
            <a:ext uri="{FF2B5EF4-FFF2-40B4-BE49-F238E27FC236}">
              <a16:creationId xmlns:a16="http://schemas.microsoft.com/office/drawing/2014/main" id="{CB574364-F65F-47F6-A16F-70771684C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60" name="BExMM0AVUAIRNJLXB1FW8R0YB4ZZ" hidden="1">
          <a:extLst>
            <a:ext uri="{FF2B5EF4-FFF2-40B4-BE49-F238E27FC236}">
              <a16:creationId xmlns:a16="http://schemas.microsoft.com/office/drawing/2014/main" id="{C897B8E8-5865-455D-8616-7BF75019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61" name="BExQ7SXS9VUG7P6CACU2J7R2SGIZ" hidden="1">
          <a:extLst>
            <a:ext uri="{FF2B5EF4-FFF2-40B4-BE49-F238E27FC236}">
              <a16:creationId xmlns:a16="http://schemas.microsoft.com/office/drawing/2014/main" id="{5D3667AD-6809-48F2-8569-4D745801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62" name="BExU3EX5JJCXCII4YKUJBFBGIJR2" descr="OF5ZI9PI5WH36VPANJ2DYLNMI" hidden="1">
          <a:extLst>
            <a:ext uri="{FF2B5EF4-FFF2-40B4-BE49-F238E27FC236}">
              <a16:creationId xmlns:a16="http://schemas.microsoft.com/office/drawing/2014/main" id="{FB1396AC-8DE8-4501-8DBF-C5C1C10A6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63" name="BExW9676P0SKCVKK25QCGHPA3PAD" descr="9A4PWZ20RMSRF0PNECCDM75CA" hidden="1">
          <a:extLst>
            <a:ext uri="{FF2B5EF4-FFF2-40B4-BE49-F238E27FC236}">
              <a16:creationId xmlns:a16="http://schemas.microsoft.com/office/drawing/2014/main" id="{91373EB2-3895-4A56-8172-1928496F4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64" name="BExMM0AVUAIRNJLXB1FW8R0YB4ZZ" hidden="1">
          <a:extLst>
            <a:ext uri="{FF2B5EF4-FFF2-40B4-BE49-F238E27FC236}">
              <a16:creationId xmlns:a16="http://schemas.microsoft.com/office/drawing/2014/main" id="{51F9D4E7-D12D-4990-9524-61D5A456E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65" name="BExQ7SXS9VUG7P6CACU2J7R2SGIZ" hidden="1">
          <a:extLst>
            <a:ext uri="{FF2B5EF4-FFF2-40B4-BE49-F238E27FC236}">
              <a16:creationId xmlns:a16="http://schemas.microsoft.com/office/drawing/2014/main" id="{D8E17A00-C87A-403F-91F7-B313EB039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66" name="BEx5BJQWS6YWHH4ZMSUAMD641V6Y" descr="ZTMFMXCIQSECDX38ALEFHUB00" hidden="1">
          <a:extLst>
            <a:ext uri="{FF2B5EF4-FFF2-40B4-BE49-F238E27FC236}">
              <a16:creationId xmlns:a16="http://schemas.microsoft.com/office/drawing/2014/main" id="{13FBEE32-7DA1-4E77-B13B-93A501C1F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67" name="BExUBK0YZ5VYFY8TTITJGJU9S06A" hidden="1">
          <a:extLst>
            <a:ext uri="{FF2B5EF4-FFF2-40B4-BE49-F238E27FC236}">
              <a16:creationId xmlns:a16="http://schemas.microsoft.com/office/drawing/2014/main" id="{C3BACD4C-63CD-46ED-AB33-8FEBB77E1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68" name="BEx5BJQWS6YWHH4ZMSUAMD641V6Y" descr="ZTMFMXCIQSECDX38ALEFHUB00" hidden="1">
          <a:extLst>
            <a:ext uri="{FF2B5EF4-FFF2-40B4-BE49-F238E27FC236}">
              <a16:creationId xmlns:a16="http://schemas.microsoft.com/office/drawing/2014/main" id="{F6AF777E-759D-403B-8E4C-77BAABB2B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69" name="BExUBK0YZ5VYFY8TTITJGJU9S06A" hidden="1">
          <a:extLst>
            <a:ext uri="{FF2B5EF4-FFF2-40B4-BE49-F238E27FC236}">
              <a16:creationId xmlns:a16="http://schemas.microsoft.com/office/drawing/2014/main" id="{FA56F4A5-839E-4CC6-BB22-D71EFB29D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70" name="BEx5BJQWS6YWHH4ZMSUAMD641V6Y" descr="ZTMFMXCIQSECDX38ALEFHUB00" hidden="1">
          <a:extLst>
            <a:ext uri="{FF2B5EF4-FFF2-40B4-BE49-F238E27FC236}">
              <a16:creationId xmlns:a16="http://schemas.microsoft.com/office/drawing/2014/main" id="{CDFAF047-8809-4E10-AE4C-5516E1862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71" name="BExUBK0YZ5VYFY8TTITJGJU9S06A" hidden="1">
          <a:extLst>
            <a:ext uri="{FF2B5EF4-FFF2-40B4-BE49-F238E27FC236}">
              <a16:creationId xmlns:a16="http://schemas.microsoft.com/office/drawing/2014/main" id="{E2526524-3301-49DA-BE2D-BB62D2BDC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72" name="BEx5BJQWS6YWHH4ZMSUAMD641V6Y" descr="ZTMFMXCIQSECDX38ALEFHUB00" hidden="1">
          <a:extLst>
            <a:ext uri="{FF2B5EF4-FFF2-40B4-BE49-F238E27FC236}">
              <a16:creationId xmlns:a16="http://schemas.microsoft.com/office/drawing/2014/main" id="{42C672BA-EA3B-459E-AAD2-E4155AE07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73" name="BExUBK0YZ5VYFY8TTITJGJU9S06A" hidden="1">
          <a:extLst>
            <a:ext uri="{FF2B5EF4-FFF2-40B4-BE49-F238E27FC236}">
              <a16:creationId xmlns:a16="http://schemas.microsoft.com/office/drawing/2014/main" id="{DAB6E7D9-F0C8-4FB5-B4A5-DE6261B71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74" name="BEx5BJQWS6YWHH4ZMSUAMD641V6Y" descr="ZTMFMXCIQSECDX38ALEFHUB00" hidden="1">
          <a:extLst>
            <a:ext uri="{FF2B5EF4-FFF2-40B4-BE49-F238E27FC236}">
              <a16:creationId xmlns:a16="http://schemas.microsoft.com/office/drawing/2014/main" id="{200DBEC4-71AB-4D00-9A0E-818FBF9F3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75" name="BExUBK0YZ5VYFY8TTITJGJU9S06A" hidden="1">
          <a:extLst>
            <a:ext uri="{FF2B5EF4-FFF2-40B4-BE49-F238E27FC236}">
              <a16:creationId xmlns:a16="http://schemas.microsoft.com/office/drawing/2014/main" id="{5E5BBEBF-233E-4F9E-91BB-06EA6FCC8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76" name="BEx5BJQWS6YWHH4ZMSUAMD641V6Y" descr="ZTMFMXCIQSECDX38ALEFHUB00" hidden="1">
          <a:extLst>
            <a:ext uri="{FF2B5EF4-FFF2-40B4-BE49-F238E27FC236}">
              <a16:creationId xmlns:a16="http://schemas.microsoft.com/office/drawing/2014/main" id="{2FED97BD-ED80-4531-82C1-B4E837A5A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77" name="BExUBK0YZ5VYFY8TTITJGJU9S06A" hidden="1">
          <a:extLst>
            <a:ext uri="{FF2B5EF4-FFF2-40B4-BE49-F238E27FC236}">
              <a16:creationId xmlns:a16="http://schemas.microsoft.com/office/drawing/2014/main" id="{1F51DED1-994F-422D-883B-FCB100A75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78" name="BExU3EX5JJCXCII4YKUJBFBGIJR2" descr="OF5ZI9PI5WH36VPANJ2DYLNMI" hidden="1">
          <a:extLst>
            <a:ext uri="{FF2B5EF4-FFF2-40B4-BE49-F238E27FC236}">
              <a16:creationId xmlns:a16="http://schemas.microsoft.com/office/drawing/2014/main" id="{1DA031ED-C4CE-4696-8B50-77DFBE770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79" name="BExW9676P0SKCVKK25QCGHPA3PAD" descr="9A4PWZ20RMSRF0PNECCDM75CA" hidden="1">
          <a:extLst>
            <a:ext uri="{FF2B5EF4-FFF2-40B4-BE49-F238E27FC236}">
              <a16:creationId xmlns:a16="http://schemas.microsoft.com/office/drawing/2014/main" id="{7C623763-B1CC-45CA-9AC8-52A3F3A1F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80" name="BExMM0AVUAIRNJLXB1FW8R0YB4ZZ" hidden="1">
          <a:extLst>
            <a:ext uri="{FF2B5EF4-FFF2-40B4-BE49-F238E27FC236}">
              <a16:creationId xmlns:a16="http://schemas.microsoft.com/office/drawing/2014/main" id="{AAED3D6F-9CA8-4509-8B81-440C75F96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81" name="BExQ7SXS9VUG7P6CACU2J7R2SGIZ" hidden="1">
          <a:extLst>
            <a:ext uri="{FF2B5EF4-FFF2-40B4-BE49-F238E27FC236}">
              <a16:creationId xmlns:a16="http://schemas.microsoft.com/office/drawing/2014/main" id="{BFCEC816-BC9D-453A-8330-D2334202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82" name="BExU3EX5JJCXCII4YKUJBFBGIJR2" descr="OF5ZI9PI5WH36VPANJ2DYLNMI" hidden="1">
          <a:extLst>
            <a:ext uri="{FF2B5EF4-FFF2-40B4-BE49-F238E27FC236}">
              <a16:creationId xmlns:a16="http://schemas.microsoft.com/office/drawing/2014/main" id="{9BF8637A-E417-4115-BA15-2A0B0DCE7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83" name="BExW9676P0SKCVKK25QCGHPA3PAD" descr="9A4PWZ20RMSRF0PNECCDM75CA" hidden="1">
          <a:extLst>
            <a:ext uri="{FF2B5EF4-FFF2-40B4-BE49-F238E27FC236}">
              <a16:creationId xmlns:a16="http://schemas.microsoft.com/office/drawing/2014/main" id="{5468537C-6A02-4A8B-BA93-C96A20C4F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84" name="BExMM0AVUAIRNJLXB1FW8R0YB4ZZ" hidden="1">
          <a:extLst>
            <a:ext uri="{FF2B5EF4-FFF2-40B4-BE49-F238E27FC236}">
              <a16:creationId xmlns:a16="http://schemas.microsoft.com/office/drawing/2014/main" id="{377C0021-4E02-4AEC-96B2-2CA44ED49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85" name="BExQ7SXS9VUG7P6CACU2J7R2SGIZ" hidden="1">
          <a:extLst>
            <a:ext uri="{FF2B5EF4-FFF2-40B4-BE49-F238E27FC236}">
              <a16:creationId xmlns:a16="http://schemas.microsoft.com/office/drawing/2014/main" id="{236A3D7E-90DC-4EDC-A4FC-9A687981A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86" name="BEx5BJQWS6YWHH4ZMSUAMD641V6Y" descr="ZTMFMXCIQSECDX38ALEFHUB00" hidden="1">
          <a:extLst>
            <a:ext uri="{FF2B5EF4-FFF2-40B4-BE49-F238E27FC236}">
              <a16:creationId xmlns:a16="http://schemas.microsoft.com/office/drawing/2014/main" id="{E1EC09CB-EEC6-40D1-9190-AB91441B5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87" name="BExUBK0YZ5VYFY8TTITJGJU9S06A" hidden="1">
          <a:extLst>
            <a:ext uri="{FF2B5EF4-FFF2-40B4-BE49-F238E27FC236}">
              <a16:creationId xmlns:a16="http://schemas.microsoft.com/office/drawing/2014/main" id="{9BDB2550-C465-4045-820F-9497D5E17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88" name="BEx5BJQWS6YWHH4ZMSUAMD641V6Y" descr="ZTMFMXCIQSECDX38ALEFHUB00" hidden="1">
          <a:extLst>
            <a:ext uri="{FF2B5EF4-FFF2-40B4-BE49-F238E27FC236}">
              <a16:creationId xmlns:a16="http://schemas.microsoft.com/office/drawing/2014/main" id="{C92E4B14-6B63-4D9A-8AC9-967792311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89" name="BExUBK0YZ5VYFY8TTITJGJU9S06A" hidden="1">
          <a:extLst>
            <a:ext uri="{FF2B5EF4-FFF2-40B4-BE49-F238E27FC236}">
              <a16:creationId xmlns:a16="http://schemas.microsoft.com/office/drawing/2014/main" id="{F5C45CE7-23A5-4222-B800-6D168B451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90" name="BEx5BJQWS6YWHH4ZMSUAMD641V6Y" descr="ZTMFMXCIQSECDX38ALEFHUB00" hidden="1">
          <a:extLst>
            <a:ext uri="{FF2B5EF4-FFF2-40B4-BE49-F238E27FC236}">
              <a16:creationId xmlns:a16="http://schemas.microsoft.com/office/drawing/2014/main" id="{A24A43B1-5131-4970-9680-0DF0C0B54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91" name="BExUBK0YZ5VYFY8TTITJGJU9S06A" hidden="1">
          <a:extLst>
            <a:ext uri="{FF2B5EF4-FFF2-40B4-BE49-F238E27FC236}">
              <a16:creationId xmlns:a16="http://schemas.microsoft.com/office/drawing/2014/main" id="{7B7E0814-5073-40B2-8212-CDA0969B9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92" name="BEx5BJQWS6YWHH4ZMSUAMD641V6Y" descr="ZTMFMXCIQSECDX38ALEFHUB00" hidden="1">
          <a:extLst>
            <a:ext uri="{FF2B5EF4-FFF2-40B4-BE49-F238E27FC236}">
              <a16:creationId xmlns:a16="http://schemas.microsoft.com/office/drawing/2014/main" id="{7269A312-7152-45BC-82D2-CE904CC62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93" name="BExUBK0YZ5VYFY8TTITJGJU9S06A" hidden="1">
          <a:extLst>
            <a:ext uri="{FF2B5EF4-FFF2-40B4-BE49-F238E27FC236}">
              <a16:creationId xmlns:a16="http://schemas.microsoft.com/office/drawing/2014/main" id="{1AB65884-A146-4DF3-AA50-3F2A75E7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94" name="BEx5BJQWS6YWHH4ZMSUAMD641V6Y" descr="ZTMFMXCIQSECDX38ALEFHUB00" hidden="1">
          <a:extLst>
            <a:ext uri="{FF2B5EF4-FFF2-40B4-BE49-F238E27FC236}">
              <a16:creationId xmlns:a16="http://schemas.microsoft.com/office/drawing/2014/main" id="{76DD0F61-DF06-4C5D-BBC2-CFFBA76C3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95" name="BExUBK0YZ5VYFY8TTITJGJU9S06A" hidden="1">
          <a:extLst>
            <a:ext uri="{FF2B5EF4-FFF2-40B4-BE49-F238E27FC236}">
              <a16:creationId xmlns:a16="http://schemas.microsoft.com/office/drawing/2014/main" id="{695BB852-0148-40D7-BB45-33C7504EF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96" name="BEx5BJQWS6YWHH4ZMSUAMD641V6Y" descr="ZTMFMXCIQSECDX38ALEFHUB00" hidden="1">
          <a:extLst>
            <a:ext uri="{FF2B5EF4-FFF2-40B4-BE49-F238E27FC236}">
              <a16:creationId xmlns:a16="http://schemas.microsoft.com/office/drawing/2014/main" id="{C4F9E872-6E9D-4B4B-B8EF-32EC36045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097" name="BExUBK0YZ5VYFY8TTITJGJU9S06A" hidden="1">
          <a:extLst>
            <a:ext uri="{FF2B5EF4-FFF2-40B4-BE49-F238E27FC236}">
              <a16:creationId xmlns:a16="http://schemas.microsoft.com/office/drawing/2014/main" id="{8CD94CD8-00A7-457B-BDA4-1FFC109C9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98" name="BExU3EX5JJCXCII4YKUJBFBGIJR2" descr="OF5ZI9PI5WH36VPANJ2DYLNMI" hidden="1">
          <a:extLst>
            <a:ext uri="{FF2B5EF4-FFF2-40B4-BE49-F238E27FC236}">
              <a16:creationId xmlns:a16="http://schemas.microsoft.com/office/drawing/2014/main" id="{257A8626-FEFD-4393-8D38-0DAF47E4F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099" name="BExW9676P0SKCVKK25QCGHPA3PAD" descr="9A4PWZ20RMSRF0PNECCDM75CA" hidden="1">
          <a:extLst>
            <a:ext uri="{FF2B5EF4-FFF2-40B4-BE49-F238E27FC236}">
              <a16:creationId xmlns:a16="http://schemas.microsoft.com/office/drawing/2014/main" id="{4470D8AB-C44A-407B-9700-D63B5972B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00" name="BExMM0AVUAIRNJLXB1FW8R0YB4ZZ" hidden="1">
          <a:extLst>
            <a:ext uri="{FF2B5EF4-FFF2-40B4-BE49-F238E27FC236}">
              <a16:creationId xmlns:a16="http://schemas.microsoft.com/office/drawing/2014/main" id="{4EB95EEE-E77B-48B8-A331-2022A8738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01" name="BExQ7SXS9VUG7P6CACU2J7R2SGIZ" hidden="1">
          <a:extLst>
            <a:ext uri="{FF2B5EF4-FFF2-40B4-BE49-F238E27FC236}">
              <a16:creationId xmlns:a16="http://schemas.microsoft.com/office/drawing/2014/main" id="{97EC12CE-EC09-4F49-8665-3C53946C5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02" name="BEx5BJQWS6YWHH4ZMSUAMD641V6Y" descr="ZTMFMXCIQSECDX38ALEFHUB00" hidden="1">
          <a:extLst>
            <a:ext uri="{FF2B5EF4-FFF2-40B4-BE49-F238E27FC236}">
              <a16:creationId xmlns:a16="http://schemas.microsoft.com/office/drawing/2014/main" id="{A0273D77-7E94-455E-89F3-056B19466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03" name="BExUBK0YZ5VYFY8TTITJGJU9S06A" hidden="1">
          <a:extLst>
            <a:ext uri="{FF2B5EF4-FFF2-40B4-BE49-F238E27FC236}">
              <a16:creationId xmlns:a16="http://schemas.microsoft.com/office/drawing/2014/main" id="{9520AF7A-0F6B-495D-878C-4481A4104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04" name="BEx5BJQWS6YWHH4ZMSUAMD641V6Y" descr="ZTMFMXCIQSECDX38ALEFHUB00" hidden="1">
          <a:extLst>
            <a:ext uri="{FF2B5EF4-FFF2-40B4-BE49-F238E27FC236}">
              <a16:creationId xmlns:a16="http://schemas.microsoft.com/office/drawing/2014/main" id="{0ABC14A7-CCCF-4CB9-8899-1AD17B9DC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05" name="BExUBK0YZ5VYFY8TTITJGJU9S06A" hidden="1">
          <a:extLst>
            <a:ext uri="{FF2B5EF4-FFF2-40B4-BE49-F238E27FC236}">
              <a16:creationId xmlns:a16="http://schemas.microsoft.com/office/drawing/2014/main" id="{EC7C8F13-A77B-4DFF-8D7D-C8BF86E31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06" name="BEx5BJQWS6YWHH4ZMSUAMD641V6Y" descr="ZTMFMXCIQSECDX38ALEFHUB00" hidden="1">
          <a:extLst>
            <a:ext uri="{FF2B5EF4-FFF2-40B4-BE49-F238E27FC236}">
              <a16:creationId xmlns:a16="http://schemas.microsoft.com/office/drawing/2014/main" id="{200C44A6-5F24-4A2E-98FB-55CC9473C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07" name="BExUBK0YZ5VYFY8TTITJGJU9S06A" hidden="1">
          <a:extLst>
            <a:ext uri="{FF2B5EF4-FFF2-40B4-BE49-F238E27FC236}">
              <a16:creationId xmlns:a16="http://schemas.microsoft.com/office/drawing/2014/main" id="{F8C4EDA1-2B5F-4141-8E79-40D410D2B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08" name="BEx5BJQWS6YWHH4ZMSUAMD641V6Y" descr="ZTMFMXCIQSECDX38ALEFHUB00" hidden="1">
          <a:extLst>
            <a:ext uri="{FF2B5EF4-FFF2-40B4-BE49-F238E27FC236}">
              <a16:creationId xmlns:a16="http://schemas.microsoft.com/office/drawing/2014/main" id="{98D4137B-5925-4196-AC40-78FE3FF99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09" name="BExUBK0YZ5VYFY8TTITJGJU9S06A" hidden="1">
          <a:extLst>
            <a:ext uri="{FF2B5EF4-FFF2-40B4-BE49-F238E27FC236}">
              <a16:creationId xmlns:a16="http://schemas.microsoft.com/office/drawing/2014/main" id="{BBE7A074-9BD5-446C-B36F-F332C8906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10" name="BEx5BJQWS6YWHH4ZMSUAMD641V6Y" descr="ZTMFMXCIQSECDX38ALEFHUB00" hidden="1">
          <a:extLst>
            <a:ext uri="{FF2B5EF4-FFF2-40B4-BE49-F238E27FC236}">
              <a16:creationId xmlns:a16="http://schemas.microsoft.com/office/drawing/2014/main" id="{CBAA9EA3-095B-443B-99D0-61D41CDCA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11" name="BExUBK0YZ5VYFY8TTITJGJU9S06A" hidden="1">
          <a:extLst>
            <a:ext uri="{FF2B5EF4-FFF2-40B4-BE49-F238E27FC236}">
              <a16:creationId xmlns:a16="http://schemas.microsoft.com/office/drawing/2014/main" id="{615E81E1-4F91-4C36-89EB-CAB731C05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12" name="BEx5BJQWS6YWHH4ZMSUAMD641V6Y" descr="ZTMFMXCIQSECDX38ALEFHUB00" hidden="1">
          <a:extLst>
            <a:ext uri="{FF2B5EF4-FFF2-40B4-BE49-F238E27FC236}">
              <a16:creationId xmlns:a16="http://schemas.microsoft.com/office/drawing/2014/main" id="{42A9B4FD-A07B-4442-AF81-A1C54C032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13" name="BExUBK0YZ5VYFY8TTITJGJU9S06A" hidden="1">
          <a:extLst>
            <a:ext uri="{FF2B5EF4-FFF2-40B4-BE49-F238E27FC236}">
              <a16:creationId xmlns:a16="http://schemas.microsoft.com/office/drawing/2014/main" id="{B3ADC901-B864-454D-A037-D713545F6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114" name="BEx1KD7H6UB1VYCJ7O61P562EIUY" descr="IQGV9140X0K0UPBL8OGU3I44J" hidden="1">
          <a:extLst>
            <a:ext uri="{FF2B5EF4-FFF2-40B4-BE49-F238E27FC236}">
              <a16:creationId xmlns:a16="http://schemas.microsoft.com/office/drawing/2014/main" id="{ACE1F1DE-14D3-494D-B3FE-C3773022E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115" name="BEx5BJQWS6YWHH4ZMSUAMD641V6Y" descr="ZTMFMXCIQSECDX38ALEFHUB00" hidden="1">
          <a:extLst>
            <a:ext uri="{FF2B5EF4-FFF2-40B4-BE49-F238E27FC236}">
              <a16:creationId xmlns:a16="http://schemas.microsoft.com/office/drawing/2014/main" id="{49D332B3-1BAA-4815-9B6C-938194380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116" name="BEx5AQZ4ETQ9LMY5EBWVH20Z7VXQ" hidden="1">
          <a:extLst>
            <a:ext uri="{FF2B5EF4-FFF2-40B4-BE49-F238E27FC236}">
              <a16:creationId xmlns:a16="http://schemas.microsoft.com/office/drawing/2014/main" id="{38DB08FA-BF2B-4473-B723-F978556D2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117" name="BExUBK0YZ5VYFY8TTITJGJU9S06A" hidden="1">
          <a:extLst>
            <a:ext uri="{FF2B5EF4-FFF2-40B4-BE49-F238E27FC236}">
              <a16:creationId xmlns:a16="http://schemas.microsoft.com/office/drawing/2014/main" id="{52EE4C92-9897-43CD-BD47-10C3B1E7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118" name="BEx1KD7H6UB1VYCJ7O61P562EIUY" descr="IQGV9140X0K0UPBL8OGU3I44J" hidden="1">
          <a:extLst>
            <a:ext uri="{FF2B5EF4-FFF2-40B4-BE49-F238E27FC236}">
              <a16:creationId xmlns:a16="http://schemas.microsoft.com/office/drawing/2014/main" id="{F2F3C324-11EB-4FF0-99E0-B47FA9768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19" name="BEx5BJQWS6YWHH4ZMSUAMD641V6Y" descr="ZTMFMXCIQSECDX38ALEFHUB00" hidden="1">
          <a:extLst>
            <a:ext uri="{FF2B5EF4-FFF2-40B4-BE49-F238E27FC236}">
              <a16:creationId xmlns:a16="http://schemas.microsoft.com/office/drawing/2014/main" id="{42D05780-582F-4951-B26F-F58CD93DF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120" name="BEx5AQZ4ETQ9LMY5EBWVH20Z7VXQ" hidden="1">
          <a:extLst>
            <a:ext uri="{FF2B5EF4-FFF2-40B4-BE49-F238E27FC236}">
              <a16:creationId xmlns:a16="http://schemas.microsoft.com/office/drawing/2014/main" id="{6DE81ED9-708E-4185-B1DA-E2E01C04A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21" name="BExUBK0YZ5VYFY8TTITJGJU9S06A" hidden="1">
          <a:extLst>
            <a:ext uri="{FF2B5EF4-FFF2-40B4-BE49-F238E27FC236}">
              <a16:creationId xmlns:a16="http://schemas.microsoft.com/office/drawing/2014/main" id="{807BAF05-0FC8-48AF-8680-4C53A466F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122" name="BEx1KD7H6UB1VYCJ7O61P562EIUY" descr="IQGV9140X0K0UPBL8OGU3I44J" hidden="1">
          <a:extLst>
            <a:ext uri="{FF2B5EF4-FFF2-40B4-BE49-F238E27FC236}">
              <a16:creationId xmlns:a16="http://schemas.microsoft.com/office/drawing/2014/main" id="{A4E04B8D-9472-4CAB-BFC6-EFCBB855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23" name="BEx5BJQWS6YWHH4ZMSUAMD641V6Y" descr="ZTMFMXCIQSECDX38ALEFHUB00" hidden="1">
          <a:extLst>
            <a:ext uri="{FF2B5EF4-FFF2-40B4-BE49-F238E27FC236}">
              <a16:creationId xmlns:a16="http://schemas.microsoft.com/office/drawing/2014/main" id="{8E8134BB-4C8B-4530-9D3A-273AD9759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124" name="BEx5AQZ4ETQ9LMY5EBWVH20Z7VXQ" hidden="1">
          <a:extLst>
            <a:ext uri="{FF2B5EF4-FFF2-40B4-BE49-F238E27FC236}">
              <a16:creationId xmlns:a16="http://schemas.microsoft.com/office/drawing/2014/main" id="{FE0DEFD4-B686-4408-BBBC-A4991F9E9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25" name="BExUBK0YZ5VYFY8TTITJGJU9S06A" hidden="1">
          <a:extLst>
            <a:ext uri="{FF2B5EF4-FFF2-40B4-BE49-F238E27FC236}">
              <a16:creationId xmlns:a16="http://schemas.microsoft.com/office/drawing/2014/main" id="{043346F0-77D0-4D75-AD0B-5B076F6D2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126" name="BEx1KD7H6UB1VYCJ7O61P562EIUY" descr="IQGV9140X0K0UPBL8OGU3I44J" hidden="1">
          <a:extLst>
            <a:ext uri="{FF2B5EF4-FFF2-40B4-BE49-F238E27FC236}">
              <a16:creationId xmlns:a16="http://schemas.microsoft.com/office/drawing/2014/main" id="{03F8840A-8627-4B83-9C80-E44CDE97E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27" name="BEx5BJQWS6YWHH4ZMSUAMD641V6Y" descr="ZTMFMXCIQSECDX38ALEFHUB00" hidden="1">
          <a:extLst>
            <a:ext uri="{FF2B5EF4-FFF2-40B4-BE49-F238E27FC236}">
              <a16:creationId xmlns:a16="http://schemas.microsoft.com/office/drawing/2014/main" id="{8E8EB278-8ECD-40DA-96C5-E4D64C540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128" name="BEx5AQZ4ETQ9LMY5EBWVH20Z7VXQ" hidden="1">
          <a:extLst>
            <a:ext uri="{FF2B5EF4-FFF2-40B4-BE49-F238E27FC236}">
              <a16:creationId xmlns:a16="http://schemas.microsoft.com/office/drawing/2014/main" id="{E9E898F4-757B-4EC5-9C4B-A251E91B6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29" name="BExUBK0YZ5VYFY8TTITJGJU9S06A" hidden="1">
          <a:extLst>
            <a:ext uri="{FF2B5EF4-FFF2-40B4-BE49-F238E27FC236}">
              <a16:creationId xmlns:a16="http://schemas.microsoft.com/office/drawing/2014/main" id="{ECBA4BA4-6474-411D-9A8F-0B533E630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130" name="BEx1KD7H6UB1VYCJ7O61P562EIUY" descr="IQGV9140X0K0UPBL8OGU3I44J" hidden="1">
          <a:extLst>
            <a:ext uri="{FF2B5EF4-FFF2-40B4-BE49-F238E27FC236}">
              <a16:creationId xmlns:a16="http://schemas.microsoft.com/office/drawing/2014/main" id="{C243CEDA-4E65-4DE5-BA98-F6C0CE35C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31" name="BEx5BJQWS6YWHH4ZMSUAMD641V6Y" descr="ZTMFMXCIQSECDX38ALEFHUB00" hidden="1">
          <a:extLst>
            <a:ext uri="{FF2B5EF4-FFF2-40B4-BE49-F238E27FC236}">
              <a16:creationId xmlns:a16="http://schemas.microsoft.com/office/drawing/2014/main" id="{C3872276-DB50-4BF4-AF62-6BD521F1C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132" name="BEx5AQZ4ETQ9LMY5EBWVH20Z7VXQ" hidden="1">
          <a:extLst>
            <a:ext uri="{FF2B5EF4-FFF2-40B4-BE49-F238E27FC236}">
              <a16:creationId xmlns:a16="http://schemas.microsoft.com/office/drawing/2014/main" id="{AEEECAD9-35B2-4C26-85A2-84F52C8C8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33" name="BExUBK0YZ5VYFY8TTITJGJU9S06A" hidden="1">
          <a:extLst>
            <a:ext uri="{FF2B5EF4-FFF2-40B4-BE49-F238E27FC236}">
              <a16:creationId xmlns:a16="http://schemas.microsoft.com/office/drawing/2014/main" id="{C215A993-EF71-4805-9EC1-56EB5776A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3134" name="BExMO7VFCN4EL59982UR4AJ25JNJ" descr="XX6TINEJADZGKR0CTM7ZRT0RA" hidden="1">
          <a:extLst>
            <a:ext uri="{FF2B5EF4-FFF2-40B4-BE49-F238E27FC236}">
              <a16:creationId xmlns:a16="http://schemas.microsoft.com/office/drawing/2014/main" id="{70CF8E9E-649E-4BC1-8935-FC97D3EA1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35" name="BExU3EX5JJCXCII4YKUJBFBGIJR2" descr="OF5ZI9PI5WH36VPANJ2DYLNMI" hidden="1">
          <a:extLst>
            <a:ext uri="{FF2B5EF4-FFF2-40B4-BE49-F238E27FC236}">
              <a16:creationId xmlns:a16="http://schemas.microsoft.com/office/drawing/2014/main" id="{78563429-29F2-4703-81A9-38C9A058A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136" name="BEx1KD7H6UB1VYCJ7O61P562EIUY" descr="IQGV9140X0K0UPBL8OGU3I44J" hidden="1">
          <a:extLst>
            <a:ext uri="{FF2B5EF4-FFF2-40B4-BE49-F238E27FC236}">
              <a16:creationId xmlns:a16="http://schemas.microsoft.com/office/drawing/2014/main" id="{43CD20A7-A1FD-460A-9541-04424D5AF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37" name="BEx5BJQWS6YWHH4ZMSUAMD641V6Y" descr="ZTMFMXCIQSECDX38ALEFHUB00" hidden="1">
          <a:extLst>
            <a:ext uri="{FF2B5EF4-FFF2-40B4-BE49-F238E27FC236}">
              <a16:creationId xmlns:a16="http://schemas.microsoft.com/office/drawing/2014/main" id="{0C21EDC8-F5CF-4DA5-8BFF-39CACD999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3138" name="BExVTO5Q8G2M7BPL4B2584LQS0R0" descr="OB6Q8NA4LZFE4GM9Y3V56BPMQ" hidden="1">
          <a:extLst>
            <a:ext uri="{FF2B5EF4-FFF2-40B4-BE49-F238E27FC236}">
              <a16:creationId xmlns:a16="http://schemas.microsoft.com/office/drawing/2014/main" id="{3EC8B45F-540B-4A5C-9A88-B070DDAD9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3139" name="BExIFSCLN1G86X78PFLTSMRP0US5" descr="9JK4SPV4DG7VTCZIILWHXQU5J" hidden="1">
          <a:extLst>
            <a:ext uri="{FF2B5EF4-FFF2-40B4-BE49-F238E27FC236}">
              <a16:creationId xmlns:a16="http://schemas.microsoft.com/office/drawing/2014/main" id="{96836B52-119F-46C2-A121-5AED3E701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3140" name="BEx1I152WN2D3A85O2XN0DGXCWHN" descr="KHBZFMANRA4UMJR1AB4M5NJNT" hidden="1">
          <a:extLst>
            <a:ext uri="{FF2B5EF4-FFF2-40B4-BE49-F238E27FC236}">
              <a16:creationId xmlns:a16="http://schemas.microsoft.com/office/drawing/2014/main" id="{666B8178-521B-4C5A-BB7C-90FBC0E4B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41" name="BExW9676P0SKCVKK25QCGHPA3PAD" descr="9A4PWZ20RMSRF0PNECCDM75CA" hidden="1">
          <a:extLst>
            <a:ext uri="{FF2B5EF4-FFF2-40B4-BE49-F238E27FC236}">
              <a16:creationId xmlns:a16="http://schemas.microsoft.com/office/drawing/2014/main" id="{89B4C2BC-33C6-4A9D-B31B-160A26800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3142" name="BExS5CPQ8P8JOQPK7ANNKHLSGOKU" hidden="1">
          <a:extLst>
            <a:ext uri="{FF2B5EF4-FFF2-40B4-BE49-F238E27FC236}">
              <a16:creationId xmlns:a16="http://schemas.microsoft.com/office/drawing/2014/main" id="{AE3CE5EF-6092-49EC-BACA-458D41FFC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43" name="BExMM0AVUAIRNJLXB1FW8R0YB4ZZ" hidden="1">
          <a:extLst>
            <a:ext uri="{FF2B5EF4-FFF2-40B4-BE49-F238E27FC236}">
              <a16:creationId xmlns:a16="http://schemas.microsoft.com/office/drawing/2014/main" id="{073C2D3F-805A-4C7A-91E1-743F1056D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3144" name="BExXZ7Y09CBS0XA7IPB3IRJ8RJM4" hidden="1">
          <a:extLst>
            <a:ext uri="{FF2B5EF4-FFF2-40B4-BE49-F238E27FC236}">
              <a16:creationId xmlns:a16="http://schemas.microsoft.com/office/drawing/2014/main" id="{C9458BD6-14D7-4D87-AD7F-4A979D297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45" name="BExQ7SXS9VUG7P6CACU2J7R2SGIZ" hidden="1">
          <a:extLst>
            <a:ext uri="{FF2B5EF4-FFF2-40B4-BE49-F238E27FC236}">
              <a16:creationId xmlns:a16="http://schemas.microsoft.com/office/drawing/2014/main" id="{ABC52408-C935-4F5C-8476-C66C243F0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146" name="BEx5AQZ4ETQ9LMY5EBWVH20Z7VXQ" hidden="1">
          <a:extLst>
            <a:ext uri="{FF2B5EF4-FFF2-40B4-BE49-F238E27FC236}">
              <a16:creationId xmlns:a16="http://schemas.microsoft.com/office/drawing/2014/main" id="{A1300AB4-0665-4F12-8C8E-7432D30DF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47" name="BExUBK0YZ5VYFY8TTITJGJU9S06A" hidden="1">
          <a:extLst>
            <a:ext uri="{FF2B5EF4-FFF2-40B4-BE49-F238E27FC236}">
              <a16:creationId xmlns:a16="http://schemas.microsoft.com/office/drawing/2014/main" id="{5B246210-2B65-45C5-B8A8-47B0E7653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3148" name="BExUEZCSSJ7RN4J18I2NUIQR2FZS" hidden="1">
          <a:extLst>
            <a:ext uri="{FF2B5EF4-FFF2-40B4-BE49-F238E27FC236}">
              <a16:creationId xmlns:a16="http://schemas.microsoft.com/office/drawing/2014/main" id="{FAD8E3AA-9A57-4C6B-BBF5-08ECD50D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2592705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3149" name="BExS3JDQWF7U3F5JTEVOE16ASIYK" hidden="1">
          <a:extLst>
            <a:ext uri="{FF2B5EF4-FFF2-40B4-BE49-F238E27FC236}">
              <a16:creationId xmlns:a16="http://schemas.microsoft.com/office/drawing/2014/main" id="{326ECC2C-EC3F-44ED-888B-216F60DAE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25908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50" name="BEx5BJQWS6YWHH4ZMSUAMD641V6Y" descr="ZTMFMXCIQSECDX38ALEFHUB00" hidden="1">
          <a:extLst>
            <a:ext uri="{FF2B5EF4-FFF2-40B4-BE49-F238E27FC236}">
              <a16:creationId xmlns:a16="http://schemas.microsoft.com/office/drawing/2014/main" id="{6ACADC78-C360-477E-9E1F-B57A33822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51" name="BExUBK0YZ5VYFY8TTITJGJU9S06A" hidden="1">
          <a:extLst>
            <a:ext uri="{FF2B5EF4-FFF2-40B4-BE49-F238E27FC236}">
              <a16:creationId xmlns:a16="http://schemas.microsoft.com/office/drawing/2014/main" id="{DCE59AD3-05E9-46A7-8CC3-B0FE109D3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52" name="BExU3EX5JJCXCII4YKUJBFBGIJR2" descr="OF5ZI9PI5WH36VPANJ2DYLNMI" hidden="1">
          <a:extLst>
            <a:ext uri="{FF2B5EF4-FFF2-40B4-BE49-F238E27FC236}">
              <a16:creationId xmlns:a16="http://schemas.microsoft.com/office/drawing/2014/main" id="{9E5D7553-136C-4194-84FA-4EA6CFF1C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53" name="BExW9676P0SKCVKK25QCGHPA3PAD" descr="9A4PWZ20RMSRF0PNECCDM75CA" hidden="1">
          <a:extLst>
            <a:ext uri="{FF2B5EF4-FFF2-40B4-BE49-F238E27FC236}">
              <a16:creationId xmlns:a16="http://schemas.microsoft.com/office/drawing/2014/main" id="{7018DC8D-1E74-4652-A59D-A7D564A9F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54" name="BExMM0AVUAIRNJLXB1FW8R0YB4ZZ" hidden="1">
          <a:extLst>
            <a:ext uri="{FF2B5EF4-FFF2-40B4-BE49-F238E27FC236}">
              <a16:creationId xmlns:a16="http://schemas.microsoft.com/office/drawing/2014/main" id="{E3E4F8C3-2828-4CFF-A7F5-17B75968F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55" name="BExQ7SXS9VUG7P6CACU2J7R2SGIZ" hidden="1">
          <a:extLst>
            <a:ext uri="{FF2B5EF4-FFF2-40B4-BE49-F238E27FC236}">
              <a16:creationId xmlns:a16="http://schemas.microsoft.com/office/drawing/2014/main" id="{7CD7858D-75C9-4490-B674-AA1320F56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56" name="BExU3EX5JJCXCII4YKUJBFBGIJR2" descr="OF5ZI9PI5WH36VPANJ2DYLNMI" hidden="1">
          <a:extLst>
            <a:ext uri="{FF2B5EF4-FFF2-40B4-BE49-F238E27FC236}">
              <a16:creationId xmlns:a16="http://schemas.microsoft.com/office/drawing/2014/main" id="{2EFE9F10-47E6-4397-B57D-EAEB2F05B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57" name="BExW9676P0SKCVKK25QCGHPA3PAD" descr="9A4PWZ20RMSRF0PNECCDM75CA" hidden="1">
          <a:extLst>
            <a:ext uri="{FF2B5EF4-FFF2-40B4-BE49-F238E27FC236}">
              <a16:creationId xmlns:a16="http://schemas.microsoft.com/office/drawing/2014/main" id="{F9024770-CC5D-4B12-AF1E-5C9933CA4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58" name="BExMM0AVUAIRNJLXB1FW8R0YB4ZZ" hidden="1">
          <a:extLst>
            <a:ext uri="{FF2B5EF4-FFF2-40B4-BE49-F238E27FC236}">
              <a16:creationId xmlns:a16="http://schemas.microsoft.com/office/drawing/2014/main" id="{088C5C1E-9F0F-4605-837D-D26D2AE54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59" name="BExQ7SXS9VUG7P6CACU2J7R2SGIZ" hidden="1">
          <a:extLst>
            <a:ext uri="{FF2B5EF4-FFF2-40B4-BE49-F238E27FC236}">
              <a16:creationId xmlns:a16="http://schemas.microsoft.com/office/drawing/2014/main" id="{8AFF35AB-1432-4BE9-846B-C96E2B332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60" name="BEx5BJQWS6YWHH4ZMSUAMD641V6Y" descr="ZTMFMXCIQSECDX38ALEFHUB00" hidden="1">
          <a:extLst>
            <a:ext uri="{FF2B5EF4-FFF2-40B4-BE49-F238E27FC236}">
              <a16:creationId xmlns:a16="http://schemas.microsoft.com/office/drawing/2014/main" id="{0D6513B5-7C78-4AA9-8688-502F4556B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61" name="BExUBK0YZ5VYFY8TTITJGJU9S06A" hidden="1">
          <a:extLst>
            <a:ext uri="{FF2B5EF4-FFF2-40B4-BE49-F238E27FC236}">
              <a16:creationId xmlns:a16="http://schemas.microsoft.com/office/drawing/2014/main" id="{918EA47E-DEF7-4491-82EC-874CF9A52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62" name="BEx5BJQWS6YWHH4ZMSUAMD641V6Y" descr="ZTMFMXCIQSECDX38ALEFHUB00" hidden="1">
          <a:extLst>
            <a:ext uri="{FF2B5EF4-FFF2-40B4-BE49-F238E27FC236}">
              <a16:creationId xmlns:a16="http://schemas.microsoft.com/office/drawing/2014/main" id="{CC8CB7D0-9DE9-4235-906E-476A40883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63" name="BExUBK0YZ5VYFY8TTITJGJU9S06A" hidden="1">
          <a:extLst>
            <a:ext uri="{FF2B5EF4-FFF2-40B4-BE49-F238E27FC236}">
              <a16:creationId xmlns:a16="http://schemas.microsoft.com/office/drawing/2014/main" id="{C046F9A4-967B-42B3-817E-31643D64D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64" name="BEx5BJQWS6YWHH4ZMSUAMD641V6Y" descr="ZTMFMXCIQSECDX38ALEFHUB00" hidden="1">
          <a:extLst>
            <a:ext uri="{FF2B5EF4-FFF2-40B4-BE49-F238E27FC236}">
              <a16:creationId xmlns:a16="http://schemas.microsoft.com/office/drawing/2014/main" id="{1BF44DA2-12EF-4B40-9979-5571DB201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65" name="BExUBK0YZ5VYFY8TTITJGJU9S06A" hidden="1">
          <a:extLst>
            <a:ext uri="{FF2B5EF4-FFF2-40B4-BE49-F238E27FC236}">
              <a16:creationId xmlns:a16="http://schemas.microsoft.com/office/drawing/2014/main" id="{F6AF67EA-013D-4B2B-8BC5-F97C1DCE1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66" name="BEx5BJQWS6YWHH4ZMSUAMD641V6Y" descr="ZTMFMXCIQSECDX38ALEFHUB00" hidden="1">
          <a:extLst>
            <a:ext uri="{FF2B5EF4-FFF2-40B4-BE49-F238E27FC236}">
              <a16:creationId xmlns:a16="http://schemas.microsoft.com/office/drawing/2014/main" id="{08EE39BD-6A09-4F8B-A4B9-1EA5C8CA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67" name="BExUBK0YZ5VYFY8TTITJGJU9S06A" hidden="1">
          <a:extLst>
            <a:ext uri="{FF2B5EF4-FFF2-40B4-BE49-F238E27FC236}">
              <a16:creationId xmlns:a16="http://schemas.microsoft.com/office/drawing/2014/main" id="{911C24F1-33AD-4379-BA2F-01A152BB9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68" name="BEx5BJQWS6YWHH4ZMSUAMD641V6Y" descr="ZTMFMXCIQSECDX38ALEFHUB00" hidden="1">
          <a:extLst>
            <a:ext uri="{FF2B5EF4-FFF2-40B4-BE49-F238E27FC236}">
              <a16:creationId xmlns:a16="http://schemas.microsoft.com/office/drawing/2014/main" id="{3C64EC61-7678-4AD9-B74E-66EDC7A57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69" name="BExUBK0YZ5VYFY8TTITJGJU9S06A" hidden="1">
          <a:extLst>
            <a:ext uri="{FF2B5EF4-FFF2-40B4-BE49-F238E27FC236}">
              <a16:creationId xmlns:a16="http://schemas.microsoft.com/office/drawing/2014/main" id="{AAA5EB9D-ED31-468B-8DA2-3B13078C7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70" name="BEx5BJQWS6YWHH4ZMSUAMD641V6Y" descr="ZTMFMXCIQSECDX38ALEFHUB00" hidden="1">
          <a:extLst>
            <a:ext uri="{FF2B5EF4-FFF2-40B4-BE49-F238E27FC236}">
              <a16:creationId xmlns:a16="http://schemas.microsoft.com/office/drawing/2014/main" id="{287C7FFD-E395-4239-B37C-6D33553BF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71" name="BExUBK0YZ5VYFY8TTITJGJU9S06A" hidden="1">
          <a:extLst>
            <a:ext uri="{FF2B5EF4-FFF2-40B4-BE49-F238E27FC236}">
              <a16:creationId xmlns:a16="http://schemas.microsoft.com/office/drawing/2014/main" id="{D3AE7B87-B5F8-46F5-B25D-26B05961B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72" name="BEx5BJQWS6YWHH4ZMSUAMD641V6Y" descr="ZTMFMXCIQSECDX38ALEFHUB00" hidden="1">
          <a:extLst>
            <a:ext uri="{FF2B5EF4-FFF2-40B4-BE49-F238E27FC236}">
              <a16:creationId xmlns:a16="http://schemas.microsoft.com/office/drawing/2014/main" id="{4698C5FF-CCCA-4DD5-8374-24C8ED529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73" name="BExUBK0YZ5VYFY8TTITJGJU9S06A" hidden="1">
          <a:extLst>
            <a:ext uri="{FF2B5EF4-FFF2-40B4-BE49-F238E27FC236}">
              <a16:creationId xmlns:a16="http://schemas.microsoft.com/office/drawing/2014/main" id="{B561C103-89DE-4147-8B2E-8853617C5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74" name="BEx5BJQWS6YWHH4ZMSUAMD641V6Y" descr="ZTMFMXCIQSECDX38ALEFHUB00" hidden="1">
          <a:extLst>
            <a:ext uri="{FF2B5EF4-FFF2-40B4-BE49-F238E27FC236}">
              <a16:creationId xmlns:a16="http://schemas.microsoft.com/office/drawing/2014/main" id="{A79DDB6E-3D1D-4900-AF7A-985273CC3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75" name="BExUBK0YZ5VYFY8TTITJGJU9S06A" hidden="1">
          <a:extLst>
            <a:ext uri="{FF2B5EF4-FFF2-40B4-BE49-F238E27FC236}">
              <a16:creationId xmlns:a16="http://schemas.microsoft.com/office/drawing/2014/main" id="{9F206273-87AA-4ABC-9E03-79CFF2026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76" name="BEx5BJQWS6YWHH4ZMSUAMD641V6Y" descr="ZTMFMXCIQSECDX38ALEFHUB00" hidden="1">
          <a:extLst>
            <a:ext uri="{FF2B5EF4-FFF2-40B4-BE49-F238E27FC236}">
              <a16:creationId xmlns:a16="http://schemas.microsoft.com/office/drawing/2014/main" id="{298EF7ED-C288-475E-B0FF-D275D52E8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77" name="BExUBK0YZ5VYFY8TTITJGJU9S06A" hidden="1">
          <a:extLst>
            <a:ext uri="{FF2B5EF4-FFF2-40B4-BE49-F238E27FC236}">
              <a16:creationId xmlns:a16="http://schemas.microsoft.com/office/drawing/2014/main" id="{7C6C09DF-F6D6-4444-A409-88AEB47DB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78" name="BExU3EX5JJCXCII4YKUJBFBGIJR2" descr="OF5ZI9PI5WH36VPANJ2DYLNMI" hidden="1">
          <a:extLst>
            <a:ext uri="{FF2B5EF4-FFF2-40B4-BE49-F238E27FC236}">
              <a16:creationId xmlns:a16="http://schemas.microsoft.com/office/drawing/2014/main" id="{1EB4A903-6049-4EDB-BB19-F1E41E6BE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79" name="BExW9676P0SKCVKK25QCGHPA3PAD" descr="9A4PWZ20RMSRF0PNECCDM75CA" hidden="1">
          <a:extLst>
            <a:ext uri="{FF2B5EF4-FFF2-40B4-BE49-F238E27FC236}">
              <a16:creationId xmlns:a16="http://schemas.microsoft.com/office/drawing/2014/main" id="{99140473-F9FF-4B72-ACD6-3200629BF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80" name="BExMM0AVUAIRNJLXB1FW8R0YB4ZZ" hidden="1">
          <a:extLst>
            <a:ext uri="{FF2B5EF4-FFF2-40B4-BE49-F238E27FC236}">
              <a16:creationId xmlns:a16="http://schemas.microsoft.com/office/drawing/2014/main" id="{A3A1726D-498C-4467-B2E7-8A50007DE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81" name="BExQ7SXS9VUG7P6CACU2J7R2SGIZ" hidden="1">
          <a:extLst>
            <a:ext uri="{FF2B5EF4-FFF2-40B4-BE49-F238E27FC236}">
              <a16:creationId xmlns:a16="http://schemas.microsoft.com/office/drawing/2014/main" id="{1A1C0DAA-0337-43E4-BDEF-356BB75BD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82" name="BExU3EX5JJCXCII4YKUJBFBGIJR2" descr="OF5ZI9PI5WH36VPANJ2DYLNMI" hidden="1">
          <a:extLst>
            <a:ext uri="{FF2B5EF4-FFF2-40B4-BE49-F238E27FC236}">
              <a16:creationId xmlns:a16="http://schemas.microsoft.com/office/drawing/2014/main" id="{ED89514F-E0DA-44E5-802B-C7CF67C9C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83" name="BExW9676P0SKCVKK25QCGHPA3PAD" descr="9A4PWZ20RMSRF0PNECCDM75CA" hidden="1">
          <a:extLst>
            <a:ext uri="{FF2B5EF4-FFF2-40B4-BE49-F238E27FC236}">
              <a16:creationId xmlns:a16="http://schemas.microsoft.com/office/drawing/2014/main" id="{A7264F67-C435-49F4-A74F-258A1F730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84" name="BExMM0AVUAIRNJLXB1FW8R0YB4ZZ" hidden="1">
          <a:extLst>
            <a:ext uri="{FF2B5EF4-FFF2-40B4-BE49-F238E27FC236}">
              <a16:creationId xmlns:a16="http://schemas.microsoft.com/office/drawing/2014/main" id="{E20ACC13-1FA8-460E-B7E3-3A6179B44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85" name="BExQ7SXS9VUG7P6CACU2J7R2SGIZ" hidden="1">
          <a:extLst>
            <a:ext uri="{FF2B5EF4-FFF2-40B4-BE49-F238E27FC236}">
              <a16:creationId xmlns:a16="http://schemas.microsoft.com/office/drawing/2014/main" id="{13AFE171-7CD3-4ED1-9048-88047393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86" name="BEx5BJQWS6YWHH4ZMSUAMD641V6Y" descr="ZTMFMXCIQSECDX38ALEFHUB00" hidden="1">
          <a:extLst>
            <a:ext uri="{FF2B5EF4-FFF2-40B4-BE49-F238E27FC236}">
              <a16:creationId xmlns:a16="http://schemas.microsoft.com/office/drawing/2014/main" id="{0A065495-9C05-4E3D-B359-BEC4FBE8C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87" name="BExUBK0YZ5VYFY8TTITJGJU9S06A" hidden="1">
          <a:extLst>
            <a:ext uri="{FF2B5EF4-FFF2-40B4-BE49-F238E27FC236}">
              <a16:creationId xmlns:a16="http://schemas.microsoft.com/office/drawing/2014/main" id="{19B26E9D-ABA6-4419-BD1F-1569F9AD5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88" name="BEx5BJQWS6YWHH4ZMSUAMD641V6Y" descr="ZTMFMXCIQSECDX38ALEFHUB00" hidden="1">
          <a:extLst>
            <a:ext uri="{FF2B5EF4-FFF2-40B4-BE49-F238E27FC236}">
              <a16:creationId xmlns:a16="http://schemas.microsoft.com/office/drawing/2014/main" id="{3AF189F9-221D-4A5B-B732-89412D265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89" name="BExUBK0YZ5VYFY8TTITJGJU9S06A" hidden="1">
          <a:extLst>
            <a:ext uri="{FF2B5EF4-FFF2-40B4-BE49-F238E27FC236}">
              <a16:creationId xmlns:a16="http://schemas.microsoft.com/office/drawing/2014/main" id="{7F32B21E-3D03-4CB0-A1D2-CB68333CA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90" name="BEx5BJQWS6YWHH4ZMSUAMD641V6Y" descr="ZTMFMXCIQSECDX38ALEFHUB00" hidden="1">
          <a:extLst>
            <a:ext uri="{FF2B5EF4-FFF2-40B4-BE49-F238E27FC236}">
              <a16:creationId xmlns:a16="http://schemas.microsoft.com/office/drawing/2014/main" id="{D49098B7-9B8C-469A-8373-C93781BAA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91" name="BExUBK0YZ5VYFY8TTITJGJU9S06A" hidden="1">
          <a:extLst>
            <a:ext uri="{FF2B5EF4-FFF2-40B4-BE49-F238E27FC236}">
              <a16:creationId xmlns:a16="http://schemas.microsoft.com/office/drawing/2014/main" id="{BD76D390-5614-4E9F-92FD-76575D0F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92" name="BEx5BJQWS6YWHH4ZMSUAMD641V6Y" descr="ZTMFMXCIQSECDX38ALEFHUB00" hidden="1">
          <a:extLst>
            <a:ext uri="{FF2B5EF4-FFF2-40B4-BE49-F238E27FC236}">
              <a16:creationId xmlns:a16="http://schemas.microsoft.com/office/drawing/2014/main" id="{AC3F20A8-FBCE-4E75-B12D-D5A0315DB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93" name="BExUBK0YZ5VYFY8TTITJGJU9S06A" hidden="1">
          <a:extLst>
            <a:ext uri="{FF2B5EF4-FFF2-40B4-BE49-F238E27FC236}">
              <a16:creationId xmlns:a16="http://schemas.microsoft.com/office/drawing/2014/main" id="{B19CBC2F-508B-4AFF-8016-4682649B0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94" name="BEx5BJQWS6YWHH4ZMSUAMD641V6Y" descr="ZTMFMXCIQSECDX38ALEFHUB00" hidden="1">
          <a:extLst>
            <a:ext uri="{FF2B5EF4-FFF2-40B4-BE49-F238E27FC236}">
              <a16:creationId xmlns:a16="http://schemas.microsoft.com/office/drawing/2014/main" id="{42177D11-F88D-4459-8F1E-4E40ACB7D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95" name="BExUBK0YZ5VYFY8TTITJGJU9S06A" hidden="1">
          <a:extLst>
            <a:ext uri="{FF2B5EF4-FFF2-40B4-BE49-F238E27FC236}">
              <a16:creationId xmlns:a16="http://schemas.microsoft.com/office/drawing/2014/main" id="{369F56A3-13BF-419D-B667-1E8375563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96" name="BExU3EX5JJCXCII4YKUJBFBGIJR2" descr="OF5ZI9PI5WH36VPANJ2DYLNMI" hidden="1">
          <a:extLst>
            <a:ext uri="{FF2B5EF4-FFF2-40B4-BE49-F238E27FC236}">
              <a16:creationId xmlns:a16="http://schemas.microsoft.com/office/drawing/2014/main" id="{CEDB0CD6-C01D-4464-A6EC-3D7182FF3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197" name="BEx5BJQWS6YWHH4ZMSUAMD641V6Y" descr="ZTMFMXCIQSECDX38ALEFHUB00" hidden="1">
          <a:extLst>
            <a:ext uri="{FF2B5EF4-FFF2-40B4-BE49-F238E27FC236}">
              <a16:creationId xmlns:a16="http://schemas.microsoft.com/office/drawing/2014/main" id="{7D296897-8C8F-4A41-8BE6-1534354A2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3198" name="BExIFSCLN1G86X78PFLTSMRP0US5" descr="9JK4SPV4DG7VTCZIILWHXQU5J" hidden="1">
          <a:extLst>
            <a:ext uri="{FF2B5EF4-FFF2-40B4-BE49-F238E27FC236}">
              <a16:creationId xmlns:a16="http://schemas.microsoft.com/office/drawing/2014/main" id="{AB134637-B32B-4AE7-9ACC-277431CAE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199" name="BExW9676P0SKCVKK25QCGHPA3PAD" descr="9A4PWZ20RMSRF0PNECCDM75CA" hidden="1">
          <a:extLst>
            <a:ext uri="{FF2B5EF4-FFF2-40B4-BE49-F238E27FC236}">
              <a16:creationId xmlns:a16="http://schemas.microsoft.com/office/drawing/2014/main" id="{7118BC15-156C-4A86-9252-FCBDEAB8A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00" name="BExMM0AVUAIRNJLXB1FW8R0YB4ZZ" hidden="1">
          <a:extLst>
            <a:ext uri="{FF2B5EF4-FFF2-40B4-BE49-F238E27FC236}">
              <a16:creationId xmlns:a16="http://schemas.microsoft.com/office/drawing/2014/main" id="{505AA563-1F15-47F7-B609-03BC312AC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01" name="BExQ7SXS9VUG7P6CACU2J7R2SGIZ" hidden="1">
          <a:extLst>
            <a:ext uri="{FF2B5EF4-FFF2-40B4-BE49-F238E27FC236}">
              <a16:creationId xmlns:a16="http://schemas.microsoft.com/office/drawing/2014/main" id="{460E609E-D65B-45C4-A412-03651569D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02" name="BExUBK0YZ5VYFY8TTITJGJU9S06A" hidden="1">
          <a:extLst>
            <a:ext uri="{FF2B5EF4-FFF2-40B4-BE49-F238E27FC236}">
              <a16:creationId xmlns:a16="http://schemas.microsoft.com/office/drawing/2014/main" id="{EA25BEA3-7FED-4CC9-9749-8994F2D97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3203" name="BExS3JDQWF7U3F5JTEVOE16ASIYK" hidden="1">
          <a:extLst>
            <a:ext uri="{FF2B5EF4-FFF2-40B4-BE49-F238E27FC236}">
              <a16:creationId xmlns:a16="http://schemas.microsoft.com/office/drawing/2014/main" id="{9C1C5E80-B30E-4A62-B263-CE946A6BC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5433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04" name="BEx5BJQWS6YWHH4ZMSUAMD641V6Y" descr="ZTMFMXCIQSECDX38ALEFHUB00" hidden="1">
          <a:extLst>
            <a:ext uri="{FF2B5EF4-FFF2-40B4-BE49-F238E27FC236}">
              <a16:creationId xmlns:a16="http://schemas.microsoft.com/office/drawing/2014/main" id="{6F1680EF-6401-48DA-A495-5DDFBBCFB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05" name="BExUBK0YZ5VYFY8TTITJGJU9S06A" hidden="1">
          <a:extLst>
            <a:ext uri="{FF2B5EF4-FFF2-40B4-BE49-F238E27FC236}">
              <a16:creationId xmlns:a16="http://schemas.microsoft.com/office/drawing/2014/main" id="{0765A334-5EA5-4369-9774-2EB600028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06" name="BExU3EX5JJCXCII4YKUJBFBGIJR2" descr="OF5ZI9PI5WH36VPANJ2DYLNMI" hidden="1">
          <a:extLst>
            <a:ext uri="{FF2B5EF4-FFF2-40B4-BE49-F238E27FC236}">
              <a16:creationId xmlns:a16="http://schemas.microsoft.com/office/drawing/2014/main" id="{290BDE8F-A076-470F-9986-12813374F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07" name="BExW9676P0SKCVKK25QCGHPA3PAD" descr="9A4PWZ20RMSRF0PNECCDM75CA" hidden="1">
          <a:extLst>
            <a:ext uri="{FF2B5EF4-FFF2-40B4-BE49-F238E27FC236}">
              <a16:creationId xmlns:a16="http://schemas.microsoft.com/office/drawing/2014/main" id="{1C65505D-BD7D-48BF-AA5E-D7D26E27A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08" name="BExMM0AVUAIRNJLXB1FW8R0YB4ZZ" hidden="1">
          <a:extLst>
            <a:ext uri="{FF2B5EF4-FFF2-40B4-BE49-F238E27FC236}">
              <a16:creationId xmlns:a16="http://schemas.microsoft.com/office/drawing/2014/main" id="{DFAC1454-F0E5-466C-AB41-69E118819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09" name="BExQ7SXS9VUG7P6CACU2J7R2SGIZ" hidden="1">
          <a:extLst>
            <a:ext uri="{FF2B5EF4-FFF2-40B4-BE49-F238E27FC236}">
              <a16:creationId xmlns:a16="http://schemas.microsoft.com/office/drawing/2014/main" id="{AB35F3AA-022E-40A1-A60D-42BA99D95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10" name="BExU3EX5JJCXCII4YKUJBFBGIJR2" descr="OF5ZI9PI5WH36VPANJ2DYLNMI" hidden="1">
          <a:extLst>
            <a:ext uri="{FF2B5EF4-FFF2-40B4-BE49-F238E27FC236}">
              <a16:creationId xmlns:a16="http://schemas.microsoft.com/office/drawing/2014/main" id="{A115726B-3387-4BBF-B74E-F4739FDE6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11" name="BExW9676P0SKCVKK25QCGHPA3PAD" descr="9A4PWZ20RMSRF0PNECCDM75CA" hidden="1">
          <a:extLst>
            <a:ext uri="{FF2B5EF4-FFF2-40B4-BE49-F238E27FC236}">
              <a16:creationId xmlns:a16="http://schemas.microsoft.com/office/drawing/2014/main" id="{087E570D-2756-44C8-AF38-DDEA0495E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12" name="BExMM0AVUAIRNJLXB1FW8R0YB4ZZ" hidden="1">
          <a:extLst>
            <a:ext uri="{FF2B5EF4-FFF2-40B4-BE49-F238E27FC236}">
              <a16:creationId xmlns:a16="http://schemas.microsoft.com/office/drawing/2014/main" id="{2A47D800-9665-4939-955B-2249997B6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13" name="BExQ7SXS9VUG7P6CACU2J7R2SGIZ" hidden="1">
          <a:extLst>
            <a:ext uri="{FF2B5EF4-FFF2-40B4-BE49-F238E27FC236}">
              <a16:creationId xmlns:a16="http://schemas.microsoft.com/office/drawing/2014/main" id="{0E5D3FCF-27E8-4886-8A16-96D8A2EA1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14" name="BEx5BJQWS6YWHH4ZMSUAMD641V6Y" descr="ZTMFMXCIQSECDX38ALEFHUB00" hidden="1">
          <a:extLst>
            <a:ext uri="{FF2B5EF4-FFF2-40B4-BE49-F238E27FC236}">
              <a16:creationId xmlns:a16="http://schemas.microsoft.com/office/drawing/2014/main" id="{5D71A945-A991-4314-B525-3FA92275D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15" name="BExUBK0YZ5VYFY8TTITJGJU9S06A" hidden="1">
          <a:extLst>
            <a:ext uri="{FF2B5EF4-FFF2-40B4-BE49-F238E27FC236}">
              <a16:creationId xmlns:a16="http://schemas.microsoft.com/office/drawing/2014/main" id="{80E6CBA2-F2B7-4100-80C4-A9787CD2E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16" name="BEx5BJQWS6YWHH4ZMSUAMD641V6Y" descr="ZTMFMXCIQSECDX38ALEFHUB00" hidden="1">
          <a:extLst>
            <a:ext uri="{FF2B5EF4-FFF2-40B4-BE49-F238E27FC236}">
              <a16:creationId xmlns:a16="http://schemas.microsoft.com/office/drawing/2014/main" id="{90099250-0A29-4CD5-BF2F-AAD41A268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17" name="BExUBK0YZ5VYFY8TTITJGJU9S06A" hidden="1">
          <a:extLst>
            <a:ext uri="{FF2B5EF4-FFF2-40B4-BE49-F238E27FC236}">
              <a16:creationId xmlns:a16="http://schemas.microsoft.com/office/drawing/2014/main" id="{B933E084-F0C9-429E-87DD-114366D43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18" name="BEx5BJQWS6YWHH4ZMSUAMD641V6Y" descr="ZTMFMXCIQSECDX38ALEFHUB00" hidden="1">
          <a:extLst>
            <a:ext uri="{FF2B5EF4-FFF2-40B4-BE49-F238E27FC236}">
              <a16:creationId xmlns:a16="http://schemas.microsoft.com/office/drawing/2014/main" id="{3A7E41ED-6235-4DF0-9CC4-567D0E7ED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19" name="BExUBK0YZ5VYFY8TTITJGJU9S06A" hidden="1">
          <a:extLst>
            <a:ext uri="{FF2B5EF4-FFF2-40B4-BE49-F238E27FC236}">
              <a16:creationId xmlns:a16="http://schemas.microsoft.com/office/drawing/2014/main" id="{4957C1F9-62DB-4BF6-A11B-315C6F568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20" name="BEx5BJQWS6YWHH4ZMSUAMD641V6Y" descr="ZTMFMXCIQSECDX38ALEFHUB00" hidden="1">
          <a:extLst>
            <a:ext uri="{FF2B5EF4-FFF2-40B4-BE49-F238E27FC236}">
              <a16:creationId xmlns:a16="http://schemas.microsoft.com/office/drawing/2014/main" id="{B6C95C66-2607-450B-996D-2D526EA34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21" name="BExUBK0YZ5VYFY8TTITJGJU9S06A" hidden="1">
          <a:extLst>
            <a:ext uri="{FF2B5EF4-FFF2-40B4-BE49-F238E27FC236}">
              <a16:creationId xmlns:a16="http://schemas.microsoft.com/office/drawing/2014/main" id="{281F4C08-2BFC-4212-85BF-84CD45E33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22" name="BEx5BJQWS6YWHH4ZMSUAMD641V6Y" descr="ZTMFMXCIQSECDX38ALEFHUB00" hidden="1">
          <a:extLst>
            <a:ext uri="{FF2B5EF4-FFF2-40B4-BE49-F238E27FC236}">
              <a16:creationId xmlns:a16="http://schemas.microsoft.com/office/drawing/2014/main" id="{1C87F615-C842-4ADC-BF8B-330EE3C4A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23" name="BExUBK0YZ5VYFY8TTITJGJU9S06A" hidden="1">
          <a:extLst>
            <a:ext uri="{FF2B5EF4-FFF2-40B4-BE49-F238E27FC236}">
              <a16:creationId xmlns:a16="http://schemas.microsoft.com/office/drawing/2014/main" id="{33B4CD33-625B-4DAE-9C4B-7E64C4B5B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24" name="BEx5BJQWS6YWHH4ZMSUAMD641V6Y" descr="ZTMFMXCIQSECDX38ALEFHUB00" hidden="1">
          <a:extLst>
            <a:ext uri="{FF2B5EF4-FFF2-40B4-BE49-F238E27FC236}">
              <a16:creationId xmlns:a16="http://schemas.microsoft.com/office/drawing/2014/main" id="{DE0B2718-9DC9-4C23-AA39-DE2023DB9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25" name="BExUBK0YZ5VYFY8TTITJGJU9S06A" hidden="1">
          <a:extLst>
            <a:ext uri="{FF2B5EF4-FFF2-40B4-BE49-F238E27FC236}">
              <a16:creationId xmlns:a16="http://schemas.microsoft.com/office/drawing/2014/main" id="{890F5ECE-9965-4513-9729-4C6AC60AE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26" name="BEx5BJQWS6YWHH4ZMSUAMD641V6Y" descr="ZTMFMXCIQSECDX38ALEFHUB00" hidden="1">
          <a:extLst>
            <a:ext uri="{FF2B5EF4-FFF2-40B4-BE49-F238E27FC236}">
              <a16:creationId xmlns:a16="http://schemas.microsoft.com/office/drawing/2014/main" id="{0A0CD168-F065-4264-B0C9-6199AB1BD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27" name="BExUBK0YZ5VYFY8TTITJGJU9S06A" hidden="1">
          <a:extLst>
            <a:ext uri="{FF2B5EF4-FFF2-40B4-BE49-F238E27FC236}">
              <a16:creationId xmlns:a16="http://schemas.microsoft.com/office/drawing/2014/main" id="{F5323FDC-E203-4758-87EA-C932A80F8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28" name="BEx5BJQWS6YWHH4ZMSUAMD641V6Y" descr="ZTMFMXCIQSECDX38ALEFHUB00" hidden="1">
          <a:extLst>
            <a:ext uri="{FF2B5EF4-FFF2-40B4-BE49-F238E27FC236}">
              <a16:creationId xmlns:a16="http://schemas.microsoft.com/office/drawing/2014/main" id="{804BC187-6066-463A-BA0C-03C6B0FFA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29" name="BExUBK0YZ5VYFY8TTITJGJU9S06A" hidden="1">
          <a:extLst>
            <a:ext uri="{FF2B5EF4-FFF2-40B4-BE49-F238E27FC236}">
              <a16:creationId xmlns:a16="http://schemas.microsoft.com/office/drawing/2014/main" id="{BA03D77B-5B3F-4CD7-B702-4744020C1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30" name="BEx5BJQWS6YWHH4ZMSUAMD641V6Y" descr="ZTMFMXCIQSECDX38ALEFHUB00" hidden="1">
          <a:extLst>
            <a:ext uri="{FF2B5EF4-FFF2-40B4-BE49-F238E27FC236}">
              <a16:creationId xmlns:a16="http://schemas.microsoft.com/office/drawing/2014/main" id="{C8D7E784-819D-44F0-BE83-FBF060C45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31" name="BExUBK0YZ5VYFY8TTITJGJU9S06A" hidden="1">
          <a:extLst>
            <a:ext uri="{FF2B5EF4-FFF2-40B4-BE49-F238E27FC236}">
              <a16:creationId xmlns:a16="http://schemas.microsoft.com/office/drawing/2014/main" id="{7F4FE869-A893-4315-B6D2-379735E7D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32" name="BExU3EX5JJCXCII4YKUJBFBGIJR2" descr="OF5ZI9PI5WH36VPANJ2DYLNMI" hidden="1">
          <a:extLst>
            <a:ext uri="{FF2B5EF4-FFF2-40B4-BE49-F238E27FC236}">
              <a16:creationId xmlns:a16="http://schemas.microsoft.com/office/drawing/2014/main" id="{3189276A-EDB7-4539-BB2C-CE4D2B10C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33" name="BExW9676P0SKCVKK25QCGHPA3PAD" descr="9A4PWZ20RMSRF0PNECCDM75CA" hidden="1">
          <a:extLst>
            <a:ext uri="{FF2B5EF4-FFF2-40B4-BE49-F238E27FC236}">
              <a16:creationId xmlns:a16="http://schemas.microsoft.com/office/drawing/2014/main" id="{B1328F9C-19EC-48F1-8972-7FF53B4FB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34" name="BExMM0AVUAIRNJLXB1FW8R0YB4ZZ" hidden="1">
          <a:extLst>
            <a:ext uri="{FF2B5EF4-FFF2-40B4-BE49-F238E27FC236}">
              <a16:creationId xmlns:a16="http://schemas.microsoft.com/office/drawing/2014/main" id="{F21705BB-8564-406D-9854-18B446457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35" name="BExQ7SXS9VUG7P6CACU2J7R2SGIZ" hidden="1">
          <a:extLst>
            <a:ext uri="{FF2B5EF4-FFF2-40B4-BE49-F238E27FC236}">
              <a16:creationId xmlns:a16="http://schemas.microsoft.com/office/drawing/2014/main" id="{524E174B-2504-45EF-B002-AED8650C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36" name="BExU3EX5JJCXCII4YKUJBFBGIJR2" descr="OF5ZI9PI5WH36VPANJ2DYLNMI" hidden="1">
          <a:extLst>
            <a:ext uri="{FF2B5EF4-FFF2-40B4-BE49-F238E27FC236}">
              <a16:creationId xmlns:a16="http://schemas.microsoft.com/office/drawing/2014/main" id="{C49C780A-7A0A-4EDC-8D1E-5AC47419D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37" name="BExW9676P0SKCVKK25QCGHPA3PAD" descr="9A4PWZ20RMSRF0PNECCDM75CA" hidden="1">
          <a:extLst>
            <a:ext uri="{FF2B5EF4-FFF2-40B4-BE49-F238E27FC236}">
              <a16:creationId xmlns:a16="http://schemas.microsoft.com/office/drawing/2014/main" id="{D4A225C3-95BA-458F-B37D-E812C5905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38" name="BExMM0AVUAIRNJLXB1FW8R0YB4ZZ" hidden="1">
          <a:extLst>
            <a:ext uri="{FF2B5EF4-FFF2-40B4-BE49-F238E27FC236}">
              <a16:creationId xmlns:a16="http://schemas.microsoft.com/office/drawing/2014/main" id="{AB928D09-DB28-42A7-9E44-BB4C2FD7E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39" name="BExQ7SXS9VUG7P6CACU2J7R2SGIZ" hidden="1">
          <a:extLst>
            <a:ext uri="{FF2B5EF4-FFF2-40B4-BE49-F238E27FC236}">
              <a16:creationId xmlns:a16="http://schemas.microsoft.com/office/drawing/2014/main" id="{CF4385B2-0E51-488F-B900-13E0C1B75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40" name="BEx5BJQWS6YWHH4ZMSUAMD641V6Y" descr="ZTMFMXCIQSECDX38ALEFHUB00" hidden="1">
          <a:extLst>
            <a:ext uri="{FF2B5EF4-FFF2-40B4-BE49-F238E27FC236}">
              <a16:creationId xmlns:a16="http://schemas.microsoft.com/office/drawing/2014/main" id="{D82D061A-28D8-48CB-AEB1-724C2CFDD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41" name="BExUBK0YZ5VYFY8TTITJGJU9S06A" hidden="1">
          <a:extLst>
            <a:ext uri="{FF2B5EF4-FFF2-40B4-BE49-F238E27FC236}">
              <a16:creationId xmlns:a16="http://schemas.microsoft.com/office/drawing/2014/main" id="{E1B5CC53-BA83-4B9B-A32B-A2F91A7D7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42" name="BEx5BJQWS6YWHH4ZMSUAMD641V6Y" descr="ZTMFMXCIQSECDX38ALEFHUB00" hidden="1">
          <a:extLst>
            <a:ext uri="{FF2B5EF4-FFF2-40B4-BE49-F238E27FC236}">
              <a16:creationId xmlns:a16="http://schemas.microsoft.com/office/drawing/2014/main" id="{7ABB5BBC-4006-4994-BF9C-B5C505033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43" name="BExUBK0YZ5VYFY8TTITJGJU9S06A" hidden="1">
          <a:extLst>
            <a:ext uri="{FF2B5EF4-FFF2-40B4-BE49-F238E27FC236}">
              <a16:creationId xmlns:a16="http://schemas.microsoft.com/office/drawing/2014/main" id="{EE84024D-A37E-4E19-8541-BA72A6BB3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44" name="BEx5BJQWS6YWHH4ZMSUAMD641V6Y" descr="ZTMFMXCIQSECDX38ALEFHUB00" hidden="1">
          <a:extLst>
            <a:ext uri="{FF2B5EF4-FFF2-40B4-BE49-F238E27FC236}">
              <a16:creationId xmlns:a16="http://schemas.microsoft.com/office/drawing/2014/main" id="{36B200E5-38D9-45C7-9184-50968710D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45" name="BExUBK0YZ5VYFY8TTITJGJU9S06A" hidden="1">
          <a:extLst>
            <a:ext uri="{FF2B5EF4-FFF2-40B4-BE49-F238E27FC236}">
              <a16:creationId xmlns:a16="http://schemas.microsoft.com/office/drawing/2014/main" id="{C25C3757-6EE7-44A1-8B71-6A2C8D3B9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46" name="BEx5BJQWS6YWHH4ZMSUAMD641V6Y" descr="ZTMFMXCIQSECDX38ALEFHUB00" hidden="1">
          <a:extLst>
            <a:ext uri="{FF2B5EF4-FFF2-40B4-BE49-F238E27FC236}">
              <a16:creationId xmlns:a16="http://schemas.microsoft.com/office/drawing/2014/main" id="{43969662-B37B-46EA-8176-77CC3FD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47" name="BExUBK0YZ5VYFY8TTITJGJU9S06A" hidden="1">
          <a:extLst>
            <a:ext uri="{FF2B5EF4-FFF2-40B4-BE49-F238E27FC236}">
              <a16:creationId xmlns:a16="http://schemas.microsoft.com/office/drawing/2014/main" id="{BA514E7D-5D27-428A-A726-6EFD745A3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48" name="BEx5BJQWS6YWHH4ZMSUAMD641V6Y" descr="ZTMFMXCIQSECDX38ALEFHUB00" hidden="1">
          <a:extLst>
            <a:ext uri="{FF2B5EF4-FFF2-40B4-BE49-F238E27FC236}">
              <a16:creationId xmlns:a16="http://schemas.microsoft.com/office/drawing/2014/main" id="{D9A00CB6-0976-4CB6-B81A-A1566D724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49" name="BExUBK0YZ5VYFY8TTITJGJU9S06A" hidden="1">
          <a:extLst>
            <a:ext uri="{FF2B5EF4-FFF2-40B4-BE49-F238E27FC236}">
              <a16:creationId xmlns:a16="http://schemas.microsoft.com/office/drawing/2014/main" id="{198E8B7F-2CCF-478B-8F6A-2F62AB044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50" name="BExU3EX5JJCXCII4YKUJBFBGIJR2" descr="OF5ZI9PI5WH36VPANJ2DYLNMI" hidden="1">
          <a:extLst>
            <a:ext uri="{FF2B5EF4-FFF2-40B4-BE49-F238E27FC236}">
              <a16:creationId xmlns:a16="http://schemas.microsoft.com/office/drawing/2014/main" id="{2EEDA22A-A7BD-4CCB-A0B6-77BEE8403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51" name="BEx5BJQWS6YWHH4ZMSUAMD641V6Y" descr="ZTMFMXCIQSECDX38ALEFHUB00" hidden="1">
          <a:extLst>
            <a:ext uri="{FF2B5EF4-FFF2-40B4-BE49-F238E27FC236}">
              <a16:creationId xmlns:a16="http://schemas.microsoft.com/office/drawing/2014/main" id="{5B447ED2-9806-4B0C-9461-5F304586E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3252" name="BExIFSCLN1G86X78PFLTSMRP0US5" descr="9JK4SPV4DG7VTCZIILWHXQU5J" hidden="1">
          <a:extLst>
            <a:ext uri="{FF2B5EF4-FFF2-40B4-BE49-F238E27FC236}">
              <a16:creationId xmlns:a16="http://schemas.microsoft.com/office/drawing/2014/main" id="{6D1B137B-BC48-46AB-BFFA-635FC89A3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53" name="BExW9676P0SKCVKK25QCGHPA3PAD" descr="9A4PWZ20RMSRF0PNECCDM75CA" hidden="1">
          <a:extLst>
            <a:ext uri="{FF2B5EF4-FFF2-40B4-BE49-F238E27FC236}">
              <a16:creationId xmlns:a16="http://schemas.microsoft.com/office/drawing/2014/main" id="{AC933869-68E1-495A-91DC-3604E6440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54" name="BExMM0AVUAIRNJLXB1FW8R0YB4ZZ" hidden="1">
          <a:extLst>
            <a:ext uri="{FF2B5EF4-FFF2-40B4-BE49-F238E27FC236}">
              <a16:creationId xmlns:a16="http://schemas.microsoft.com/office/drawing/2014/main" id="{7EE94A8C-DAC7-458B-B2C5-084837220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55" name="BExQ7SXS9VUG7P6CACU2J7R2SGIZ" hidden="1">
          <a:extLst>
            <a:ext uri="{FF2B5EF4-FFF2-40B4-BE49-F238E27FC236}">
              <a16:creationId xmlns:a16="http://schemas.microsoft.com/office/drawing/2014/main" id="{C222BBA5-59E3-4FF9-BC9E-59086DFEE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56" name="BExUBK0YZ5VYFY8TTITJGJU9S06A" hidden="1">
          <a:extLst>
            <a:ext uri="{FF2B5EF4-FFF2-40B4-BE49-F238E27FC236}">
              <a16:creationId xmlns:a16="http://schemas.microsoft.com/office/drawing/2014/main" id="{EBD0DB40-58F6-4A61-A5AD-B47826A3E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3257" name="BExS3JDQWF7U3F5JTEVOE16ASIYK" hidden="1">
          <a:extLst>
            <a:ext uri="{FF2B5EF4-FFF2-40B4-BE49-F238E27FC236}">
              <a16:creationId xmlns:a16="http://schemas.microsoft.com/office/drawing/2014/main" id="{9B094112-CB73-465D-9D09-1BE86D694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5433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58" name="BEx5BJQWS6YWHH4ZMSUAMD641V6Y" descr="ZTMFMXCIQSECDX38ALEFHUB00" hidden="1">
          <a:extLst>
            <a:ext uri="{FF2B5EF4-FFF2-40B4-BE49-F238E27FC236}">
              <a16:creationId xmlns:a16="http://schemas.microsoft.com/office/drawing/2014/main" id="{1C8298F7-C8E9-4FD7-AF46-0FA9D62B5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59" name="BExUBK0YZ5VYFY8TTITJGJU9S06A" hidden="1">
          <a:extLst>
            <a:ext uri="{FF2B5EF4-FFF2-40B4-BE49-F238E27FC236}">
              <a16:creationId xmlns:a16="http://schemas.microsoft.com/office/drawing/2014/main" id="{B0BF9653-CF3E-4983-AD4F-4032AC617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60" name="BExU3EX5JJCXCII4YKUJBFBGIJR2" descr="OF5ZI9PI5WH36VPANJ2DYLNMI" hidden="1">
          <a:extLst>
            <a:ext uri="{FF2B5EF4-FFF2-40B4-BE49-F238E27FC236}">
              <a16:creationId xmlns:a16="http://schemas.microsoft.com/office/drawing/2014/main" id="{678E8B26-46D1-4EC6-A050-74164DC8D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61" name="BExW9676P0SKCVKK25QCGHPA3PAD" descr="9A4PWZ20RMSRF0PNECCDM75CA" hidden="1">
          <a:extLst>
            <a:ext uri="{FF2B5EF4-FFF2-40B4-BE49-F238E27FC236}">
              <a16:creationId xmlns:a16="http://schemas.microsoft.com/office/drawing/2014/main" id="{6A6B7884-1438-43BD-9990-457A9C5FB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62" name="BExMM0AVUAIRNJLXB1FW8R0YB4ZZ" hidden="1">
          <a:extLst>
            <a:ext uri="{FF2B5EF4-FFF2-40B4-BE49-F238E27FC236}">
              <a16:creationId xmlns:a16="http://schemas.microsoft.com/office/drawing/2014/main" id="{CCB1A973-4437-4270-A750-3F8002528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63" name="BExQ7SXS9VUG7P6CACU2J7R2SGIZ" hidden="1">
          <a:extLst>
            <a:ext uri="{FF2B5EF4-FFF2-40B4-BE49-F238E27FC236}">
              <a16:creationId xmlns:a16="http://schemas.microsoft.com/office/drawing/2014/main" id="{E8F5CE13-626D-4FE7-A7C3-3880F26E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64" name="BExU3EX5JJCXCII4YKUJBFBGIJR2" descr="OF5ZI9PI5WH36VPANJ2DYLNMI" hidden="1">
          <a:extLst>
            <a:ext uri="{FF2B5EF4-FFF2-40B4-BE49-F238E27FC236}">
              <a16:creationId xmlns:a16="http://schemas.microsoft.com/office/drawing/2014/main" id="{40D72BBE-8BDF-40D7-812E-4E13095C2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65" name="BExW9676P0SKCVKK25QCGHPA3PAD" descr="9A4PWZ20RMSRF0PNECCDM75CA" hidden="1">
          <a:extLst>
            <a:ext uri="{FF2B5EF4-FFF2-40B4-BE49-F238E27FC236}">
              <a16:creationId xmlns:a16="http://schemas.microsoft.com/office/drawing/2014/main" id="{889AD521-A238-4F49-8315-EE345F342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66" name="BExMM0AVUAIRNJLXB1FW8R0YB4ZZ" hidden="1">
          <a:extLst>
            <a:ext uri="{FF2B5EF4-FFF2-40B4-BE49-F238E27FC236}">
              <a16:creationId xmlns:a16="http://schemas.microsoft.com/office/drawing/2014/main" id="{C9A69A9C-7ED1-4AFF-BDB9-F9EED8DEC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67" name="BExQ7SXS9VUG7P6CACU2J7R2SGIZ" hidden="1">
          <a:extLst>
            <a:ext uri="{FF2B5EF4-FFF2-40B4-BE49-F238E27FC236}">
              <a16:creationId xmlns:a16="http://schemas.microsoft.com/office/drawing/2014/main" id="{B1FFF88B-CA4B-4993-8439-C4BD994C8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68" name="BEx5BJQWS6YWHH4ZMSUAMD641V6Y" descr="ZTMFMXCIQSECDX38ALEFHUB00" hidden="1">
          <a:extLst>
            <a:ext uri="{FF2B5EF4-FFF2-40B4-BE49-F238E27FC236}">
              <a16:creationId xmlns:a16="http://schemas.microsoft.com/office/drawing/2014/main" id="{87472312-8438-467B-88BB-585B41B5E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69" name="BExUBK0YZ5VYFY8TTITJGJU9S06A" hidden="1">
          <a:extLst>
            <a:ext uri="{FF2B5EF4-FFF2-40B4-BE49-F238E27FC236}">
              <a16:creationId xmlns:a16="http://schemas.microsoft.com/office/drawing/2014/main" id="{E548A90A-C35C-4DF8-88ED-7845C8000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70" name="BEx5BJQWS6YWHH4ZMSUAMD641V6Y" descr="ZTMFMXCIQSECDX38ALEFHUB00" hidden="1">
          <a:extLst>
            <a:ext uri="{FF2B5EF4-FFF2-40B4-BE49-F238E27FC236}">
              <a16:creationId xmlns:a16="http://schemas.microsoft.com/office/drawing/2014/main" id="{10C467CB-DE40-477A-B7F8-F30793E5C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71" name="BExUBK0YZ5VYFY8TTITJGJU9S06A" hidden="1">
          <a:extLst>
            <a:ext uri="{FF2B5EF4-FFF2-40B4-BE49-F238E27FC236}">
              <a16:creationId xmlns:a16="http://schemas.microsoft.com/office/drawing/2014/main" id="{2A7777D9-C78A-4D38-BD9A-35CD39B84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72" name="BEx5BJQWS6YWHH4ZMSUAMD641V6Y" descr="ZTMFMXCIQSECDX38ALEFHUB00" hidden="1">
          <a:extLst>
            <a:ext uri="{FF2B5EF4-FFF2-40B4-BE49-F238E27FC236}">
              <a16:creationId xmlns:a16="http://schemas.microsoft.com/office/drawing/2014/main" id="{ACAF652D-38B3-4901-94DF-CDD353FA1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73" name="BExUBK0YZ5VYFY8TTITJGJU9S06A" hidden="1">
          <a:extLst>
            <a:ext uri="{FF2B5EF4-FFF2-40B4-BE49-F238E27FC236}">
              <a16:creationId xmlns:a16="http://schemas.microsoft.com/office/drawing/2014/main" id="{ACD3EF06-B807-4643-A39E-F2A152390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74" name="BEx5BJQWS6YWHH4ZMSUAMD641V6Y" descr="ZTMFMXCIQSECDX38ALEFHUB00" hidden="1">
          <a:extLst>
            <a:ext uri="{FF2B5EF4-FFF2-40B4-BE49-F238E27FC236}">
              <a16:creationId xmlns:a16="http://schemas.microsoft.com/office/drawing/2014/main" id="{973CD6D5-303B-4C4E-A114-81E15AD03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75" name="BExUBK0YZ5VYFY8TTITJGJU9S06A" hidden="1">
          <a:extLst>
            <a:ext uri="{FF2B5EF4-FFF2-40B4-BE49-F238E27FC236}">
              <a16:creationId xmlns:a16="http://schemas.microsoft.com/office/drawing/2014/main" id="{CF6DEE0E-6C8F-48E9-9748-B6AA3BFD4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76" name="BEx5BJQWS6YWHH4ZMSUAMD641V6Y" descr="ZTMFMXCIQSECDX38ALEFHUB00" hidden="1">
          <a:extLst>
            <a:ext uri="{FF2B5EF4-FFF2-40B4-BE49-F238E27FC236}">
              <a16:creationId xmlns:a16="http://schemas.microsoft.com/office/drawing/2014/main" id="{76C6A7F2-3AFC-46A5-802A-D68A9612D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77" name="BExUBK0YZ5VYFY8TTITJGJU9S06A" hidden="1">
          <a:extLst>
            <a:ext uri="{FF2B5EF4-FFF2-40B4-BE49-F238E27FC236}">
              <a16:creationId xmlns:a16="http://schemas.microsoft.com/office/drawing/2014/main" id="{6B93BCE4-5B0F-4480-8F68-A77887642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78" name="BEx5BJQWS6YWHH4ZMSUAMD641V6Y" descr="ZTMFMXCIQSECDX38ALEFHUB00" hidden="1">
          <a:extLst>
            <a:ext uri="{FF2B5EF4-FFF2-40B4-BE49-F238E27FC236}">
              <a16:creationId xmlns:a16="http://schemas.microsoft.com/office/drawing/2014/main" id="{F1FC4593-F2AF-4230-BA0F-F1CFD44B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79" name="BExUBK0YZ5VYFY8TTITJGJU9S06A" hidden="1">
          <a:extLst>
            <a:ext uri="{FF2B5EF4-FFF2-40B4-BE49-F238E27FC236}">
              <a16:creationId xmlns:a16="http://schemas.microsoft.com/office/drawing/2014/main" id="{9E847785-C857-4DC4-AE6F-2BEB973E2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80" name="BEx5BJQWS6YWHH4ZMSUAMD641V6Y" descr="ZTMFMXCIQSECDX38ALEFHUB00" hidden="1">
          <a:extLst>
            <a:ext uri="{FF2B5EF4-FFF2-40B4-BE49-F238E27FC236}">
              <a16:creationId xmlns:a16="http://schemas.microsoft.com/office/drawing/2014/main" id="{82C3B176-CC38-407F-9DF8-BA074A745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81" name="BExUBK0YZ5VYFY8TTITJGJU9S06A" hidden="1">
          <a:extLst>
            <a:ext uri="{FF2B5EF4-FFF2-40B4-BE49-F238E27FC236}">
              <a16:creationId xmlns:a16="http://schemas.microsoft.com/office/drawing/2014/main" id="{6AF5DA87-82D8-4246-A5DA-DA06ACE6D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82" name="BEx5BJQWS6YWHH4ZMSUAMD641V6Y" descr="ZTMFMXCIQSECDX38ALEFHUB00" hidden="1">
          <a:extLst>
            <a:ext uri="{FF2B5EF4-FFF2-40B4-BE49-F238E27FC236}">
              <a16:creationId xmlns:a16="http://schemas.microsoft.com/office/drawing/2014/main" id="{FE514CAA-A198-42F0-966B-8EC998DC0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83" name="BExUBK0YZ5VYFY8TTITJGJU9S06A" hidden="1">
          <a:extLst>
            <a:ext uri="{FF2B5EF4-FFF2-40B4-BE49-F238E27FC236}">
              <a16:creationId xmlns:a16="http://schemas.microsoft.com/office/drawing/2014/main" id="{97399593-AABF-41E3-9973-52D381274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84" name="BEx5BJQWS6YWHH4ZMSUAMD641V6Y" descr="ZTMFMXCIQSECDX38ALEFHUB00" hidden="1">
          <a:extLst>
            <a:ext uri="{FF2B5EF4-FFF2-40B4-BE49-F238E27FC236}">
              <a16:creationId xmlns:a16="http://schemas.microsoft.com/office/drawing/2014/main" id="{68ECBFBB-29FC-4ABB-BAA1-B4709DA48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85" name="BExUBK0YZ5VYFY8TTITJGJU9S06A" hidden="1">
          <a:extLst>
            <a:ext uri="{FF2B5EF4-FFF2-40B4-BE49-F238E27FC236}">
              <a16:creationId xmlns:a16="http://schemas.microsoft.com/office/drawing/2014/main" id="{421AF5B8-B6C7-4C2B-8792-5444759CD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86" name="BExU3EX5JJCXCII4YKUJBFBGIJR2" descr="OF5ZI9PI5WH36VPANJ2DYLNMI" hidden="1">
          <a:extLst>
            <a:ext uri="{FF2B5EF4-FFF2-40B4-BE49-F238E27FC236}">
              <a16:creationId xmlns:a16="http://schemas.microsoft.com/office/drawing/2014/main" id="{E54DA8C7-867A-4D47-8948-A6F6115F2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87" name="BExW9676P0SKCVKK25QCGHPA3PAD" descr="9A4PWZ20RMSRF0PNECCDM75CA" hidden="1">
          <a:extLst>
            <a:ext uri="{FF2B5EF4-FFF2-40B4-BE49-F238E27FC236}">
              <a16:creationId xmlns:a16="http://schemas.microsoft.com/office/drawing/2014/main" id="{5E841A3E-6E74-48EA-920C-D52BBAAC2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88" name="BExMM0AVUAIRNJLXB1FW8R0YB4ZZ" hidden="1">
          <a:extLst>
            <a:ext uri="{FF2B5EF4-FFF2-40B4-BE49-F238E27FC236}">
              <a16:creationId xmlns:a16="http://schemas.microsoft.com/office/drawing/2014/main" id="{DB4DDF6D-8964-4FC2-B179-B025F497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89" name="BExQ7SXS9VUG7P6CACU2J7R2SGIZ" hidden="1">
          <a:extLst>
            <a:ext uri="{FF2B5EF4-FFF2-40B4-BE49-F238E27FC236}">
              <a16:creationId xmlns:a16="http://schemas.microsoft.com/office/drawing/2014/main" id="{D527D87D-9C79-4383-94A4-9F87B0DAB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90" name="BExU3EX5JJCXCII4YKUJBFBGIJR2" descr="OF5ZI9PI5WH36VPANJ2DYLNMI" hidden="1">
          <a:extLst>
            <a:ext uri="{FF2B5EF4-FFF2-40B4-BE49-F238E27FC236}">
              <a16:creationId xmlns:a16="http://schemas.microsoft.com/office/drawing/2014/main" id="{D059E09C-807D-4079-9BB5-BC16758FE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91" name="BExW9676P0SKCVKK25QCGHPA3PAD" descr="9A4PWZ20RMSRF0PNECCDM75CA" hidden="1">
          <a:extLst>
            <a:ext uri="{FF2B5EF4-FFF2-40B4-BE49-F238E27FC236}">
              <a16:creationId xmlns:a16="http://schemas.microsoft.com/office/drawing/2014/main" id="{1C135150-19E6-4B3D-BC5F-DA54823C9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92" name="BExMM0AVUAIRNJLXB1FW8R0YB4ZZ" hidden="1">
          <a:extLst>
            <a:ext uri="{FF2B5EF4-FFF2-40B4-BE49-F238E27FC236}">
              <a16:creationId xmlns:a16="http://schemas.microsoft.com/office/drawing/2014/main" id="{D47838C4-9BFA-449B-8F61-9C10FF6DB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293" name="BExQ7SXS9VUG7P6CACU2J7R2SGIZ" hidden="1">
          <a:extLst>
            <a:ext uri="{FF2B5EF4-FFF2-40B4-BE49-F238E27FC236}">
              <a16:creationId xmlns:a16="http://schemas.microsoft.com/office/drawing/2014/main" id="{80B4AD04-92CA-4C01-8B4B-581A43CDE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94" name="BEx5BJQWS6YWHH4ZMSUAMD641V6Y" descr="ZTMFMXCIQSECDX38ALEFHUB00" hidden="1">
          <a:extLst>
            <a:ext uri="{FF2B5EF4-FFF2-40B4-BE49-F238E27FC236}">
              <a16:creationId xmlns:a16="http://schemas.microsoft.com/office/drawing/2014/main" id="{EB553BD2-F7CD-4265-BFDE-815B27F12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95" name="BExUBK0YZ5VYFY8TTITJGJU9S06A" hidden="1">
          <a:extLst>
            <a:ext uri="{FF2B5EF4-FFF2-40B4-BE49-F238E27FC236}">
              <a16:creationId xmlns:a16="http://schemas.microsoft.com/office/drawing/2014/main" id="{0383F619-12F1-41AD-8478-D0DB23A21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96" name="BEx5BJQWS6YWHH4ZMSUAMD641V6Y" descr="ZTMFMXCIQSECDX38ALEFHUB00" hidden="1">
          <a:extLst>
            <a:ext uri="{FF2B5EF4-FFF2-40B4-BE49-F238E27FC236}">
              <a16:creationId xmlns:a16="http://schemas.microsoft.com/office/drawing/2014/main" id="{8D2E243C-5675-4D7D-B7F5-041B6105D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97" name="BExUBK0YZ5VYFY8TTITJGJU9S06A" hidden="1">
          <a:extLst>
            <a:ext uri="{FF2B5EF4-FFF2-40B4-BE49-F238E27FC236}">
              <a16:creationId xmlns:a16="http://schemas.microsoft.com/office/drawing/2014/main" id="{CB92EE0C-9074-4633-A2C4-F9D6106CF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98" name="BEx5BJQWS6YWHH4ZMSUAMD641V6Y" descr="ZTMFMXCIQSECDX38ALEFHUB00" hidden="1">
          <a:extLst>
            <a:ext uri="{FF2B5EF4-FFF2-40B4-BE49-F238E27FC236}">
              <a16:creationId xmlns:a16="http://schemas.microsoft.com/office/drawing/2014/main" id="{34D8B895-0918-4187-9BE4-6E5AF6D21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299" name="BExUBK0YZ5VYFY8TTITJGJU9S06A" hidden="1">
          <a:extLst>
            <a:ext uri="{FF2B5EF4-FFF2-40B4-BE49-F238E27FC236}">
              <a16:creationId xmlns:a16="http://schemas.microsoft.com/office/drawing/2014/main" id="{C01AEE7E-D8F7-4121-AB08-76B320D67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00" name="BEx5BJQWS6YWHH4ZMSUAMD641V6Y" descr="ZTMFMXCIQSECDX38ALEFHUB00" hidden="1">
          <a:extLst>
            <a:ext uri="{FF2B5EF4-FFF2-40B4-BE49-F238E27FC236}">
              <a16:creationId xmlns:a16="http://schemas.microsoft.com/office/drawing/2014/main" id="{7322C9AC-9FD1-41D9-ADDD-4BA5C9005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01" name="BExUBK0YZ5VYFY8TTITJGJU9S06A" hidden="1">
          <a:extLst>
            <a:ext uri="{FF2B5EF4-FFF2-40B4-BE49-F238E27FC236}">
              <a16:creationId xmlns:a16="http://schemas.microsoft.com/office/drawing/2014/main" id="{B6ED9DD4-3642-412D-B23F-3AE59D106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02" name="BEx5BJQWS6YWHH4ZMSUAMD641V6Y" descr="ZTMFMXCIQSECDX38ALEFHUB00" hidden="1">
          <a:extLst>
            <a:ext uri="{FF2B5EF4-FFF2-40B4-BE49-F238E27FC236}">
              <a16:creationId xmlns:a16="http://schemas.microsoft.com/office/drawing/2014/main" id="{95B3950D-8B80-477A-A7B4-38D739685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03" name="BExUBK0YZ5VYFY8TTITJGJU9S06A" hidden="1">
          <a:extLst>
            <a:ext uri="{FF2B5EF4-FFF2-40B4-BE49-F238E27FC236}">
              <a16:creationId xmlns:a16="http://schemas.microsoft.com/office/drawing/2014/main" id="{0F7B109B-15C8-477E-8E1A-61F3C84CE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04" name="BExU3EX5JJCXCII4YKUJBFBGIJR2" descr="OF5ZI9PI5WH36VPANJ2DYLNMI" hidden="1">
          <a:extLst>
            <a:ext uri="{FF2B5EF4-FFF2-40B4-BE49-F238E27FC236}">
              <a16:creationId xmlns:a16="http://schemas.microsoft.com/office/drawing/2014/main" id="{E15FE997-DCE3-4694-975D-59014D741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05" name="BEx5BJQWS6YWHH4ZMSUAMD641V6Y" descr="ZTMFMXCIQSECDX38ALEFHUB00" hidden="1">
          <a:extLst>
            <a:ext uri="{FF2B5EF4-FFF2-40B4-BE49-F238E27FC236}">
              <a16:creationId xmlns:a16="http://schemas.microsoft.com/office/drawing/2014/main" id="{670984CD-B83C-411E-B296-E7CE656CD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3306" name="BExIFSCLN1G86X78PFLTSMRP0US5" descr="9JK4SPV4DG7VTCZIILWHXQU5J" hidden="1">
          <a:extLst>
            <a:ext uri="{FF2B5EF4-FFF2-40B4-BE49-F238E27FC236}">
              <a16:creationId xmlns:a16="http://schemas.microsoft.com/office/drawing/2014/main" id="{C078574A-4045-410B-8714-F8CCE8EC1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07" name="BExW9676P0SKCVKK25QCGHPA3PAD" descr="9A4PWZ20RMSRF0PNECCDM75CA" hidden="1">
          <a:extLst>
            <a:ext uri="{FF2B5EF4-FFF2-40B4-BE49-F238E27FC236}">
              <a16:creationId xmlns:a16="http://schemas.microsoft.com/office/drawing/2014/main" id="{54484FF6-A67A-4FF0-B7AC-F9B15BCD0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08" name="BExMM0AVUAIRNJLXB1FW8R0YB4ZZ" hidden="1">
          <a:extLst>
            <a:ext uri="{FF2B5EF4-FFF2-40B4-BE49-F238E27FC236}">
              <a16:creationId xmlns:a16="http://schemas.microsoft.com/office/drawing/2014/main" id="{43490475-7272-4134-B874-C7F78066F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09" name="BExQ7SXS9VUG7P6CACU2J7R2SGIZ" hidden="1">
          <a:extLst>
            <a:ext uri="{FF2B5EF4-FFF2-40B4-BE49-F238E27FC236}">
              <a16:creationId xmlns:a16="http://schemas.microsoft.com/office/drawing/2014/main" id="{9835C66B-6E97-4279-8965-B2D6698E7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10" name="BExUBK0YZ5VYFY8TTITJGJU9S06A" hidden="1">
          <a:extLst>
            <a:ext uri="{FF2B5EF4-FFF2-40B4-BE49-F238E27FC236}">
              <a16:creationId xmlns:a16="http://schemas.microsoft.com/office/drawing/2014/main" id="{A478D48E-800B-42DB-83B2-85089560E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3311" name="BExS3JDQWF7U3F5JTEVOE16ASIYK" hidden="1">
          <a:extLst>
            <a:ext uri="{FF2B5EF4-FFF2-40B4-BE49-F238E27FC236}">
              <a16:creationId xmlns:a16="http://schemas.microsoft.com/office/drawing/2014/main" id="{B9DB8A75-6372-4F2E-9965-E2A560EEB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5433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12" name="BEx5BJQWS6YWHH4ZMSUAMD641V6Y" descr="ZTMFMXCIQSECDX38ALEFHUB00" hidden="1">
          <a:extLst>
            <a:ext uri="{FF2B5EF4-FFF2-40B4-BE49-F238E27FC236}">
              <a16:creationId xmlns:a16="http://schemas.microsoft.com/office/drawing/2014/main" id="{E1A98F10-550C-48A4-9608-6B8A571CD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13" name="BExUBK0YZ5VYFY8TTITJGJU9S06A" hidden="1">
          <a:extLst>
            <a:ext uri="{FF2B5EF4-FFF2-40B4-BE49-F238E27FC236}">
              <a16:creationId xmlns:a16="http://schemas.microsoft.com/office/drawing/2014/main" id="{34183961-70BC-4DF2-AAEC-91BCCA39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14" name="BExU3EX5JJCXCII4YKUJBFBGIJR2" descr="OF5ZI9PI5WH36VPANJ2DYLNMI" hidden="1">
          <a:extLst>
            <a:ext uri="{FF2B5EF4-FFF2-40B4-BE49-F238E27FC236}">
              <a16:creationId xmlns:a16="http://schemas.microsoft.com/office/drawing/2014/main" id="{8C71FBB1-DD91-4E27-9BF4-EE82C92C1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15" name="BExW9676P0SKCVKK25QCGHPA3PAD" descr="9A4PWZ20RMSRF0PNECCDM75CA" hidden="1">
          <a:extLst>
            <a:ext uri="{FF2B5EF4-FFF2-40B4-BE49-F238E27FC236}">
              <a16:creationId xmlns:a16="http://schemas.microsoft.com/office/drawing/2014/main" id="{8F0E73E8-8F70-4F06-A824-CA0FDA2B2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16" name="BExMM0AVUAIRNJLXB1FW8R0YB4ZZ" hidden="1">
          <a:extLst>
            <a:ext uri="{FF2B5EF4-FFF2-40B4-BE49-F238E27FC236}">
              <a16:creationId xmlns:a16="http://schemas.microsoft.com/office/drawing/2014/main" id="{FB956E95-5591-401E-94AB-6B72BC6D7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17" name="BExQ7SXS9VUG7P6CACU2J7R2SGIZ" hidden="1">
          <a:extLst>
            <a:ext uri="{FF2B5EF4-FFF2-40B4-BE49-F238E27FC236}">
              <a16:creationId xmlns:a16="http://schemas.microsoft.com/office/drawing/2014/main" id="{DE5B18BC-E9D3-423E-B232-445E60951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18" name="BExU3EX5JJCXCII4YKUJBFBGIJR2" descr="OF5ZI9PI5WH36VPANJ2DYLNMI" hidden="1">
          <a:extLst>
            <a:ext uri="{FF2B5EF4-FFF2-40B4-BE49-F238E27FC236}">
              <a16:creationId xmlns:a16="http://schemas.microsoft.com/office/drawing/2014/main" id="{C61F9758-892A-4381-A7A6-574DBE67A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19" name="BExW9676P0SKCVKK25QCGHPA3PAD" descr="9A4PWZ20RMSRF0PNECCDM75CA" hidden="1">
          <a:extLst>
            <a:ext uri="{FF2B5EF4-FFF2-40B4-BE49-F238E27FC236}">
              <a16:creationId xmlns:a16="http://schemas.microsoft.com/office/drawing/2014/main" id="{7BA35789-6B1F-48E2-80B9-40F0C0354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20" name="BExMM0AVUAIRNJLXB1FW8R0YB4ZZ" hidden="1">
          <a:extLst>
            <a:ext uri="{FF2B5EF4-FFF2-40B4-BE49-F238E27FC236}">
              <a16:creationId xmlns:a16="http://schemas.microsoft.com/office/drawing/2014/main" id="{86F6F661-8929-490E-BE84-9E728F7AF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21" name="BExQ7SXS9VUG7P6CACU2J7R2SGIZ" hidden="1">
          <a:extLst>
            <a:ext uri="{FF2B5EF4-FFF2-40B4-BE49-F238E27FC236}">
              <a16:creationId xmlns:a16="http://schemas.microsoft.com/office/drawing/2014/main" id="{A13B165F-5E55-4D27-BC67-FDB108091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22" name="BEx5BJQWS6YWHH4ZMSUAMD641V6Y" descr="ZTMFMXCIQSECDX38ALEFHUB00" hidden="1">
          <a:extLst>
            <a:ext uri="{FF2B5EF4-FFF2-40B4-BE49-F238E27FC236}">
              <a16:creationId xmlns:a16="http://schemas.microsoft.com/office/drawing/2014/main" id="{535EE721-A24F-435F-BB53-7E8872AAF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23" name="BExUBK0YZ5VYFY8TTITJGJU9S06A" hidden="1">
          <a:extLst>
            <a:ext uri="{FF2B5EF4-FFF2-40B4-BE49-F238E27FC236}">
              <a16:creationId xmlns:a16="http://schemas.microsoft.com/office/drawing/2014/main" id="{77540614-C293-4E6A-9FC7-D7681AF56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24" name="BEx5BJQWS6YWHH4ZMSUAMD641V6Y" descr="ZTMFMXCIQSECDX38ALEFHUB00" hidden="1">
          <a:extLst>
            <a:ext uri="{FF2B5EF4-FFF2-40B4-BE49-F238E27FC236}">
              <a16:creationId xmlns:a16="http://schemas.microsoft.com/office/drawing/2014/main" id="{03EA1B3D-B390-4FC6-9139-16940684B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25" name="BExUBK0YZ5VYFY8TTITJGJU9S06A" hidden="1">
          <a:extLst>
            <a:ext uri="{FF2B5EF4-FFF2-40B4-BE49-F238E27FC236}">
              <a16:creationId xmlns:a16="http://schemas.microsoft.com/office/drawing/2014/main" id="{83B10950-F6E0-4853-8110-F90CB5A2F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26" name="BEx5BJQWS6YWHH4ZMSUAMD641V6Y" descr="ZTMFMXCIQSECDX38ALEFHUB00" hidden="1">
          <a:extLst>
            <a:ext uri="{FF2B5EF4-FFF2-40B4-BE49-F238E27FC236}">
              <a16:creationId xmlns:a16="http://schemas.microsoft.com/office/drawing/2014/main" id="{A486EF2B-AB8F-49D3-8FCD-A1E0D18DE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27" name="BExUBK0YZ5VYFY8TTITJGJU9S06A" hidden="1">
          <a:extLst>
            <a:ext uri="{FF2B5EF4-FFF2-40B4-BE49-F238E27FC236}">
              <a16:creationId xmlns:a16="http://schemas.microsoft.com/office/drawing/2014/main" id="{551FBD39-58F6-4EB8-B807-24B465EE6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28" name="BEx5BJQWS6YWHH4ZMSUAMD641V6Y" descr="ZTMFMXCIQSECDX38ALEFHUB00" hidden="1">
          <a:extLst>
            <a:ext uri="{FF2B5EF4-FFF2-40B4-BE49-F238E27FC236}">
              <a16:creationId xmlns:a16="http://schemas.microsoft.com/office/drawing/2014/main" id="{0F6E3694-3420-4045-9946-5F31A250A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29" name="BExUBK0YZ5VYFY8TTITJGJU9S06A" hidden="1">
          <a:extLst>
            <a:ext uri="{FF2B5EF4-FFF2-40B4-BE49-F238E27FC236}">
              <a16:creationId xmlns:a16="http://schemas.microsoft.com/office/drawing/2014/main" id="{15A24C4A-0EB1-41CA-BF44-8D664A934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30" name="BEx5BJQWS6YWHH4ZMSUAMD641V6Y" descr="ZTMFMXCIQSECDX38ALEFHUB00" hidden="1">
          <a:extLst>
            <a:ext uri="{FF2B5EF4-FFF2-40B4-BE49-F238E27FC236}">
              <a16:creationId xmlns:a16="http://schemas.microsoft.com/office/drawing/2014/main" id="{87E2047E-7FC6-45DE-A1E9-2D6F46163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31" name="BExUBK0YZ5VYFY8TTITJGJU9S06A" hidden="1">
          <a:extLst>
            <a:ext uri="{FF2B5EF4-FFF2-40B4-BE49-F238E27FC236}">
              <a16:creationId xmlns:a16="http://schemas.microsoft.com/office/drawing/2014/main" id="{31005975-5744-4783-9766-88494CBEA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32" name="BEx5BJQWS6YWHH4ZMSUAMD641V6Y" descr="ZTMFMXCIQSECDX38ALEFHUB00" hidden="1">
          <a:extLst>
            <a:ext uri="{FF2B5EF4-FFF2-40B4-BE49-F238E27FC236}">
              <a16:creationId xmlns:a16="http://schemas.microsoft.com/office/drawing/2014/main" id="{80E019D8-387A-4380-A6A5-69B27F723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33" name="BExUBK0YZ5VYFY8TTITJGJU9S06A" hidden="1">
          <a:extLst>
            <a:ext uri="{FF2B5EF4-FFF2-40B4-BE49-F238E27FC236}">
              <a16:creationId xmlns:a16="http://schemas.microsoft.com/office/drawing/2014/main" id="{F35FB60E-9C46-45DA-BE8C-E9E6B3E05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34" name="BEx5BJQWS6YWHH4ZMSUAMD641V6Y" descr="ZTMFMXCIQSECDX38ALEFHUB00" hidden="1">
          <a:extLst>
            <a:ext uri="{FF2B5EF4-FFF2-40B4-BE49-F238E27FC236}">
              <a16:creationId xmlns:a16="http://schemas.microsoft.com/office/drawing/2014/main" id="{80D09915-2EFF-487F-965E-277BA31D4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35" name="BExUBK0YZ5VYFY8TTITJGJU9S06A" hidden="1">
          <a:extLst>
            <a:ext uri="{FF2B5EF4-FFF2-40B4-BE49-F238E27FC236}">
              <a16:creationId xmlns:a16="http://schemas.microsoft.com/office/drawing/2014/main" id="{AFE0B66D-585E-45C3-9252-06666B992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36" name="BEx5BJQWS6YWHH4ZMSUAMD641V6Y" descr="ZTMFMXCIQSECDX38ALEFHUB00" hidden="1">
          <a:extLst>
            <a:ext uri="{FF2B5EF4-FFF2-40B4-BE49-F238E27FC236}">
              <a16:creationId xmlns:a16="http://schemas.microsoft.com/office/drawing/2014/main" id="{26B75D77-1A8D-461A-B1D3-689B690C3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37" name="BExUBK0YZ5VYFY8TTITJGJU9S06A" hidden="1">
          <a:extLst>
            <a:ext uri="{FF2B5EF4-FFF2-40B4-BE49-F238E27FC236}">
              <a16:creationId xmlns:a16="http://schemas.microsoft.com/office/drawing/2014/main" id="{9CF7128C-73B7-4B4D-BEA1-44DB57A15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38" name="BEx5BJQWS6YWHH4ZMSUAMD641V6Y" descr="ZTMFMXCIQSECDX38ALEFHUB00" hidden="1">
          <a:extLst>
            <a:ext uri="{FF2B5EF4-FFF2-40B4-BE49-F238E27FC236}">
              <a16:creationId xmlns:a16="http://schemas.microsoft.com/office/drawing/2014/main" id="{2B934349-F968-41AB-97FA-99F21238B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39" name="BExUBK0YZ5VYFY8TTITJGJU9S06A" hidden="1">
          <a:extLst>
            <a:ext uri="{FF2B5EF4-FFF2-40B4-BE49-F238E27FC236}">
              <a16:creationId xmlns:a16="http://schemas.microsoft.com/office/drawing/2014/main" id="{141034DE-9CAF-4231-89D7-F0251873E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40" name="BExU3EX5JJCXCII4YKUJBFBGIJR2" descr="OF5ZI9PI5WH36VPANJ2DYLNMI" hidden="1">
          <a:extLst>
            <a:ext uri="{FF2B5EF4-FFF2-40B4-BE49-F238E27FC236}">
              <a16:creationId xmlns:a16="http://schemas.microsoft.com/office/drawing/2014/main" id="{FA8A8500-A724-4109-BFC9-66BDB6B94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41" name="BExW9676P0SKCVKK25QCGHPA3PAD" descr="9A4PWZ20RMSRF0PNECCDM75CA" hidden="1">
          <a:extLst>
            <a:ext uri="{FF2B5EF4-FFF2-40B4-BE49-F238E27FC236}">
              <a16:creationId xmlns:a16="http://schemas.microsoft.com/office/drawing/2014/main" id="{19B54A5D-F116-4E2C-BDB5-B75BB5861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42" name="BExMM0AVUAIRNJLXB1FW8R0YB4ZZ" hidden="1">
          <a:extLst>
            <a:ext uri="{FF2B5EF4-FFF2-40B4-BE49-F238E27FC236}">
              <a16:creationId xmlns:a16="http://schemas.microsoft.com/office/drawing/2014/main" id="{513738B3-8683-4774-B23B-A1EC589E7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43" name="BExQ7SXS9VUG7P6CACU2J7R2SGIZ" hidden="1">
          <a:extLst>
            <a:ext uri="{FF2B5EF4-FFF2-40B4-BE49-F238E27FC236}">
              <a16:creationId xmlns:a16="http://schemas.microsoft.com/office/drawing/2014/main" id="{A2B63AC9-D112-472F-99EE-35A4573B5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44" name="BExU3EX5JJCXCII4YKUJBFBGIJR2" descr="OF5ZI9PI5WH36VPANJ2DYLNMI" hidden="1">
          <a:extLst>
            <a:ext uri="{FF2B5EF4-FFF2-40B4-BE49-F238E27FC236}">
              <a16:creationId xmlns:a16="http://schemas.microsoft.com/office/drawing/2014/main" id="{40012CD0-B427-40BA-97F6-5C55924D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45" name="BExW9676P0SKCVKK25QCGHPA3PAD" descr="9A4PWZ20RMSRF0PNECCDM75CA" hidden="1">
          <a:extLst>
            <a:ext uri="{FF2B5EF4-FFF2-40B4-BE49-F238E27FC236}">
              <a16:creationId xmlns:a16="http://schemas.microsoft.com/office/drawing/2014/main" id="{43FA1F39-90B9-4D39-BE05-D5577F34A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46" name="BExMM0AVUAIRNJLXB1FW8R0YB4ZZ" hidden="1">
          <a:extLst>
            <a:ext uri="{FF2B5EF4-FFF2-40B4-BE49-F238E27FC236}">
              <a16:creationId xmlns:a16="http://schemas.microsoft.com/office/drawing/2014/main" id="{9FC59476-3174-4DDB-8D10-D5C7904F3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47" name="BExQ7SXS9VUG7P6CACU2J7R2SGIZ" hidden="1">
          <a:extLst>
            <a:ext uri="{FF2B5EF4-FFF2-40B4-BE49-F238E27FC236}">
              <a16:creationId xmlns:a16="http://schemas.microsoft.com/office/drawing/2014/main" id="{995A98B6-B2D8-454E-AF46-E96E37444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48" name="BEx5BJQWS6YWHH4ZMSUAMD641V6Y" descr="ZTMFMXCIQSECDX38ALEFHUB00" hidden="1">
          <a:extLst>
            <a:ext uri="{FF2B5EF4-FFF2-40B4-BE49-F238E27FC236}">
              <a16:creationId xmlns:a16="http://schemas.microsoft.com/office/drawing/2014/main" id="{46CDCE49-F2C1-47B6-B065-0412361A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49" name="BExUBK0YZ5VYFY8TTITJGJU9S06A" hidden="1">
          <a:extLst>
            <a:ext uri="{FF2B5EF4-FFF2-40B4-BE49-F238E27FC236}">
              <a16:creationId xmlns:a16="http://schemas.microsoft.com/office/drawing/2014/main" id="{DDAAF62C-6B3A-4E08-8FA6-B6036CAA8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50" name="BEx5BJQWS6YWHH4ZMSUAMD641V6Y" descr="ZTMFMXCIQSECDX38ALEFHUB00" hidden="1">
          <a:extLst>
            <a:ext uri="{FF2B5EF4-FFF2-40B4-BE49-F238E27FC236}">
              <a16:creationId xmlns:a16="http://schemas.microsoft.com/office/drawing/2014/main" id="{511DD7A7-ECB4-4C93-834D-F97591EB8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51" name="BExUBK0YZ5VYFY8TTITJGJU9S06A" hidden="1">
          <a:extLst>
            <a:ext uri="{FF2B5EF4-FFF2-40B4-BE49-F238E27FC236}">
              <a16:creationId xmlns:a16="http://schemas.microsoft.com/office/drawing/2014/main" id="{0DFA193D-645A-432A-A8FB-A0AD1E2CB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52" name="BEx5BJQWS6YWHH4ZMSUAMD641V6Y" descr="ZTMFMXCIQSECDX38ALEFHUB00" hidden="1">
          <a:extLst>
            <a:ext uri="{FF2B5EF4-FFF2-40B4-BE49-F238E27FC236}">
              <a16:creationId xmlns:a16="http://schemas.microsoft.com/office/drawing/2014/main" id="{3785ABDF-F166-4DD1-98F5-C4AF9AE7D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53" name="BExUBK0YZ5VYFY8TTITJGJU9S06A" hidden="1">
          <a:extLst>
            <a:ext uri="{FF2B5EF4-FFF2-40B4-BE49-F238E27FC236}">
              <a16:creationId xmlns:a16="http://schemas.microsoft.com/office/drawing/2014/main" id="{59F06E27-CA23-4028-9FCE-666AB8B01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54" name="BEx5BJQWS6YWHH4ZMSUAMD641V6Y" descr="ZTMFMXCIQSECDX38ALEFHUB00" hidden="1">
          <a:extLst>
            <a:ext uri="{FF2B5EF4-FFF2-40B4-BE49-F238E27FC236}">
              <a16:creationId xmlns:a16="http://schemas.microsoft.com/office/drawing/2014/main" id="{C2228B67-A5B8-4661-B22F-40B831717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55" name="BExUBK0YZ5VYFY8TTITJGJU9S06A" hidden="1">
          <a:extLst>
            <a:ext uri="{FF2B5EF4-FFF2-40B4-BE49-F238E27FC236}">
              <a16:creationId xmlns:a16="http://schemas.microsoft.com/office/drawing/2014/main" id="{8243869A-92DE-4634-B141-C291B3D6A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56" name="BEx5BJQWS6YWHH4ZMSUAMD641V6Y" descr="ZTMFMXCIQSECDX38ALEFHUB00" hidden="1">
          <a:extLst>
            <a:ext uri="{FF2B5EF4-FFF2-40B4-BE49-F238E27FC236}">
              <a16:creationId xmlns:a16="http://schemas.microsoft.com/office/drawing/2014/main" id="{9DC9E99C-D68E-44A8-9418-67280D7DA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57" name="BExUBK0YZ5VYFY8TTITJGJU9S06A" hidden="1">
          <a:extLst>
            <a:ext uri="{FF2B5EF4-FFF2-40B4-BE49-F238E27FC236}">
              <a16:creationId xmlns:a16="http://schemas.microsoft.com/office/drawing/2014/main" id="{C181A7B2-7CDC-4915-A3FE-D073950F9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58" name="BExU3EX5JJCXCII4YKUJBFBGIJR2" descr="OF5ZI9PI5WH36VPANJ2DYLNMI" hidden="1">
          <a:extLst>
            <a:ext uri="{FF2B5EF4-FFF2-40B4-BE49-F238E27FC236}">
              <a16:creationId xmlns:a16="http://schemas.microsoft.com/office/drawing/2014/main" id="{AB1D6A0A-6CFB-4274-98A1-91FFFD01A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59" name="BEx5BJQWS6YWHH4ZMSUAMD641V6Y" descr="ZTMFMXCIQSECDX38ALEFHUB00" hidden="1">
          <a:extLst>
            <a:ext uri="{FF2B5EF4-FFF2-40B4-BE49-F238E27FC236}">
              <a16:creationId xmlns:a16="http://schemas.microsoft.com/office/drawing/2014/main" id="{EE7751F9-03A2-4BAC-B609-5DCB7CEA2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3360" name="BExIFSCLN1G86X78PFLTSMRP0US5" descr="9JK4SPV4DG7VTCZIILWHXQU5J" hidden="1">
          <a:extLst>
            <a:ext uri="{FF2B5EF4-FFF2-40B4-BE49-F238E27FC236}">
              <a16:creationId xmlns:a16="http://schemas.microsoft.com/office/drawing/2014/main" id="{CABCD68B-1C9F-46FE-928E-C96A18837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61" name="BExW9676P0SKCVKK25QCGHPA3PAD" descr="9A4PWZ20RMSRF0PNECCDM75CA" hidden="1">
          <a:extLst>
            <a:ext uri="{FF2B5EF4-FFF2-40B4-BE49-F238E27FC236}">
              <a16:creationId xmlns:a16="http://schemas.microsoft.com/office/drawing/2014/main" id="{028B9ED8-30F7-49C6-9618-EC35A6BBD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62" name="BExMM0AVUAIRNJLXB1FW8R0YB4ZZ" hidden="1">
          <a:extLst>
            <a:ext uri="{FF2B5EF4-FFF2-40B4-BE49-F238E27FC236}">
              <a16:creationId xmlns:a16="http://schemas.microsoft.com/office/drawing/2014/main" id="{8BF57DB6-924C-4C79-96F0-C72109DDF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63" name="BExQ7SXS9VUG7P6CACU2J7R2SGIZ" hidden="1">
          <a:extLst>
            <a:ext uri="{FF2B5EF4-FFF2-40B4-BE49-F238E27FC236}">
              <a16:creationId xmlns:a16="http://schemas.microsoft.com/office/drawing/2014/main" id="{5D577099-6057-48A9-A037-336C1F11A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64" name="BExUBK0YZ5VYFY8TTITJGJU9S06A" hidden="1">
          <a:extLst>
            <a:ext uri="{FF2B5EF4-FFF2-40B4-BE49-F238E27FC236}">
              <a16:creationId xmlns:a16="http://schemas.microsoft.com/office/drawing/2014/main" id="{C20FD00D-D92D-43CC-9853-CF1DC68DD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3365" name="BExS3JDQWF7U3F5JTEVOE16ASIYK" hidden="1">
          <a:extLst>
            <a:ext uri="{FF2B5EF4-FFF2-40B4-BE49-F238E27FC236}">
              <a16:creationId xmlns:a16="http://schemas.microsoft.com/office/drawing/2014/main" id="{7038D6D4-6ACF-4316-8421-E1B4E670E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5433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66" name="BEx5BJQWS6YWHH4ZMSUAMD641V6Y" descr="ZTMFMXCIQSECDX38ALEFHUB00" hidden="1">
          <a:extLst>
            <a:ext uri="{FF2B5EF4-FFF2-40B4-BE49-F238E27FC236}">
              <a16:creationId xmlns:a16="http://schemas.microsoft.com/office/drawing/2014/main" id="{E2C66D27-E8A1-43EF-91CD-567722154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67" name="BExUBK0YZ5VYFY8TTITJGJU9S06A" hidden="1">
          <a:extLst>
            <a:ext uri="{FF2B5EF4-FFF2-40B4-BE49-F238E27FC236}">
              <a16:creationId xmlns:a16="http://schemas.microsoft.com/office/drawing/2014/main" id="{8811CA71-FA71-4572-B491-55176B221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68" name="BExU3EX5JJCXCII4YKUJBFBGIJR2" descr="OF5ZI9PI5WH36VPANJ2DYLNMI" hidden="1">
          <a:extLst>
            <a:ext uri="{FF2B5EF4-FFF2-40B4-BE49-F238E27FC236}">
              <a16:creationId xmlns:a16="http://schemas.microsoft.com/office/drawing/2014/main" id="{CD46028F-318C-4774-A15B-B5BEB22B0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69" name="BExW9676P0SKCVKK25QCGHPA3PAD" descr="9A4PWZ20RMSRF0PNECCDM75CA" hidden="1">
          <a:extLst>
            <a:ext uri="{FF2B5EF4-FFF2-40B4-BE49-F238E27FC236}">
              <a16:creationId xmlns:a16="http://schemas.microsoft.com/office/drawing/2014/main" id="{CD4D4A8F-A5CA-4AE4-AC85-2F3FEC591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70" name="BExMM0AVUAIRNJLXB1FW8R0YB4ZZ" hidden="1">
          <a:extLst>
            <a:ext uri="{FF2B5EF4-FFF2-40B4-BE49-F238E27FC236}">
              <a16:creationId xmlns:a16="http://schemas.microsoft.com/office/drawing/2014/main" id="{CE0EAAD8-9353-4752-9775-FFEFF0E77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71" name="BExQ7SXS9VUG7P6CACU2J7R2SGIZ" hidden="1">
          <a:extLst>
            <a:ext uri="{FF2B5EF4-FFF2-40B4-BE49-F238E27FC236}">
              <a16:creationId xmlns:a16="http://schemas.microsoft.com/office/drawing/2014/main" id="{F50F1F9E-B13B-4C7C-B4E3-257E534D8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72" name="BExU3EX5JJCXCII4YKUJBFBGIJR2" descr="OF5ZI9PI5WH36VPANJ2DYLNMI" hidden="1">
          <a:extLst>
            <a:ext uri="{FF2B5EF4-FFF2-40B4-BE49-F238E27FC236}">
              <a16:creationId xmlns:a16="http://schemas.microsoft.com/office/drawing/2014/main" id="{39F00DF3-A846-4046-A7B4-CA2CCCEF2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73" name="BExW9676P0SKCVKK25QCGHPA3PAD" descr="9A4PWZ20RMSRF0PNECCDM75CA" hidden="1">
          <a:extLst>
            <a:ext uri="{FF2B5EF4-FFF2-40B4-BE49-F238E27FC236}">
              <a16:creationId xmlns:a16="http://schemas.microsoft.com/office/drawing/2014/main" id="{C4E2B2B3-7A33-4579-95F5-3808AE462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74" name="BExMM0AVUAIRNJLXB1FW8R0YB4ZZ" hidden="1">
          <a:extLst>
            <a:ext uri="{FF2B5EF4-FFF2-40B4-BE49-F238E27FC236}">
              <a16:creationId xmlns:a16="http://schemas.microsoft.com/office/drawing/2014/main" id="{BB728DC2-587A-48D5-B956-11F1EB844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75" name="BExQ7SXS9VUG7P6CACU2J7R2SGIZ" hidden="1">
          <a:extLst>
            <a:ext uri="{FF2B5EF4-FFF2-40B4-BE49-F238E27FC236}">
              <a16:creationId xmlns:a16="http://schemas.microsoft.com/office/drawing/2014/main" id="{0EDF90FF-5E9B-45F2-8032-E89855B1D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76" name="BEx5BJQWS6YWHH4ZMSUAMD641V6Y" descr="ZTMFMXCIQSECDX38ALEFHUB00" hidden="1">
          <a:extLst>
            <a:ext uri="{FF2B5EF4-FFF2-40B4-BE49-F238E27FC236}">
              <a16:creationId xmlns:a16="http://schemas.microsoft.com/office/drawing/2014/main" id="{C31ABCEF-DE60-4FD4-93A4-5E878AE59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77" name="BExUBK0YZ5VYFY8TTITJGJU9S06A" hidden="1">
          <a:extLst>
            <a:ext uri="{FF2B5EF4-FFF2-40B4-BE49-F238E27FC236}">
              <a16:creationId xmlns:a16="http://schemas.microsoft.com/office/drawing/2014/main" id="{047554B5-665C-470C-9969-8D6650C64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78" name="BEx5BJQWS6YWHH4ZMSUAMD641V6Y" descr="ZTMFMXCIQSECDX38ALEFHUB00" hidden="1">
          <a:extLst>
            <a:ext uri="{FF2B5EF4-FFF2-40B4-BE49-F238E27FC236}">
              <a16:creationId xmlns:a16="http://schemas.microsoft.com/office/drawing/2014/main" id="{AD99CC26-E28D-4F62-9596-6707EA687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79" name="BExUBK0YZ5VYFY8TTITJGJU9S06A" hidden="1">
          <a:extLst>
            <a:ext uri="{FF2B5EF4-FFF2-40B4-BE49-F238E27FC236}">
              <a16:creationId xmlns:a16="http://schemas.microsoft.com/office/drawing/2014/main" id="{BC73B43D-1546-4B94-B62B-823DC9EE6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80" name="BEx5BJQWS6YWHH4ZMSUAMD641V6Y" descr="ZTMFMXCIQSECDX38ALEFHUB00" hidden="1">
          <a:extLst>
            <a:ext uri="{FF2B5EF4-FFF2-40B4-BE49-F238E27FC236}">
              <a16:creationId xmlns:a16="http://schemas.microsoft.com/office/drawing/2014/main" id="{44D5CEEA-8EB1-4CA1-89F9-1983CB9D3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81" name="BExUBK0YZ5VYFY8TTITJGJU9S06A" hidden="1">
          <a:extLst>
            <a:ext uri="{FF2B5EF4-FFF2-40B4-BE49-F238E27FC236}">
              <a16:creationId xmlns:a16="http://schemas.microsoft.com/office/drawing/2014/main" id="{7507F9CC-2027-4EEB-B2E2-AFABF1401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82" name="BEx5BJQWS6YWHH4ZMSUAMD641V6Y" descr="ZTMFMXCIQSECDX38ALEFHUB00" hidden="1">
          <a:extLst>
            <a:ext uri="{FF2B5EF4-FFF2-40B4-BE49-F238E27FC236}">
              <a16:creationId xmlns:a16="http://schemas.microsoft.com/office/drawing/2014/main" id="{3759D194-B5A3-4344-B2F2-9D58F62F7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83" name="BExUBK0YZ5VYFY8TTITJGJU9S06A" hidden="1">
          <a:extLst>
            <a:ext uri="{FF2B5EF4-FFF2-40B4-BE49-F238E27FC236}">
              <a16:creationId xmlns:a16="http://schemas.microsoft.com/office/drawing/2014/main" id="{7BF4EAC4-AFAB-4CE2-951E-85EB57AB8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84" name="BEx5BJQWS6YWHH4ZMSUAMD641V6Y" descr="ZTMFMXCIQSECDX38ALEFHUB00" hidden="1">
          <a:extLst>
            <a:ext uri="{FF2B5EF4-FFF2-40B4-BE49-F238E27FC236}">
              <a16:creationId xmlns:a16="http://schemas.microsoft.com/office/drawing/2014/main" id="{65F98703-48D5-4CDB-97E2-4BCA2F6A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85" name="BExUBK0YZ5VYFY8TTITJGJU9S06A" hidden="1">
          <a:extLst>
            <a:ext uri="{FF2B5EF4-FFF2-40B4-BE49-F238E27FC236}">
              <a16:creationId xmlns:a16="http://schemas.microsoft.com/office/drawing/2014/main" id="{BFEF88BB-E1A4-49DF-A2A9-2BF93A99A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86" name="BEx5BJQWS6YWHH4ZMSUAMD641V6Y" descr="ZTMFMXCIQSECDX38ALEFHUB00" hidden="1">
          <a:extLst>
            <a:ext uri="{FF2B5EF4-FFF2-40B4-BE49-F238E27FC236}">
              <a16:creationId xmlns:a16="http://schemas.microsoft.com/office/drawing/2014/main" id="{0B870A0D-D509-4084-AABE-7B931F94C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87" name="BExUBK0YZ5VYFY8TTITJGJU9S06A" hidden="1">
          <a:extLst>
            <a:ext uri="{FF2B5EF4-FFF2-40B4-BE49-F238E27FC236}">
              <a16:creationId xmlns:a16="http://schemas.microsoft.com/office/drawing/2014/main" id="{80BB45E0-9B91-41DE-9475-69B7EAD25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88" name="BEx5BJQWS6YWHH4ZMSUAMD641V6Y" descr="ZTMFMXCIQSECDX38ALEFHUB00" hidden="1">
          <a:extLst>
            <a:ext uri="{FF2B5EF4-FFF2-40B4-BE49-F238E27FC236}">
              <a16:creationId xmlns:a16="http://schemas.microsoft.com/office/drawing/2014/main" id="{64A7454F-7C06-4225-BA00-D04102EAE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89" name="BExUBK0YZ5VYFY8TTITJGJU9S06A" hidden="1">
          <a:extLst>
            <a:ext uri="{FF2B5EF4-FFF2-40B4-BE49-F238E27FC236}">
              <a16:creationId xmlns:a16="http://schemas.microsoft.com/office/drawing/2014/main" id="{5D421FBD-E368-4D14-AA75-4B403B16B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90" name="BEx5BJQWS6YWHH4ZMSUAMD641V6Y" descr="ZTMFMXCIQSECDX38ALEFHUB00" hidden="1">
          <a:extLst>
            <a:ext uri="{FF2B5EF4-FFF2-40B4-BE49-F238E27FC236}">
              <a16:creationId xmlns:a16="http://schemas.microsoft.com/office/drawing/2014/main" id="{076D235C-7567-421D-B510-EF860A3F9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91" name="BExUBK0YZ5VYFY8TTITJGJU9S06A" hidden="1">
          <a:extLst>
            <a:ext uri="{FF2B5EF4-FFF2-40B4-BE49-F238E27FC236}">
              <a16:creationId xmlns:a16="http://schemas.microsoft.com/office/drawing/2014/main" id="{DB5C09BD-5746-4DDF-ACD9-7C3F1584F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92" name="BEx5BJQWS6YWHH4ZMSUAMD641V6Y" descr="ZTMFMXCIQSECDX38ALEFHUB00" hidden="1">
          <a:extLst>
            <a:ext uri="{FF2B5EF4-FFF2-40B4-BE49-F238E27FC236}">
              <a16:creationId xmlns:a16="http://schemas.microsoft.com/office/drawing/2014/main" id="{DCA3103E-FAD1-4EA0-A528-2F246A309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393" name="BExUBK0YZ5VYFY8TTITJGJU9S06A" hidden="1">
          <a:extLst>
            <a:ext uri="{FF2B5EF4-FFF2-40B4-BE49-F238E27FC236}">
              <a16:creationId xmlns:a16="http://schemas.microsoft.com/office/drawing/2014/main" id="{2E0BA149-EB0F-4418-828C-891CFEC57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94" name="BExU3EX5JJCXCII4YKUJBFBGIJR2" descr="OF5ZI9PI5WH36VPANJ2DYLNMI" hidden="1">
          <a:extLst>
            <a:ext uri="{FF2B5EF4-FFF2-40B4-BE49-F238E27FC236}">
              <a16:creationId xmlns:a16="http://schemas.microsoft.com/office/drawing/2014/main" id="{7CF1A951-E898-49E5-AC95-04E928041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95" name="BExW9676P0SKCVKK25QCGHPA3PAD" descr="9A4PWZ20RMSRF0PNECCDM75CA" hidden="1">
          <a:extLst>
            <a:ext uri="{FF2B5EF4-FFF2-40B4-BE49-F238E27FC236}">
              <a16:creationId xmlns:a16="http://schemas.microsoft.com/office/drawing/2014/main" id="{7C10C8E7-1AC4-49BA-BD62-41E80CD6C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96" name="BExMM0AVUAIRNJLXB1FW8R0YB4ZZ" hidden="1">
          <a:extLst>
            <a:ext uri="{FF2B5EF4-FFF2-40B4-BE49-F238E27FC236}">
              <a16:creationId xmlns:a16="http://schemas.microsoft.com/office/drawing/2014/main" id="{2ACC4B91-A688-4041-A079-ED621EFE2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97" name="BExQ7SXS9VUG7P6CACU2J7R2SGIZ" hidden="1">
          <a:extLst>
            <a:ext uri="{FF2B5EF4-FFF2-40B4-BE49-F238E27FC236}">
              <a16:creationId xmlns:a16="http://schemas.microsoft.com/office/drawing/2014/main" id="{3E8F3281-D9E3-4DD9-8E16-93FAC6CF0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98" name="BExU3EX5JJCXCII4YKUJBFBGIJR2" descr="OF5ZI9PI5WH36VPANJ2DYLNMI" hidden="1">
          <a:extLst>
            <a:ext uri="{FF2B5EF4-FFF2-40B4-BE49-F238E27FC236}">
              <a16:creationId xmlns:a16="http://schemas.microsoft.com/office/drawing/2014/main" id="{908037EC-9C29-4D4A-8223-EA18F444B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399" name="BExW9676P0SKCVKK25QCGHPA3PAD" descr="9A4PWZ20RMSRF0PNECCDM75CA" hidden="1">
          <a:extLst>
            <a:ext uri="{FF2B5EF4-FFF2-40B4-BE49-F238E27FC236}">
              <a16:creationId xmlns:a16="http://schemas.microsoft.com/office/drawing/2014/main" id="{A5069ADF-6BD3-474C-83A7-F64B9966B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00" name="BExMM0AVUAIRNJLXB1FW8R0YB4ZZ" hidden="1">
          <a:extLst>
            <a:ext uri="{FF2B5EF4-FFF2-40B4-BE49-F238E27FC236}">
              <a16:creationId xmlns:a16="http://schemas.microsoft.com/office/drawing/2014/main" id="{F97A7A5E-C03A-48A5-AB89-278C5E422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01" name="BExQ7SXS9VUG7P6CACU2J7R2SGIZ" hidden="1">
          <a:extLst>
            <a:ext uri="{FF2B5EF4-FFF2-40B4-BE49-F238E27FC236}">
              <a16:creationId xmlns:a16="http://schemas.microsoft.com/office/drawing/2014/main" id="{E0880FD2-2713-4CA7-8456-8731BD363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02" name="BEx5BJQWS6YWHH4ZMSUAMD641V6Y" descr="ZTMFMXCIQSECDX38ALEFHUB00" hidden="1">
          <a:extLst>
            <a:ext uri="{FF2B5EF4-FFF2-40B4-BE49-F238E27FC236}">
              <a16:creationId xmlns:a16="http://schemas.microsoft.com/office/drawing/2014/main" id="{9AE50593-1ABC-44C3-9EAF-EFDFA4B6E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03" name="BExUBK0YZ5VYFY8TTITJGJU9S06A" hidden="1">
          <a:extLst>
            <a:ext uri="{FF2B5EF4-FFF2-40B4-BE49-F238E27FC236}">
              <a16:creationId xmlns:a16="http://schemas.microsoft.com/office/drawing/2014/main" id="{D643DF3B-1B0C-4564-BECE-8CCA75EE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04" name="BEx5BJQWS6YWHH4ZMSUAMD641V6Y" descr="ZTMFMXCIQSECDX38ALEFHUB00" hidden="1">
          <a:extLst>
            <a:ext uri="{FF2B5EF4-FFF2-40B4-BE49-F238E27FC236}">
              <a16:creationId xmlns:a16="http://schemas.microsoft.com/office/drawing/2014/main" id="{F90678E2-C595-4409-BB33-605940962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05" name="BExUBK0YZ5VYFY8TTITJGJU9S06A" hidden="1">
          <a:extLst>
            <a:ext uri="{FF2B5EF4-FFF2-40B4-BE49-F238E27FC236}">
              <a16:creationId xmlns:a16="http://schemas.microsoft.com/office/drawing/2014/main" id="{27A82F23-3541-46AE-8E17-C4359F5D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06" name="BEx5BJQWS6YWHH4ZMSUAMD641V6Y" descr="ZTMFMXCIQSECDX38ALEFHUB00" hidden="1">
          <a:extLst>
            <a:ext uri="{FF2B5EF4-FFF2-40B4-BE49-F238E27FC236}">
              <a16:creationId xmlns:a16="http://schemas.microsoft.com/office/drawing/2014/main" id="{53019D68-F6F2-4639-8DF6-967B08BB8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07" name="BExUBK0YZ5VYFY8TTITJGJU9S06A" hidden="1">
          <a:extLst>
            <a:ext uri="{FF2B5EF4-FFF2-40B4-BE49-F238E27FC236}">
              <a16:creationId xmlns:a16="http://schemas.microsoft.com/office/drawing/2014/main" id="{5D72A56E-95BF-4F67-A6D5-453DB4B1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08" name="BEx5BJQWS6YWHH4ZMSUAMD641V6Y" descr="ZTMFMXCIQSECDX38ALEFHUB00" hidden="1">
          <a:extLst>
            <a:ext uri="{FF2B5EF4-FFF2-40B4-BE49-F238E27FC236}">
              <a16:creationId xmlns:a16="http://schemas.microsoft.com/office/drawing/2014/main" id="{25255C47-80A8-4C78-A89C-59E4E1653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09" name="BExUBK0YZ5VYFY8TTITJGJU9S06A" hidden="1">
          <a:extLst>
            <a:ext uri="{FF2B5EF4-FFF2-40B4-BE49-F238E27FC236}">
              <a16:creationId xmlns:a16="http://schemas.microsoft.com/office/drawing/2014/main" id="{28997FEA-2D74-4670-9BE1-6C6375D73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10" name="BEx5BJQWS6YWHH4ZMSUAMD641V6Y" descr="ZTMFMXCIQSECDX38ALEFHUB00" hidden="1">
          <a:extLst>
            <a:ext uri="{FF2B5EF4-FFF2-40B4-BE49-F238E27FC236}">
              <a16:creationId xmlns:a16="http://schemas.microsoft.com/office/drawing/2014/main" id="{0DF35BDC-5B28-4D2B-B9C3-3EE13FE27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11" name="BExUBK0YZ5VYFY8TTITJGJU9S06A" hidden="1">
          <a:extLst>
            <a:ext uri="{FF2B5EF4-FFF2-40B4-BE49-F238E27FC236}">
              <a16:creationId xmlns:a16="http://schemas.microsoft.com/office/drawing/2014/main" id="{BC063F31-DBEF-4D71-872D-9991AA99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12" name="BExU3EX5JJCXCII4YKUJBFBGIJR2" descr="OF5ZI9PI5WH36VPANJ2DYLNMI" hidden="1">
          <a:extLst>
            <a:ext uri="{FF2B5EF4-FFF2-40B4-BE49-F238E27FC236}">
              <a16:creationId xmlns:a16="http://schemas.microsoft.com/office/drawing/2014/main" id="{D8A2098F-7BCD-4D23-A1B0-DC1E39F84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13" name="BEx5BJQWS6YWHH4ZMSUAMD641V6Y" descr="ZTMFMXCIQSECDX38ALEFHUB00" hidden="1">
          <a:extLst>
            <a:ext uri="{FF2B5EF4-FFF2-40B4-BE49-F238E27FC236}">
              <a16:creationId xmlns:a16="http://schemas.microsoft.com/office/drawing/2014/main" id="{AE625F28-3EE4-4BA0-A246-1C1AD298D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3414" name="BExIFSCLN1G86X78PFLTSMRP0US5" descr="9JK4SPV4DG7VTCZIILWHXQU5J" hidden="1">
          <a:extLst>
            <a:ext uri="{FF2B5EF4-FFF2-40B4-BE49-F238E27FC236}">
              <a16:creationId xmlns:a16="http://schemas.microsoft.com/office/drawing/2014/main" id="{1E7A2528-BE62-42B4-9D52-FE2200829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15" name="BExW9676P0SKCVKK25QCGHPA3PAD" descr="9A4PWZ20RMSRF0PNECCDM75CA" hidden="1">
          <a:extLst>
            <a:ext uri="{FF2B5EF4-FFF2-40B4-BE49-F238E27FC236}">
              <a16:creationId xmlns:a16="http://schemas.microsoft.com/office/drawing/2014/main" id="{8D1C1169-4E5E-4659-838E-1652E118D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16" name="BExMM0AVUAIRNJLXB1FW8R0YB4ZZ" hidden="1">
          <a:extLst>
            <a:ext uri="{FF2B5EF4-FFF2-40B4-BE49-F238E27FC236}">
              <a16:creationId xmlns:a16="http://schemas.microsoft.com/office/drawing/2014/main" id="{8E700F01-E3BA-42FC-BCA0-F40C30414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17" name="BExQ7SXS9VUG7P6CACU2J7R2SGIZ" hidden="1">
          <a:extLst>
            <a:ext uri="{FF2B5EF4-FFF2-40B4-BE49-F238E27FC236}">
              <a16:creationId xmlns:a16="http://schemas.microsoft.com/office/drawing/2014/main" id="{C244F0B2-5F77-4F67-8D07-1FED6F88C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18" name="BExUBK0YZ5VYFY8TTITJGJU9S06A" hidden="1">
          <a:extLst>
            <a:ext uri="{FF2B5EF4-FFF2-40B4-BE49-F238E27FC236}">
              <a16:creationId xmlns:a16="http://schemas.microsoft.com/office/drawing/2014/main" id="{A92DF834-437F-4438-96C4-5A3197E34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3419" name="BExS3JDQWF7U3F5JTEVOE16ASIYK" hidden="1">
          <a:extLst>
            <a:ext uri="{FF2B5EF4-FFF2-40B4-BE49-F238E27FC236}">
              <a16:creationId xmlns:a16="http://schemas.microsoft.com/office/drawing/2014/main" id="{28D4DAB8-F0C9-47F2-B89E-502A17717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5433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20" name="BEx5BJQWS6YWHH4ZMSUAMD641V6Y" descr="ZTMFMXCIQSECDX38ALEFHUB00" hidden="1">
          <a:extLst>
            <a:ext uri="{FF2B5EF4-FFF2-40B4-BE49-F238E27FC236}">
              <a16:creationId xmlns:a16="http://schemas.microsoft.com/office/drawing/2014/main" id="{CC9DFF77-50B9-429A-84CD-7FE06B0E4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21" name="BExUBK0YZ5VYFY8TTITJGJU9S06A" hidden="1">
          <a:extLst>
            <a:ext uri="{FF2B5EF4-FFF2-40B4-BE49-F238E27FC236}">
              <a16:creationId xmlns:a16="http://schemas.microsoft.com/office/drawing/2014/main" id="{8A2AD4B3-02F2-4B61-9615-802458214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22" name="BExU3EX5JJCXCII4YKUJBFBGIJR2" descr="OF5ZI9PI5WH36VPANJ2DYLNMI" hidden="1">
          <a:extLst>
            <a:ext uri="{FF2B5EF4-FFF2-40B4-BE49-F238E27FC236}">
              <a16:creationId xmlns:a16="http://schemas.microsoft.com/office/drawing/2014/main" id="{B7016C99-D440-4035-8035-FB0CD4625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23" name="BExW9676P0SKCVKK25QCGHPA3PAD" descr="9A4PWZ20RMSRF0PNECCDM75CA" hidden="1">
          <a:extLst>
            <a:ext uri="{FF2B5EF4-FFF2-40B4-BE49-F238E27FC236}">
              <a16:creationId xmlns:a16="http://schemas.microsoft.com/office/drawing/2014/main" id="{F1BCBA7B-1521-4CCC-9811-2869161DF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24" name="BExMM0AVUAIRNJLXB1FW8R0YB4ZZ" hidden="1">
          <a:extLst>
            <a:ext uri="{FF2B5EF4-FFF2-40B4-BE49-F238E27FC236}">
              <a16:creationId xmlns:a16="http://schemas.microsoft.com/office/drawing/2014/main" id="{D7004ECB-9F52-41CC-868B-1538E53CE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25" name="BExQ7SXS9VUG7P6CACU2J7R2SGIZ" hidden="1">
          <a:extLst>
            <a:ext uri="{FF2B5EF4-FFF2-40B4-BE49-F238E27FC236}">
              <a16:creationId xmlns:a16="http://schemas.microsoft.com/office/drawing/2014/main" id="{7432825E-F5C6-4D6D-BE4F-911CDF15C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26" name="BExU3EX5JJCXCII4YKUJBFBGIJR2" descr="OF5ZI9PI5WH36VPANJ2DYLNMI" hidden="1">
          <a:extLst>
            <a:ext uri="{FF2B5EF4-FFF2-40B4-BE49-F238E27FC236}">
              <a16:creationId xmlns:a16="http://schemas.microsoft.com/office/drawing/2014/main" id="{F2D50AB0-9724-4224-B25A-EDF9D098E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27" name="BExW9676P0SKCVKK25QCGHPA3PAD" descr="9A4PWZ20RMSRF0PNECCDM75CA" hidden="1">
          <a:extLst>
            <a:ext uri="{FF2B5EF4-FFF2-40B4-BE49-F238E27FC236}">
              <a16:creationId xmlns:a16="http://schemas.microsoft.com/office/drawing/2014/main" id="{EA1B258A-9642-4C71-8FED-61EF1BFFC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28" name="BExMM0AVUAIRNJLXB1FW8R0YB4ZZ" hidden="1">
          <a:extLst>
            <a:ext uri="{FF2B5EF4-FFF2-40B4-BE49-F238E27FC236}">
              <a16:creationId xmlns:a16="http://schemas.microsoft.com/office/drawing/2014/main" id="{F9D38D8B-866A-4010-9408-811AA2DC0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29" name="BExQ7SXS9VUG7P6CACU2J7R2SGIZ" hidden="1">
          <a:extLst>
            <a:ext uri="{FF2B5EF4-FFF2-40B4-BE49-F238E27FC236}">
              <a16:creationId xmlns:a16="http://schemas.microsoft.com/office/drawing/2014/main" id="{45E61E35-2244-4B83-9018-72A410D11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30" name="BEx5BJQWS6YWHH4ZMSUAMD641V6Y" descr="ZTMFMXCIQSECDX38ALEFHUB00" hidden="1">
          <a:extLst>
            <a:ext uri="{FF2B5EF4-FFF2-40B4-BE49-F238E27FC236}">
              <a16:creationId xmlns:a16="http://schemas.microsoft.com/office/drawing/2014/main" id="{631AD044-A434-4C9E-A522-A2B4E4453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31" name="BExUBK0YZ5VYFY8TTITJGJU9S06A" hidden="1">
          <a:extLst>
            <a:ext uri="{FF2B5EF4-FFF2-40B4-BE49-F238E27FC236}">
              <a16:creationId xmlns:a16="http://schemas.microsoft.com/office/drawing/2014/main" id="{905751C0-6ADC-445D-B078-C29986F5E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32" name="BEx5BJQWS6YWHH4ZMSUAMD641V6Y" descr="ZTMFMXCIQSECDX38ALEFHUB00" hidden="1">
          <a:extLst>
            <a:ext uri="{FF2B5EF4-FFF2-40B4-BE49-F238E27FC236}">
              <a16:creationId xmlns:a16="http://schemas.microsoft.com/office/drawing/2014/main" id="{2C10A64E-A67B-4CFB-A790-DEBF7ECB7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33" name="BExUBK0YZ5VYFY8TTITJGJU9S06A" hidden="1">
          <a:extLst>
            <a:ext uri="{FF2B5EF4-FFF2-40B4-BE49-F238E27FC236}">
              <a16:creationId xmlns:a16="http://schemas.microsoft.com/office/drawing/2014/main" id="{09D72221-0043-443A-9234-FB55E140C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34" name="BEx5BJQWS6YWHH4ZMSUAMD641V6Y" descr="ZTMFMXCIQSECDX38ALEFHUB00" hidden="1">
          <a:extLst>
            <a:ext uri="{FF2B5EF4-FFF2-40B4-BE49-F238E27FC236}">
              <a16:creationId xmlns:a16="http://schemas.microsoft.com/office/drawing/2014/main" id="{94B2BBD4-FCCD-492C-994A-D177DA100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35" name="BExUBK0YZ5VYFY8TTITJGJU9S06A" hidden="1">
          <a:extLst>
            <a:ext uri="{FF2B5EF4-FFF2-40B4-BE49-F238E27FC236}">
              <a16:creationId xmlns:a16="http://schemas.microsoft.com/office/drawing/2014/main" id="{D4E20E74-2040-4C67-B05A-908D554DE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36" name="BEx5BJQWS6YWHH4ZMSUAMD641V6Y" descr="ZTMFMXCIQSECDX38ALEFHUB00" hidden="1">
          <a:extLst>
            <a:ext uri="{FF2B5EF4-FFF2-40B4-BE49-F238E27FC236}">
              <a16:creationId xmlns:a16="http://schemas.microsoft.com/office/drawing/2014/main" id="{CA8393EA-FE6B-45A1-8A62-D5053F343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37" name="BExUBK0YZ5VYFY8TTITJGJU9S06A" hidden="1">
          <a:extLst>
            <a:ext uri="{FF2B5EF4-FFF2-40B4-BE49-F238E27FC236}">
              <a16:creationId xmlns:a16="http://schemas.microsoft.com/office/drawing/2014/main" id="{E6A6A895-EF5C-436D-B5D4-A5528ADE9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38" name="BEx5BJQWS6YWHH4ZMSUAMD641V6Y" descr="ZTMFMXCIQSECDX38ALEFHUB00" hidden="1">
          <a:extLst>
            <a:ext uri="{FF2B5EF4-FFF2-40B4-BE49-F238E27FC236}">
              <a16:creationId xmlns:a16="http://schemas.microsoft.com/office/drawing/2014/main" id="{3DC73BDE-DE8C-4331-9B1B-29B83A46A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39" name="BExUBK0YZ5VYFY8TTITJGJU9S06A" hidden="1">
          <a:extLst>
            <a:ext uri="{FF2B5EF4-FFF2-40B4-BE49-F238E27FC236}">
              <a16:creationId xmlns:a16="http://schemas.microsoft.com/office/drawing/2014/main" id="{3AEAC93B-329A-49CB-8C5F-CFAE2BAD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40" name="BEx5BJQWS6YWHH4ZMSUAMD641V6Y" descr="ZTMFMXCIQSECDX38ALEFHUB00" hidden="1">
          <a:extLst>
            <a:ext uri="{FF2B5EF4-FFF2-40B4-BE49-F238E27FC236}">
              <a16:creationId xmlns:a16="http://schemas.microsoft.com/office/drawing/2014/main" id="{E9F15D97-7572-4B83-B224-5BBDDF3A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41" name="BExUBK0YZ5VYFY8TTITJGJU9S06A" hidden="1">
          <a:extLst>
            <a:ext uri="{FF2B5EF4-FFF2-40B4-BE49-F238E27FC236}">
              <a16:creationId xmlns:a16="http://schemas.microsoft.com/office/drawing/2014/main" id="{7FAF819B-5012-4961-8D32-7D2F29472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42" name="BEx5BJQWS6YWHH4ZMSUAMD641V6Y" descr="ZTMFMXCIQSECDX38ALEFHUB00" hidden="1">
          <a:extLst>
            <a:ext uri="{FF2B5EF4-FFF2-40B4-BE49-F238E27FC236}">
              <a16:creationId xmlns:a16="http://schemas.microsoft.com/office/drawing/2014/main" id="{97719EB1-5249-4387-9C2C-B62BD38A0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43" name="BExUBK0YZ5VYFY8TTITJGJU9S06A" hidden="1">
          <a:extLst>
            <a:ext uri="{FF2B5EF4-FFF2-40B4-BE49-F238E27FC236}">
              <a16:creationId xmlns:a16="http://schemas.microsoft.com/office/drawing/2014/main" id="{A8BC4B84-A0AE-4AF5-AEAD-4F9E32018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44" name="BEx5BJQWS6YWHH4ZMSUAMD641V6Y" descr="ZTMFMXCIQSECDX38ALEFHUB00" hidden="1">
          <a:extLst>
            <a:ext uri="{FF2B5EF4-FFF2-40B4-BE49-F238E27FC236}">
              <a16:creationId xmlns:a16="http://schemas.microsoft.com/office/drawing/2014/main" id="{B628367B-73EE-4A5A-B699-34B9F316F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45" name="BExUBK0YZ5VYFY8TTITJGJU9S06A" hidden="1">
          <a:extLst>
            <a:ext uri="{FF2B5EF4-FFF2-40B4-BE49-F238E27FC236}">
              <a16:creationId xmlns:a16="http://schemas.microsoft.com/office/drawing/2014/main" id="{6459AF56-92E6-46E8-B77A-2521D0D15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46" name="BEx5BJQWS6YWHH4ZMSUAMD641V6Y" descr="ZTMFMXCIQSECDX38ALEFHUB00" hidden="1">
          <a:extLst>
            <a:ext uri="{FF2B5EF4-FFF2-40B4-BE49-F238E27FC236}">
              <a16:creationId xmlns:a16="http://schemas.microsoft.com/office/drawing/2014/main" id="{8E63BE4C-BC91-479A-8131-ECB395112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47" name="BExUBK0YZ5VYFY8TTITJGJU9S06A" hidden="1">
          <a:extLst>
            <a:ext uri="{FF2B5EF4-FFF2-40B4-BE49-F238E27FC236}">
              <a16:creationId xmlns:a16="http://schemas.microsoft.com/office/drawing/2014/main" id="{91D30790-EF1C-40B2-9839-B1A334203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48" name="BExU3EX5JJCXCII4YKUJBFBGIJR2" descr="OF5ZI9PI5WH36VPANJ2DYLNMI" hidden="1">
          <a:extLst>
            <a:ext uri="{FF2B5EF4-FFF2-40B4-BE49-F238E27FC236}">
              <a16:creationId xmlns:a16="http://schemas.microsoft.com/office/drawing/2014/main" id="{1B4BDC6E-0B9D-4F82-A9EA-9A9643E34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49" name="BExW9676P0SKCVKK25QCGHPA3PAD" descr="9A4PWZ20RMSRF0PNECCDM75CA" hidden="1">
          <a:extLst>
            <a:ext uri="{FF2B5EF4-FFF2-40B4-BE49-F238E27FC236}">
              <a16:creationId xmlns:a16="http://schemas.microsoft.com/office/drawing/2014/main" id="{A37195F9-A46A-44F9-AFB2-CB16BA453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50" name="BExMM0AVUAIRNJLXB1FW8R0YB4ZZ" hidden="1">
          <a:extLst>
            <a:ext uri="{FF2B5EF4-FFF2-40B4-BE49-F238E27FC236}">
              <a16:creationId xmlns:a16="http://schemas.microsoft.com/office/drawing/2014/main" id="{51F174E6-8A7E-4E48-9812-8057D02C3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51" name="BExQ7SXS9VUG7P6CACU2J7R2SGIZ" hidden="1">
          <a:extLst>
            <a:ext uri="{FF2B5EF4-FFF2-40B4-BE49-F238E27FC236}">
              <a16:creationId xmlns:a16="http://schemas.microsoft.com/office/drawing/2014/main" id="{07CE8FBE-2198-45CE-B4BD-BD07C2EA4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52" name="BExU3EX5JJCXCII4YKUJBFBGIJR2" descr="OF5ZI9PI5WH36VPANJ2DYLNMI" hidden="1">
          <a:extLst>
            <a:ext uri="{FF2B5EF4-FFF2-40B4-BE49-F238E27FC236}">
              <a16:creationId xmlns:a16="http://schemas.microsoft.com/office/drawing/2014/main" id="{60DB05C5-3390-44FE-B050-C70FFB619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53" name="BExW9676P0SKCVKK25QCGHPA3PAD" descr="9A4PWZ20RMSRF0PNECCDM75CA" hidden="1">
          <a:extLst>
            <a:ext uri="{FF2B5EF4-FFF2-40B4-BE49-F238E27FC236}">
              <a16:creationId xmlns:a16="http://schemas.microsoft.com/office/drawing/2014/main" id="{36CDD864-D853-47B0-B109-4498675CB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54" name="BExMM0AVUAIRNJLXB1FW8R0YB4ZZ" hidden="1">
          <a:extLst>
            <a:ext uri="{FF2B5EF4-FFF2-40B4-BE49-F238E27FC236}">
              <a16:creationId xmlns:a16="http://schemas.microsoft.com/office/drawing/2014/main" id="{0044A9C6-AB6B-493D-B491-3A8C252A0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55" name="BExQ7SXS9VUG7P6CACU2J7R2SGIZ" hidden="1">
          <a:extLst>
            <a:ext uri="{FF2B5EF4-FFF2-40B4-BE49-F238E27FC236}">
              <a16:creationId xmlns:a16="http://schemas.microsoft.com/office/drawing/2014/main" id="{FC0A464A-E5C9-4D37-9741-A1C69F56E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56" name="BEx5BJQWS6YWHH4ZMSUAMD641V6Y" descr="ZTMFMXCIQSECDX38ALEFHUB00" hidden="1">
          <a:extLst>
            <a:ext uri="{FF2B5EF4-FFF2-40B4-BE49-F238E27FC236}">
              <a16:creationId xmlns:a16="http://schemas.microsoft.com/office/drawing/2014/main" id="{6BE52CD9-47F5-4134-A785-085286622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57" name="BExUBK0YZ5VYFY8TTITJGJU9S06A" hidden="1">
          <a:extLst>
            <a:ext uri="{FF2B5EF4-FFF2-40B4-BE49-F238E27FC236}">
              <a16:creationId xmlns:a16="http://schemas.microsoft.com/office/drawing/2014/main" id="{F733C935-0E4B-4E53-8197-C9C18B00C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58" name="BEx5BJQWS6YWHH4ZMSUAMD641V6Y" descr="ZTMFMXCIQSECDX38ALEFHUB00" hidden="1">
          <a:extLst>
            <a:ext uri="{FF2B5EF4-FFF2-40B4-BE49-F238E27FC236}">
              <a16:creationId xmlns:a16="http://schemas.microsoft.com/office/drawing/2014/main" id="{CC65E88A-4227-4C03-8B73-B60E47360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59" name="BExUBK0YZ5VYFY8TTITJGJU9S06A" hidden="1">
          <a:extLst>
            <a:ext uri="{FF2B5EF4-FFF2-40B4-BE49-F238E27FC236}">
              <a16:creationId xmlns:a16="http://schemas.microsoft.com/office/drawing/2014/main" id="{AC748984-4A21-4162-81C3-0ED4E27BA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60" name="BEx5BJQWS6YWHH4ZMSUAMD641V6Y" descr="ZTMFMXCIQSECDX38ALEFHUB00" hidden="1">
          <a:extLst>
            <a:ext uri="{FF2B5EF4-FFF2-40B4-BE49-F238E27FC236}">
              <a16:creationId xmlns:a16="http://schemas.microsoft.com/office/drawing/2014/main" id="{3BA3673D-549B-4A7D-A3B2-63E5FB0D7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61" name="BExUBK0YZ5VYFY8TTITJGJU9S06A" hidden="1">
          <a:extLst>
            <a:ext uri="{FF2B5EF4-FFF2-40B4-BE49-F238E27FC236}">
              <a16:creationId xmlns:a16="http://schemas.microsoft.com/office/drawing/2014/main" id="{09BB343F-4280-4088-8F11-8904BAC0B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62" name="BEx5BJQWS6YWHH4ZMSUAMD641V6Y" descr="ZTMFMXCIQSECDX38ALEFHUB00" hidden="1">
          <a:extLst>
            <a:ext uri="{FF2B5EF4-FFF2-40B4-BE49-F238E27FC236}">
              <a16:creationId xmlns:a16="http://schemas.microsoft.com/office/drawing/2014/main" id="{C1A40A4D-63AF-48FB-9FD4-3269D02B2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63" name="BExUBK0YZ5VYFY8TTITJGJU9S06A" hidden="1">
          <a:extLst>
            <a:ext uri="{FF2B5EF4-FFF2-40B4-BE49-F238E27FC236}">
              <a16:creationId xmlns:a16="http://schemas.microsoft.com/office/drawing/2014/main" id="{3C77A48A-FBCD-4B3B-9628-4BD7A4129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64" name="BEx5BJQWS6YWHH4ZMSUAMD641V6Y" descr="ZTMFMXCIQSECDX38ALEFHUB00" hidden="1">
          <a:extLst>
            <a:ext uri="{FF2B5EF4-FFF2-40B4-BE49-F238E27FC236}">
              <a16:creationId xmlns:a16="http://schemas.microsoft.com/office/drawing/2014/main" id="{333C1535-2BD2-4732-B2FA-3F2D3210F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65" name="BExUBK0YZ5VYFY8TTITJGJU9S06A" hidden="1">
          <a:extLst>
            <a:ext uri="{FF2B5EF4-FFF2-40B4-BE49-F238E27FC236}">
              <a16:creationId xmlns:a16="http://schemas.microsoft.com/office/drawing/2014/main" id="{B98BCBB9-C85A-4BE8-B11C-98AC68946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66" name="BExU3EX5JJCXCII4YKUJBFBGIJR2" descr="OF5ZI9PI5WH36VPANJ2DYLNMI" hidden="1">
          <a:extLst>
            <a:ext uri="{FF2B5EF4-FFF2-40B4-BE49-F238E27FC236}">
              <a16:creationId xmlns:a16="http://schemas.microsoft.com/office/drawing/2014/main" id="{5C326B9F-909A-4235-AD76-A5D18927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67" name="BEx5BJQWS6YWHH4ZMSUAMD641V6Y" descr="ZTMFMXCIQSECDX38ALEFHUB00" hidden="1">
          <a:extLst>
            <a:ext uri="{FF2B5EF4-FFF2-40B4-BE49-F238E27FC236}">
              <a16:creationId xmlns:a16="http://schemas.microsoft.com/office/drawing/2014/main" id="{480CDD52-E6BC-4049-A932-F403E1C4B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3468" name="BExIFSCLN1G86X78PFLTSMRP0US5" descr="9JK4SPV4DG7VTCZIILWHXQU5J" hidden="1">
          <a:extLst>
            <a:ext uri="{FF2B5EF4-FFF2-40B4-BE49-F238E27FC236}">
              <a16:creationId xmlns:a16="http://schemas.microsoft.com/office/drawing/2014/main" id="{4DFDC777-F387-418B-AD54-57F0B6E36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69" name="BExW9676P0SKCVKK25QCGHPA3PAD" descr="9A4PWZ20RMSRF0PNECCDM75CA" hidden="1">
          <a:extLst>
            <a:ext uri="{FF2B5EF4-FFF2-40B4-BE49-F238E27FC236}">
              <a16:creationId xmlns:a16="http://schemas.microsoft.com/office/drawing/2014/main" id="{A5B55527-FDFD-49A9-BFC3-7CD58A37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70" name="BExMM0AVUAIRNJLXB1FW8R0YB4ZZ" hidden="1">
          <a:extLst>
            <a:ext uri="{FF2B5EF4-FFF2-40B4-BE49-F238E27FC236}">
              <a16:creationId xmlns:a16="http://schemas.microsoft.com/office/drawing/2014/main" id="{979931A8-1682-47D8-8DFE-3543CFC88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71" name="BExQ7SXS9VUG7P6CACU2J7R2SGIZ" hidden="1">
          <a:extLst>
            <a:ext uri="{FF2B5EF4-FFF2-40B4-BE49-F238E27FC236}">
              <a16:creationId xmlns:a16="http://schemas.microsoft.com/office/drawing/2014/main" id="{D06358F4-49B8-4414-AA6A-EE8694483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72" name="BExUBK0YZ5VYFY8TTITJGJU9S06A" hidden="1">
          <a:extLst>
            <a:ext uri="{FF2B5EF4-FFF2-40B4-BE49-F238E27FC236}">
              <a16:creationId xmlns:a16="http://schemas.microsoft.com/office/drawing/2014/main" id="{AE99B4A9-2594-4F9F-BAEF-A4D57FFBD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3473" name="BExS3JDQWF7U3F5JTEVOE16ASIYK" hidden="1">
          <a:extLst>
            <a:ext uri="{FF2B5EF4-FFF2-40B4-BE49-F238E27FC236}">
              <a16:creationId xmlns:a16="http://schemas.microsoft.com/office/drawing/2014/main" id="{1555DF16-7FB8-4A8C-AC8A-FC11CF6BF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5433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74" name="BEx5BJQWS6YWHH4ZMSUAMD641V6Y" descr="ZTMFMXCIQSECDX38ALEFHUB00" hidden="1">
          <a:extLst>
            <a:ext uri="{FF2B5EF4-FFF2-40B4-BE49-F238E27FC236}">
              <a16:creationId xmlns:a16="http://schemas.microsoft.com/office/drawing/2014/main" id="{3E7D6249-B8ED-4C18-831D-6627946F7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75" name="BExUBK0YZ5VYFY8TTITJGJU9S06A" hidden="1">
          <a:extLst>
            <a:ext uri="{FF2B5EF4-FFF2-40B4-BE49-F238E27FC236}">
              <a16:creationId xmlns:a16="http://schemas.microsoft.com/office/drawing/2014/main" id="{9A56F38F-038A-4812-BC08-B599B1693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76" name="BExU3EX5JJCXCII4YKUJBFBGIJR2" descr="OF5ZI9PI5WH36VPANJ2DYLNMI" hidden="1">
          <a:extLst>
            <a:ext uri="{FF2B5EF4-FFF2-40B4-BE49-F238E27FC236}">
              <a16:creationId xmlns:a16="http://schemas.microsoft.com/office/drawing/2014/main" id="{3B2EBE23-7C1B-4503-A6C6-876AABB37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77" name="BExW9676P0SKCVKK25QCGHPA3PAD" descr="9A4PWZ20RMSRF0PNECCDM75CA" hidden="1">
          <a:extLst>
            <a:ext uri="{FF2B5EF4-FFF2-40B4-BE49-F238E27FC236}">
              <a16:creationId xmlns:a16="http://schemas.microsoft.com/office/drawing/2014/main" id="{C9CAE53F-9F05-45B4-A7BB-9EDE38BAB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78" name="BExMM0AVUAIRNJLXB1FW8R0YB4ZZ" hidden="1">
          <a:extLst>
            <a:ext uri="{FF2B5EF4-FFF2-40B4-BE49-F238E27FC236}">
              <a16:creationId xmlns:a16="http://schemas.microsoft.com/office/drawing/2014/main" id="{67E65C9B-BD41-4DEC-9B1A-97AF8C515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79" name="BExQ7SXS9VUG7P6CACU2J7R2SGIZ" hidden="1">
          <a:extLst>
            <a:ext uri="{FF2B5EF4-FFF2-40B4-BE49-F238E27FC236}">
              <a16:creationId xmlns:a16="http://schemas.microsoft.com/office/drawing/2014/main" id="{84217DF3-EBD6-44DD-A259-15540BE0C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80" name="BExU3EX5JJCXCII4YKUJBFBGIJR2" descr="OF5ZI9PI5WH36VPANJ2DYLNMI" hidden="1">
          <a:extLst>
            <a:ext uri="{FF2B5EF4-FFF2-40B4-BE49-F238E27FC236}">
              <a16:creationId xmlns:a16="http://schemas.microsoft.com/office/drawing/2014/main" id="{5242E63E-9722-41DC-ABF3-C216B432A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81" name="BExW9676P0SKCVKK25QCGHPA3PAD" descr="9A4PWZ20RMSRF0PNECCDM75CA" hidden="1">
          <a:extLst>
            <a:ext uri="{FF2B5EF4-FFF2-40B4-BE49-F238E27FC236}">
              <a16:creationId xmlns:a16="http://schemas.microsoft.com/office/drawing/2014/main" id="{8EF33120-FC98-4AE5-9C86-8CF02F7B5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82" name="BExMM0AVUAIRNJLXB1FW8R0YB4ZZ" hidden="1">
          <a:extLst>
            <a:ext uri="{FF2B5EF4-FFF2-40B4-BE49-F238E27FC236}">
              <a16:creationId xmlns:a16="http://schemas.microsoft.com/office/drawing/2014/main" id="{6CFC4968-F524-4B9B-B98C-97E6B426E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483" name="BExQ7SXS9VUG7P6CACU2J7R2SGIZ" hidden="1">
          <a:extLst>
            <a:ext uri="{FF2B5EF4-FFF2-40B4-BE49-F238E27FC236}">
              <a16:creationId xmlns:a16="http://schemas.microsoft.com/office/drawing/2014/main" id="{7E2BA57C-5514-4EA4-9034-CFB8C8153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84" name="BEx5BJQWS6YWHH4ZMSUAMD641V6Y" descr="ZTMFMXCIQSECDX38ALEFHUB00" hidden="1">
          <a:extLst>
            <a:ext uri="{FF2B5EF4-FFF2-40B4-BE49-F238E27FC236}">
              <a16:creationId xmlns:a16="http://schemas.microsoft.com/office/drawing/2014/main" id="{5A836FB4-B363-4119-8401-A16E27890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85" name="BExUBK0YZ5VYFY8TTITJGJU9S06A" hidden="1">
          <a:extLst>
            <a:ext uri="{FF2B5EF4-FFF2-40B4-BE49-F238E27FC236}">
              <a16:creationId xmlns:a16="http://schemas.microsoft.com/office/drawing/2014/main" id="{520B0BF1-8399-45F6-89D5-EFB6D67AF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86" name="BEx5BJQWS6YWHH4ZMSUAMD641V6Y" descr="ZTMFMXCIQSECDX38ALEFHUB00" hidden="1">
          <a:extLst>
            <a:ext uri="{FF2B5EF4-FFF2-40B4-BE49-F238E27FC236}">
              <a16:creationId xmlns:a16="http://schemas.microsoft.com/office/drawing/2014/main" id="{BD546467-4D63-4D80-9997-7B7A7DB23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87" name="BExUBK0YZ5VYFY8TTITJGJU9S06A" hidden="1">
          <a:extLst>
            <a:ext uri="{FF2B5EF4-FFF2-40B4-BE49-F238E27FC236}">
              <a16:creationId xmlns:a16="http://schemas.microsoft.com/office/drawing/2014/main" id="{123C2106-270F-4AE8-8DC5-9E68447B3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88" name="BEx5BJQWS6YWHH4ZMSUAMD641V6Y" descr="ZTMFMXCIQSECDX38ALEFHUB00" hidden="1">
          <a:extLst>
            <a:ext uri="{FF2B5EF4-FFF2-40B4-BE49-F238E27FC236}">
              <a16:creationId xmlns:a16="http://schemas.microsoft.com/office/drawing/2014/main" id="{D4A29912-8CBA-451D-8773-F762A38D2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89" name="BExUBK0YZ5VYFY8TTITJGJU9S06A" hidden="1">
          <a:extLst>
            <a:ext uri="{FF2B5EF4-FFF2-40B4-BE49-F238E27FC236}">
              <a16:creationId xmlns:a16="http://schemas.microsoft.com/office/drawing/2014/main" id="{F13AEEB0-6E6D-4D0B-B902-CE8EACD81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90" name="BEx5BJQWS6YWHH4ZMSUAMD641V6Y" descr="ZTMFMXCIQSECDX38ALEFHUB00" hidden="1">
          <a:extLst>
            <a:ext uri="{FF2B5EF4-FFF2-40B4-BE49-F238E27FC236}">
              <a16:creationId xmlns:a16="http://schemas.microsoft.com/office/drawing/2014/main" id="{1FC33A1F-C75B-45C5-90C9-C4505E324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91" name="BExUBK0YZ5VYFY8TTITJGJU9S06A" hidden="1">
          <a:extLst>
            <a:ext uri="{FF2B5EF4-FFF2-40B4-BE49-F238E27FC236}">
              <a16:creationId xmlns:a16="http://schemas.microsoft.com/office/drawing/2014/main" id="{FF1EAE8D-FCBD-4E22-875C-C40C4FADE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92" name="BEx5BJQWS6YWHH4ZMSUAMD641V6Y" descr="ZTMFMXCIQSECDX38ALEFHUB00" hidden="1">
          <a:extLst>
            <a:ext uri="{FF2B5EF4-FFF2-40B4-BE49-F238E27FC236}">
              <a16:creationId xmlns:a16="http://schemas.microsoft.com/office/drawing/2014/main" id="{42740F06-6635-4E8D-937B-B0E1CA367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93" name="BExUBK0YZ5VYFY8TTITJGJU9S06A" hidden="1">
          <a:extLst>
            <a:ext uri="{FF2B5EF4-FFF2-40B4-BE49-F238E27FC236}">
              <a16:creationId xmlns:a16="http://schemas.microsoft.com/office/drawing/2014/main" id="{4DC18C0F-4969-4553-9635-E11F97013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94" name="BEx5BJQWS6YWHH4ZMSUAMD641V6Y" descr="ZTMFMXCIQSECDX38ALEFHUB00" hidden="1">
          <a:extLst>
            <a:ext uri="{FF2B5EF4-FFF2-40B4-BE49-F238E27FC236}">
              <a16:creationId xmlns:a16="http://schemas.microsoft.com/office/drawing/2014/main" id="{F137C685-4E1F-4C31-ABE1-C4444DE67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95" name="BExUBK0YZ5VYFY8TTITJGJU9S06A" hidden="1">
          <a:extLst>
            <a:ext uri="{FF2B5EF4-FFF2-40B4-BE49-F238E27FC236}">
              <a16:creationId xmlns:a16="http://schemas.microsoft.com/office/drawing/2014/main" id="{40E19154-900D-4B62-8856-43EFDF041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96" name="BEx5BJQWS6YWHH4ZMSUAMD641V6Y" descr="ZTMFMXCIQSECDX38ALEFHUB00" hidden="1">
          <a:extLst>
            <a:ext uri="{FF2B5EF4-FFF2-40B4-BE49-F238E27FC236}">
              <a16:creationId xmlns:a16="http://schemas.microsoft.com/office/drawing/2014/main" id="{323F1791-84D6-4BD3-93B2-FB548CC73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97" name="BExUBK0YZ5VYFY8TTITJGJU9S06A" hidden="1">
          <a:extLst>
            <a:ext uri="{FF2B5EF4-FFF2-40B4-BE49-F238E27FC236}">
              <a16:creationId xmlns:a16="http://schemas.microsoft.com/office/drawing/2014/main" id="{4FF80B0F-96BC-435E-916F-858746689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98" name="BEx5BJQWS6YWHH4ZMSUAMD641V6Y" descr="ZTMFMXCIQSECDX38ALEFHUB00" hidden="1">
          <a:extLst>
            <a:ext uri="{FF2B5EF4-FFF2-40B4-BE49-F238E27FC236}">
              <a16:creationId xmlns:a16="http://schemas.microsoft.com/office/drawing/2014/main" id="{126C00EB-7D5D-4018-9631-1F99D50A5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499" name="BExUBK0YZ5VYFY8TTITJGJU9S06A" hidden="1">
          <a:extLst>
            <a:ext uri="{FF2B5EF4-FFF2-40B4-BE49-F238E27FC236}">
              <a16:creationId xmlns:a16="http://schemas.microsoft.com/office/drawing/2014/main" id="{59665600-0249-4947-9D17-23952A437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500" name="BEx5BJQWS6YWHH4ZMSUAMD641V6Y" descr="ZTMFMXCIQSECDX38ALEFHUB00" hidden="1">
          <a:extLst>
            <a:ext uri="{FF2B5EF4-FFF2-40B4-BE49-F238E27FC236}">
              <a16:creationId xmlns:a16="http://schemas.microsoft.com/office/drawing/2014/main" id="{A9227DD7-76A4-487F-BBE4-AD2832E5C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501" name="BExUBK0YZ5VYFY8TTITJGJU9S06A" hidden="1">
          <a:extLst>
            <a:ext uri="{FF2B5EF4-FFF2-40B4-BE49-F238E27FC236}">
              <a16:creationId xmlns:a16="http://schemas.microsoft.com/office/drawing/2014/main" id="{A702B169-5AB2-4FB9-A59A-715F53119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502" name="BExU3EX5JJCXCII4YKUJBFBGIJR2" descr="OF5ZI9PI5WH36VPANJ2DYLNMI" hidden="1">
          <a:extLst>
            <a:ext uri="{FF2B5EF4-FFF2-40B4-BE49-F238E27FC236}">
              <a16:creationId xmlns:a16="http://schemas.microsoft.com/office/drawing/2014/main" id="{6EFBD668-263F-4B67-9FE6-156792CEB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503" name="BExW9676P0SKCVKK25QCGHPA3PAD" descr="9A4PWZ20RMSRF0PNECCDM75CA" hidden="1">
          <a:extLst>
            <a:ext uri="{FF2B5EF4-FFF2-40B4-BE49-F238E27FC236}">
              <a16:creationId xmlns:a16="http://schemas.microsoft.com/office/drawing/2014/main" id="{FD6809B4-54A5-4E9F-B3E4-AECE214AC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504" name="BExMM0AVUAIRNJLXB1FW8R0YB4ZZ" hidden="1">
          <a:extLst>
            <a:ext uri="{FF2B5EF4-FFF2-40B4-BE49-F238E27FC236}">
              <a16:creationId xmlns:a16="http://schemas.microsoft.com/office/drawing/2014/main" id="{8AB66AA0-D523-4E5B-90D1-A4588DEC5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505" name="BExQ7SXS9VUG7P6CACU2J7R2SGIZ" hidden="1">
          <a:extLst>
            <a:ext uri="{FF2B5EF4-FFF2-40B4-BE49-F238E27FC236}">
              <a16:creationId xmlns:a16="http://schemas.microsoft.com/office/drawing/2014/main" id="{DE782453-04F6-4640-A49B-1458A358F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506" name="BExU3EX5JJCXCII4YKUJBFBGIJR2" descr="OF5ZI9PI5WH36VPANJ2DYLNMI" hidden="1">
          <a:extLst>
            <a:ext uri="{FF2B5EF4-FFF2-40B4-BE49-F238E27FC236}">
              <a16:creationId xmlns:a16="http://schemas.microsoft.com/office/drawing/2014/main" id="{D124E9CE-AA27-43D4-87FD-8BD352E42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507" name="BExW9676P0SKCVKK25QCGHPA3PAD" descr="9A4PWZ20RMSRF0PNECCDM75CA" hidden="1">
          <a:extLst>
            <a:ext uri="{FF2B5EF4-FFF2-40B4-BE49-F238E27FC236}">
              <a16:creationId xmlns:a16="http://schemas.microsoft.com/office/drawing/2014/main" id="{DCAE4AAE-BE90-4F8D-A18D-C6D77D4BB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508" name="BExMM0AVUAIRNJLXB1FW8R0YB4ZZ" hidden="1">
          <a:extLst>
            <a:ext uri="{FF2B5EF4-FFF2-40B4-BE49-F238E27FC236}">
              <a16:creationId xmlns:a16="http://schemas.microsoft.com/office/drawing/2014/main" id="{5342B205-DC9E-4AD1-93AD-3C7475646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3509" name="BExQ7SXS9VUG7P6CACU2J7R2SGIZ" hidden="1">
          <a:extLst>
            <a:ext uri="{FF2B5EF4-FFF2-40B4-BE49-F238E27FC236}">
              <a16:creationId xmlns:a16="http://schemas.microsoft.com/office/drawing/2014/main" id="{43FB5145-3F99-4C54-8345-CB17F8534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510" name="BEx5BJQWS6YWHH4ZMSUAMD641V6Y" descr="ZTMFMXCIQSECDX38ALEFHUB00" hidden="1">
          <a:extLst>
            <a:ext uri="{FF2B5EF4-FFF2-40B4-BE49-F238E27FC236}">
              <a16:creationId xmlns:a16="http://schemas.microsoft.com/office/drawing/2014/main" id="{4AF48D40-AD17-46B5-A472-67C7F07F0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511" name="BExUBK0YZ5VYFY8TTITJGJU9S06A" hidden="1">
          <a:extLst>
            <a:ext uri="{FF2B5EF4-FFF2-40B4-BE49-F238E27FC236}">
              <a16:creationId xmlns:a16="http://schemas.microsoft.com/office/drawing/2014/main" id="{3A79CA6D-48FA-4D29-B7B4-D0B9FF7D1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512" name="BEx5BJQWS6YWHH4ZMSUAMD641V6Y" descr="ZTMFMXCIQSECDX38ALEFHUB00" hidden="1">
          <a:extLst>
            <a:ext uri="{FF2B5EF4-FFF2-40B4-BE49-F238E27FC236}">
              <a16:creationId xmlns:a16="http://schemas.microsoft.com/office/drawing/2014/main" id="{E550B833-7526-464A-86A6-6B51BF1A2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513" name="BExUBK0YZ5VYFY8TTITJGJU9S06A" hidden="1">
          <a:extLst>
            <a:ext uri="{FF2B5EF4-FFF2-40B4-BE49-F238E27FC236}">
              <a16:creationId xmlns:a16="http://schemas.microsoft.com/office/drawing/2014/main" id="{6BD278A7-FEBD-4621-BB65-D5461BEC1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514" name="BEx5BJQWS6YWHH4ZMSUAMD641V6Y" descr="ZTMFMXCIQSECDX38ALEFHUB00" hidden="1">
          <a:extLst>
            <a:ext uri="{FF2B5EF4-FFF2-40B4-BE49-F238E27FC236}">
              <a16:creationId xmlns:a16="http://schemas.microsoft.com/office/drawing/2014/main" id="{D8639638-F33F-4133-B942-A6ED194E0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515" name="BExUBK0YZ5VYFY8TTITJGJU9S06A" hidden="1">
          <a:extLst>
            <a:ext uri="{FF2B5EF4-FFF2-40B4-BE49-F238E27FC236}">
              <a16:creationId xmlns:a16="http://schemas.microsoft.com/office/drawing/2014/main" id="{9C385938-1934-4FB5-AF0F-2CBCF8FC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516" name="BEx5BJQWS6YWHH4ZMSUAMD641V6Y" descr="ZTMFMXCIQSECDX38ALEFHUB00" hidden="1">
          <a:extLst>
            <a:ext uri="{FF2B5EF4-FFF2-40B4-BE49-F238E27FC236}">
              <a16:creationId xmlns:a16="http://schemas.microsoft.com/office/drawing/2014/main" id="{5C51DCD4-CB91-4BF5-B340-2AC9E4A15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517" name="BExUBK0YZ5VYFY8TTITJGJU9S06A" hidden="1">
          <a:extLst>
            <a:ext uri="{FF2B5EF4-FFF2-40B4-BE49-F238E27FC236}">
              <a16:creationId xmlns:a16="http://schemas.microsoft.com/office/drawing/2014/main" id="{0527034F-096A-472B-84DB-E45139758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518" name="BEx5BJQWS6YWHH4ZMSUAMD641V6Y" descr="ZTMFMXCIQSECDX38ALEFHUB00" hidden="1">
          <a:extLst>
            <a:ext uri="{FF2B5EF4-FFF2-40B4-BE49-F238E27FC236}">
              <a16:creationId xmlns:a16="http://schemas.microsoft.com/office/drawing/2014/main" id="{05C143CF-6265-4B6F-86D9-A1AFBFB6E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519" name="BExUBK0YZ5VYFY8TTITJGJU9S06A" hidden="1">
          <a:extLst>
            <a:ext uri="{FF2B5EF4-FFF2-40B4-BE49-F238E27FC236}">
              <a16:creationId xmlns:a16="http://schemas.microsoft.com/office/drawing/2014/main" id="{A6663D12-237B-4CB8-94D2-1438B6F06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3520" name="BEx1KD7H6UB1VYCJ7O61P562EIUY" descr="IQGV9140X0K0UPBL8OGU3I44J" hidden="1">
          <a:extLst>
            <a:ext uri="{FF2B5EF4-FFF2-40B4-BE49-F238E27FC236}">
              <a16:creationId xmlns:a16="http://schemas.microsoft.com/office/drawing/2014/main" id="{1B6E51F0-C4F2-4EF4-BB45-0FB189E8B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3521" name="BEx5AQZ4ETQ9LMY5EBWVH20Z7VXQ" hidden="1">
          <a:extLst>
            <a:ext uri="{FF2B5EF4-FFF2-40B4-BE49-F238E27FC236}">
              <a16:creationId xmlns:a16="http://schemas.microsoft.com/office/drawing/2014/main" id="{6307561F-DB6D-428C-AB45-5DEBBF9D2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3522" name="BEx1KD7H6UB1VYCJ7O61P562EIUY" descr="IQGV9140X0K0UPBL8OGU3I44J" hidden="1">
          <a:extLst>
            <a:ext uri="{FF2B5EF4-FFF2-40B4-BE49-F238E27FC236}">
              <a16:creationId xmlns:a16="http://schemas.microsoft.com/office/drawing/2014/main" id="{8D6E1360-F5A1-43AA-83A0-F02DFECD2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3523" name="BEx5AQZ4ETQ9LMY5EBWVH20Z7VXQ" hidden="1">
          <a:extLst>
            <a:ext uri="{FF2B5EF4-FFF2-40B4-BE49-F238E27FC236}">
              <a16:creationId xmlns:a16="http://schemas.microsoft.com/office/drawing/2014/main" id="{6AC30AB5-5C59-4BD7-970A-5B8DAB9C8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24" name="BEx1KD7H6UB1VYCJ7O61P562EIUY" descr="IQGV9140X0K0UPBL8OGU3I44J" hidden="1">
          <a:extLst>
            <a:ext uri="{FF2B5EF4-FFF2-40B4-BE49-F238E27FC236}">
              <a16:creationId xmlns:a16="http://schemas.microsoft.com/office/drawing/2014/main" id="{EF216766-4C70-4DF4-B23C-802386906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525" name="BEx5BJQWS6YWHH4ZMSUAMD641V6Y" descr="ZTMFMXCIQSECDX38ALEFHUB00" hidden="1">
          <a:extLst>
            <a:ext uri="{FF2B5EF4-FFF2-40B4-BE49-F238E27FC236}">
              <a16:creationId xmlns:a16="http://schemas.microsoft.com/office/drawing/2014/main" id="{618AE1B0-23A3-4733-9A6B-C550322CF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26" name="BEx5AQZ4ETQ9LMY5EBWVH20Z7VXQ" hidden="1">
          <a:extLst>
            <a:ext uri="{FF2B5EF4-FFF2-40B4-BE49-F238E27FC236}">
              <a16:creationId xmlns:a16="http://schemas.microsoft.com/office/drawing/2014/main" id="{00EB2EB3-ACC1-482D-893A-34DB3FD3D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527" name="BExUBK0YZ5VYFY8TTITJGJU9S06A" hidden="1">
          <a:extLst>
            <a:ext uri="{FF2B5EF4-FFF2-40B4-BE49-F238E27FC236}">
              <a16:creationId xmlns:a16="http://schemas.microsoft.com/office/drawing/2014/main" id="{462CBFB5-5A51-42B9-86E7-F29ABC682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3528" name="BEx1KD7H6UB1VYCJ7O61P562EIUY" descr="IQGV9140X0K0UPBL8OGU3I44J" hidden="1">
          <a:extLst>
            <a:ext uri="{FF2B5EF4-FFF2-40B4-BE49-F238E27FC236}">
              <a16:creationId xmlns:a16="http://schemas.microsoft.com/office/drawing/2014/main" id="{758234F6-AD52-487B-B732-8BDD7C1C3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3529" name="BEx5AQZ4ETQ9LMY5EBWVH20Z7VXQ" hidden="1">
          <a:extLst>
            <a:ext uri="{FF2B5EF4-FFF2-40B4-BE49-F238E27FC236}">
              <a16:creationId xmlns:a16="http://schemas.microsoft.com/office/drawing/2014/main" id="{8C7E8278-326A-4BF6-B7A5-C37AC23E9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30" name="BEx1KD7H6UB1VYCJ7O61P562EIUY" descr="IQGV9140X0K0UPBL8OGU3I44J" hidden="1">
          <a:extLst>
            <a:ext uri="{FF2B5EF4-FFF2-40B4-BE49-F238E27FC236}">
              <a16:creationId xmlns:a16="http://schemas.microsoft.com/office/drawing/2014/main" id="{B250DE6A-AC34-437D-AC59-C7B47C546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531" name="BEx5BJQWS6YWHH4ZMSUAMD641V6Y" descr="ZTMFMXCIQSECDX38ALEFHUB00" hidden="1">
          <a:extLst>
            <a:ext uri="{FF2B5EF4-FFF2-40B4-BE49-F238E27FC236}">
              <a16:creationId xmlns:a16="http://schemas.microsoft.com/office/drawing/2014/main" id="{537646AE-DE92-42F9-B043-EF3EEE157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32" name="BEx5AQZ4ETQ9LMY5EBWVH20Z7VXQ" hidden="1">
          <a:extLst>
            <a:ext uri="{FF2B5EF4-FFF2-40B4-BE49-F238E27FC236}">
              <a16:creationId xmlns:a16="http://schemas.microsoft.com/office/drawing/2014/main" id="{C3ABE2ED-77C8-4863-84F1-75816D4C4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533" name="BExUBK0YZ5VYFY8TTITJGJU9S06A" hidden="1">
          <a:extLst>
            <a:ext uri="{FF2B5EF4-FFF2-40B4-BE49-F238E27FC236}">
              <a16:creationId xmlns:a16="http://schemas.microsoft.com/office/drawing/2014/main" id="{1B002C85-1B00-4A78-9F81-1F865671F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34" name="BEx1KD7H6UB1VYCJ7O61P562EIUY" descr="IQGV9140X0K0UPBL8OGU3I44J" hidden="1">
          <a:extLst>
            <a:ext uri="{FF2B5EF4-FFF2-40B4-BE49-F238E27FC236}">
              <a16:creationId xmlns:a16="http://schemas.microsoft.com/office/drawing/2014/main" id="{E7DEEDD6-5DCB-4F85-84A6-26A67C68F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535" name="BEx5BJQWS6YWHH4ZMSUAMD641V6Y" descr="ZTMFMXCIQSECDX38ALEFHUB00" hidden="1">
          <a:extLst>
            <a:ext uri="{FF2B5EF4-FFF2-40B4-BE49-F238E27FC236}">
              <a16:creationId xmlns:a16="http://schemas.microsoft.com/office/drawing/2014/main" id="{DC093CA7-2BE6-4528-ACEF-892BE9D74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36" name="BEx5AQZ4ETQ9LMY5EBWVH20Z7VXQ" hidden="1">
          <a:extLst>
            <a:ext uri="{FF2B5EF4-FFF2-40B4-BE49-F238E27FC236}">
              <a16:creationId xmlns:a16="http://schemas.microsoft.com/office/drawing/2014/main" id="{C2D23A91-5230-4C91-B589-9B3095315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537" name="BExUBK0YZ5VYFY8TTITJGJU9S06A" hidden="1">
          <a:extLst>
            <a:ext uri="{FF2B5EF4-FFF2-40B4-BE49-F238E27FC236}">
              <a16:creationId xmlns:a16="http://schemas.microsoft.com/office/drawing/2014/main" id="{4E3EC147-C0C1-4720-BA5F-4637D2368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3538" name="BEx1KD7H6UB1VYCJ7O61P562EIUY" descr="IQGV9140X0K0UPBL8OGU3I44J" hidden="1">
          <a:extLst>
            <a:ext uri="{FF2B5EF4-FFF2-40B4-BE49-F238E27FC236}">
              <a16:creationId xmlns:a16="http://schemas.microsoft.com/office/drawing/2014/main" id="{CCC55DFC-505C-4469-9203-3873FE451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3539" name="BEx5AQZ4ETQ9LMY5EBWVH20Z7VXQ" hidden="1">
          <a:extLst>
            <a:ext uri="{FF2B5EF4-FFF2-40B4-BE49-F238E27FC236}">
              <a16:creationId xmlns:a16="http://schemas.microsoft.com/office/drawing/2014/main" id="{64CEAE97-6782-4984-A1CA-B9C1B8EE7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40" name="BEx1KD7H6UB1VYCJ7O61P562EIUY" descr="IQGV9140X0K0UPBL8OGU3I44J" hidden="1">
          <a:extLst>
            <a:ext uri="{FF2B5EF4-FFF2-40B4-BE49-F238E27FC236}">
              <a16:creationId xmlns:a16="http://schemas.microsoft.com/office/drawing/2014/main" id="{91D10A36-25B1-41FB-9CED-776B44F80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541" name="BEx5BJQWS6YWHH4ZMSUAMD641V6Y" descr="ZTMFMXCIQSECDX38ALEFHUB00" hidden="1">
          <a:extLst>
            <a:ext uri="{FF2B5EF4-FFF2-40B4-BE49-F238E27FC236}">
              <a16:creationId xmlns:a16="http://schemas.microsoft.com/office/drawing/2014/main" id="{764189CB-2418-4B0C-9242-8F1B29C5A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42" name="BEx5AQZ4ETQ9LMY5EBWVH20Z7VXQ" hidden="1">
          <a:extLst>
            <a:ext uri="{FF2B5EF4-FFF2-40B4-BE49-F238E27FC236}">
              <a16:creationId xmlns:a16="http://schemas.microsoft.com/office/drawing/2014/main" id="{BF1E10FA-F848-4A6D-88DD-2F9BE75E0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543" name="BExUBK0YZ5VYFY8TTITJGJU9S06A" hidden="1">
          <a:extLst>
            <a:ext uri="{FF2B5EF4-FFF2-40B4-BE49-F238E27FC236}">
              <a16:creationId xmlns:a16="http://schemas.microsoft.com/office/drawing/2014/main" id="{F8313ED2-A574-43C0-8E9C-AD6B22EB6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44" name="BEx1KD7H6UB1VYCJ7O61P562EIUY" descr="IQGV9140X0K0UPBL8OGU3I44J" hidden="1">
          <a:extLst>
            <a:ext uri="{FF2B5EF4-FFF2-40B4-BE49-F238E27FC236}">
              <a16:creationId xmlns:a16="http://schemas.microsoft.com/office/drawing/2014/main" id="{139A6D8D-6828-48CF-B1BA-AF7CF4E4A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545" name="BEx5BJQWS6YWHH4ZMSUAMD641V6Y" descr="ZTMFMXCIQSECDX38ALEFHUB00" hidden="1">
          <a:extLst>
            <a:ext uri="{FF2B5EF4-FFF2-40B4-BE49-F238E27FC236}">
              <a16:creationId xmlns:a16="http://schemas.microsoft.com/office/drawing/2014/main" id="{A7D5C47C-C93E-4C4B-8F63-751F79852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46" name="BEx5AQZ4ETQ9LMY5EBWVH20Z7VXQ" hidden="1">
          <a:extLst>
            <a:ext uri="{FF2B5EF4-FFF2-40B4-BE49-F238E27FC236}">
              <a16:creationId xmlns:a16="http://schemas.microsoft.com/office/drawing/2014/main" id="{A7453417-82D5-4022-AA97-E4A19E46B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547" name="BExUBK0YZ5VYFY8TTITJGJU9S06A" hidden="1">
          <a:extLst>
            <a:ext uri="{FF2B5EF4-FFF2-40B4-BE49-F238E27FC236}">
              <a16:creationId xmlns:a16="http://schemas.microsoft.com/office/drawing/2014/main" id="{972CF0AA-67CD-40CD-A4B1-36F7E1C72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48" name="BEx1KD7H6UB1VYCJ7O61P562EIUY" descr="IQGV9140X0K0UPBL8OGU3I44J" hidden="1">
          <a:extLst>
            <a:ext uri="{FF2B5EF4-FFF2-40B4-BE49-F238E27FC236}">
              <a16:creationId xmlns:a16="http://schemas.microsoft.com/office/drawing/2014/main" id="{672AB324-1AF1-4266-86CA-840F119F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549" name="BEx5BJQWS6YWHH4ZMSUAMD641V6Y" descr="ZTMFMXCIQSECDX38ALEFHUB00" hidden="1">
          <a:extLst>
            <a:ext uri="{FF2B5EF4-FFF2-40B4-BE49-F238E27FC236}">
              <a16:creationId xmlns:a16="http://schemas.microsoft.com/office/drawing/2014/main" id="{9A0AE9A1-DE65-46D4-A092-0ADCA1072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50" name="BEx5AQZ4ETQ9LMY5EBWVH20Z7VXQ" hidden="1">
          <a:extLst>
            <a:ext uri="{FF2B5EF4-FFF2-40B4-BE49-F238E27FC236}">
              <a16:creationId xmlns:a16="http://schemas.microsoft.com/office/drawing/2014/main" id="{1959DED9-E875-4FF2-8816-0AFBCACA3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551" name="BExUBK0YZ5VYFY8TTITJGJU9S06A" hidden="1">
          <a:extLst>
            <a:ext uri="{FF2B5EF4-FFF2-40B4-BE49-F238E27FC236}">
              <a16:creationId xmlns:a16="http://schemas.microsoft.com/office/drawing/2014/main" id="{F53D1090-B7AB-431E-A79F-35F63746F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52" name="BEx1KD7H6UB1VYCJ7O61P562EIUY" descr="IQGV9140X0K0UPBL8OGU3I44J" hidden="1">
          <a:extLst>
            <a:ext uri="{FF2B5EF4-FFF2-40B4-BE49-F238E27FC236}">
              <a16:creationId xmlns:a16="http://schemas.microsoft.com/office/drawing/2014/main" id="{9584048B-9484-4C81-B123-CA9D182BD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53" name="BEx5AQZ4ETQ9LMY5EBWVH20Z7VXQ" hidden="1">
          <a:extLst>
            <a:ext uri="{FF2B5EF4-FFF2-40B4-BE49-F238E27FC236}">
              <a16:creationId xmlns:a16="http://schemas.microsoft.com/office/drawing/2014/main" id="{3E61DDA5-A051-438B-A7D9-AEF5B4222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54" name="BEx1KD7H6UB1VYCJ7O61P562EIUY" descr="IQGV9140X0K0UPBL8OGU3I44J" hidden="1">
          <a:extLst>
            <a:ext uri="{FF2B5EF4-FFF2-40B4-BE49-F238E27FC236}">
              <a16:creationId xmlns:a16="http://schemas.microsoft.com/office/drawing/2014/main" id="{239FFC7F-52C8-4606-A242-D4700FF39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55" name="BEx5AQZ4ETQ9LMY5EBWVH20Z7VXQ" hidden="1">
          <a:extLst>
            <a:ext uri="{FF2B5EF4-FFF2-40B4-BE49-F238E27FC236}">
              <a16:creationId xmlns:a16="http://schemas.microsoft.com/office/drawing/2014/main" id="{5F70A935-793A-4540-BD4A-A3A723E7E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56" name="BEx1KD7H6UB1VYCJ7O61P562EIUY" descr="IQGV9140X0K0UPBL8OGU3I44J" hidden="1">
          <a:extLst>
            <a:ext uri="{FF2B5EF4-FFF2-40B4-BE49-F238E27FC236}">
              <a16:creationId xmlns:a16="http://schemas.microsoft.com/office/drawing/2014/main" id="{7E85DB08-CA7B-4524-9A5B-51D6D96A7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57" name="BEx5AQZ4ETQ9LMY5EBWVH20Z7VXQ" hidden="1">
          <a:extLst>
            <a:ext uri="{FF2B5EF4-FFF2-40B4-BE49-F238E27FC236}">
              <a16:creationId xmlns:a16="http://schemas.microsoft.com/office/drawing/2014/main" id="{B6AF27B3-D538-4246-B1B4-D6CD1FBFC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58" name="BEx1KD7H6UB1VYCJ7O61P562EIUY" descr="IQGV9140X0K0UPBL8OGU3I44J" hidden="1">
          <a:extLst>
            <a:ext uri="{FF2B5EF4-FFF2-40B4-BE49-F238E27FC236}">
              <a16:creationId xmlns:a16="http://schemas.microsoft.com/office/drawing/2014/main" id="{9DCC5878-97B7-4D5C-BF6C-5EE7E245B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59" name="BEx5AQZ4ETQ9LMY5EBWVH20Z7VXQ" hidden="1">
          <a:extLst>
            <a:ext uri="{FF2B5EF4-FFF2-40B4-BE49-F238E27FC236}">
              <a16:creationId xmlns:a16="http://schemas.microsoft.com/office/drawing/2014/main" id="{7C0CB422-7572-4117-B131-FCDDD1B9F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3560" name="BEx1KD7H6UB1VYCJ7O61P562EIUY" descr="IQGV9140X0K0UPBL8OGU3I44J" hidden="1">
          <a:extLst>
            <a:ext uri="{FF2B5EF4-FFF2-40B4-BE49-F238E27FC236}">
              <a16:creationId xmlns:a16="http://schemas.microsoft.com/office/drawing/2014/main" id="{039614AC-3C24-4137-AB8A-7BDA4A1D1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17</xdr:row>
      <xdr:rowOff>1905</xdr:rowOff>
    </xdr:from>
    <xdr:ext cx="59531" cy="829901"/>
    <xdr:pic>
      <xdr:nvPicPr>
        <xdr:cNvPr id="3561" name="BEx5AQZ4ETQ9LMY5EBWVH20Z7VXQ" hidden="1">
          <a:extLst>
            <a:ext uri="{FF2B5EF4-FFF2-40B4-BE49-F238E27FC236}">
              <a16:creationId xmlns:a16="http://schemas.microsoft.com/office/drawing/2014/main" id="{F6173711-DC10-47E3-9245-4555864D0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211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62" name="BEx1KD7H6UB1VYCJ7O61P562EIUY" descr="IQGV9140X0K0UPBL8OGU3I44J" hidden="1">
          <a:extLst>
            <a:ext uri="{FF2B5EF4-FFF2-40B4-BE49-F238E27FC236}">
              <a16:creationId xmlns:a16="http://schemas.microsoft.com/office/drawing/2014/main" id="{57E71271-3824-4657-B479-71F7745BB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563" name="BEx5BJQWS6YWHH4ZMSUAMD641V6Y" descr="ZTMFMXCIQSECDX38ALEFHUB00" hidden="1">
          <a:extLst>
            <a:ext uri="{FF2B5EF4-FFF2-40B4-BE49-F238E27FC236}">
              <a16:creationId xmlns:a16="http://schemas.microsoft.com/office/drawing/2014/main" id="{B9E77327-4363-49FA-8E7F-C347E2B0E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64" name="BEx5AQZ4ETQ9LMY5EBWVH20Z7VXQ" hidden="1">
          <a:extLst>
            <a:ext uri="{FF2B5EF4-FFF2-40B4-BE49-F238E27FC236}">
              <a16:creationId xmlns:a16="http://schemas.microsoft.com/office/drawing/2014/main" id="{04393D70-DEA4-451B-9B5C-90E2033FE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565" name="BExUBK0YZ5VYFY8TTITJGJU9S06A" hidden="1">
          <a:extLst>
            <a:ext uri="{FF2B5EF4-FFF2-40B4-BE49-F238E27FC236}">
              <a16:creationId xmlns:a16="http://schemas.microsoft.com/office/drawing/2014/main" id="{19BC3F63-7B73-4C11-9983-0DEC76D7C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66" name="BEx1KD7H6UB1VYCJ7O61P562EIUY" descr="IQGV9140X0K0UPBL8OGU3I44J" hidden="1">
          <a:extLst>
            <a:ext uri="{FF2B5EF4-FFF2-40B4-BE49-F238E27FC236}">
              <a16:creationId xmlns:a16="http://schemas.microsoft.com/office/drawing/2014/main" id="{626AA66A-4846-48C5-9410-5F2331829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567" name="BEx5BJQWS6YWHH4ZMSUAMD641V6Y" descr="ZTMFMXCIQSECDX38ALEFHUB00" hidden="1">
          <a:extLst>
            <a:ext uri="{FF2B5EF4-FFF2-40B4-BE49-F238E27FC236}">
              <a16:creationId xmlns:a16="http://schemas.microsoft.com/office/drawing/2014/main" id="{669F4B0E-C7A0-4348-BE6D-C49311A78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68" name="BEx5AQZ4ETQ9LMY5EBWVH20Z7VXQ" hidden="1">
          <a:extLst>
            <a:ext uri="{FF2B5EF4-FFF2-40B4-BE49-F238E27FC236}">
              <a16:creationId xmlns:a16="http://schemas.microsoft.com/office/drawing/2014/main" id="{0B40DAE1-7505-4A2C-8C6B-12ACE5E24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569" name="BExUBK0YZ5VYFY8TTITJGJU9S06A" hidden="1">
          <a:extLst>
            <a:ext uri="{FF2B5EF4-FFF2-40B4-BE49-F238E27FC236}">
              <a16:creationId xmlns:a16="http://schemas.microsoft.com/office/drawing/2014/main" id="{D6BF2575-CCCC-47DA-9112-DEAB704EB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70" name="BEx1KD7H6UB1VYCJ7O61P562EIUY" descr="IQGV9140X0K0UPBL8OGU3I44J" hidden="1">
          <a:extLst>
            <a:ext uri="{FF2B5EF4-FFF2-40B4-BE49-F238E27FC236}">
              <a16:creationId xmlns:a16="http://schemas.microsoft.com/office/drawing/2014/main" id="{E0511352-9072-4AED-B753-C9C5424A0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571" name="BEx5BJQWS6YWHH4ZMSUAMD641V6Y" descr="ZTMFMXCIQSECDX38ALEFHUB00" hidden="1">
          <a:extLst>
            <a:ext uri="{FF2B5EF4-FFF2-40B4-BE49-F238E27FC236}">
              <a16:creationId xmlns:a16="http://schemas.microsoft.com/office/drawing/2014/main" id="{A5F53965-730F-4BA3-954D-A260ACF67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72" name="BEx5AQZ4ETQ9LMY5EBWVH20Z7VXQ" hidden="1">
          <a:extLst>
            <a:ext uri="{FF2B5EF4-FFF2-40B4-BE49-F238E27FC236}">
              <a16:creationId xmlns:a16="http://schemas.microsoft.com/office/drawing/2014/main" id="{DBEA3AB1-75F2-4CE9-AA61-A592C58CE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573" name="BExUBK0YZ5VYFY8TTITJGJU9S06A" hidden="1">
          <a:extLst>
            <a:ext uri="{FF2B5EF4-FFF2-40B4-BE49-F238E27FC236}">
              <a16:creationId xmlns:a16="http://schemas.microsoft.com/office/drawing/2014/main" id="{967E1260-9D37-4F7E-8086-68310E19A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74" name="BEx1KD7H6UB1VYCJ7O61P562EIUY" descr="IQGV9140X0K0UPBL8OGU3I44J" hidden="1">
          <a:extLst>
            <a:ext uri="{FF2B5EF4-FFF2-40B4-BE49-F238E27FC236}">
              <a16:creationId xmlns:a16="http://schemas.microsoft.com/office/drawing/2014/main" id="{45B0296B-5D57-4E86-A8E2-F447F34D3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575" name="BEx5BJQWS6YWHH4ZMSUAMD641V6Y" descr="ZTMFMXCIQSECDX38ALEFHUB00" hidden="1">
          <a:extLst>
            <a:ext uri="{FF2B5EF4-FFF2-40B4-BE49-F238E27FC236}">
              <a16:creationId xmlns:a16="http://schemas.microsoft.com/office/drawing/2014/main" id="{6498971C-1E00-4E30-9997-61BFE9EF3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76" name="BEx5AQZ4ETQ9LMY5EBWVH20Z7VXQ" hidden="1">
          <a:extLst>
            <a:ext uri="{FF2B5EF4-FFF2-40B4-BE49-F238E27FC236}">
              <a16:creationId xmlns:a16="http://schemas.microsoft.com/office/drawing/2014/main" id="{5A9EEBC9-9753-47C0-837A-F59D8D0C2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577" name="BExUBK0YZ5VYFY8TTITJGJU9S06A" hidden="1">
          <a:extLst>
            <a:ext uri="{FF2B5EF4-FFF2-40B4-BE49-F238E27FC236}">
              <a16:creationId xmlns:a16="http://schemas.microsoft.com/office/drawing/2014/main" id="{FFF5C311-C1EE-46D4-94A1-42A98EA8E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78" name="BEx1KD7H6UB1VYCJ7O61P562EIUY" descr="IQGV9140X0K0UPBL8OGU3I44J" hidden="1">
          <a:extLst>
            <a:ext uri="{FF2B5EF4-FFF2-40B4-BE49-F238E27FC236}">
              <a16:creationId xmlns:a16="http://schemas.microsoft.com/office/drawing/2014/main" id="{C4D744C3-E856-4C75-BD80-EB31A7194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579" name="BEx5BJQWS6YWHH4ZMSUAMD641V6Y" descr="ZTMFMXCIQSECDX38ALEFHUB00" hidden="1">
          <a:extLst>
            <a:ext uri="{FF2B5EF4-FFF2-40B4-BE49-F238E27FC236}">
              <a16:creationId xmlns:a16="http://schemas.microsoft.com/office/drawing/2014/main" id="{0EAB3C6D-A95F-4B81-B819-A9A3BEC11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580" name="BEx5AQZ4ETQ9LMY5EBWVH20Z7VXQ" hidden="1">
          <a:extLst>
            <a:ext uri="{FF2B5EF4-FFF2-40B4-BE49-F238E27FC236}">
              <a16:creationId xmlns:a16="http://schemas.microsoft.com/office/drawing/2014/main" id="{14D574B4-641C-4AA4-86B0-830A59F96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581" name="BExUBK0YZ5VYFY8TTITJGJU9S06A" hidden="1">
          <a:extLst>
            <a:ext uri="{FF2B5EF4-FFF2-40B4-BE49-F238E27FC236}">
              <a16:creationId xmlns:a16="http://schemas.microsoft.com/office/drawing/2014/main" id="{246AB7F1-A880-461E-BDBC-A3B2EB913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582" name="BEx1KD7H6UB1VYCJ7O61P562EIUY" descr="IQGV9140X0K0UPBL8OGU3I44J" hidden="1">
          <a:extLst>
            <a:ext uri="{FF2B5EF4-FFF2-40B4-BE49-F238E27FC236}">
              <a16:creationId xmlns:a16="http://schemas.microsoft.com/office/drawing/2014/main" id="{6F8FD88C-93FA-41A4-BA03-354516EDE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583" name="BEx5AQZ4ETQ9LMY5EBWVH20Z7VXQ" hidden="1">
          <a:extLst>
            <a:ext uri="{FF2B5EF4-FFF2-40B4-BE49-F238E27FC236}">
              <a16:creationId xmlns:a16="http://schemas.microsoft.com/office/drawing/2014/main" id="{BF262E21-D5CE-451A-816A-9F6788CE9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584" name="BEx1KD7H6UB1VYCJ7O61P562EIUY" descr="IQGV9140X0K0UPBL8OGU3I44J" hidden="1">
          <a:extLst>
            <a:ext uri="{FF2B5EF4-FFF2-40B4-BE49-F238E27FC236}">
              <a16:creationId xmlns:a16="http://schemas.microsoft.com/office/drawing/2014/main" id="{80A887BA-E18B-47CD-AB31-D47E34281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585" name="BEx5AQZ4ETQ9LMY5EBWVH20Z7VXQ" hidden="1">
          <a:extLst>
            <a:ext uri="{FF2B5EF4-FFF2-40B4-BE49-F238E27FC236}">
              <a16:creationId xmlns:a16="http://schemas.microsoft.com/office/drawing/2014/main" id="{3A7162DA-E487-4649-AE65-C9D0A6367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586" name="BEx5BJQWS6YWHH4ZMSUAMD641V6Y" descr="ZTMFMXCIQSECDX38ALEFHUB00" hidden="1">
          <a:extLst>
            <a:ext uri="{FF2B5EF4-FFF2-40B4-BE49-F238E27FC236}">
              <a16:creationId xmlns:a16="http://schemas.microsoft.com/office/drawing/2014/main" id="{9601407C-C9AB-46BA-B15A-830B6C12C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587" name="BExUBK0YZ5VYFY8TTITJGJU9S06A" hidden="1">
          <a:extLst>
            <a:ext uri="{FF2B5EF4-FFF2-40B4-BE49-F238E27FC236}">
              <a16:creationId xmlns:a16="http://schemas.microsoft.com/office/drawing/2014/main" id="{63CC03FE-1151-4179-89D0-2C9C69B38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588" name="BEx1KD7H6UB1VYCJ7O61P562EIUY" descr="IQGV9140X0K0UPBL8OGU3I44J" hidden="1">
          <a:extLst>
            <a:ext uri="{FF2B5EF4-FFF2-40B4-BE49-F238E27FC236}">
              <a16:creationId xmlns:a16="http://schemas.microsoft.com/office/drawing/2014/main" id="{AB8350A1-0506-40BF-955A-991D92774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589" name="BEx5AQZ4ETQ9LMY5EBWVH20Z7VXQ" hidden="1">
          <a:extLst>
            <a:ext uri="{FF2B5EF4-FFF2-40B4-BE49-F238E27FC236}">
              <a16:creationId xmlns:a16="http://schemas.microsoft.com/office/drawing/2014/main" id="{C5843818-695B-4CCF-A262-9FD813467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590" name="BEx5BJQWS6YWHH4ZMSUAMD641V6Y" descr="ZTMFMXCIQSECDX38ALEFHUB00" hidden="1">
          <a:extLst>
            <a:ext uri="{FF2B5EF4-FFF2-40B4-BE49-F238E27FC236}">
              <a16:creationId xmlns:a16="http://schemas.microsoft.com/office/drawing/2014/main" id="{98119614-ED32-4272-8FF9-5136A7C7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591" name="BExUBK0YZ5VYFY8TTITJGJU9S06A" hidden="1">
          <a:extLst>
            <a:ext uri="{FF2B5EF4-FFF2-40B4-BE49-F238E27FC236}">
              <a16:creationId xmlns:a16="http://schemas.microsoft.com/office/drawing/2014/main" id="{B0874D81-A0A8-444A-8111-A0B7399C1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592" name="BEx5BJQWS6YWHH4ZMSUAMD641V6Y" descr="ZTMFMXCIQSECDX38ALEFHUB00" hidden="1">
          <a:extLst>
            <a:ext uri="{FF2B5EF4-FFF2-40B4-BE49-F238E27FC236}">
              <a16:creationId xmlns:a16="http://schemas.microsoft.com/office/drawing/2014/main" id="{367CC716-F822-4F40-963F-5A63FAF5C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593" name="BExUBK0YZ5VYFY8TTITJGJU9S06A" hidden="1">
          <a:extLst>
            <a:ext uri="{FF2B5EF4-FFF2-40B4-BE49-F238E27FC236}">
              <a16:creationId xmlns:a16="http://schemas.microsoft.com/office/drawing/2014/main" id="{EABD7024-B955-45AB-BBF4-A501B3C89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594" name="BEx1KD7H6UB1VYCJ7O61P562EIUY" descr="IQGV9140X0K0UPBL8OGU3I44J" hidden="1">
          <a:extLst>
            <a:ext uri="{FF2B5EF4-FFF2-40B4-BE49-F238E27FC236}">
              <a16:creationId xmlns:a16="http://schemas.microsoft.com/office/drawing/2014/main" id="{716B0E97-3087-482F-9BA4-F5BDD9A40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595" name="BEx5AQZ4ETQ9LMY5EBWVH20Z7VXQ" hidden="1">
          <a:extLst>
            <a:ext uri="{FF2B5EF4-FFF2-40B4-BE49-F238E27FC236}">
              <a16:creationId xmlns:a16="http://schemas.microsoft.com/office/drawing/2014/main" id="{0E04C10C-F3CD-4D42-80BD-E63B841E7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596" name="BEx5BJQWS6YWHH4ZMSUAMD641V6Y" descr="ZTMFMXCIQSECDX38ALEFHUB00" hidden="1">
          <a:extLst>
            <a:ext uri="{FF2B5EF4-FFF2-40B4-BE49-F238E27FC236}">
              <a16:creationId xmlns:a16="http://schemas.microsoft.com/office/drawing/2014/main" id="{B3F89404-3E35-4F7B-8F5F-D8D4D81CC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597" name="BExUBK0YZ5VYFY8TTITJGJU9S06A" hidden="1">
          <a:extLst>
            <a:ext uri="{FF2B5EF4-FFF2-40B4-BE49-F238E27FC236}">
              <a16:creationId xmlns:a16="http://schemas.microsoft.com/office/drawing/2014/main" id="{04A675F1-8EE4-4F98-A783-9290B4492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598" name="BEx5BJQWS6YWHH4ZMSUAMD641V6Y" descr="ZTMFMXCIQSECDX38ALEFHUB00" hidden="1">
          <a:extLst>
            <a:ext uri="{FF2B5EF4-FFF2-40B4-BE49-F238E27FC236}">
              <a16:creationId xmlns:a16="http://schemas.microsoft.com/office/drawing/2014/main" id="{5C7CD989-3C95-44FA-A497-0C788A675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599" name="BExUBK0YZ5VYFY8TTITJGJU9S06A" hidden="1">
          <a:extLst>
            <a:ext uri="{FF2B5EF4-FFF2-40B4-BE49-F238E27FC236}">
              <a16:creationId xmlns:a16="http://schemas.microsoft.com/office/drawing/2014/main" id="{AC8633E4-A4D5-4439-A891-BE2E2302A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00" name="BEx5BJQWS6YWHH4ZMSUAMD641V6Y" descr="ZTMFMXCIQSECDX38ALEFHUB00" hidden="1">
          <a:extLst>
            <a:ext uri="{FF2B5EF4-FFF2-40B4-BE49-F238E27FC236}">
              <a16:creationId xmlns:a16="http://schemas.microsoft.com/office/drawing/2014/main" id="{AAA21041-FE0C-4CB8-A62A-1AEAEBB9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01" name="BExUBK0YZ5VYFY8TTITJGJU9S06A" hidden="1">
          <a:extLst>
            <a:ext uri="{FF2B5EF4-FFF2-40B4-BE49-F238E27FC236}">
              <a16:creationId xmlns:a16="http://schemas.microsoft.com/office/drawing/2014/main" id="{41FED80E-AFCB-434D-933E-04925BDF9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02" name="BEx1KD7H6UB1VYCJ7O61P562EIUY" descr="IQGV9140X0K0UPBL8OGU3I44J" hidden="1">
          <a:extLst>
            <a:ext uri="{FF2B5EF4-FFF2-40B4-BE49-F238E27FC236}">
              <a16:creationId xmlns:a16="http://schemas.microsoft.com/office/drawing/2014/main" id="{154762DC-2409-4C84-AA2E-ABC88A59F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03" name="BEx5AQZ4ETQ9LMY5EBWVH20Z7VXQ" hidden="1">
          <a:extLst>
            <a:ext uri="{FF2B5EF4-FFF2-40B4-BE49-F238E27FC236}">
              <a16:creationId xmlns:a16="http://schemas.microsoft.com/office/drawing/2014/main" id="{C100B6E4-0893-40DC-98A4-27C93C736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04" name="BEx5BJQWS6YWHH4ZMSUAMD641V6Y" descr="ZTMFMXCIQSECDX38ALEFHUB00" hidden="1">
          <a:extLst>
            <a:ext uri="{FF2B5EF4-FFF2-40B4-BE49-F238E27FC236}">
              <a16:creationId xmlns:a16="http://schemas.microsoft.com/office/drawing/2014/main" id="{3AFF73AA-6BA7-44B5-9EC4-DAA353F05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05" name="BExUBK0YZ5VYFY8TTITJGJU9S06A" hidden="1">
          <a:extLst>
            <a:ext uri="{FF2B5EF4-FFF2-40B4-BE49-F238E27FC236}">
              <a16:creationId xmlns:a16="http://schemas.microsoft.com/office/drawing/2014/main" id="{EA6453EB-890B-4863-BEC7-2DE074030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06" name="BEx5BJQWS6YWHH4ZMSUAMD641V6Y" descr="ZTMFMXCIQSECDX38ALEFHUB00" hidden="1">
          <a:extLst>
            <a:ext uri="{FF2B5EF4-FFF2-40B4-BE49-F238E27FC236}">
              <a16:creationId xmlns:a16="http://schemas.microsoft.com/office/drawing/2014/main" id="{A380F67A-031F-4E4B-B155-94F062DF5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07" name="BExUBK0YZ5VYFY8TTITJGJU9S06A" hidden="1">
          <a:extLst>
            <a:ext uri="{FF2B5EF4-FFF2-40B4-BE49-F238E27FC236}">
              <a16:creationId xmlns:a16="http://schemas.microsoft.com/office/drawing/2014/main" id="{DB4F8985-0D02-4634-8560-3B042C878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08" name="BEx5BJQWS6YWHH4ZMSUAMD641V6Y" descr="ZTMFMXCIQSECDX38ALEFHUB00" hidden="1">
          <a:extLst>
            <a:ext uri="{FF2B5EF4-FFF2-40B4-BE49-F238E27FC236}">
              <a16:creationId xmlns:a16="http://schemas.microsoft.com/office/drawing/2014/main" id="{78F13E7E-B1AC-48C4-BEC7-67B11294A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09" name="BExUBK0YZ5VYFY8TTITJGJU9S06A" hidden="1">
          <a:extLst>
            <a:ext uri="{FF2B5EF4-FFF2-40B4-BE49-F238E27FC236}">
              <a16:creationId xmlns:a16="http://schemas.microsoft.com/office/drawing/2014/main" id="{ABD60163-5B02-42E4-811A-39975ADAD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10" name="BEx5BJQWS6YWHH4ZMSUAMD641V6Y" descr="ZTMFMXCIQSECDX38ALEFHUB00" hidden="1">
          <a:extLst>
            <a:ext uri="{FF2B5EF4-FFF2-40B4-BE49-F238E27FC236}">
              <a16:creationId xmlns:a16="http://schemas.microsoft.com/office/drawing/2014/main" id="{70243B41-A099-4FF3-B706-ADC565A3B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11" name="BExUBK0YZ5VYFY8TTITJGJU9S06A" hidden="1">
          <a:extLst>
            <a:ext uri="{FF2B5EF4-FFF2-40B4-BE49-F238E27FC236}">
              <a16:creationId xmlns:a16="http://schemas.microsoft.com/office/drawing/2014/main" id="{356F3096-39D0-4304-9919-50F0BA5C1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12" name="BEx5BJQWS6YWHH4ZMSUAMD641V6Y" descr="ZTMFMXCIQSECDX38ALEFHUB00" hidden="1">
          <a:extLst>
            <a:ext uri="{FF2B5EF4-FFF2-40B4-BE49-F238E27FC236}">
              <a16:creationId xmlns:a16="http://schemas.microsoft.com/office/drawing/2014/main" id="{F4DE4E5A-96A9-4CF8-A08E-8D9826644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13" name="BExUBK0YZ5VYFY8TTITJGJU9S06A" hidden="1">
          <a:extLst>
            <a:ext uri="{FF2B5EF4-FFF2-40B4-BE49-F238E27FC236}">
              <a16:creationId xmlns:a16="http://schemas.microsoft.com/office/drawing/2014/main" id="{1F4FD023-9B91-426E-930B-DC4367CF2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14" name="BEx1KD7H6UB1VYCJ7O61P562EIUY" descr="IQGV9140X0K0UPBL8OGU3I44J" hidden="1">
          <a:extLst>
            <a:ext uri="{FF2B5EF4-FFF2-40B4-BE49-F238E27FC236}">
              <a16:creationId xmlns:a16="http://schemas.microsoft.com/office/drawing/2014/main" id="{33171368-01B7-4D0A-AC3E-6EA937C85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15" name="BEx5AQZ4ETQ9LMY5EBWVH20Z7VXQ" hidden="1">
          <a:extLst>
            <a:ext uri="{FF2B5EF4-FFF2-40B4-BE49-F238E27FC236}">
              <a16:creationId xmlns:a16="http://schemas.microsoft.com/office/drawing/2014/main" id="{FD73FF24-51B0-4F78-8F6C-2A765A62A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16" name="BEx1KD7H6UB1VYCJ7O61P562EIUY" descr="IQGV9140X0K0UPBL8OGU3I44J" hidden="1">
          <a:extLst>
            <a:ext uri="{FF2B5EF4-FFF2-40B4-BE49-F238E27FC236}">
              <a16:creationId xmlns:a16="http://schemas.microsoft.com/office/drawing/2014/main" id="{B6F24A65-7B5C-41A8-9445-F58B5F578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17" name="BEx5AQZ4ETQ9LMY5EBWVH20Z7VXQ" hidden="1">
          <a:extLst>
            <a:ext uri="{FF2B5EF4-FFF2-40B4-BE49-F238E27FC236}">
              <a16:creationId xmlns:a16="http://schemas.microsoft.com/office/drawing/2014/main" id="{5900B2D3-5974-4F0B-B862-4BB322854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18" name="BEx1KD7H6UB1VYCJ7O61P562EIUY" descr="IQGV9140X0K0UPBL8OGU3I44J" hidden="1">
          <a:extLst>
            <a:ext uri="{FF2B5EF4-FFF2-40B4-BE49-F238E27FC236}">
              <a16:creationId xmlns:a16="http://schemas.microsoft.com/office/drawing/2014/main" id="{2D08E7EA-14EE-4BD0-A0AD-EFFC98A84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19" name="BEx5AQZ4ETQ9LMY5EBWVH20Z7VXQ" hidden="1">
          <a:extLst>
            <a:ext uri="{FF2B5EF4-FFF2-40B4-BE49-F238E27FC236}">
              <a16:creationId xmlns:a16="http://schemas.microsoft.com/office/drawing/2014/main" id="{0A934029-5401-4810-AFD2-0D78315F5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20" name="BEx1KD7H6UB1VYCJ7O61P562EIUY" descr="IQGV9140X0K0UPBL8OGU3I44J" hidden="1">
          <a:extLst>
            <a:ext uri="{FF2B5EF4-FFF2-40B4-BE49-F238E27FC236}">
              <a16:creationId xmlns:a16="http://schemas.microsoft.com/office/drawing/2014/main" id="{1496CB0A-4532-4B44-9F87-5086FA042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21" name="BEx5AQZ4ETQ9LMY5EBWVH20Z7VXQ" hidden="1">
          <a:extLst>
            <a:ext uri="{FF2B5EF4-FFF2-40B4-BE49-F238E27FC236}">
              <a16:creationId xmlns:a16="http://schemas.microsoft.com/office/drawing/2014/main" id="{B96D4628-A5B5-44A3-8BDB-F56C38290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22" name="BEx1KD7H6UB1VYCJ7O61P562EIUY" descr="IQGV9140X0K0UPBL8OGU3I44J" hidden="1">
          <a:extLst>
            <a:ext uri="{FF2B5EF4-FFF2-40B4-BE49-F238E27FC236}">
              <a16:creationId xmlns:a16="http://schemas.microsoft.com/office/drawing/2014/main" id="{DD76826C-6650-495D-B4E2-E9B9DF66E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23" name="BEx5AQZ4ETQ9LMY5EBWVH20Z7VXQ" hidden="1">
          <a:extLst>
            <a:ext uri="{FF2B5EF4-FFF2-40B4-BE49-F238E27FC236}">
              <a16:creationId xmlns:a16="http://schemas.microsoft.com/office/drawing/2014/main" id="{E32D0FBD-A005-4AE6-A6F8-7521D7629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24" name="BEx1KD7H6UB1VYCJ7O61P562EIUY" descr="IQGV9140X0K0UPBL8OGU3I44J" hidden="1">
          <a:extLst>
            <a:ext uri="{FF2B5EF4-FFF2-40B4-BE49-F238E27FC236}">
              <a16:creationId xmlns:a16="http://schemas.microsoft.com/office/drawing/2014/main" id="{34258F48-57E1-4712-A4ED-62BBFF08D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25" name="BEx5AQZ4ETQ9LMY5EBWVH20Z7VXQ" hidden="1">
          <a:extLst>
            <a:ext uri="{FF2B5EF4-FFF2-40B4-BE49-F238E27FC236}">
              <a16:creationId xmlns:a16="http://schemas.microsoft.com/office/drawing/2014/main" id="{B5D75A6E-A86E-45FD-B43B-6C4693590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26" name="BEx1KD7H6UB1VYCJ7O61P562EIUY" descr="IQGV9140X0K0UPBL8OGU3I44J" hidden="1">
          <a:extLst>
            <a:ext uri="{FF2B5EF4-FFF2-40B4-BE49-F238E27FC236}">
              <a16:creationId xmlns:a16="http://schemas.microsoft.com/office/drawing/2014/main" id="{32578038-F89E-4ED4-85A5-1D9441AAE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27" name="BEx5AQZ4ETQ9LMY5EBWVH20Z7VXQ" hidden="1">
          <a:extLst>
            <a:ext uri="{FF2B5EF4-FFF2-40B4-BE49-F238E27FC236}">
              <a16:creationId xmlns:a16="http://schemas.microsoft.com/office/drawing/2014/main" id="{3095B390-EF5E-48A1-B3B2-40A1685E4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28" name="BEx1KD7H6UB1VYCJ7O61P562EIUY" descr="IQGV9140X0K0UPBL8OGU3I44J" hidden="1">
          <a:extLst>
            <a:ext uri="{FF2B5EF4-FFF2-40B4-BE49-F238E27FC236}">
              <a16:creationId xmlns:a16="http://schemas.microsoft.com/office/drawing/2014/main" id="{578125E6-AA3A-4E32-B18E-B10EF429D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29" name="BEx5AQZ4ETQ9LMY5EBWVH20Z7VXQ" hidden="1">
          <a:extLst>
            <a:ext uri="{FF2B5EF4-FFF2-40B4-BE49-F238E27FC236}">
              <a16:creationId xmlns:a16="http://schemas.microsoft.com/office/drawing/2014/main" id="{D3AB8CFB-D142-4129-A229-FAF91F6A7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30" name="BEx1KD7H6UB1VYCJ7O61P562EIUY" descr="IQGV9140X0K0UPBL8OGU3I44J" hidden="1">
          <a:extLst>
            <a:ext uri="{FF2B5EF4-FFF2-40B4-BE49-F238E27FC236}">
              <a16:creationId xmlns:a16="http://schemas.microsoft.com/office/drawing/2014/main" id="{7175079E-C80B-4D79-BB35-EE0F7C461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31" name="BEx5AQZ4ETQ9LMY5EBWVH20Z7VXQ" hidden="1">
          <a:extLst>
            <a:ext uri="{FF2B5EF4-FFF2-40B4-BE49-F238E27FC236}">
              <a16:creationId xmlns:a16="http://schemas.microsoft.com/office/drawing/2014/main" id="{709753FC-241F-4DE1-8AD8-CACC7552E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32" name="BEx1KD7H6UB1VYCJ7O61P562EIUY" descr="IQGV9140X0K0UPBL8OGU3I44J" hidden="1">
          <a:extLst>
            <a:ext uri="{FF2B5EF4-FFF2-40B4-BE49-F238E27FC236}">
              <a16:creationId xmlns:a16="http://schemas.microsoft.com/office/drawing/2014/main" id="{495CAC83-F7CB-4EF0-BD67-F308BFA7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33" name="BEx5AQZ4ETQ9LMY5EBWVH20Z7VXQ" hidden="1">
          <a:extLst>
            <a:ext uri="{FF2B5EF4-FFF2-40B4-BE49-F238E27FC236}">
              <a16:creationId xmlns:a16="http://schemas.microsoft.com/office/drawing/2014/main" id="{9E062583-AFBD-4102-A0C2-FD1B9BF01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34" name="BEx1KD7H6UB1VYCJ7O61P562EIUY" descr="IQGV9140X0K0UPBL8OGU3I44J" hidden="1">
          <a:extLst>
            <a:ext uri="{FF2B5EF4-FFF2-40B4-BE49-F238E27FC236}">
              <a16:creationId xmlns:a16="http://schemas.microsoft.com/office/drawing/2014/main" id="{8451CCDB-F9A2-40B7-A083-A69507CE7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35" name="BEx5AQZ4ETQ9LMY5EBWVH20Z7VXQ" hidden="1">
          <a:extLst>
            <a:ext uri="{FF2B5EF4-FFF2-40B4-BE49-F238E27FC236}">
              <a16:creationId xmlns:a16="http://schemas.microsoft.com/office/drawing/2014/main" id="{2512338E-4B45-45D6-948D-8E021F163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36" name="BEx1KD7H6UB1VYCJ7O61P562EIUY" descr="IQGV9140X0K0UPBL8OGU3I44J" hidden="1">
          <a:extLst>
            <a:ext uri="{FF2B5EF4-FFF2-40B4-BE49-F238E27FC236}">
              <a16:creationId xmlns:a16="http://schemas.microsoft.com/office/drawing/2014/main" id="{49F88A73-1BEA-4428-8B42-9D61A4BD0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37" name="BEx5AQZ4ETQ9LMY5EBWVH20Z7VXQ" hidden="1">
          <a:extLst>
            <a:ext uri="{FF2B5EF4-FFF2-40B4-BE49-F238E27FC236}">
              <a16:creationId xmlns:a16="http://schemas.microsoft.com/office/drawing/2014/main" id="{B9C1E87C-9ECF-4F66-BC7F-9C72A2412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38" name="BEx1KD7H6UB1VYCJ7O61P562EIUY" descr="IQGV9140X0K0UPBL8OGU3I44J" hidden="1">
          <a:extLst>
            <a:ext uri="{FF2B5EF4-FFF2-40B4-BE49-F238E27FC236}">
              <a16:creationId xmlns:a16="http://schemas.microsoft.com/office/drawing/2014/main" id="{F5D2D023-4F93-4EC7-B4DB-AF6B892A4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39" name="BEx5AQZ4ETQ9LMY5EBWVH20Z7VXQ" hidden="1">
          <a:extLst>
            <a:ext uri="{FF2B5EF4-FFF2-40B4-BE49-F238E27FC236}">
              <a16:creationId xmlns:a16="http://schemas.microsoft.com/office/drawing/2014/main" id="{91496F6E-4E24-407F-B436-702ED4D9A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40" name="BEx1KD7H6UB1VYCJ7O61P562EIUY" descr="IQGV9140X0K0UPBL8OGU3I44J" hidden="1">
          <a:extLst>
            <a:ext uri="{FF2B5EF4-FFF2-40B4-BE49-F238E27FC236}">
              <a16:creationId xmlns:a16="http://schemas.microsoft.com/office/drawing/2014/main" id="{76290C75-572A-4957-976B-7CFF4C4BC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41" name="BEx5AQZ4ETQ9LMY5EBWVH20Z7VXQ" hidden="1">
          <a:extLst>
            <a:ext uri="{FF2B5EF4-FFF2-40B4-BE49-F238E27FC236}">
              <a16:creationId xmlns:a16="http://schemas.microsoft.com/office/drawing/2014/main" id="{7B2A476A-EDDF-4124-A918-F2252B919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42" name="BEx1KD7H6UB1VYCJ7O61P562EIUY" descr="IQGV9140X0K0UPBL8OGU3I44J" hidden="1">
          <a:extLst>
            <a:ext uri="{FF2B5EF4-FFF2-40B4-BE49-F238E27FC236}">
              <a16:creationId xmlns:a16="http://schemas.microsoft.com/office/drawing/2014/main" id="{4C520B0B-2430-4B9E-A506-30DA3D664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3643" name="BEx5AQZ4ETQ9LMY5EBWVH20Z7VXQ" hidden="1">
          <a:extLst>
            <a:ext uri="{FF2B5EF4-FFF2-40B4-BE49-F238E27FC236}">
              <a16:creationId xmlns:a16="http://schemas.microsoft.com/office/drawing/2014/main" id="{650B8404-E8C6-45B9-850B-C62AA7862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44" name="BEx5BJQWS6YWHH4ZMSUAMD641V6Y" descr="ZTMFMXCIQSECDX38ALEFHUB00" hidden="1">
          <a:extLst>
            <a:ext uri="{FF2B5EF4-FFF2-40B4-BE49-F238E27FC236}">
              <a16:creationId xmlns:a16="http://schemas.microsoft.com/office/drawing/2014/main" id="{5F22CBCF-976F-495E-BEC1-8FAFEAA5F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45" name="BExUBK0YZ5VYFY8TTITJGJU9S06A" hidden="1">
          <a:extLst>
            <a:ext uri="{FF2B5EF4-FFF2-40B4-BE49-F238E27FC236}">
              <a16:creationId xmlns:a16="http://schemas.microsoft.com/office/drawing/2014/main" id="{E88CF486-0105-459D-9462-99EEF30C0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46" name="BEx5BJQWS6YWHH4ZMSUAMD641V6Y" descr="ZTMFMXCIQSECDX38ALEFHUB00" hidden="1">
          <a:extLst>
            <a:ext uri="{FF2B5EF4-FFF2-40B4-BE49-F238E27FC236}">
              <a16:creationId xmlns:a16="http://schemas.microsoft.com/office/drawing/2014/main" id="{BFFA89CE-5A65-40EE-902F-A4D79E6FF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47" name="BExUBK0YZ5VYFY8TTITJGJU9S06A" hidden="1">
          <a:extLst>
            <a:ext uri="{FF2B5EF4-FFF2-40B4-BE49-F238E27FC236}">
              <a16:creationId xmlns:a16="http://schemas.microsoft.com/office/drawing/2014/main" id="{C2D2E065-6EBF-476F-BD81-86B01C9FF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48" name="BEx5BJQWS6YWHH4ZMSUAMD641V6Y" descr="ZTMFMXCIQSECDX38ALEFHUB00" hidden="1">
          <a:extLst>
            <a:ext uri="{FF2B5EF4-FFF2-40B4-BE49-F238E27FC236}">
              <a16:creationId xmlns:a16="http://schemas.microsoft.com/office/drawing/2014/main" id="{FE4AF610-6945-4D52-BEA5-5204D1C77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49" name="BExUBK0YZ5VYFY8TTITJGJU9S06A" hidden="1">
          <a:extLst>
            <a:ext uri="{FF2B5EF4-FFF2-40B4-BE49-F238E27FC236}">
              <a16:creationId xmlns:a16="http://schemas.microsoft.com/office/drawing/2014/main" id="{8D977541-6AE0-46D4-B649-EC4BC8ED0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50" name="BEx5BJQWS6YWHH4ZMSUAMD641V6Y" descr="ZTMFMXCIQSECDX38ALEFHUB00" hidden="1">
          <a:extLst>
            <a:ext uri="{FF2B5EF4-FFF2-40B4-BE49-F238E27FC236}">
              <a16:creationId xmlns:a16="http://schemas.microsoft.com/office/drawing/2014/main" id="{A8C2845B-9100-41AA-B959-6F6BC0872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51" name="BExUBK0YZ5VYFY8TTITJGJU9S06A" hidden="1">
          <a:extLst>
            <a:ext uri="{FF2B5EF4-FFF2-40B4-BE49-F238E27FC236}">
              <a16:creationId xmlns:a16="http://schemas.microsoft.com/office/drawing/2014/main" id="{686BED17-0D20-436F-8611-F7BE772E7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52" name="BEx5BJQWS6YWHH4ZMSUAMD641V6Y" descr="ZTMFMXCIQSECDX38ALEFHUB00" hidden="1">
          <a:extLst>
            <a:ext uri="{FF2B5EF4-FFF2-40B4-BE49-F238E27FC236}">
              <a16:creationId xmlns:a16="http://schemas.microsoft.com/office/drawing/2014/main" id="{E8B67290-B26C-4C8E-B843-7660DFB34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53" name="BExUBK0YZ5VYFY8TTITJGJU9S06A" hidden="1">
          <a:extLst>
            <a:ext uri="{FF2B5EF4-FFF2-40B4-BE49-F238E27FC236}">
              <a16:creationId xmlns:a16="http://schemas.microsoft.com/office/drawing/2014/main" id="{C04D666F-E112-4F19-95B7-E6E972ED0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54" name="BEx5BJQWS6YWHH4ZMSUAMD641V6Y" descr="ZTMFMXCIQSECDX38ALEFHUB00" hidden="1">
          <a:extLst>
            <a:ext uri="{FF2B5EF4-FFF2-40B4-BE49-F238E27FC236}">
              <a16:creationId xmlns:a16="http://schemas.microsoft.com/office/drawing/2014/main" id="{9F36D37B-C0F7-4DF9-BCA6-03133DF32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55" name="BExUBK0YZ5VYFY8TTITJGJU9S06A" hidden="1">
          <a:extLst>
            <a:ext uri="{FF2B5EF4-FFF2-40B4-BE49-F238E27FC236}">
              <a16:creationId xmlns:a16="http://schemas.microsoft.com/office/drawing/2014/main" id="{CA4A9954-CE39-4C89-A283-CBBCE5ED5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56" name="BEx5BJQWS6YWHH4ZMSUAMD641V6Y" descr="ZTMFMXCIQSECDX38ALEFHUB00" hidden="1">
          <a:extLst>
            <a:ext uri="{FF2B5EF4-FFF2-40B4-BE49-F238E27FC236}">
              <a16:creationId xmlns:a16="http://schemas.microsoft.com/office/drawing/2014/main" id="{756C3CEB-9957-4FB2-B733-D6A67FAD8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57" name="BExUBK0YZ5VYFY8TTITJGJU9S06A" hidden="1">
          <a:extLst>
            <a:ext uri="{FF2B5EF4-FFF2-40B4-BE49-F238E27FC236}">
              <a16:creationId xmlns:a16="http://schemas.microsoft.com/office/drawing/2014/main" id="{C60527BC-2E36-4E88-A84B-C17A9A47F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58" name="BEx5BJQWS6YWHH4ZMSUAMD641V6Y" descr="ZTMFMXCIQSECDX38ALEFHUB00" hidden="1">
          <a:extLst>
            <a:ext uri="{FF2B5EF4-FFF2-40B4-BE49-F238E27FC236}">
              <a16:creationId xmlns:a16="http://schemas.microsoft.com/office/drawing/2014/main" id="{2BE8C14C-19AE-4093-BE14-4DF57EB7A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59" name="BExUBK0YZ5VYFY8TTITJGJU9S06A" hidden="1">
          <a:extLst>
            <a:ext uri="{FF2B5EF4-FFF2-40B4-BE49-F238E27FC236}">
              <a16:creationId xmlns:a16="http://schemas.microsoft.com/office/drawing/2014/main" id="{C63B3F45-D011-4873-8D60-45E0970F4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60" name="BEx5BJQWS6YWHH4ZMSUAMD641V6Y" descr="ZTMFMXCIQSECDX38ALEFHUB00" hidden="1">
          <a:extLst>
            <a:ext uri="{FF2B5EF4-FFF2-40B4-BE49-F238E27FC236}">
              <a16:creationId xmlns:a16="http://schemas.microsoft.com/office/drawing/2014/main" id="{3820276E-F961-4B52-B6C1-65E2A8011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61" name="BExUBK0YZ5VYFY8TTITJGJU9S06A" hidden="1">
          <a:extLst>
            <a:ext uri="{FF2B5EF4-FFF2-40B4-BE49-F238E27FC236}">
              <a16:creationId xmlns:a16="http://schemas.microsoft.com/office/drawing/2014/main" id="{C4224A00-6140-4827-B046-5F9C00395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62" name="BEx5BJQWS6YWHH4ZMSUAMD641V6Y" descr="ZTMFMXCIQSECDX38ALEFHUB00" hidden="1">
          <a:extLst>
            <a:ext uri="{FF2B5EF4-FFF2-40B4-BE49-F238E27FC236}">
              <a16:creationId xmlns:a16="http://schemas.microsoft.com/office/drawing/2014/main" id="{B26F20D6-02AB-4853-8060-E4A909D3C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63" name="BExUBK0YZ5VYFY8TTITJGJU9S06A" hidden="1">
          <a:extLst>
            <a:ext uri="{FF2B5EF4-FFF2-40B4-BE49-F238E27FC236}">
              <a16:creationId xmlns:a16="http://schemas.microsoft.com/office/drawing/2014/main" id="{8E66298D-1725-4952-A19D-30A20A82F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64" name="BEx5BJQWS6YWHH4ZMSUAMD641V6Y" descr="ZTMFMXCIQSECDX38ALEFHUB00" hidden="1">
          <a:extLst>
            <a:ext uri="{FF2B5EF4-FFF2-40B4-BE49-F238E27FC236}">
              <a16:creationId xmlns:a16="http://schemas.microsoft.com/office/drawing/2014/main" id="{EA62DB94-48E8-4B7B-80AB-BD7E76B31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65" name="BExUBK0YZ5VYFY8TTITJGJU9S06A" hidden="1">
          <a:extLst>
            <a:ext uri="{FF2B5EF4-FFF2-40B4-BE49-F238E27FC236}">
              <a16:creationId xmlns:a16="http://schemas.microsoft.com/office/drawing/2014/main" id="{28216F49-48D9-4012-B6EF-84E66EB2E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66" name="BEx5BJQWS6YWHH4ZMSUAMD641V6Y" descr="ZTMFMXCIQSECDX38ALEFHUB00" hidden="1">
          <a:extLst>
            <a:ext uri="{FF2B5EF4-FFF2-40B4-BE49-F238E27FC236}">
              <a16:creationId xmlns:a16="http://schemas.microsoft.com/office/drawing/2014/main" id="{4305E2DC-C505-41CC-8529-B7216BE85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67" name="BExUBK0YZ5VYFY8TTITJGJU9S06A" hidden="1">
          <a:extLst>
            <a:ext uri="{FF2B5EF4-FFF2-40B4-BE49-F238E27FC236}">
              <a16:creationId xmlns:a16="http://schemas.microsoft.com/office/drawing/2014/main" id="{06174EB6-8031-4D8F-9F00-0090C237B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68" name="BEx5BJQWS6YWHH4ZMSUAMD641V6Y" descr="ZTMFMXCIQSECDX38ALEFHUB00" hidden="1">
          <a:extLst>
            <a:ext uri="{FF2B5EF4-FFF2-40B4-BE49-F238E27FC236}">
              <a16:creationId xmlns:a16="http://schemas.microsoft.com/office/drawing/2014/main" id="{74DB2CED-67A7-473D-93EC-9C7580CDE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69" name="BExUBK0YZ5VYFY8TTITJGJU9S06A" hidden="1">
          <a:extLst>
            <a:ext uri="{FF2B5EF4-FFF2-40B4-BE49-F238E27FC236}">
              <a16:creationId xmlns:a16="http://schemas.microsoft.com/office/drawing/2014/main" id="{CBF2E95D-723B-45E8-9E76-0C6D1B1C4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70" name="BEx5BJQWS6YWHH4ZMSUAMD641V6Y" descr="ZTMFMXCIQSECDX38ALEFHUB00" hidden="1">
          <a:extLst>
            <a:ext uri="{FF2B5EF4-FFF2-40B4-BE49-F238E27FC236}">
              <a16:creationId xmlns:a16="http://schemas.microsoft.com/office/drawing/2014/main" id="{7C63A5F2-BEBB-448A-A6CD-04F2A68C6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71" name="BExUBK0YZ5VYFY8TTITJGJU9S06A" hidden="1">
          <a:extLst>
            <a:ext uri="{FF2B5EF4-FFF2-40B4-BE49-F238E27FC236}">
              <a16:creationId xmlns:a16="http://schemas.microsoft.com/office/drawing/2014/main" id="{45765F8E-E796-4AAE-9A98-9D8D7DCE3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72" name="BEx5BJQWS6YWHH4ZMSUAMD641V6Y" descr="ZTMFMXCIQSECDX38ALEFHUB00" hidden="1">
          <a:extLst>
            <a:ext uri="{FF2B5EF4-FFF2-40B4-BE49-F238E27FC236}">
              <a16:creationId xmlns:a16="http://schemas.microsoft.com/office/drawing/2014/main" id="{12239135-BB42-4C8F-91E5-334BDBB9F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73" name="BExUBK0YZ5VYFY8TTITJGJU9S06A" hidden="1">
          <a:extLst>
            <a:ext uri="{FF2B5EF4-FFF2-40B4-BE49-F238E27FC236}">
              <a16:creationId xmlns:a16="http://schemas.microsoft.com/office/drawing/2014/main" id="{81DF0132-C04B-451D-9A77-84A1F9441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74" name="BEx5BJQWS6YWHH4ZMSUAMD641V6Y" descr="ZTMFMXCIQSECDX38ALEFHUB00" hidden="1">
          <a:extLst>
            <a:ext uri="{FF2B5EF4-FFF2-40B4-BE49-F238E27FC236}">
              <a16:creationId xmlns:a16="http://schemas.microsoft.com/office/drawing/2014/main" id="{B8B49E9D-C7CD-484E-BB3A-674FE0622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75" name="BExUBK0YZ5VYFY8TTITJGJU9S06A" hidden="1">
          <a:extLst>
            <a:ext uri="{FF2B5EF4-FFF2-40B4-BE49-F238E27FC236}">
              <a16:creationId xmlns:a16="http://schemas.microsoft.com/office/drawing/2014/main" id="{A4F98ADC-9AE1-4EEC-9146-18DED1952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76" name="BEx5BJQWS6YWHH4ZMSUAMD641V6Y" descr="ZTMFMXCIQSECDX38ALEFHUB00" hidden="1">
          <a:extLst>
            <a:ext uri="{FF2B5EF4-FFF2-40B4-BE49-F238E27FC236}">
              <a16:creationId xmlns:a16="http://schemas.microsoft.com/office/drawing/2014/main" id="{D3E30C70-48D0-4264-A03C-460AB5488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77" name="BExUBK0YZ5VYFY8TTITJGJU9S06A" hidden="1">
          <a:extLst>
            <a:ext uri="{FF2B5EF4-FFF2-40B4-BE49-F238E27FC236}">
              <a16:creationId xmlns:a16="http://schemas.microsoft.com/office/drawing/2014/main" id="{31003E8D-AC60-4DCC-B436-142671B01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78" name="BEx5BJQWS6YWHH4ZMSUAMD641V6Y" descr="ZTMFMXCIQSECDX38ALEFHUB00" hidden="1">
          <a:extLst>
            <a:ext uri="{FF2B5EF4-FFF2-40B4-BE49-F238E27FC236}">
              <a16:creationId xmlns:a16="http://schemas.microsoft.com/office/drawing/2014/main" id="{D8AAC85A-E579-41D8-BD73-9C0F0D2CC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79" name="BExUBK0YZ5VYFY8TTITJGJU9S06A" hidden="1">
          <a:extLst>
            <a:ext uri="{FF2B5EF4-FFF2-40B4-BE49-F238E27FC236}">
              <a16:creationId xmlns:a16="http://schemas.microsoft.com/office/drawing/2014/main" id="{204310EB-BDA0-44FC-BAC6-1338A0BE7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80" name="BEx5BJQWS6YWHH4ZMSUAMD641V6Y" descr="ZTMFMXCIQSECDX38ALEFHUB00" hidden="1">
          <a:extLst>
            <a:ext uri="{FF2B5EF4-FFF2-40B4-BE49-F238E27FC236}">
              <a16:creationId xmlns:a16="http://schemas.microsoft.com/office/drawing/2014/main" id="{B1E9634E-C0EC-4D6D-8C1F-AED34A5CE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81" name="BExUBK0YZ5VYFY8TTITJGJU9S06A" hidden="1">
          <a:extLst>
            <a:ext uri="{FF2B5EF4-FFF2-40B4-BE49-F238E27FC236}">
              <a16:creationId xmlns:a16="http://schemas.microsoft.com/office/drawing/2014/main" id="{C59BF036-DF6C-4E77-9EB3-202A2A2E8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82" name="BEx5BJQWS6YWHH4ZMSUAMD641V6Y" descr="ZTMFMXCIQSECDX38ALEFHUB00" hidden="1">
          <a:extLst>
            <a:ext uri="{FF2B5EF4-FFF2-40B4-BE49-F238E27FC236}">
              <a16:creationId xmlns:a16="http://schemas.microsoft.com/office/drawing/2014/main" id="{9A07453C-CFE1-495B-BA24-4591308C0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83" name="BExUBK0YZ5VYFY8TTITJGJU9S06A" hidden="1">
          <a:extLst>
            <a:ext uri="{FF2B5EF4-FFF2-40B4-BE49-F238E27FC236}">
              <a16:creationId xmlns:a16="http://schemas.microsoft.com/office/drawing/2014/main" id="{D789C521-3B27-415A-A96D-FB9D96953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84" name="BEx5BJQWS6YWHH4ZMSUAMD641V6Y" descr="ZTMFMXCIQSECDX38ALEFHUB00" hidden="1">
          <a:extLst>
            <a:ext uri="{FF2B5EF4-FFF2-40B4-BE49-F238E27FC236}">
              <a16:creationId xmlns:a16="http://schemas.microsoft.com/office/drawing/2014/main" id="{5C4F96CB-E108-4D83-9384-B68089EB5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85" name="BExUBK0YZ5VYFY8TTITJGJU9S06A" hidden="1">
          <a:extLst>
            <a:ext uri="{FF2B5EF4-FFF2-40B4-BE49-F238E27FC236}">
              <a16:creationId xmlns:a16="http://schemas.microsoft.com/office/drawing/2014/main" id="{4CCD0E15-9463-47D0-9E86-F45EA2BD2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86" name="BEx5BJQWS6YWHH4ZMSUAMD641V6Y" descr="ZTMFMXCIQSECDX38ALEFHUB00" hidden="1">
          <a:extLst>
            <a:ext uri="{FF2B5EF4-FFF2-40B4-BE49-F238E27FC236}">
              <a16:creationId xmlns:a16="http://schemas.microsoft.com/office/drawing/2014/main" id="{7D9C5BDA-65CF-4EDF-A1B6-C03A8CAE1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87" name="BExUBK0YZ5VYFY8TTITJGJU9S06A" hidden="1">
          <a:extLst>
            <a:ext uri="{FF2B5EF4-FFF2-40B4-BE49-F238E27FC236}">
              <a16:creationId xmlns:a16="http://schemas.microsoft.com/office/drawing/2014/main" id="{89826118-314C-45DF-9FC1-16E82FBC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88" name="BEx5BJQWS6YWHH4ZMSUAMD641V6Y" descr="ZTMFMXCIQSECDX38ALEFHUB00" hidden="1">
          <a:extLst>
            <a:ext uri="{FF2B5EF4-FFF2-40B4-BE49-F238E27FC236}">
              <a16:creationId xmlns:a16="http://schemas.microsoft.com/office/drawing/2014/main" id="{1A13C5B0-403A-4683-BAD0-518B9E9CB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89" name="BExUBK0YZ5VYFY8TTITJGJU9S06A" hidden="1">
          <a:extLst>
            <a:ext uri="{FF2B5EF4-FFF2-40B4-BE49-F238E27FC236}">
              <a16:creationId xmlns:a16="http://schemas.microsoft.com/office/drawing/2014/main" id="{85ECCA8A-1558-4936-BDEC-3D3B1A54D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90" name="BEx5BJQWS6YWHH4ZMSUAMD641V6Y" descr="ZTMFMXCIQSECDX38ALEFHUB00" hidden="1">
          <a:extLst>
            <a:ext uri="{FF2B5EF4-FFF2-40B4-BE49-F238E27FC236}">
              <a16:creationId xmlns:a16="http://schemas.microsoft.com/office/drawing/2014/main" id="{B0A0DD20-1916-4D11-B36D-CC69DE1B5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91" name="BExUBK0YZ5VYFY8TTITJGJU9S06A" hidden="1">
          <a:extLst>
            <a:ext uri="{FF2B5EF4-FFF2-40B4-BE49-F238E27FC236}">
              <a16:creationId xmlns:a16="http://schemas.microsoft.com/office/drawing/2014/main" id="{90465196-D7EA-42C7-886B-FF8F0A9DC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92" name="BEx5BJQWS6YWHH4ZMSUAMD641V6Y" descr="ZTMFMXCIQSECDX38ALEFHUB00" hidden="1">
          <a:extLst>
            <a:ext uri="{FF2B5EF4-FFF2-40B4-BE49-F238E27FC236}">
              <a16:creationId xmlns:a16="http://schemas.microsoft.com/office/drawing/2014/main" id="{70DA3962-7618-4956-9DC4-3CB356732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93" name="BExUBK0YZ5VYFY8TTITJGJU9S06A" hidden="1">
          <a:extLst>
            <a:ext uri="{FF2B5EF4-FFF2-40B4-BE49-F238E27FC236}">
              <a16:creationId xmlns:a16="http://schemas.microsoft.com/office/drawing/2014/main" id="{66C4A4D2-2463-4B13-B139-80019A0DD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94" name="BEx5BJQWS6YWHH4ZMSUAMD641V6Y" descr="ZTMFMXCIQSECDX38ALEFHUB00" hidden="1">
          <a:extLst>
            <a:ext uri="{FF2B5EF4-FFF2-40B4-BE49-F238E27FC236}">
              <a16:creationId xmlns:a16="http://schemas.microsoft.com/office/drawing/2014/main" id="{C03AC867-A0CA-4A18-B0F0-D3720BC9B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95" name="BExUBK0YZ5VYFY8TTITJGJU9S06A" hidden="1">
          <a:extLst>
            <a:ext uri="{FF2B5EF4-FFF2-40B4-BE49-F238E27FC236}">
              <a16:creationId xmlns:a16="http://schemas.microsoft.com/office/drawing/2014/main" id="{C7FF44C4-B838-4F2D-BDCE-8F5534239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96" name="BEx5BJQWS6YWHH4ZMSUAMD641V6Y" descr="ZTMFMXCIQSECDX38ALEFHUB00" hidden="1">
          <a:extLst>
            <a:ext uri="{FF2B5EF4-FFF2-40B4-BE49-F238E27FC236}">
              <a16:creationId xmlns:a16="http://schemas.microsoft.com/office/drawing/2014/main" id="{3B1D5DD3-FBB3-4C5A-8591-C56898CA3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97" name="BExUBK0YZ5VYFY8TTITJGJU9S06A" hidden="1">
          <a:extLst>
            <a:ext uri="{FF2B5EF4-FFF2-40B4-BE49-F238E27FC236}">
              <a16:creationId xmlns:a16="http://schemas.microsoft.com/office/drawing/2014/main" id="{8B3229E9-EC92-403C-94AD-E1482ACDC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98" name="BEx5BJQWS6YWHH4ZMSUAMD641V6Y" descr="ZTMFMXCIQSECDX38ALEFHUB00" hidden="1">
          <a:extLst>
            <a:ext uri="{FF2B5EF4-FFF2-40B4-BE49-F238E27FC236}">
              <a16:creationId xmlns:a16="http://schemas.microsoft.com/office/drawing/2014/main" id="{D4CE170F-8FAF-486F-9CC4-B68BF0904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699" name="BExUBK0YZ5VYFY8TTITJGJU9S06A" hidden="1">
          <a:extLst>
            <a:ext uri="{FF2B5EF4-FFF2-40B4-BE49-F238E27FC236}">
              <a16:creationId xmlns:a16="http://schemas.microsoft.com/office/drawing/2014/main" id="{7865E9B1-4C8E-4B7B-A929-4C3376FFE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00" name="BEx5BJQWS6YWHH4ZMSUAMD641V6Y" descr="ZTMFMXCIQSECDX38ALEFHUB00" hidden="1">
          <a:extLst>
            <a:ext uri="{FF2B5EF4-FFF2-40B4-BE49-F238E27FC236}">
              <a16:creationId xmlns:a16="http://schemas.microsoft.com/office/drawing/2014/main" id="{2AA934FB-1E8F-4318-B0F7-B732F4558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01" name="BExUBK0YZ5VYFY8TTITJGJU9S06A" hidden="1">
          <a:extLst>
            <a:ext uri="{FF2B5EF4-FFF2-40B4-BE49-F238E27FC236}">
              <a16:creationId xmlns:a16="http://schemas.microsoft.com/office/drawing/2014/main" id="{E7ABD345-4609-4201-BE2F-235D358A7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02" name="BEx5BJQWS6YWHH4ZMSUAMD641V6Y" descr="ZTMFMXCIQSECDX38ALEFHUB00" hidden="1">
          <a:extLst>
            <a:ext uri="{FF2B5EF4-FFF2-40B4-BE49-F238E27FC236}">
              <a16:creationId xmlns:a16="http://schemas.microsoft.com/office/drawing/2014/main" id="{0EA595D5-7315-4B02-830E-4F5A351B1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03" name="BExUBK0YZ5VYFY8TTITJGJU9S06A" hidden="1">
          <a:extLst>
            <a:ext uri="{FF2B5EF4-FFF2-40B4-BE49-F238E27FC236}">
              <a16:creationId xmlns:a16="http://schemas.microsoft.com/office/drawing/2014/main" id="{44731CA0-B4EA-4590-87B8-0FCDDB285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04" name="BEx5BJQWS6YWHH4ZMSUAMD641V6Y" descr="ZTMFMXCIQSECDX38ALEFHUB00" hidden="1">
          <a:extLst>
            <a:ext uri="{FF2B5EF4-FFF2-40B4-BE49-F238E27FC236}">
              <a16:creationId xmlns:a16="http://schemas.microsoft.com/office/drawing/2014/main" id="{CBB9706F-6FC2-4F56-A8CB-3C378AF81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05" name="BExUBK0YZ5VYFY8TTITJGJU9S06A" hidden="1">
          <a:extLst>
            <a:ext uri="{FF2B5EF4-FFF2-40B4-BE49-F238E27FC236}">
              <a16:creationId xmlns:a16="http://schemas.microsoft.com/office/drawing/2014/main" id="{CAAB9A40-D692-498F-B34F-B53D2E150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06" name="BEx5BJQWS6YWHH4ZMSUAMD641V6Y" descr="ZTMFMXCIQSECDX38ALEFHUB00" hidden="1">
          <a:extLst>
            <a:ext uri="{FF2B5EF4-FFF2-40B4-BE49-F238E27FC236}">
              <a16:creationId xmlns:a16="http://schemas.microsoft.com/office/drawing/2014/main" id="{75AAC947-0D34-45A0-8B0E-82CA96ED8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07" name="BExUBK0YZ5VYFY8TTITJGJU9S06A" hidden="1">
          <a:extLst>
            <a:ext uri="{FF2B5EF4-FFF2-40B4-BE49-F238E27FC236}">
              <a16:creationId xmlns:a16="http://schemas.microsoft.com/office/drawing/2014/main" id="{ABF416B3-7D0F-4D48-B183-B71B4DD91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08" name="BEx5BJQWS6YWHH4ZMSUAMD641V6Y" descr="ZTMFMXCIQSECDX38ALEFHUB00" hidden="1">
          <a:extLst>
            <a:ext uri="{FF2B5EF4-FFF2-40B4-BE49-F238E27FC236}">
              <a16:creationId xmlns:a16="http://schemas.microsoft.com/office/drawing/2014/main" id="{F378E6AF-4D23-4DB6-B992-4B5D153E1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09" name="BExUBK0YZ5VYFY8TTITJGJU9S06A" hidden="1">
          <a:extLst>
            <a:ext uri="{FF2B5EF4-FFF2-40B4-BE49-F238E27FC236}">
              <a16:creationId xmlns:a16="http://schemas.microsoft.com/office/drawing/2014/main" id="{7DB46D85-9C02-448E-9717-39876EAE4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10" name="BEx5BJQWS6YWHH4ZMSUAMD641V6Y" descr="ZTMFMXCIQSECDX38ALEFHUB00" hidden="1">
          <a:extLst>
            <a:ext uri="{FF2B5EF4-FFF2-40B4-BE49-F238E27FC236}">
              <a16:creationId xmlns:a16="http://schemas.microsoft.com/office/drawing/2014/main" id="{07B69777-004E-4FF7-88C5-4E69CC97D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11" name="BExUBK0YZ5VYFY8TTITJGJU9S06A" hidden="1">
          <a:extLst>
            <a:ext uri="{FF2B5EF4-FFF2-40B4-BE49-F238E27FC236}">
              <a16:creationId xmlns:a16="http://schemas.microsoft.com/office/drawing/2014/main" id="{B7824880-0246-4F19-BE68-F53CC0D4B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12" name="BEx5BJQWS6YWHH4ZMSUAMD641V6Y" descr="ZTMFMXCIQSECDX38ALEFHUB00" hidden="1">
          <a:extLst>
            <a:ext uri="{FF2B5EF4-FFF2-40B4-BE49-F238E27FC236}">
              <a16:creationId xmlns:a16="http://schemas.microsoft.com/office/drawing/2014/main" id="{F5B752E6-0636-4EB1-BFF4-19255D93A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13" name="BExUBK0YZ5VYFY8TTITJGJU9S06A" hidden="1">
          <a:extLst>
            <a:ext uri="{FF2B5EF4-FFF2-40B4-BE49-F238E27FC236}">
              <a16:creationId xmlns:a16="http://schemas.microsoft.com/office/drawing/2014/main" id="{1573863C-9EFD-4711-BDB6-47E8600B2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14" name="BEx5BJQWS6YWHH4ZMSUAMD641V6Y" descr="ZTMFMXCIQSECDX38ALEFHUB00" hidden="1">
          <a:extLst>
            <a:ext uri="{FF2B5EF4-FFF2-40B4-BE49-F238E27FC236}">
              <a16:creationId xmlns:a16="http://schemas.microsoft.com/office/drawing/2014/main" id="{C162E728-F8D9-486C-B4D4-497F57DF4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15" name="BExUBK0YZ5VYFY8TTITJGJU9S06A" hidden="1">
          <a:extLst>
            <a:ext uri="{FF2B5EF4-FFF2-40B4-BE49-F238E27FC236}">
              <a16:creationId xmlns:a16="http://schemas.microsoft.com/office/drawing/2014/main" id="{6F92D02B-D9D5-422E-BAC5-B6B2B58BD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16" name="BEx5BJQWS6YWHH4ZMSUAMD641V6Y" descr="ZTMFMXCIQSECDX38ALEFHUB00" hidden="1">
          <a:extLst>
            <a:ext uri="{FF2B5EF4-FFF2-40B4-BE49-F238E27FC236}">
              <a16:creationId xmlns:a16="http://schemas.microsoft.com/office/drawing/2014/main" id="{2229D362-11C7-4674-8E13-65C333A1A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17" name="BExUBK0YZ5VYFY8TTITJGJU9S06A" hidden="1">
          <a:extLst>
            <a:ext uri="{FF2B5EF4-FFF2-40B4-BE49-F238E27FC236}">
              <a16:creationId xmlns:a16="http://schemas.microsoft.com/office/drawing/2014/main" id="{1F4142CF-31D4-4A3D-BD34-6941D9C63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18" name="BEx5BJQWS6YWHH4ZMSUAMD641V6Y" descr="ZTMFMXCIQSECDX38ALEFHUB00" hidden="1">
          <a:extLst>
            <a:ext uri="{FF2B5EF4-FFF2-40B4-BE49-F238E27FC236}">
              <a16:creationId xmlns:a16="http://schemas.microsoft.com/office/drawing/2014/main" id="{FC1E438F-49F6-4E3E-8C65-A186A3FB6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19" name="BExUBK0YZ5VYFY8TTITJGJU9S06A" hidden="1">
          <a:extLst>
            <a:ext uri="{FF2B5EF4-FFF2-40B4-BE49-F238E27FC236}">
              <a16:creationId xmlns:a16="http://schemas.microsoft.com/office/drawing/2014/main" id="{2712452A-8147-4B70-A0D0-9D8C42BA3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20" name="BEx5BJQWS6YWHH4ZMSUAMD641V6Y" descr="ZTMFMXCIQSECDX38ALEFHUB00" hidden="1">
          <a:extLst>
            <a:ext uri="{FF2B5EF4-FFF2-40B4-BE49-F238E27FC236}">
              <a16:creationId xmlns:a16="http://schemas.microsoft.com/office/drawing/2014/main" id="{67AFD587-A421-45EF-9774-85CE3697D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21" name="BExUBK0YZ5VYFY8TTITJGJU9S06A" hidden="1">
          <a:extLst>
            <a:ext uri="{FF2B5EF4-FFF2-40B4-BE49-F238E27FC236}">
              <a16:creationId xmlns:a16="http://schemas.microsoft.com/office/drawing/2014/main" id="{DAA6F306-9F69-4F62-B1FD-7ED988748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22" name="BEx5BJQWS6YWHH4ZMSUAMD641V6Y" descr="ZTMFMXCIQSECDX38ALEFHUB00" hidden="1">
          <a:extLst>
            <a:ext uri="{FF2B5EF4-FFF2-40B4-BE49-F238E27FC236}">
              <a16:creationId xmlns:a16="http://schemas.microsoft.com/office/drawing/2014/main" id="{C375D75F-CA1A-4112-8590-F8EE56519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23" name="BExUBK0YZ5VYFY8TTITJGJU9S06A" hidden="1">
          <a:extLst>
            <a:ext uri="{FF2B5EF4-FFF2-40B4-BE49-F238E27FC236}">
              <a16:creationId xmlns:a16="http://schemas.microsoft.com/office/drawing/2014/main" id="{AAA03C54-16A3-40C7-BB4A-6B3EA562F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24" name="BEx5BJQWS6YWHH4ZMSUAMD641V6Y" descr="ZTMFMXCIQSECDX38ALEFHUB00" hidden="1">
          <a:extLst>
            <a:ext uri="{FF2B5EF4-FFF2-40B4-BE49-F238E27FC236}">
              <a16:creationId xmlns:a16="http://schemas.microsoft.com/office/drawing/2014/main" id="{372F7868-34DF-487F-9DFE-6D623AF08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25" name="BExUBK0YZ5VYFY8TTITJGJU9S06A" hidden="1">
          <a:extLst>
            <a:ext uri="{FF2B5EF4-FFF2-40B4-BE49-F238E27FC236}">
              <a16:creationId xmlns:a16="http://schemas.microsoft.com/office/drawing/2014/main" id="{C2ECA5D6-F345-410A-B327-641C15C71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26" name="BEx5BJQWS6YWHH4ZMSUAMD641V6Y" descr="ZTMFMXCIQSECDX38ALEFHUB00" hidden="1">
          <a:extLst>
            <a:ext uri="{FF2B5EF4-FFF2-40B4-BE49-F238E27FC236}">
              <a16:creationId xmlns:a16="http://schemas.microsoft.com/office/drawing/2014/main" id="{5557A70C-7B18-4FB7-B428-F3FEFBEA1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27" name="BExUBK0YZ5VYFY8TTITJGJU9S06A" hidden="1">
          <a:extLst>
            <a:ext uri="{FF2B5EF4-FFF2-40B4-BE49-F238E27FC236}">
              <a16:creationId xmlns:a16="http://schemas.microsoft.com/office/drawing/2014/main" id="{C0C8733A-BE95-4D72-B07F-594B6318A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28" name="BEx5BJQWS6YWHH4ZMSUAMD641V6Y" descr="ZTMFMXCIQSECDX38ALEFHUB00" hidden="1">
          <a:extLst>
            <a:ext uri="{FF2B5EF4-FFF2-40B4-BE49-F238E27FC236}">
              <a16:creationId xmlns:a16="http://schemas.microsoft.com/office/drawing/2014/main" id="{AAB9F2B1-DBF1-45B3-9B7F-FBB58822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29" name="BExUBK0YZ5VYFY8TTITJGJU9S06A" hidden="1">
          <a:extLst>
            <a:ext uri="{FF2B5EF4-FFF2-40B4-BE49-F238E27FC236}">
              <a16:creationId xmlns:a16="http://schemas.microsoft.com/office/drawing/2014/main" id="{C356855B-D8E8-4BC0-B3A3-A93C839D3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30" name="BEx5BJQWS6YWHH4ZMSUAMD641V6Y" descr="ZTMFMXCIQSECDX38ALEFHUB00" hidden="1">
          <a:extLst>
            <a:ext uri="{FF2B5EF4-FFF2-40B4-BE49-F238E27FC236}">
              <a16:creationId xmlns:a16="http://schemas.microsoft.com/office/drawing/2014/main" id="{7F41099A-BB91-41A4-BF8D-D4A81F108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31" name="BExUBK0YZ5VYFY8TTITJGJU9S06A" hidden="1">
          <a:extLst>
            <a:ext uri="{FF2B5EF4-FFF2-40B4-BE49-F238E27FC236}">
              <a16:creationId xmlns:a16="http://schemas.microsoft.com/office/drawing/2014/main" id="{2F70E575-5A8D-4487-A0BA-F8B35169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32" name="BEx5BJQWS6YWHH4ZMSUAMD641V6Y" descr="ZTMFMXCIQSECDX38ALEFHUB00" hidden="1">
          <a:extLst>
            <a:ext uri="{FF2B5EF4-FFF2-40B4-BE49-F238E27FC236}">
              <a16:creationId xmlns:a16="http://schemas.microsoft.com/office/drawing/2014/main" id="{57A6D414-45AE-4A41-9872-0B7222FDD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33" name="BExUBK0YZ5VYFY8TTITJGJU9S06A" hidden="1">
          <a:extLst>
            <a:ext uri="{FF2B5EF4-FFF2-40B4-BE49-F238E27FC236}">
              <a16:creationId xmlns:a16="http://schemas.microsoft.com/office/drawing/2014/main" id="{09B6F387-6629-4926-9A3D-15E846669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34" name="BEx5BJQWS6YWHH4ZMSUAMD641V6Y" descr="ZTMFMXCIQSECDX38ALEFHUB00" hidden="1">
          <a:extLst>
            <a:ext uri="{FF2B5EF4-FFF2-40B4-BE49-F238E27FC236}">
              <a16:creationId xmlns:a16="http://schemas.microsoft.com/office/drawing/2014/main" id="{4C46707D-D325-4476-BA0E-BF3985625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35" name="BExUBK0YZ5VYFY8TTITJGJU9S06A" hidden="1">
          <a:extLst>
            <a:ext uri="{FF2B5EF4-FFF2-40B4-BE49-F238E27FC236}">
              <a16:creationId xmlns:a16="http://schemas.microsoft.com/office/drawing/2014/main" id="{A5030D8A-9644-488D-95AA-C6F8ABEB9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36" name="BEx5BJQWS6YWHH4ZMSUAMD641V6Y" descr="ZTMFMXCIQSECDX38ALEFHUB00" hidden="1">
          <a:extLst>
            <a:ext uri="{FF2B5EF4-FFF2-40B4-BE49-F238E27FC236}">
              <a16:creationId xmlns:a16="http://schemas.microsoft.com/office/drawing/2014/main" id="{58ADC696-08AF-48F3-80C8-281B726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37" name="BExUBK0YZ5VYFY8TTITJGJU9S06A" hidden="1">
          <a:extLst>
            <a:ext uri="{FF2B5EF4-FFF2-40B4-BE49-F238E27FC236}">
              <a16:creationId xmlns:a16="http://schemas.microsoft.com/office/drawing/2014/main" id="{79DA2320-B858-485E-8BB0-B7EFA0634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38" name="BEx5BJQWS6YWHH4ZMSUAMD641V6Y" descr="ZTMFMXCIQSECDX38ALEFHUB00" hidden="1">
          <a:extLst>
            <a:ext uri="{FF2B5EF4-FFF2-40B4-BE49-F238E27FC236}">
              <a16:creationId xmlns:a16="http://schemas.microsoft.com/office/drawing/2014/main" id="{2727CEB7-BCDD-4388-85D2-CF7BF4BF5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39" name="BExUBK0YZ5VYFY8TTITJGJU9S06A" hidden="1">
          <a:extLst>
            <a:ext uri="{FF2B5EF4-FFF2-40B4-BE49-F238E27FC236}">
              <a16:creationId xmlns:a16="http://schemas.microsoft.com/office/drawing/2014/main" id="{A4FBBCBC-A835-46CA-9302-97F9D860F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40" name="BEx5BJQWS6YWHH4ZMSUAMD641V6Y" descr="ZTMFMXCIQSECDX38ALEFHUB00" hidden="1">
          <a:extLst>
            <a:ext uri="{FF2B5EF4-FFF2-40B4-BE49-F238E27FC236}">
              <a16:creationId xmlns:a16="http://schemas.microsoft.com/office/drawing/2014/main" id="{56BFDD0F-3FCE-4630-A85B-3BD157993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41" name="BExUBK0YZ5VYFY8TTITJGJU9S06A" hidden="1">
          <a:extLst>
            <a:ext uri="{FF2B5EF4-FFF2-40B4-BE49-F238E27FC236}">
              <a16:creationId xmlns:a16="http://schemas.microsoft.com/office/drawing/2014/main" id="{145A9E92-F14C-4B96-BD17-4FC9CC5B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42" name="BEx5BJQWS6YWHH4ZMSUAMD641V6Y" descr="ZTMFMXCIQSECDX38ALEFHUB00" hidden="1">
          <a:extLst>
            <a:ext uri="{FF2B5EF4-FFF2-40B4-BE49-F238E27FC236}">
              <a16:creationId xmlns:a16="http://schemas.microsoft.com/office/drawing/2014/main" id="{1F3CD499-9E6C-4C7F-89E9-70DAD2DE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43" name="BExUBK0YZ5VYFY8TTITJGJU9S06A" hidden="1">
          <a:extLst>
            <a:ext uri="{FF2B5EF4-FFF2-40B4-BE49-F238E27FC236}">
              <a16:creationId xmlns:a16="http://schemas.microsoft.com/office/drawing/2014/main" id="{94994D6F-14FB-4453-A16C-47D5322CC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44" name="BEx5BJQWS6YWHH4ZMSUAMD641V6Y" descr="ZTMFMXCIQSECDX38ALEFHUB00" hidden="1">
          <a:extLst>
            <a:ext uri="{FF2B5EF4-FFF2-40B4-BE49-F238E27FC236}">
              <a16:creationId xmlns:a16="http://schemas.microsoft.com/office/drawing/2014/main" id="{2AC5B2F3-3C2D-4AD8-8863-26859109E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45" name="BExUBK0YZ5VYFY8TTITJGJU9S06A" hidden="1">
          <a:extLst>
            <a:ext uri="{FF2B5EF4-FFF2-40B4-BE49-F238E27FC236}">
              <a16:creationId xmlns:a16="http://schemas.microsoft.com/office/drawing/2014/main" id="{4706385D-F13F-4289-98CD-8CB4F0B5A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46" name="BEx5BJQWS6YWHH4ZMSUAMD641V6Y" descr="ZTMFMXCIQSECDX38ALEFHUB00" hidden="1">
          <a:extLst>
            <a:ext uri="{FF2B5EF4-FFF2-40B4-BE49-F238E27FC236}">
              <a16:creationId xmlns:a16="http://schemas.microsoft.com/office/drawing/2014/main" id="{FC1E98A8-C29C-463D-8D76-65BEDE990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47" name="BExUBK0YZ5VYFY8TTITJGJU9S06A" hidden="1">
          <a:extLst>
            <a:ext uri="{FF2B5EF4-FFF2-40B4-BE49-F238E27FC236}">
              <a16:creationId xmlns:a16="http://schemas.microsoft.com/office/drawing/2014/main" id="{CA85E0EF-0073-46FB-8E88-4D544A135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48" name="BEx5BJQWS6YWHH4ZMSUAMD641V6Y" descr="ZTMFMXCIQSECDX38ALEFHUB00" hidden="1">
          <a:extLst>
            <a:ext uri="{FF2B5EF4-FFF2-40B4-BE49-F238E27FC236}">
              <a16:creationId xmlns:a16="http://schemas.microsoft.com/office/drawing/2014/main" id="{46E26E52-54B7-4D22-BE34-BD0E68AE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49" name="BExUBK0YZ5VYFY8TTITJGJU9S06A" hidden="1">
          <a:extLst>
            <a:ext uri="{FF2B5EF4-FFF2-40B4-BE49-F238E27FC236}">
              <a16:creationId xmlns:a16="http://schemas.microsoft.com/office/drawing/2014/main" id="{24BC35DE-6284-4058-A40F-1AF61D4A5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50" name="BEx5BJQWS6YWHH4ZMSUAMD641V6Y" descr="ZTMFMXCIQSECDX38ALEFHUB00" hidden="1">
          <a:extLst>
            <a:ext uri="{FF2B5EF4-FFF2-40B4-BE49-F238E27FC236}">
              <a16:creationId xmlns:a16="http://schemas.microsoft.com/office/drawing/2014/main" id="{53BBBC8B-872F-483E-BE8E-1193BC9B6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51" name="BExUBK0YZ5VYFY8TTITJGJU9S06A" hidden="1">
          <a:extLst>
            <a:ext uri="{FF2B5EF4-FFF2-40B4-BE49-F238E27FC236}">
              <a16:creationId xmlns:a16="http://schemas.microsoft.com/office/drawing/2014/main" id="{C17B1F72-4AA0-43E6-AD5C-684DD489D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52" name="BEx5BJQWS6YWHH4ZMSUAMD641V6Y" descr="ZTMFMXCIQSECDX38ALEFHUB00" hidden="1">
          <a:extLst>
            <a:ext uri="{FF2B5EF4-FFF2-40B4-BE49-F238E27FC236}">
              <a16:creationId xmlns:a16="http://schemas.microsoft.com/office/drawing/2014/main" id="{F099E90C-7BD4-4A19-96A3-D30857722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53" name="BExUBK0YZ5VYFY8TTITJGJU9S06A" hidden="1">
          <a:extLst>
            <a:ext uri="{FF2B5EF4-FFF2-40B4-BE49-F238E27FC236}">
              <a16:creationId xmlns:a16="http://schemas.microsoft.com/office/drawing/2014/main" id="{BB6CDE9A-0643-4C73-A679-AF45AC57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54" name="BEx5BJQWS6YWHH4ZMSUAMD641V6Y" descr="ZTMFMXCIQSECDX38ALEFHUB00" hidden="1">
          <a:extLst>
            <a:ext uri="{FF2B5EF4-FFF2-40B4-BE49-F238E27FC236}">
              <a16:creationId xmlns:a16="http://schemas.microsoft.com/office/drawing/2014/main" id="{E8B30821-F4BE-45E9-9771-0E6102F95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55" name="BExUBK0YZ5VYFY8TTITJGJU9S06A" hidden="1">
          <a:extLst>
            <a:ext uri="{FF2B5EF4-FFF2-40B4-BE49-F238E27FC236}">
              <a16:creationId xmlns:a16="http://schemas.microsoft.com/office/drawing/2014/main" id="{133EEB32-2F9D-48E7-9BC8-FFED616FF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56" name="BEx5BJQWS6YWHH4ZMSUAMD641V6Y" descr="ZTMFMXCIQSECDX38ALEFHUB00" hidden="1">
          <a:extLst>
            <a:ext uri="{FF2B5EF4-FFF2-40B4-BE49-F238E27FC236}">
              <a16:creationId xmlns:a16="http://schemas.microsoft.com/office/drawing/2014/main" id="{7EA0668F-6A24-407B-8376-BDD10213D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57" name="BExUBK0YZ5VYFY8TTITJGJU9S06A" hidden="1">
          <a:extLst>
            <a:ext uri="{FF2B5EF4-FFF2-40B4-BE49-F238E27FC236}">
              <a16:creationId xmlns:a16="http://schemas.microsoft.com/office/drawing/2014/main" id="{6043687D-6099-4A2B-8E1E-498186445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58" name="BEx5BJQWS6YWHH4ZMSUAMD641V6Y" descr="ZTMFMXCIQSECDX38ALEFHUB00" hidden="1">
          <a:extLst>
            <a:ext uri="{FF2B5EF4-FFF2-40B4-BE49-F238E27FC236}">
              <a16:creationId xmlns:a16="http://schemas.microsoft.com/office/drawing/2014/main" id="{45E9B0BC-DD9B-40A9-A37C-DD9A0DEE6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59" name="BExUBK0YZ5VYFY8TTITJGJU9S06A" hidden="1">
          <a:extLst>
            <a:ext uri="{FF2B5EF4-FFF2-40B4-BE49-F238E27FC236}">
              <a16:creationId xmlns:a16="http://schemas.microsoft.com/office/drawing/2014/main" id="{45BC8129-9AC2-4321-8134-254665445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60" name="BEx5BJQWS6YWHH4ZMSUAMD641V6Y" descr="ZTMFMXCIQSECDX38ALEFHUB00" hidden="1">
          <a:extLst>
            <a:ext uri="{FF2B5EF4-FFF2-40B4-BE49-F238E27FC236}">
              <a16:creationId xmlns:a16="http://schemas.microsoft.com/office/drawing/2014/main" id="{D57A512B-8512-45F8-A842-87F4F79FE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61" name="BExUBK0YZ5VYFY8TTITJGJU9S06A" hidden="1">
          <a:extLst>
            <a:ext uri="{FF2B5EF4-FFF2-40B4-BE49-F238E27FC236}">
              <a16:creationId xmlns:a16="http://schemas.microsoft.com/office/drawing/2014/main" id="{CC6AC648-F0D9-44FC-8F1D-28DBC2377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62" name="BEx5BJQWS6YWHH4ZMSUAMD641V6Y" descr="ZTMFMXCIQSECDX38ALEFHUB00" hidden="1">
          <a:extLst>
            <a:ext uri="{FF2B5EF4-FFF2-40B4-BE49-F238E27FC236}">
              <a16:creationId xmlns:a16="http://schemas.microsoft.com/office/drawing/2014/main" id="{9DDF6BBE-0AA7-4B0A-856C-EB8B7E28E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63" name="BExUBK0YZ5VYFY8TTITJGJU9S06A" hidden="1">
          <a:extLst>
            <a:ext uri="{FF2B5EF4-FFF2-40B4-BE49-F238E27FC236}">
              <a16:creationId xmlns:a16="http://schemas.microsoft.com/office/drawing/2014/main" id="{4B45B285-CEAB-42D2-8148-1879F5A41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64" name="BEx5BJQWS6YWHH4ZMSUAMD641V6Y" descr="ZTMFMXCIQSECDX38ALEFHUB00" hidden="1">
          <a:extLst>
            <a:ext uri="{FF2B5EF4-FFF2-40B4-BE49-F238E27FC236}">
              <a16:creationId xmlns:a16="http://schemas.microsoft.com/office/drawing/2014/main" id="{8110F51B-61F4-4726-9063-428B4745F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65" name="BExUBK0YZ5VYFY8TTITJGJU9S06A" hidden="1">
          <a:extLst>
            <a:ext uri="{FF2B5EF4-FFF2-40B4-BE49-F238E27FC236}">
              <a16:creationId xmlns:a16="http://schemas.microsoft.com/office/drawing/2014/main" id="{CC94730C-A29E-42F4-A4A5-6B89D76F9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66" name="BEx5BJQWS6YWHH4ZMSUAMD641V6Y" descr="ZTMFMXCIQSECDX38ALEFHUB00" hidden="1">
          <a:extLst>
            <a:ext uri="{FF2B5EF4-FFF2-40B4-BE49-F238E27FC236}">
              <a16:creationId xmlns:a16="http://schemas.microsoft.com/office/drawing/2014/main" id="{95C923D6-9EA6-4266-8A43-431425169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67" name="BExUBK0YZ5VYFY8TTITJGJU9S06A" hidden="1">
          <a:extLst>
            <a:ext uri="{FF2B5EF4-FFF2-40B4-BE49-F238E27FC236}">
              <a16:creationId xmlns:a16="http://schemas.microsoft.com/office/drawing/2014/main" id="{1E044612-D941-4171-80DA-AF7C32F6F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68" name="BEx5BJQWS6YWHH4ZMSUAMD641V6Y" descr="ZTMFMXCIQSECDX38ALEFHUB00" hidden="1">
          <a:extLst>
            <a:ext uri="{FF2B5EF4-FFF2-40B4-BE49-F238E27FC236}">
              <a16:creationId xmlns:a16="http://schemas.microsoft.com/office/drawing/2014/main" id="{A56C665A-DBAF-40F7-AC7A-5516328F0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69" name="BExUBK0YZ5VYFY8TTITJGJU9S06A" hidden="1">
          <a:extLst>
            <a:ext uri="{FF2B5EF4-FFF2-40B4-BE49-F238E27FC236}">
              <a16:creationId xmlns:a16="http://schemas.microsoft.com/office/drawing/2014/main" id="{BE3F5DE7-DD21-4C5F-8224-BFDAA322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70" name="BEx5BJQWS6YWHH4ZMSUAMD641V6Y" descr="ZTMFMXCIQSECDX38ALEFHUB00" hidden="1">
          <a:extLst>
            <a:ext uri="{FF2B5EF4-FFF2-40B4-BE49-F238E27FC236}">
              <a16:creationId xmlns:a16="http://schemas.microsoft.com/office/drawing/2014/main" id="{537BFA25-8D58-49E6-B142-2F7BBB5B4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71" name="BExUBK0YZ5VYFY8TTITJGJU9S06A" hidden="1">
          <a:extLst>
            <a:ext uri="{FF2B5EF4-FFF2-40B4-BE49-F238E27FC236}">
              <a16:creationId xmlns:a16="http://schemas.microsoft.com/office/drawing/2014/main" id="{B176EB26-3D9A-4747-9D25-141FDEBA5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72" name="BEx5BJQWS6YWHH4ZMSUAMD641V6Y" descr="ZTMFMXCIQSECDX38ALEFHUB00" hidden="1">
          <a:extLst>
            <a:ext uri="{FF2B5EF4-FFF2-40B4-BE49-F238E27FC236}">
              <a16:creationId xmlns:a16="http://schemas.microsoft.com/office/drawing/2014/main" id="{18A86D01-0CD0-4F0F-B0CD-2135FE965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73" name="BExUBK0YZ5VYFY8TTITJGJU9S06A" hidden="1">
          <a:extLst>
            <a:ext uri="{FF2B5EF4-FFF2-40B4-BE49-F238E27FC236}">
              <a16:creationId xmlns:a16="http://schemas.microsoft.com/office/drawing/2014/main" id="{F5340446-9F46-4C01-83BC-2489AB186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74" name="BEx5BJQWS6YWHH4ZMSUAMD641V6Y" descr="ZTMFMXCIQSECDX38ALEFHUB00" hidden="1">
          <a:extLst>
            <a:ext uri="{FF2B5EF4-FFF2-40B4-BE49-F238E27FC236}">
              <a16:creationId xmlns:a16="http://schemas.microsoft.com/office/drawing/2014/main" id="{CCFB66CA-3B16-40E9-9DCA-4CCEC8285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75" name="BExUBK0YZ5VYFY8TTITJGJU9S06A" hidden="1">
          <a:extLst>
            <a:ext uri="{FF2B5EF4-FFF2-40B4-BE49-F238E27FC236}">
              <a16:creationId xmlns:a16="http://schemas.microsoft.com/office/drawing/2014/main" id="{18475AF1-72E1-4E65-811B-14E1CD553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76" name="BEx5BJQWS6YWHH4ZMSUAMD641V6Y" descr="ZTMFMXCIQSECDX38ALEFHUB00" hidden="1">
          <a:extLst>
            <a:ext uri="{FF2B5EF4-FFF2-40B4-BE49-F238E27FC236}">
              <a16:creationId xmlns:a16="http://schemas.microsoft.com/office/drawing/2014/main" id="{EDD85D51-5339-4AF1-8D75-54C490FF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77" name="BExUBK0YZ5VYFY8TTITJGJU9S06A" hidden="1">
          <a:extLst>
            <a:ext uri="{FF2B5EF4-FFF2-40B4-BE49-F238E27FC236}">
              <a16:creationId xmlns:a16="http://schemas.microsoft.com/office/drawing/2014/main" id="{88D4BD3A-B2FE-49E4-874A-79D0623DE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78" name="BEx5BJQWS6YWHH4ZMSUAMD641V6Y" descr="ZTMFMXCIQSECDX38ALEFHUB00" hidden="1">
          <a:extLst>
            <a:ext uri="{FF2B5EF4-FFF2-40B4-BE49-F238E27FC236}">
              <a16:creationId xmlns:a16="http://schemas.microsoft.com/office/drawing/2014/main" id="{43CA2BAC-9216-4AE7-BDE4-1B419CBCC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79" name="BExUBK0YZ5VYFY8TTITJGJU9S06A" hidden="1">
          <a:extLst>
            <a:ext uri="{FF2B5EF4-FFF2-40B4-BE49-F238E27FC236}">
              <a16:creationId xmlns:a16="http://schemas.microsoft.com/office/drawing/2014/main" id="{5BB0B762-F9CA-4FAD-AA41-EDA571A98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80" name="BEx5BJQWS6YWHH4ZMSUAMD641V6Y" descr="ZTMFMXCIQSECDX38ALEFHUB00" hidden="1">
          <a:extLst>
            <a:ext uri="{FF2B5EF4-FFF2-40B4-BE49-F238E27FC236}">
              <a16:creationId xmlns:a16="http://schemas.microsoft.com/office/drawing/2014/main" id="{C19EE2D1-36D4-4DC6-8B9A-3E7401558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81" name="BExUBK0YZ5VYFY8TTITJGJU9S06A" hidden="1">
          <a:extLst>
            <a:ext uri="{FF2B5EF4-FFF2-40B4-BE49-F238E27FC236}">
              <a16:creationId xmlns:a16="http://schemas.microsoft.com/office/drawing/2014/main" id="{961DE422-6E71-4229-A291-BAB7E9BD7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82" name="BEx5BJQWS6YWHH4ZMSUAMD641V6Y" descr="ZTMFMXCIQSECDX38ALEFHUB00" hidden="1">
          <a:extLst>
            <a:ext uri="{FF2B5EF4-FFF2-40B4-BE49-F238E27FC236}">
              <a16:creationId xmlns:a16="http://schemas.microsoft.com/office/drawing/2014/main" id="{A2FEAC58-2510-4D1B-91AD-B22E1B430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83" name="BExUBK0YZ5VYFY8TTITJGJU9S06A" hidden="1">
          <a:extLst>
            <a:ext uri="{FF2B5EF4-FFF2-40B4-BE49-F238E27FC236}">
              <a16:creationId xmlns:a16="http://schemas.microsoft.com/office/drawing/2014/main" id="{10E52E8A-69D7-423D-AF8C-6F2BCFC76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84" name="BEx5BJQWS6YWHH4ZMSUAMD641V6Y" descr="ZTMFMXCIQSECDX38ALEFHUB00" hidden="1">
          <a:extLst>
            <a:ext uri="{FF2B5EF4-FFF2-40B4-BE49-F238E27FC236}">
              <a16:creationId xmlns:a16="http://schemas.microsoft.com/office/drawing/2014/main" id="{BE55A403-E1F0-4EAF-9201-A6F2BFF44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85" name="BExUBK0YZ5VYFY8TTITJGJU9S06A" hidden="1">
          <a:extLst>
            <a:ext uri="{FF2B5EF4-FFF2-40B4-BE49-F238E27FC236}">
              <a16:creationId xmlns:a16="http://schemas.microsoft.com/office/drawing/2014/main" id="{4FEB6632-4973-4C65-A31B-15BC42BF6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86" name="BEx5BJQWS6YWHH4ZMSUAMD641V6Y" descr="ZTMFMXCIQSECDX38ALEFHUB00" hidden="1">
          <a:extLst>
            <a:ext uri="{FF2B5EF4-FFF2-40B4-BE49-F238E27FC236}">
              <a16:creationId xmlns:a16="http://schemas.microsoft.com/office/drawing/2014/main" id="{01EDF3D8-ACAA-41BC-8560-6D51A100D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87" name="BExUBK0YZ5VYFY8TTITJGJU9S06A" hidden="1">
          <a:extLst>
            <a:ext uri="{FF2B5EF4-FFF2-40B4-BE49-F238E27FC236}">
              <a16:creationId xmlns:a16="http://schemas.microsoft.com/office/drawing/2014/main" id="{016D0339-2678-49F3-818D-3559A3A73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88" name="BEx5BJQWS6YWHH4ZMSUAMD641V6Y" descr="ZTMFMXCIQSECDX38ALEFHUB00" hidden="1">
          <a:extLst>
            <a:ext uri="{FF2B5EF4-FFF2-40B4-BE49-F238E27FC236}">
              <a16:creationId xmlns:a16="http://schemas.microsoft.com/office/drawing/2014/main" id="{5E785DAC-7959-4921-83F0-E1A73ADD4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89" name="BExUBK0YZ5VYFY8TTITJGJU9S06A" hidden="1">
          <a:extLst>
            <a:ext uri="{FF2B5EF4-FFF2-40B4-BE49-F238E27FC236}">
              <a16:creationId xmlns:a16="http://schemas.microsoft.com/office/drawing/2014/main" id="{4218119F-3994-4417-838B-E8141D8F3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90" name="BEx5BJQWS6YWHH4ZMSUAMD641V6Y" descr="ZTMFMXCIQSECDX38ALEFHUB00" hidden="1">
          <a:extLst>
            <a:ext uri="{FF2B5EF4-FFF2-40B4-BE49-F238E27FC236}">
              <a16:creationId xmlns:a16="http://schemas.microsoft.com/office/drawing/2014/main" id="{5B472B83-2F93-4CE5-AEEF-C41C50A89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91" name="BExUBK0YZ5VYFY8TTITJGJU9S06A" hidden="1">
          <a:extLst>
            <a:ext uri="{FF2B5EF4-FFF2-40B4-BE49-F238E27FC236}">
              <a16:creationId xmlns:a16="http://schemas.microsoft.com/office/drawing/2014/main" id="{54B0285B-FE4C-4ACE-AA1F-CE3C445F9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92" name="BEx5BJQWS6YWHH4ZMSUAMD641V6Y" descr="ZTMFMXCIQSECDX38ALEFHUB00" hidden="1">
          <a:extLst>
            <a:ext uri="{FF2B5EF4-FFF2-40B4-BE49-F238E27FC236}">
              <a16:creationId xmlns:a16="http://schemas.microsoft.com/office/drawing/2014/main" id="{C4D834BC-0BD0-4CB0-8C73-05FD01892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93" name="BExUBK0YZ5VYFY8TTITJGJU9S06A" hidden="1">
          <a:extLst>
            <a:ext uri="{FF2B5EF4-FFF2-40B4-BE49-F238E27FC236}">
              <a16:creationId xmlns:a16="http://schemas.microsoft.com/office/drawing/2014/main" id="{A1C1D67E-3BC9-4E0F-AEE5-B488007E7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94" name="BEx5BJQWS6YWHH4ZMSUAMD641V6Y" descr="ZTMFMXCIQSECDX38ALEFHUB00" hidden="1">
          <a:extLst>
            <a:ext uri="{FF2B5EF4-FFF2-40B4-BE49-F238E27FC236}">
              <a16:creationId xmlns:a16="http://schemas.microsoft.com/office/drawing/2014/main" id="{B4646B38-718D-4812-9B20-765AA174B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95" name="BExUBK0YZ5VYFY8TTITJGJU9S06A" hidden="1">
          <a:extLst>
            <a:ext uri="{FF2B5EF4-FFF2-40B4-BE49-F238E27FC236}">
              <a16:creationId xmlns:a16="http://schemas.microsoft.com/office/drawing/2014/main" id="{2BC0679C-118A-4A18-93F5-315F69269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96" name="BEx5BJQWS6YWHH4ZMSUAMD641V6Y" descr="ZTMFMXCIQSECDX38ALEFHUB00" hidden="1">
          <a:extLst>
            <a:ext uri="{FF2B5EF4-FFF2-40B4-BE49-F238E27FC236}">
              <a16:creationId xmlns:a16="http://schemas.microsoft.com/office/drawing/2014/main" id="{34506629-0805-4F8E-B88E-CDCEF6CEF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97" name="BExUBK0YZ5VYFY8TTITJGJU9S06A" hidden="1">
          <a:extLst>
            <a:ext uri="{FF2B5EF4-FFF2-40B4-BE49-F238E27FC236}">
              <a16:creationId xmlns:a16="http://schemas.microsoft.com/office/drawing/2014/main" id="{4826FE76-E333-4E51-B445-FDA8655B9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98" name="BEx5BJQWS6YWHH4ZMSUAMD641V6Y" descr="ZTMFMXCIQSECDX38ALEFHUB00" hidden="1">
          <a:extLst>
            <a:ext uri="{FF2B5EF4-FFF2-40B4-BE49-F238E27FC236}">
              <a16:creationId xmlns:a16="http://schemas.microsoft.com/office/drawing/2014/main" id="{997C5083-28D3-4125-B321-F29F16E33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799" name="BExUBK0YZ5VYFY8TTITJGJU9S06A" hidden="1">
          <a:extLst>
            <a:ext uri="{FF2B5EF4-FFF2-40B4-BE49-F238E27FC236}">
              <a16:creationId xmlns:a16="http://schemas.microsoft.com/office/drawing/2014/main" id="{E1135E5D-4E9A-48A0-A192-6FD8EC642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00" name="BEx5BJQWS6YWHH4ZMSUAMD641V6Y" descr="ZTMFMXCIQSECDX38ALEFHUB00" hidden="1">
          <a:extLst>
            <a:ext uri="{FF2B5EF4-FFF2-40B4-BE49-F238E27FC236}">
              <a16:creationId xmlns:a16="http://schemas.microsoft.com/office/drawing/2014/main" id="{89CDF32D-9BD4-4F62-AB26-500A93BE1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01" name="BExUBK0YZ5VYFY8TTITJGJU9S06A" hidden="1">
          <a:extLst>
            <a:ext uri="{FF2B5EF4-FFF2-40B4-BE49-F238E27FC236}">
              <a16:creationId xmlns:a16="http://schemas.microsoft.com/office/drawing/2014/main" id="{6993D18D-2346-4E5A-9B5F-0C308FB01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02" name="BEx5BJQWS6YWHH4ZMSUAMD641V6Y" descr="ZTMFMXCIQSECDX38ALEFHUB00" hidden="1">
          <a:extLst>
            <a:ext uri="{FF2B5EF4-FFF2-40B4-BE49-F238E27FC236}">
              <a16:creationId xmlns:a16="http://schemas.microsoft.com/office/drawing/2014/main" id="{87642D8C-5ED0-430D-ABBC-D86E85814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03" name="BExUBK0YZ5VYFY8TTITJGJU9S06A" hidden="1">
          <a:extLst>
            <a:ext uri="{FF2B5EF4-FFF2-40B4-BE49-F238E27FC236}">
              <a16:creationId xmlns:a16="http://schemas.microsoft.com/office/drawing/2014/main" id="{F2E30239-A707-4B02-817B-4A4C284A1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04" name="BEx5BJQWS6YWHH4ZMSUAMD641V6Y" descr="ZTMFMXCIQSECDX38ALEFHUB00" hidden="1">
          <a:extLst>
            <a:ext uri="{FF2B5EF4-FFF2-40B4-BE49-F238E27FC236}">
              <a16:creationId xmlns:a16="http://schemas.microsoft.com/office/drawing/2014/main" id="{8F6B40D4-4543-45D3-9F3C-12A2D3B4A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05" name="BExUBK0YZ5VYFY8TTITJGJU9S06A" hidden="1">
          <a:extLst>
            <a:ext uri="{FF2B5EF4-FFF2-40B4-BE49-F238E27FC236}">
              <a16:creationId xmlns:a16="http://schemas.microsoft.com/office/drawing/2014/main" id="{54D26EF7-953B-4190-AE80-0F5168ADC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06" name="BEx5BJQWS6YWHH4ZMSUAMD641V6Y" descr="ZTMFMXCIQSECDX38ALEFHUB00" hidden="1">
          <a:extLst>
            <a:ext uri="{FF2B5EF4-FFF2-40B4-BE49-F238E27FC236}">
              <a16:creationId xmlns:a16="http://schemas.microsoft.com/office/drawing/2014/main" id="{13AECE95-C0E8-4234-A17D-0E2D89877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07" name="BExUBK0YZ5VYFY8TTITJGJU9S06A" hidden="1">
          <a:extLst>
            <a:ext uri="{FF2B5EF4-FFF2-40B4-BE49-F238E27FC236}">
              <a16:creationId xmlns:a16="http://schemas.microsoft.com/office/drawing/2014/main" id="{D5EC2CE8-0AC4-409A-88D7-366A180DA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08" name="BEx5BJQWS6YWHH4ZMSUAMD641V6Y" descr="ZTMFMXCIQSECDX38ALEFHUB00" hidden="1">
          <a:extLst>
            <a:ext uri="{FF2B5EF4-FFF2-40B4-BE49-F238E27FC236}">
              <a16:creationId xmlns:a16="http://schemas.microsoft.com/office/drawing/2014/main" id="{CFAB1E4F-6ABB-4643-810F-3A90B75AB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09" name="BExUBK0YZ5VYFY8TTITJGJU9S06A" hidden="1">
          <a:extLst>
            <a:ext uri="{FF2B5EF4-FFF2-40B4-BE49-F238E27FC236}">
              <a16:creationId xmlns:a16="http://schemas.microsoft.com/office/drawing/2014/main" id="{58645184-E6F3-4C61-AC3D-832B165A5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10" name="BEx5BJQWS6YWHH4ZMSUAMD641V6Y" descr="ZTMFMXCIQSECDX38ALEFHUB00" hidden="1">
          <a:extLst>
            <a:ext uri="{FF2B5EF4-FFF2-40B4-BE49-F238E27FC236}">
              <a16:creationId xmlns:a16="http://schemas.microsoft.com/office/drawing/2014/main" id="{AA723BFE-62F4-49D1-80C2-5875B417F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11" name="BExUBK0YZ5VYFY8TTITJGJU9S06A" hidden="1">
          <a:extLst>
            <a:ext uri="{FF2B5EF4-FFF2-40B4-BE49-F238E27FC236}">
              <a16:creationId xmlns:a16="http://schemas.microsoft.com/office/drawing/2014/main" id="{E5BFB2B9-CD54-4730-A65D-E4553E1D6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12" name="BEx5BJQWS6YWHH4ZMSUAMD641V6Y" descr="ZTMFMXCIQSECDX38ALEFHUB00" hidden="1">
          <a:extLst>
            <a:ext uri="{FF2B5EF4-FFF2-40B4-BE49-F238E27FC236}">
              <a16:creationId xmlns:a16="http://schemas.microsoft.com/office/drawing/2014/main" id="{88E61D5B-73E0-4C4F-8E60-9D3A2F944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13" name="BExUBK0YZ5VYFY8TTITJGJU9S06A" hidden="1">
          <a:extLst>
            <a:ext uri="{FF2B5EF4-FFF2-40B4-BE49-F238E27FC236}">
              <a16:creationId xmlns:a16="http://schemas.microsoft.com/office/drawing/2014/main" id="{F430EDA0-9A55-441D-AFD1-5BBC705AB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14" name="BEx5BJQWS6YWHH4ZMSUAMD641V6Y" descr="ZTMFMXCIQSECDX38ALEFHUB00" hidden="1">
          <a:extLst>
            <a:ext uri="{FF2B5EF4-FFF2-40B4-BE49-F238E27FC236}">
              <a16:creationId xmlns:a16="http://schemas.microsoft.com/office/drawing/2014/main" id="{F6B3C3D6-788F-48A3-AF22-DEB5C82C3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15" name="BExUBK0YZ5VYFY8TTITJGJU9S06A" hidden="1">
          <a:extLst>
            <a:ext uri="{FF2B5EF4-FFF2-40B4-BE49-F238E27FC236}">
              <a16:creationId xmlns:a16="http://schemas.microsoft.com/office/drawing/2014/main" id="{131AEA9A-8220-4C5E-813F-7E463DBA8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16" name="BEx5BJQWS6YWHH4ZMSUAMD641V6Y" descr="ZTMFMXCIQSECDX38ALEFHUB00" hidden="1">
          <a:extLst>
            <a:ext uri="{FF2B5EF4-FFF2-40B4-BE49-F238E27FC236}">
              <a16:creationId xmlns:a16="http://schemas.microsoft.com/office/drawing/2014/main" id="{30B53B03-173D-428E-83C6-98323F64E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17" name="BExUBK0YZ5VYFY8TTITJGJU9S06A" hidden="1">
          <a:extLst>
            <a:ext uri="{FF2B5EF4-FFF2-40B4-BE49-F238E27FC236}">
              <a16:creationId xmlns:a16="http://schemas.microsoft.com/office/drawing/2014/main" id="{CD691970-C9DA-4ECF-87E8-A220ED4CA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18" name="BEx5BJQWS6YWHH4ZMSUAMD641V6Y" descr="ZTMFMXCIQSECDX38ALEFHUB00" hidden="1">
          <a:extLst>
            <a:ext uri="{FF2B5EF4-FFF2-40B4-BE49-F238E27FC236}">
              <a16:creationId xmlns:a16="http://schemas.microsoft.com/office/drawing/2014/main" id="{0968AAB1-F44F-424A-BA21-8CE6D4AE6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19" name="BExUBK0YZ5VYFY8TTITJGJU9S06A" hidden="1">
          <a:extLst>
            <a:ext uri="{FF2B5EF4-FFF2-40B4-BE49-F238E27FC236}">
              <a16:creationId xmlns:a16="http://schemas.microsoft.com/office/drawing/2014/main" id="{2566008D-D476-4F47-9999-F7000A3AC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20" name="BEx5BJQWS6YWHH4ZMSUAMD641V6Y" descr="ZTMFMXCIQSECDX38ALEFHUB00" hidden="1">
          <a:extLst>
            <a:ext uri="{FF2B5EF4-FFF2-40B4-BE49-F238E27FC236}">
              <a16:creationId xmlns:a16="http://schemas.microsoft.com/office/drawing/2014/main" id="{CE689AEA-DD4C-4FE1-A9DD-137BABFAD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21" name="BExUBK0YZ5VYFY8TTITJGJU9S06A" hidden="1">
          <a:extLst>
            <a:ext uri="{FF2B5EF4-FFF2-40B4-BE49-F238E27FC236}">
              <a16:creationId xmlns:a16="http://schemas.microsoft.com/office/drawing/2014/main" id="{51EC6CDD-B01A-455B-892C-AAD76ACD3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22" name="BEx5BJQWS6YWHH4ZMSUAMD641V6Y" descr="ZTMFMXCIQSECDX38ALEFHUB00" hidden="1">
          <a:extLst>
            <a:ext uri="{FF2B5EF4-FFF2-40B4-BE49-F238E27FC236}">
              <a16:creationId xmlns:a16="http://schemas.microsoft.com/office/drawing/2014/main" id="{C7EC3F79-0F39-42EE-8455-C13FE6EC6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23" name="BExUBK0YZ5VYFY8TTITJGJU9S06A" hidden="1">
          <a:extLst>
            <a:ext uri="{FF2B5EF4-FFF2-40B4-BE49-F238E27FC236}">
              <a16:creationId xmlns:a16="http://schemas.microsoft.com/office/drawing/2014/main" id="{B52C7E71-4B9B-4F91-8B37-E11BFA2B4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24" name="BEx5BJQWS6YWHH4ZMSUAMD641V6Y" descr="ZTMFMXCIQSECDX38ALEFHUB00" hidden="1">
          <a:extLst>
            <a:ext uri="{FF2B5EF4-FFF2-40B4-BE49-F238E27FC236}">
              <a16:creationId xmlns:a16="http://schemas.microsoft.com/office/drawing/2014/main" id="{2309A93E-69A5-41E3-A984-CCA67EFDB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25" name="BExUBK0YZ5VYFY8TTITJGJU9S06A" hidden="1">
          <a:extLst>
            <a:ext uri="{FF2B5EF4-FFF2-40B4-BE49-F238E27FC236}">
              <a16:creationId xmlns:a16="http://schemas.microsoft.com/office/drawing/2014/main" id="{BFCB918A-E7CD-4FEC-8231-61D909529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26" name="BEx5BJQWS6YWHH4ZMSUAMD641V6Y" descr="ZTMFMXCIQSECDX38ALEFHUB00" hidden="1">
          <a:extLst>
            <a:ext uri="{FF2B5EF4-FFF2-40B4-BE49-F238E27FC236}">
              <a16:creationId xmlns:a16="http://schemas.microsoft.com/office/drawing/2014/main" id="{C950068D-46F7-487B-BF56-A113A3094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27" name="BExUBK0YZ5VYFY8TTITJGJU9S06A" hidden="1">
          <a:extLst>
            <a:ext uri="{FF2B5EF4-FFF2-40B4-BE49-F238E27FC236}">
              <a16:creationId xmlns:a16="http://schemas.microsoft.com/office/drawing/2014/main" id="{32A248DD-953D-4E76-8FE5-BDE35F59B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28" name="BEx5BJQWS6YWHH4ZMSUAMD641V6Y" descr="ZTMFMXCIQSECDX38ALEFHUB00" hidden="1">
          <a:extLst>
            <a:ext uri="{FF2B5EF4-FFF2-40B4-BE49-F238E27FC236}">
              <a16:creationId xmlns:a16="http://schemas.microsoft.com/office/drawing/2014/main" id="{40646B07-6CCD-4F80-9E50-DFD72DA01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29" name="BExUBK0YZ5VYFY8TTITJGJU9S06A" hidden="1">
          <a:extLst>
            <a:ext uri="{FF2B5EF4-FFF2-40B4-BE49-F238E27FC236}">
              <a16:creationId xmlns:a16="http://schemas.microsoft.com/office/drawing/2014/main" id="{1E80756D-F20D-4EA4-8A48-FED14AD11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30" name="BEx5BJQWS6YWHH4ZMSUAMD641V6Y" descr="ZTMFMXCIQSECDX38ALEFHUB00" hidden="1">
          <a:extLst>
            <a:ext uri="{FF2B5EF4-FFF2-40B4-BE49-F238E27FC236}">
              <a16:creationId xmlns:a16="http://schemas.microsoft.com/office/drawing/2014/main" id="{FDF7A9A3-A608-4BAC-A982-589A774BE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31" name="BExUBK0YZ5VYFY8TTITJGJU9S06A" hidden="1">
          <a:extLst>
            <a:ext uri="{FF2B5EF4-FFF2-40B4-BE49-F238E27FC236}">
              <a16:creationId xmlns:a16="http://schemas.microsoft.com/office/drawing/2014/main" id="{572D2CA3-7E76-43D3-AF15-A86D8C35D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32" name="BEx5BJQWS6YWHH4ZMSUAMD641V6Y" descr="ZTMFMXCIQSECDX38ALEFHUB00" hidden="1">
          <a:extLst>
            <a:ext uri="{FF2B5EF4-FFF2-40B4-BE49-F238E27FC236}">
              <a16:creationId xmlns:a16="http://schemas.microsoft.com/office/drawing/2014/main" id="{1C070CDD-9C55-4607-8B85-D2F656A44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33" name="BExUBK0YZ5VYFY8TTITJGJU9S06A" hidden="1">
          <a:extLst>
            <a:ext uri="{FF2B5EF4-FFF2-40B4-BE49-F238E27FC236}">
              <a16:creationId xmlns:a16="http://schemas.microsoft.com/office/drawing/2014/main" id="{CE110513-74F0-40FF-A28A-9577E6D40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34" name="BEx5BJQWS6YWHH4ZMSUAMD641V6Y" descr="ZTMFMXCIQSECDX38ALEFHUB00" hidden="1">
          <a:extLst>
            <a:ext uri="{FF2B5EF4-FFF2-40B4-BE49-F238E27FC236}">
              <a16:creationId xmlns:a16="http://schemas.microsoft.com/office/drawing/2014/main" id="{6786D039-A9C5-4CA2-82D6-647F6223F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35" name="BExUBK0YZ5VYFY8TTITJGJU9S06A" hidden="1">
          <a:extLst>
            <a:ext uri="{FF2B5EF4-FFF2-40B4-BE49-F238E27FC236}">
              <a16:creationId xmlns:a16="http://schemas.microsoft.com/office/drawing/2014/main" id="{264BA505-0FF3-4997-8D31-3752F675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36" name="BEx5BJQWS6YWHH4ZMSUAMD641V6Y" descr="ZTMFMXCIQSECDX38ALEFHUB00" hidden="1">
          <a:extLst>
            <a:ext uri="{FF2B5EF4-FFF2-40B4-BE49-F238E27FC236}">
              <a16:creationId xmlns:a16="http://schemas.microsoft.com/office/drawing/2014/main" id="{4516A7B2-28FE-4608-A6C1-EBAD559FB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37" name="BExUBK0YZ5VYFY8TTITJGJU9S06A" hidden="1">
          <a:extLst>
            <a:ext uri="{FF2B5EF4-FFF2-40B4-BE49-F238E27FC236}">
              <a16:creationId xmlns:a16="http://schemas.microsoft.com/office/drawing/2014/main" id="{BE0B4086-4814-4E21-98A8-83C2BB04B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38" name="BEx5BJQWS6YWHH4ZMSUAMD641V6Y" descr="ZTMFMXCIQSECDX38ALEFHUB00" hidden="1">
          <a:extLst>
            <a:ext uri="{FF2B5EF4-FFF2-40B4-BE49-F238E27FC236}">
              <a16:creationId xmlns:a16="http://schemas.microsoft.com/office/drawing/2014/main" id="{36F24447-8916-4EEC-9DE7-FBF501E1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39" name="BExUBK0YZ5VYFY8TTITJGJU9S06A" hidden="1">
          <a:extLst>
            <a:ext uri="{FF2B5EF4-FFF2-40B4-BE49-F238E27FC236}">
              <a16:creationId xmlns:a16="http://schemas.microsoft.com/office/drawing/2014/main" id="{C32E06F4-7E1A-4CEA-9E08-84D6D3235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40" name="BEx5BJQWS6YWHH4ZMSUAMD641V6Y" descr="ZTMFMXCIQSECDX38ALEFHUB00" hidden="1">
          <a:extLst>
            <a:ext uri="{FF2B5EF4-FFF2-40B4-BE49-F238E27FC236}">
              <a16:creationId xmlns:a16="http://schemas.microsoft.com/office/drawing/2014/main" id="{A4AB1E6B-4742-418E-8D24-A63E5F9C5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41" name="BExUBK0YZ5VYFY8TTITJGJU9S06A" hidden="1">
          <a:extLst>
            <a:ext uri="{FF2B5EF4-FFF2-40B4-BE49-F238E27FC236}">
              <a16:creationId xmlns:a16="http://schemas.microsoft.com/office/drawing/2014/main" id="{F19477FF-BC78-41E3-9BBB-ADE9F6469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42" name="BEx5BJQWS6YWHH4ZMSUAMD641V6Y" descr="ZTMFMXCIQSECDX38ALEFHUB00" hidden="1">
          <a:extLst>
            <a:ext uri="{FF2B5EF4-FFF2-40B4-BE49-F238E27FC236}">
              <a16:creationId xmlns:a16="http://schemas.microsoft.com/office/drawing/2014/main" id="{5324C789-286B-403D-B9E1-C2468565A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43" name="BExUBK0YZ5VYFY8TTITJGJU9S06A" hidden="1">
          <a:extLst>
            <a:ext uri="{FF2B5EF4-FFF2-40B4-BE49-F238E27FC236}">
              <a16:creationId xmlns:a16="http://schemas.microsoft.com/office/drawing/2014/main" id="{C36779AA-56D0-454D-8566-53C9305D7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44" name="BEx5BJQWS6YWHH4ZMSUAMD641V6Y" descr="ZTMFMXCIQSECDX38ALEFHUB00" hidden="1">
          <a:extLst>
            <a:ext uri="{FF2B5EF4-FFF2-40B4-BE49-F238E27FC236}">
              <a16:creationId xmlns:a16="http://schemas.microsoft.com/office/drawing/2014/main" id="{CEA0D637-451B-40F9-B033-2F1848204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45" name="BExUBK0YZ5VYFY8TTITJGJU9S06A" hidden="1">
          <a:extLst>
            <a:ext uri="{FF2B5EF4-FFF2-40B4-BE49-F238E27FC236}">
              <a16:creationId xmlns:a16="http://schemas.microsoft.com/office/drawing/2014/main" id="{809D97E7-12AB-4F41-AEE1-6FF6A4F3B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46" name="BEx5BJQWS6YWHH4ZMSUAMD641V6Y" descr="ZTMFMXCIQSECDX38ALEFHUB00" hidden="1">
          <a:extLst>
            <a:ext uri="{FF2B5EF4-FFF2-40B4-BE49-F238E27FC236}">
              <a16:creationId xmlns:a16="http://schemas.microsoft.com/office/drawing/2014/main" id="{237E6887-0B05-4B10-8A19-865B0A34B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47" name="BExUBK0YZ5VYFY8TTITJGJU9S06A" hidden="1">
          <a:extLst>
            <a:ext uri="{FF2B5EF4-FFF2-40B4-BE49-F238E27FC236}">
              <a16:creationId xmlns:a16="http://schemas.microsoft.com/office/drawing/2014/main" id="{F4896BAF-2BF8-44AC-AE61-273B8F4A8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48" name="BEx5BJQWS6YWHH4ZMSUAMD641V6Y" descr="ZTMFMXCIQSECDX38ALEFHUB00" hidden="1">
          <a:extLst>
            <a:ext uri="{FF2B5EF4-FFF2-40B4-BE49-F238E27FC236}">
              <a16:creationId xmlns:a16="http://schemas.microsoft.com/office/drawing/2014/main" id="{5949A061-8D98-487C-92D1-534CEE4E3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49" name="BExUBK0YZ5VYFY8TTITJGJU9S06A" hidden="1">
          <a:extLst>
            <a:ext uri="{FF2B5EF4-FFF2-40B4-BE49-F238E27FC236}">
              <a16:creationId xmlns:a16="http://schemas.microsoft.com/office/drawing/2014/main" id="{E834331D-5A93-4CF3-9551-4191DFE6E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50" name="BEx5BJQWS6YWHH4ZMSUAMD641V6Y" descr="ZTMFMXCIQSECDX38ALEFHUB00" hidden="1">
          <a:extLst>
            <a:ext uri="{FF2B5EF4-FFF2-40B4-BE49-F238E27FC236}">
              <a16:creationId xmlns:a16="http://schemas.microsoft.com/office/drawing/2014/main" id="{C0E13CD5-3FCC-4279-8A8C-8327E0BF4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51" name="BExUBK0YZ5VYFY8TTITJGJU9S06A" hidden="1">
          <a:extLst>
            <a:ext uri="{FF2B5EF4-FFF2-40B4-BE49-F238E27FC236}">
              <a16:creationId xmlns:a16="http://schemas.microsoft.com/office/drawing/2014/main" id="{89882BBF-35FB-4943-9DC5-A0C8B5874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52" name="BEx5BJQWS6YWHH4ZMSUAMD641V6Y" descr="ZTMFMXCIQSECDX38ALEFHUB00" hidden="1">
          <a:extLst>
            <a:ext uri="{FF2B5EF4-FFF2-40B4-BE49-F238E27FC236}">
              <a16:creationId xmlns:a16="http://schemas.microsoft.com/office/drawing/2014/main" id="{C96B6053-17DD-4F92-B5B9-AEA55BC9A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53" name="BExUBK0YZ5VYFY8TTITJGJU9S06A" hidden="1">
          <a:extLst>
            <a:ext uri="{FF2B5EF4-FFF2-40B4-BE49-F238E27FC236}">
              <a16:creationId xmlns:a16="http://schemas.microsoft.com/office/drawing/2014/main" id="{788898F2-3E07-4765-870F-E6F6CA8E4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54" name="BEx5BJQWS6YWHH4ZMSUAMD641V6Y" descr="ZTMFMXCIQSECDX38ALEFHUB00" hidden="1">
          <a:extLst>
            <a:ext uri="{FF2B5EF4-FFF2-40B4-BE49-F238E27FC236}">
              <a16:creationId xmlns:a16="http://schemas.microsoft.com/office/drawing/2014/main" id="{0E416044-152B-48AB-A86A-599301D4E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55" name="BExUBK0YZ5VYFY8TTITJGJU9S06A" hidden="1">
          <a:extLst>
            <a:ext uri="{FF2B5EF4-FFF2-40B4-BE49-F238E27FC236}">
              <a16:creationId xmlns:a16="http://schemas.microsoft.com/office/drawing/2014/main" id="{C3087AC5-9E15-46CE-9198-638AA3B35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56" name="BEx5BJQWS6YWHH4ZMSUAMD641V6Y" descr="ZTMFMXCIQSECDX38ALEFHUB00" hidden="1">
          <a:extLst>
            <a:ext uri="{FF2B5EF4-FFF2-40B4-BE49-F238E27FC236}">
              <a16:creationId xmlns:a16="http://schemas.microsoft.com/office/drawing/2014/main" id="{8E5A17B2-F64A-4FAB-A981-2505074BE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57" name="BExUBK0YZ5VYFY8TTITJGJU9S06A" hidden="1">
          <a:extLst>
            <a:ext uri="{FF2B5EF4-FFF2-40B4-BE49-F238E27FC236}">
              <a16:creationId xmlns:a16="http://schemas.microsoft.com/office/drawing/2014/main" id="{046A3B06-D642-4F6F-9AF0-539D40976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58" name="BEx5BJQWS6YWHH4ZMSUAMD641V6Y" descr="ZTMFMXCIQSECDX38ALEFHUB00" hidden="1">
          <a:extLst>
            <a:ext uri="{FF2B5EF4-FFF2-40B4-BE49-F238E27FC236}">
              <a16:creationId xmlns:a16="http://schemas.microsoft.com/office/drawing/2014/main" id="{92B7BD81-F66F-434E-8317-188BF4263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59" name="BExUBK0YZ5VYFY8TTITJGJU9S06A" hidden="1">
          <a:extLst>
            <a:ext uri="{FF2B5EF4-FFF2-40B4-BE49-F238E27FC236}">
              <a16:creationId xmlns:a16="http://schemas.microsoft.com/office/drawing/2014/main" id="{BECECE0A-DBE4-4CF3-AB22-4E1185CA9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60" name="BEx5BJQWS6YWHH4ZMSUAMD641V6Y" descr="ZTMFMXCIQSECDX38ALEFHUB00" hidden="1">
          <a:extLst>
            <a:ext uri="{FF2B5EF4-FFF2-40B4-BE49-F238E27FC236}">
              <a16:creationId xmlns:a16="http://schemas.microsoft.com/office/drawing/2014/main" id="{BA6C52FB-F95F-48DC-A36C-359B3B40E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61" name="BExUBK0YZ5VYFY8TTITJGJU9S06A" hidden="1">
          <a:extLst>
            <a:ext uri="{FF2B5EF4-FFF2-40B4-BE49-F238E27FC236}">
              <a16:creationId xmlns:a16="http://schemas.microsoft.com/office/drawing/2014/main" id="{CDAD3B81-8324-497F-9D89-F02F91A4F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62" name="BEx5BJQWS6YWHH4ZMSUAMD641V6Y" descr="ZTMFMXCIQSECDX38ALEFHUB00" hidden="1">
          <a:extLst>
            <a:ext uri="{FF2B5EF4-FFF2-40B4-BE49-F238E27FC236}">
              <a16:creationId xmlns:a16="http://schemas.microsoft.com/office/drawing/2014/main" id="{A1E23148-751E-4502-906E-6FD44B9AD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63" name="BExUBK0YZ5VYFY8TTITJGJU9S06A" hidden="1">
          <a:extLst>
            <a:ext uri="{FF2B5EF4-FFF2-40B4-BE49-F238E27FC236}">
              <a16:creationId xmlns:a16="http://schemas.microsoft.com/office/drawing/2014/main" id="{06B027BE-341A-4AC1-AA40-E14101C47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64" name="BEx5BJQWS6YWHH4ZMSUAMD641V6Y" descr="ZTMFMXCIQSECDX38ALEFHUB00" hidden="1">
          <a:extLst>
            <a:ext uri="{FF2B5EF4-FFF2-40B4-BE49-F238E27FC236}">
              <a16:creationId xmlns:a16="http://schemas.microsoft.com/office/drawing/2014/main" id="{C7825B8D-B8F0-4DCD-BB4D-53E699862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65" name="BExUBK0YZ5VYFY8TTITJGJU9S06A" hidden="1">
          <a:extLst>
            <a:ext uri="{FF2B5EF4-FFF2-40B4-BE49-F238E27FC236}">
              <a16:creationId xmlns:a16="http://schemas.microsoft.com/office/drawing/2014/main" id="{875637FA-1BE9-422B-B974-002316FD5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66" name="BEx5BJQWS6YWHH4ZMSUAMD641V6Y" descr="ZTMFMXCIQSECDX38ALEFHUB00" hidden="1">
          <a:extLst>
            <a:ext uri="{FF2B5EF4-FFF2-40B4-BE49-F238E27FC236}">
              <a16:creationId xmlns:a16="http://schemas.microsoft.com/office/drawing/2014/main" id="{8F2EC365-D9ED-4CC4-805C-57A91AC64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67" name="BExUBK0YZ5VYFY8TTITJGJU9S06A" hidden="1">
          <a:extLst>
            <a:ext uri="{FF2B5EF4-FFF2-40B4-BE49-F238E27FC236}">
              <a16:creationId xmlns:a16="http://schemas.microsoft.com/office/drawing/2014/main" id="{BE20797A-2C4E-47E7-9996-AC2B40D9C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68" name="BEx5BJQWS6YWHH4ZMSUAMD641V6Y" descr="ZTMFMXCIQSECDX38ALEFHUB00" hidden="1">
          <a:extLst>
            <a:ext uri="{FF2B5EF4-FFF2-40B4-BE49-F238E27FC236}">
              <a16:creationId xmlns:a16="http://schemas.microsoft.com/office/drawing/2014/main" id="{A2949762-D34B-4EB2-88E6-3982B2085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69" name="BExUBK0YZ5VYFY8TTITJGJU9S06A" hidden="1">
          <a:extLst>
            <a:ext uri="{FF2B5EF4-FFF2-40B4-BE49-F238E27FC236}">
              <a16:creationId xmlns:a16="http://schemas.microsoft.com/office/drawing/2014/main" id="{47042C90-1F4C-47D6-AAE4-9B873B405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70" name="BEx5BJQWS6YWHH4ZMSUAMD641V6Y" descr="ZTMFMXCIQSECDX38ALEFHUB00" hidden="1">
          <a:extLst>
            <a:ext uri="{FF2B5EF4-FFF2-40B4-BE49-F238E27FC236}">
              <a16:creationId xmlns:a16="http://schemas.microsoft.com/office/drawing/2014/main" id="{E75BA237-1243-44DC-9859-849E4470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71" name="BExUBK0YZ5VYFY8TTITJGJU9S06A" hidden="1">
          <a:extLst>
            <a:ext uri="{FF2B5EF4-FFF2-40B4-BE49-F238E27FC236}">
              <a16:creationId xmlns:a16="http://schemas.microsoft.com/office/drawing/2014/main" id="{240366E3-D01D-4212-89CC-0501F6A36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72" name="BEx5BJQWS6YWHH4ZMSUAMD641V6Y" descr="ZTMFMXCIQSECDX38ALEFHUB00" hidden="1">
          <a:extLst>
            <a:ext uri="{FF2B5EF4-FFF2-40B4-BE49-F238E27FC236}">
              <a16:creationId xmlns:a16="http://schemas.microsoft.com/office/drawing/2014/main" id="{4832D3D6-69CD-48AA-866A-7DE55582F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73" name="BExUBK0YZ5VYFY8TTITJGJU9S06A" hidden="1">
          <a:extLst>
            <a:ext uri="{FF2B5EF4-FFF2-40B4-BE49-F238E27FC236}">
              <a16:creationId xmlns:a16="http://schemas.microsoft.com/office/drawing/2014/main" id="{803C05AA-B424-46A4-B973-03281618B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74" name="BEx5BJQWS6YWHH4ZMSUAMD641V6Y" descr="ZTMFMXCIQSECDX38ALEFHUB00" hidden="1">
          <a:extLst>
            <a:ext uri="{FF2B5EF4-FFF2-40B4-BE49-F238E27FC236}">
              <a16:creationId xmlns:a16="http://schemas.microsoft.com/office/drawing/2014/main" id="{64D75BB0-F54A-4AF5-8E69-5E0B34BB8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75" name="BExUBK0YZ5VYFY8TTITJGJU9S06A" hidden="1">
          <a:extLst>
            <a:ext uri="{FF2B5EF4-FFF2-40B4-BE49-F238E27FC236}">
              <a16:creationId xmlns:a16="http://schemas.microsoft.com/office/drawing/2014/main" id="{26C6B15A-C82A-4738-BCF8-262181AAE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76" name="BEx5BJQWS6YWHH4ZMSUAMD641V6Y" descr="ZTMFMXCIQSECDX38ALEFHUB00" hidden="1">
          <a:extLst>
            <a:ext uri="{FF2B5EF4-FFF2-40B4-BE49-F238E27FC236}">
              <a16:creationId xmlns:a16="http://schemas.microsoft.com/office/drawing/2014/main" id="{C39BF040-BEEC-43CB-B479-648011CA6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77" name="BExUBK0YZ5VYFY8TTITJGJU9S06A" hidden="1">
          <a:extLst>
            <a:ext uri="{FF2B5EF4-FFF2-40B4-BE49-F238E27FC236}">
              <a16:creationId xmlns:a16="http://schemas.microsoft.com/office/drawing/2014/main" id="{31B8C23A-5EFA-485E-B62A-D9C62C0C0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78" name="BEx5BJQWS6YWHH4ZMSUAMD641V6Y" descr="ZTMFMXCIQSECDX38ALEFHUB00" hidden="1">
          <a:extLst>
            <a:ext uri="{FF2B5EF4-FFF2-40B4-BE49-F238E27FC236}">
              <a16:creationId xmlns:a16="http://schemas.microsoft.com/office/drawing/2014/main" id="{3148F890-8789-49D3-8EDB-9E83CA400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79" name="BExUBK0YZ5VYFY8TTITJGJU9S06A" hidden="1">
          <a:extLst>
            <a:ext uri="{FF2B5EF4-FFF2-40B4-BE49-F238E27FC236}">
              <a16:creationId xmlns:a16="http://schemas.microsoft.com/office/drawing/2014/main" id="{E94A403F-A6C1-4689-A6A8-CA352B4B4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80" name="BEx5BJQWS6YWHH4ZMSUAMD641V6Y" descr="ZTMFMXCIQSECDX38ALEFHUB00" hidden="1">
          <a:extLst>
            <a:ext uri="{FF2B5EF4-FFF2-40B4-BE49-F238E27FC236}">
              <a16:creationId xmlns:a16="http://schemas.microsoft.com/office/drawing/2014/main" id="{A0F130EB-639F-44F9-B0B4-1D4F62536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81" name="BExUBK0YZ5VYFY8TTITJGJU9S06A" hidden="1">
          <a:extLst>
            <a:ext uri="{FF2B5EF4-FFF2-40B4-BE49-F238E27FC236}">
              <a16:creationId xmlns:a16="http://schemas.microsoft.com/office/drawing/2014/main" id="{6F6BA11D-1911-4C03-BE30-C15357EB9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82" name="BEx5BJQWS6YWHH4ZMSUAMD641V6Y" descr="ZTMFMXCIQSECDX38ALEFHUB00" hidden="1">
          <a:extLst>
            <a:ext uri="{FF2B5EF4-FFF2-40B4-BE49-F238E27FC236}">
              <a16:creationId xmlns:a16="http://schemas.microsoft.com/office/drawing/2014/main" id="{C027C490-2D48-4321-BFF1-7E48630DD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83" name="BExUBK0YZ5VYFY8TTITJGJU9S06A" hidden="1">
          <a:extLst>
            <a:ext uri="{FF2B5EF4-FFF2-40B4-BE49-F238E27FC236}">
              <a16:creationId xmlns:a16="http://schemas.microsoft.com/office/drawing/2014/main" id="{0C3FD502-F7B1-443C-8C81-5258B5B26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84" name="BEx5BJQWS6YWHH4ZMSUAMD641V6Y" descr="ZTMFMXCIQSECDX38ALEFHUB00" hidden="1">
          <a:extLst>
            <a:ext uri="{FF2B5EF4-FFF2-40B4-BE49-F238E27FC236}">
              <a16:creationId xmlns:a16="http://schemas.microsoft.com/office/drawing/2014/main" id="{8A3F7479-9619-49E1-B420-EC2A8A9F5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85" name="BExUBK0YZ5VYFY8TTITJGJU9S06A" hidden="1">
          <a:extLst>
            <a:ext uri="{FF2B5EF4-FFF2-40B4-BE49-F238E27FC236}">
              <a16:creationId xmlns:a16="http://schemas.microsoft.com/office/drawing/2014/main" id="{95C0B77B-1514-4443-9E88-5256E3B44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86" name="BEx5BJQWS6YWHH4ZMSUAMD641V6Y" descr="ZTMFMXCIQSECDX38ALEFHUB00" hidden="1">
          <a:extLst>
            <a:ext uri="{FF2B5EF4-FFF2-40B4-BE49-F238E27FC236}">
              <a16:creationId xmlns:a16="http://schemas.microsoft.com/office/drawing/2014/main" id="{50C9938D-0DD5-45DF-98CB-79E8BD027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87" name="BExUBK0YZ5VYFY8TTITJGJU9S06A" hidden="1">
          <a:extLst>
            <a:ext uri="{FF2B5EF4-FFF2-40B4-BE49-F238E27FC236}">
              <a16:creationId xmlns:a16="http://schemas.microsoft.com/office/drawing/2014/main" id="{2468609C-2056-429A-AE9A-8098FFDE3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88" name="BEx5BJQWS6YWHH4ZMSUAMD641V6Y" descr="ZTMFMXCIQSECDX38ALEFHUB00" hidden="1">
          <a:extLst>
            <a:ext uri="{FF2B5EF4-FFF2-40B4-BE49-F238E27FC236}">
              <a16:creationId xmlns:a16="http://schemas.microsoft.com/office/drawing/2014/main" id="{7E1BFFD5-528B-4147-B103-529B4A930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89" name="BExUBK0YZ5VYFY8TTITJGJU9S06A" hidden="1">
          <a:extLst>
            <a:ext uri="{FF2B5EF4-FFF2-40B4-BE49-F238E27FC236}">
              <a16:creationId xmlns:a16="http://schemas.microsoft.com/office/drawing/2014/main" id="{DD0D8E78-0120-4DEE-982B-152654BC8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90" name="BEx5BJQWS6YWHH4ZMSUAMD641V6Y" descr="ZTMFMXCIQSECDX38ALEFHUB00" hidden="1">
          <a:extLst>
            <a:ext uri="{FF2B5EF4-FFF2-40B4-BE49-F238E27FC236}">
              <a16:creationId xmlns:a16="http://schemas.microsoft.com/office/drawing/2014/main" id="{8F3195C3-7074-4537-A678-8DF39BCA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91" name="BExUBK0YZ5VYFY8TTITJGJU9S06A" hidden="1">
          <a:extLst>
            <a:ext uri="{FF2B5EF4-FFF2-40B4-BE49-F238E27FC236}">
              <a16:creationId xmlns:a16="http://schemas.microsoft.com/office/drawing/2014/main" id="{210E9358-08A7-44EB-B33F-7360BAB9F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92" name="BEx5BJQWS6YWHH4ZMSUAMD641V6Y" descr="ZTMFMXCIQSECDX38ALEFHUB00" hidden="1">
          <a:extLst>
            <a:ext uri="{FF2B5EF4-FFF2-40B4-BE49-F238E27FC236}">
              <a16:creationId xmlns:a16="http://schemas.microsoft.com/office/drawing/2014/main" id="{4C531A65-7FDB-4947-8FB7-4CC97858C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93" name="BExUBK0YZ5VYFY8TTITJGJU9S06A" hidden="1">
          <a:extLst>
            <a:ext uri="{FF2B5EF4-FFF2-40B4-BE49-F238E27FC236}">
              <a16:creationId xmlns:a16="http://schemas.microsoft.com/office/drawing/2014/main" id="{04E0B00C-1F8A-4CA1-B41E-E27FF8364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94" name="BEx5BJQWS6YWHH4ZMSUAMD641V6Y" descr="ZTMFMXCIQSECDX38ALEFHUB00" hidden="1">
          <a:extLst>
            <a:ext uri="{FF2B5EF4-FFF2-40B4-BE49-F238E27FC236}">
              <a16:creationId xmlns:a16="http://schemas.microsoft.com/office/drawing/2014/main" id="{88A028B7-BE97-4999-ABAE-B96C6886E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95" name="BExUBK0YZ5VYFY8TTITJGJU9S06A" hidden="1">
          <a:extLst>
            <a:ext uri="{FF2B5EF4-FFF2-40B4-BE49-F238E27FC236}">
              <a16:creationId xmlns:a16="http://schemas.microsoft.com/office/drawing/2014/main" id="{9341E512-A825-4B58-A4AC-25BF6743D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96" name="BEx5BJQWS6YWHH4ZMSUAMD641V6Y" descr="ZTMFMXCIQSECDX38ALEFHUB00" hidden="1">
          <a:extLst>
            <a:ext uri="{FF2B5EF4-FFF2-40B4-BE49-F238E27FC236}">
              <a16:creationId xmlns:a16="http://schemas.microsoft.com/office/drawing/2014/main" id="{E4FD9976-F0AA-46E4-874D-7F19FF137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97" name="BExUBK0YZ5VYFY8TTITJGJU9S06A" hidden="1">
          <a:extLst>
            <a:ext uri="{FF2B5EF4-FFF2-40B4-BE49-F238E27FC236}">
              <a16:creationId xmlns:a16="http://schemas.microsoft.com/office/drawing/2014/main" id="{C87A46D8-AE28-43A4-85FC-A15E1A402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98" name="BEx5BJQWS6YWHH4ZMSUAMD641V6Y" descr="ZTMFMXCIQSECDX38ALEFHUB00" hidden="1">
          <a:extLst>
            <a:ext uri="{FF2B5EF4-FFF2-40B4-BE49-F238E27FC236}">
              <a16:creationId xmlns:a16="http://schemas.microsoft.com/office/drawing/2014/main" id="{40A233A5-700C-4386-A3F4-886AC464C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899" name="BExUBK0YZ5VYFY8TTITJGJU9S06A" hidden="1">
          <a:extLst>
            <a:ext uri="{FF2B5EF4-FFF2-40B4-BE49-F238E27FC236}">
              <a16:creationId xmlns:a16="http://schemas.microsoft.com/office/drawing/2014/main" id="{561F2E55-DFC5-4E5F-8D4A-8E9ABB68C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00" name="BEx5BJQWS6YWHH4ZMSUAMD641V6Y" descr="ZTMFMXCIQSECDX38ALEFHUB00" hidden="1">
          <a:extLst>
            <a:ext uri="{FF2B5EF4-FFF2-40B4-BE49-F238E27FC236}">
              <a16:creationId xmlns:a16="http://schemas.microsoft.com/office/drawing/2014/main" id="{392E41ED-54CF-42D3-8971-2CFEFDE62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01" name="BExUBK0YZ5VYFY8TTITJGJU9S06A" hidden="1">
          <a:extLst>
            <a:ext uri="{FF2B5EF4-FFF2-40B4-BE49-F238E27FC236}">
              <a16:creationId xmlns:a16="http://schemas.microsoft.com/office/drawing/2014/main" id="{B8792A29-FA69-4F72-B458-419ED0268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02" name="BEx5BJQWS6YWHH4ZMSUAMD641V6Y" descr="ZTMFMXCIQSECDX38ALEFHUB00" hidden="1">
          <a:extLst>
            <a:ext uri="{FF2B5EF4-FFF2-40B4-BE49-F238E27FC236}">
              <a16:creationId xmlns:a16="http://schemas.microsoft.com/office/drawing/2014/main" id="{7872C178-2CA5-433A-A36F-8F895B489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03" name="BExUBK0YZ5VYFY8TTITJGJU9S06A" hidden="1">
          <a:extLst>
            <a:ext uri="{FF2B5EF4-FFF2-40B4-BE49-F238E27FC236}">
              <a16:creationId xmlns:a16="http://schemas.microsoft.com/office/drawing/2014/main" id="{9D014D4D-7284-4374-A1C0-5FFA20B8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04" name="BEx5BJQWS6YWHH4ZMSUAMD641V6Y" descr="ZTMFMXCIQSECDX38ALEFHUB00" hidden="1">
          <a:extLst>
            <a:ext uri="{FF2B5EF4-FFF2-40B4-BE49-F238E27FC236}">
              <a16:creationId xmlns:a16="http://schemas.microsoft.com/office/drawing/2014/main" id="{9A96BA57-4E02-4233-85D0-38B442751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05" name="BExUBK0YZ5VYFY8TTITJGJU9S06A" hidden="1">
          <a:extLst>
            <a:ext uri="{FF2B5EF4-FFF2-40B4-BE49-F238E27FC236}">
              <a16:creationId xmlns:a16="http://schemas.microsoft.com/office/drawing/2014/main" id="{A25ABA1F-4823-469C-A346-03BEEF45C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06" name="BEx5BJQWS6YWHH4ZMSUAMD641V6Y" descr="ZTMFMXCIQSECDX38ALEFHUB00" hidden="1">
          <a:extLst>
            <a:ext uri="{FF2B5EF4-FFF2-40B4-BE49-F238E27FC236}">
              <a16:creationId xmlns:a16="http://schemas.microsoft.com/office/drawing/2014/main" id="{70E138C3-9B6C-411C-9E41-C0A5C2279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07" name="BExUBK0YZ5VYFY8TTITJGJU9S06A" hidden="1">
          <a:extLst>
            <a:ext uri="{FF2B5EF4-FFF2-40B4-BE49-F238E27FC236}">
              <a16:creationId xmlns:a16="http://schemas.microsoft.com/office/drawing/2014/main" id="{79098CA7-66F4-49B5-9B40-350A74BC8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08" name="BEx5BJQWS6YWHH4ZMSUAMD641V6Y" descr="ZTMFMXCIQSECDX38ALEFHUB00" hidden="1">
          <a:extLst>
            <a:ext uri="{FF2B5EF4-FFF2-40B4-BE49-F238E27FC236}">
              <a16:creationId xmlns:a16="http://schemas.microsoft.com/office/drawing/2014/main" id="{C556635D-0826-4EBE-A3CB-D35A33620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09" name="BExUBK0YZ5VYFY8TTITJGJU9S06A" hidden="1">
          <a:extLst>
            <a:ext uri="{FF2B5EF4-FFF2-40B4-BE49-F238E27FC236}">
              <a16:creationId xmlns:a16="http://schemas.microsoft.com/office/drawing/2014/main" id="{03A89CF6-6798-4800-8CF9-6F933EC7D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10" name="BEx5BJQWS6YWHH4ZMSUAMD641V6Y" descr="ZTMFMXCIQSECDX38ALEFHUB00" hidden="1">
          <a:extLst>
            <a:ext uri="{FF2B5EF4-FFF2-40B4-BE49-F238E27FC236}">
              <a16:creationId xmlns:a16="http://schemas.microsoft.com/office/drawing/2014/main" id="{83A31ED7-C24C-4838-8D49-F1B4AB82B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11" name="BExUBK0YZ5VYFY8TTITJGJU9S06A" hidden="1">
          <a:extLst>
            <a:ext uri="{FF2B5EF4-FFF2-40B4-BE49-F238E27FC236}">
              <a16:creationId xmlns:a16="http://schemas.microsoft.com/office/drawing/2014/main" id="{F0484ED5-FC0D-40D4-9F46-3E7C1D154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12" name="BEx5BJQWS6YWHH4ZMSUAMD641V6Y" descr="ZTMFMXCIQSECDX38ALEFHUB00" hidden="1">
          <a:extLst>
            <a:ext uri="{FF2B5EF4-FFF2-40B4-BE49-F238E27FC236}">
              <a16:creationId xmlns:a16="http://schemas.microsoft.com/office/drawing/2014/main" id="{C5E01BD8-C854-402A-9A81-0B727311D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13" name="BExUBK0YZ5VYFY8TTITJGJU9S06A" hidden="1">
          <a:extLst>
            <a:ext uri="{FF2B5EF4-FFF2-40B4-BE49-F238E27FC236}">
              <a16:creationId xmlns:a16="http://schemas.microsoft.com/office/drawing/2014/main" id="{1CFB296A-888C-4814-AC69-EB033B5D2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14" name="BEx5BJQWS6YWHH4ZMSUAMD641V6Y" descr="ZTMFMXCIQSECDX38ALEFHUB00" hidden="1">
          <a:extLst>
            <a:ext uri="{FF2B5EF4-FFF2-40B4-BE49-F238E27FC236}">
              <a16:creationId xmlns:a16="http://schemas.microsoft.com/office/drawing/2014/main" id="{CC6C9E78-E87F-481E-9AEB-EDDE397BE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15" name="BExUBK0YZ5VYFY8TTITJGJU9S06A" hidden="1">
          <a:extLst>
            <a:ext uri="{FF2B5EF4-FFF2-40B4-BE49-F238E27FC236}">
              <a16:creationId xmlns:a16="http://schemas.microsoft.com/office/drawing/2014/main" id="{71226862-0DDA-4EF4-88C4-83E0D4EEA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16" name="BEx5BJQWS6YWHH4ZMSUAMD641V6Y" descr="ZTMFMXCIQSECDX38ALEFHUB00" hidden="1">
          <a:extLst>
            <a:ext uri="{FF2B5EF4-FFF2-40B4-BE49-F238E27FC236}">
              <a16:creationId xmlns:a16="http://schemas.microsoft.com/office/drawing/2014/main" id="{3617B681-604A-4F99-BF34-CD940B33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17" name="BExUBK0YZ5VYFY8TTITJGJU9S06A" hidden="1">
          <a:extLst>
            <a:ext uri="{FF2B5EF4-FFF2-40B4-BE49-F238E27FC236}">
              <a16:creationId xmlns:a16="http://schemas.microsoft.com/office/drawing/2014/main" id="{E5FC40AD-EC25-4028-88E7-3490CB0CD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18" name="BEx5BJQWS6YWHH4ZMSUAMD641V6Y" descr="ZTMFMXCIQSECDX38ALEFHUB00" hidden="1">
          <a:extLst>
            <a:ext uri="{FF2B5EF4-FFF2-40B4-BE49-F238E27FC236}">
              <a16:creationId xmlns:a16="http://schemas.microsoft.com/office/drawing/2014/main" id="{CE3536D8-909B-40E0-9BE7-C60E44BE2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19" name="BExUBK0YZ5VYFY8TTITJGJU9S06A" hidden="1">
          <a:extLst>
            <a:ext uri="{FF2B5EF4-FFF2-40B4-BE49-F238E27FC236}">
              <a16:creationId xmlns:a16="http://schemas.microsoft.com/office/drawing/2014/main" id="{B3CC9F48-9B70-45FA-A76E-C1E5E7349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20" name="BEx5BJQWS6YWHH4ZMSUAMD641V6Y" descr="ZTMFMXCIQSECDX38ALEFHUB00" hidden="1">
          <a:extLst>
            <a:ext uri="{FF2B5EF4-FFF2-40B4-BE49-F238E27FC236}">
              <a16:creationId xmlns:a16="http://schemas.microsoft.com/office/drawing/2014/main" id="{BA3293B4-C9D8-454E-80A7-5697C776E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21" name="BExUBK0YZ5VYFY8TTITJGJU9S06A" hidden="1">
          <a:extLst>
            <a:ext uri="{FF2B5EF4-FFF2-40B4-BE49-F238E27FC236}">
              <a16:creationId xmlns:a16="http://schemas.microsoft.com/office/drawing/2014/main" id="{3BD24DE7-6928-4D5A-B357-C4136A28C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22" name="BEx5BJQWS6YWHH4ZMSUAMD641V6Y" descr="ZTMFMXCIQSECDX38ALEFHUB00" hidden="1">
          <a:extLst>
            <a:ext uri="{FF2B5EF4-FFF2-40B4-BE49-F238E27FC236}">
              <a16:creationId xmlns:a16="http://schemas.microsoft.com/office/drawing/2014/main" id="{EF031E5C-BD7F-41A9-8270-4AA4FA5AC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23" name="BExUBK0YZ5VYFY8TTITJGJU9S06A" hidden="1">
          <a:extLst>
            <a:ext uri="{FF2B5EF4-FFF2-40B4-BE49-F238E27FC236}">
              <a16:creationId xmlns:a16="http://schemas.microsoft.com/office/drawing/2014/main" id="{01633C24-EBBF-4841-8E72-4392FA733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24" name="BEx5BJQWS6YWHH4ZMSUAMD641V6Y" descr="ZTMFMXCIQSECDX38ALEFHUB00" hidden="1">
          <a:extLst>
            <a:ext uri="{FF2B5EF4-FFF2-40B4-BE49-F238E27FC236}">
              <a16:creationId xmlns:a16="http://schemas.microsoft.com/office/drawing/2014/main" id="{8A355597-26D3-444A-A7F8-82DE304F1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25" name="BExUBK0YZ5VYFY8TTITJGJU9S06A" hidden="1">
          <a:extLst>
            <a:ext uri="{FF2B5EF4-FFF2-40B4-BE49-F238E27FC236}">
              <a16:creationId xmlns:a16="http://schemas.microsoft.com/office/drawing/2014/main" id="{2B1CA6BF-1D63-4579-9D4E-FEEEA4721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26" name="BEx5BJQWS6YWHH4ZMSUAMD641V6Y" descr="ZTMFMXCIQSECDX38ALEFHUB00" hidden="1">
          <a:extLst>
            <a:ext uri="{FF2B5EF4-FFF2-40B4-BE49-F238E27FC236}">
              <a16:creationId xmlns:a16="http://schemas.microsoft.com/office/drawing/2014/main" id="{551917DE-812C-40D3-8213-17F09FA8E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27" name="BExUBK0YZ5VYFY8TTITJGJU9S06A" hidden="1">
          <a:extLst>
            <a:ext uri="{FF2B5EF4-FFF2-40B4-BE49-F238E27FC236}">
              <a16:creationId xmlns:a16="http://schemas.microsoft.com/office/drawing/2014/main" id="{64EA652D-B219-4812-860D-0162D7D37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28" name="BEx5BJQWS6YWHH4ZMSUAMD641V6Y" descr="ZTMFMXCIQSECDX38ALEFHUB00" hidden="1">
          <a:extLst>
            <a:ext uri="{FF2B5EF4-FFF2-40B4-BE49-F238E27FC236}">
              <a16:creationId xmlns:a16="http://schemas.microsoft.com/office/drawing/2014/main" id="{D17DBD7C-43B8-4810-B430-59F1C827B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29" name="BExUBK0YZ5VYFY8TTITJGJU9S06A" hidden="1">
          <a:extLst>
            <a:ext uri="{FF2B5EF4-FFF2-40B4-BE49-F238E27FC236}">
              <a16:creationId xmlns:a16="http://schemas.microsoft.com/office/drawing/2014/main" id="{02169453-EAB4-4686-818C-C1F44DB2F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930" name="BEx1KD7H6UB1VYCJ7O61P562EIUY" descr="IQGV9140X0K0UPBL8OGU3I44J" hidden="1">
          <a:extLst>
            <a:ext uri="{FF2B5EF4-FFF2-40B4-BE49-F238E27FC236}">
              <a16:creationId xmlns:a16="http://schemas.microsoft.com/office/drawing/2014/main" id="{81D08039-9453-402E-86A1-CADACC865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931" name="BEx5BJQWS6YWHH4ZMSUAMD641V6Y" descr="ZTMFMXCIQSECDX38ALEFHUB00" hidden="1">
          <a:extLst>
            <a:ext uri="{FF2B5EF4-FFF2-40B4-BE49-F238E27FC236}">
              <a16:creationId xmlns:a16="http://schemas.microsoft.com/office/drawing/2014/main" id="{F1D72D22-4EFD-4333-B11A-D1B0F818B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932" name="BEx5AQZ4ETQ9LMY5EBWVH20Z7VXQ" hidden="1">
          <a:extLst>
            <a:ext uri="{FF2B5EF4-FFF2-40B4-BE49-F238E27FC236}">
              <a16:creationId xmlns:a16="http://schemas.microsoft.com/office/drawing/2014/main" id="{9D34829E-68EA-4F6B-AA6A-397659EDD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3933" name="BExUBK0YZ5VYFY8TTITJGJU9S06A" hidden="1">
          <a:extLst>
            <a:ext uri="{FF2B5EF4-FFF2-40B4-BE49-F238E27FC236}">
              <a16:creationId xmlns:a16="http://schemas.microsoft.com/office/drawing/2014/main" id="{24A21385-80FE-48DF-B489-C629912EE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34" name="BEx5BJQWS6YWHH4ZMSUAMD641V6Y" descr="ZTMFMXCIQSECDX38ALEFHUB00" hidden="1">
          <a:extLst>
            <a:ext uri="{FF2B5EF4-FFF2-40B4-BE49-F238E27FC236}">
              <a16:creationId xmlns:a16="http://schemas.microsoft.com/office/drawing/2014/main" id="{7637ADD8-AF4D-4310-A216-28762944E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35" name="BExUBK0YZ5VYFY8TTITJGJU9S06A" hidden="1">
          <a:extLst>
            <a:ext uri="{FF2B5EF4-FFF2-40B4-BE49-F238E27FC236}">
              <a16:creationId xmlns:a16="http://schemas.microsoft.com/office/drawing/2014/main" id="{5CD6B470-F225-4998-8771-6E0FD1F62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36" name="BEx5BJQWS6YWHH4ZMSUAMD641V6Y" descr="ZTMFMXCIQSECDX38ALEFHUB00" hidden="1">
          <a:extLst>
            <a:ext uri="{FF2B5EF4-FFF2-40B4-BE49-F238E27FC236}">
              <a16:creationId xmlns:a16="http://schemas.microsoft.com/office/drawing/2014/main" id="{0328AA5D-A474-4955-89D8-DE20E93CC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37" name="BExUBK0YZ5VYFY8TTITJGJU9S06A" hidden="1">
          <a:extLst>
            <a:ext uri="{FF2B5EF4-FFF2-40B4-BE49-F238E27FC236}">
              <a16:creationId xmlns:a16="http://schemas.microsoft.com/office/drawing/2014/main" id="{A9C510EB-CE73-47FD-89D2-FDCCD10EC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38" name="BEx5BJQWS6YWHH4ZMSUAMD641V6Y" descr="ZTMFMXCIQSECDX38ALEFHUB00" hidden="1">
          <a:extLst>
            <a:ext uri="{FF2B5EF4-FFF2-40B4-BE49-F238E27FC236}">
              <a16:creationId xmlns:a16="http://schemas.microsoft.com/office/drawing/2014/main" id="{0C554C6B-62E7-43DB-B0F1-372A5351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39" name="BExUBK0YZ5VYFY8TTITJGJU9S06A" hidden="1">
          <a:extLst>
            <a:ext uri="{FF2B5EF4-FFF2-40B4-BE49-F238E27FC236}">
              <a16:creationId xmlns:a16="http://schemas.microsoft.com/office/drawing/2014/main" id="{92046FDC-5E2A-42A6-B174-7699D0969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40" name="BEx5BJQWS6YWHH4ZMSUAMD641V6Y" descr="ZTMFMXCIQSECDX38ALEFHUB00" hidden="1">
          <a:extLst>
            <a:ext uri="{FF2B5EF4-FFF2-40B4-BE49-F238E27FC236}">
              <a16:creationId xmlns:a16="http://schemas.microsoft.com/office/drawing/2014/main" id="{3C71AAB5-46BB-478B-8058-CBF3F1E74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41" name="BExUBK0YZ5VYFY8TTITJGJU9S06A" hidden="1">
          <a:extLst>
            <a:ext uri="{FF2B5EF4-FFF2-40B4-BE49-F238E27FC236}">
              <a16:creationId xmlns:a16="http://schemas.microsoft.com/office/drawing/2014/main" id="{5BA73B2A-BD0B-4DFD-958B-C78AA831E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42" name="BEx5BJQWS6YWHH4ZMSUAMD641V6Y" descr="ZTMFMXCIQSECDX38ALEFHUB00" hidden="1">
          <a:extLst>
            <a:ext uri="{FF2B5EF4-FFF2-40B4-BE49-F238E27FC236}">
              <a16:creationId xmlns:a16="http://schemas.microsoft.com/office/drawing/2014/main" id="{2789A7EC-C38A-48DD-A4A6-819061364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43" name="BExUBK0YZ5VYFY8TTITJGJU9S06A" hidden="1">
          <a:extLst>
            <a:ext uri="{FF2B5EF4-FFF2-40B4-BE49-F238E27FC236}">
              <a16:creationId xmlns:a16="http://schemas.microsoft.com/office/drawing/2014/main" id="{9F43C0FF-77A7-4654-917A-5B2A87DF9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944" name="BEx1KD7H6UB1VYCJ7O61P562EIUY" descr="IQGV9140X0K0UPBL8OGU3I44J" hidden="1">
          <a:extLst>
            <a:ext uri="{FF2B5EF4-FFF2-40B4-BE49-F238E27FC236}">
              <a16:creationId xmlns:a16="http://schemas.microsoft.com/office/drawing/2014/main" id="{CB7595AE-6F08-41FB-A118-E16DB4CFD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945" name="BEx5AQZ4ETQ9LMY5EBWVH20Z7VXQ" hidden="1">
          <a:extLst>
            <a:ext uri="{FF2B5EF4-FFF2-40B4-BE49-F238E27FC236}">
              <a16:creationId xmlns:a16="http://schemas.microsoft.com/office/drawing/2014/main" id="{CE279C25-CC21-4C65-A5D1-27226BF28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946" name="BEx1KD7H6UB1VYCJ7O61P562EIUY" descr="IQGV9140X0K0UPBL8OGU3I44J" hidden="1">
          <a:extLst>
            <a:ext uri="{FF2B5EF4-FFF2-40B4-BE49-F238E27FC236}">
              <a16:creationId xmlns:a16="http://schemas.microsoft.com/office/drawing/2014/main" id="{9DD82C30-1A41-4E0E-9F57-8022DEE08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947" name="BEx5AQZ4ETQ9LMY5EBWVH20Z7VXQ" hidden="1">
          <a:extLst>
            <a:ext uri="{FF2B5EF4-FFF2-40B4-BE49-F238E27FC236}">
              <a16:creationId xmlns:a16="http://schemas.microsoft.com/office/drawing/2014/main" id="{C10319AC-C585-4DE3-A562-705838442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48" name="BEx5BJQWS6YWHH4ZMSUAMD641V6Y" descr="ZTMFMXCIQSECDX38ALEFHUB00" hidden="1">
          <a:extLst>
            <a:ext uri="{FF2B5EF4-FFF2-40B4-BE49-F238E27FC236}">
              <a16:creationId xmlns:a16="http://schemas.microsoft.com/office/drawing/2014/main" id="{DAEEE319-5092-4112-A579-EDE64EF19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49" name="BExUBK0YZ5VYFY8TTITJGJU9S06A" hidden="1">
          <a:extLst>
            <a:ext uri="{FF2B5EF4-FFF2-40B4-BE49-F238E27FC236}">
              <a16:creationId xmlns:a16="http://schemas.microsoft.com/office/drawing/2014/main" id="{89265783-0FF1-4EFE-BF3C-72540AA95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950" name="BEx1KD7H6UB1VYCJ7O61P562EIUY" descr="IQGV9140X0K0UPBL8OGU3I44J" hidden="1">
          <a:extLst>
            <a:ext uri="{FF2B5EF4-FFF2-40B4-BE49-F238E27FC236}">
              <a16:creationId xmlns:a16="http://schemas.microsoft.com/office/drawing/2014/main" id="{39C0B851-1CB1-4AB8-962C-8C6760040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951" name="BEx5AQZ4ETQ9LMY5EBWVH20Z7VXQ" hidden="1">
          <a:extLst>
            <a:ext uri="{FF2B5EF4-FFF2-40B4-BE49-F238E27FC236}">
              <a16:creationId xmlns:a16="http://schemas.microsoft.com/office/drawing/2014/main" id="{1C8EBCA1-B6D3-4891-BB3F-975405766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52" name="BEx5BJQWS6YWHH4ZMSUAMD641V6Y" descr="ZTMFMXCIQSECDX38ALEFHUB00" hidden="1">
          <a:extLst>
            <a:ext uri="{FF2B5EF4-FFF2-40B4-BE49-F238E27FC236}">
              <a16:creationId xmlns:a16="http://schemas.microsoft.com/office/drawing/2014/main" id="{1EB147BC-7133-40BB-B643-AECC45A5D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53" name="BExUBK0YZ5VYFY8TTITJGJU9S06A" hidden="1">
          <a:extLst>
            <a:ext uri="{FF2B5EF4-FFF2-40B4-BE49-F238E27FC236}">
              <a16:creationId xmlns:a16="http://schemas.microsoft.com/office/drawing/2014/main" id="{37D97707-2322-4A4C-84CF-2E54A3B78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54" name="BEx5BJQWS6YWHH4ZMSUAMD641V6Y" descr="ZTMFMXCIQSECDX38ALEFHUB00" hidden="1">
          <a:extLst>
            <a:ext uri="{FF2B5EF4-FFF2-40B4-BE49-F238E27FC236}">
              <a16:creationId xmlns:a16="http://schemas.microsoft.com/office/drawing/2014/main" id="{9DFABE1E-0787-4C8D-BC9E-471DA0EF1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55" name="BExUBK0YZ5VYFY8TTITJGJU9S06A" hidden="1">
          <a:extLst>
            <a:ext uri="{FF2B5EF4-FFF2-40B4-BE49-F238E27FC236}">
              <a16:creationId xmlns:a16="http://schemas.microsoft.com/office/drawing/2014/main" id="{1BFECA79-4350-453A-8EDD-5E7FF1A8E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956" name="BEx1KD7H6UB1VYCJ7O61P562EIUY" descr="IQGV9140X0K0UPBL8OGU3I44J" hidden="1">
          <a:extLst>
            <a:ext uri="{FF2B5EF4-FFF2-40B4-BE49-F238E27FC236}">
              <a16:creationId xmlns:a16="http://schemas.microsoft.com/office/drawing/2014/main" id="{45DF1B38-F4DA-488D-BBCD-FD2417956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957" name="BEx5AQZ4ETQ9LMY5EBWVH20Z7VXQ" hidden="1">
          <a:extLst>
            <a:ext uri="{FF2B5EF4-FFF2-40B4-BE49-F238E27FC236}">
              <a16:creationId xmlns:a16="http://schemas.microsoft.com/office/drawing/2014/main" id="{BF0BE8F1-0D88-46C3-AF8E-2EFFC42A2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58" name="BEx5BJQWS6YWHH4ZMSUAMD641V6Y" descr="ZTMFMXCIQSECDX38ALEFHUB00" hidden="1">
          <a:extLst>
            <a:ext uri="{FF2B5EF4-FFF2-40B4-BE49-F238E27FC236}">
              <a16:creationId xmlns:a16="http://schemas.microsoft.com/office/drawing/2014/main" id="{0AE878CE-2EA6-4A9E-AC07-F5237217E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59" name="BExUBK0YZ5VYFY8TTITJGJU9S06A" hidden="1">
          <a:extLst>
            <a:ext uri="{FF2B5EF4-FFF2-40B4-BE49-F238E27FC236}">
              <a16:creationId xmlns:a16="http://schemas.microsoft.com/office/drawing/2014/main" id="{F3A6047F-4847-49C1-B142-3BC870F11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60" name="BEx5BJQWS6YWHH4ZMSUAMD641V6Y" descr="ZTMFMXCIQSECDX38ALEFHUB00" hidden="1">
          <a:extLst>
            <a:ext uri="{FF2B5EF4-FFF2-40B4-BE49-F238E27FC236}">
              <a16:creationId xmlns:a16="http://schemas.microsoft.com/office/drawing/2014/main" id="{F47821B4-3E74-4F70-BAF7-B3E3DD32A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61" name="BExUBK0YZ5VYFY8TTITJGJU9S06A" hidden="1">
          <a:extLst>
            <a:ext uri="{FF2B5EF4-FFF2-40B4-BE49-F238E27FC236}">
              <a16:creationId xmlns:a16="http://schemas.microsoft.com/office/drawing/2014/main" id="{DDA9590D-7472-4B15-B7CA-A2300979A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62" name="BEx5BJQWS6YWHH4ZMSUAMD641V6Y" descr="ZTMFMXCIQSECDX38ALEFHUB00" hidden="1">
          <a:extLst>
            <a:ext uri="{FF2B5EF4-FFF2-40B4-BE49-F238E27FC236}">
              <a16:creationId xmlns:a16="http://schemas.microsoft.com/office/drawing/2014/main" id="{9A0D341E-35FC-4E61-B012-487E89BDB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63" name="BExUBK0YZ5VYFY8TTITJGJU9S06A" hidden="1">
          <a:extLst>
            <a:ext uri="{FF2B5EF4-FFF2-40B4-BE49-F238E27FC236}">
              <a16:creationId xmlns:a16="http://schemas.microsoft.com/office/drawing/2014/main" id="{41EC0FD3-1DF0-4A71-901E-136274049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964" name="BEx1KD7H6UB1VYCJ7O61P562EIUY" descr="IQGV9140X0K0UPBL8OGU3I44J" hidden="1">
          <a:extLst>
            <a:ext uri="{FF2B5EF4-FFF2-40B4-BE49-F238E27FC236}">
              <a16:creationId xmlns:a16="http://schemas.microsoft.com/office/drawing/2014/main" id="{132A5ED4-BF41-4D8B-A875-DB93E923D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3965" name="BEx5AQZ4ETQ9LMY5EBWVH20Z7VXQ" hidden="1">
          <a:extLst>
            <a:ext uri="{FF2B5EF4-FFF2-40B4-BE49-F238E27FC236}">
              <a16:creationId xmlns:a16="http://schemas.microsoft.com/office/drawing/2014/main" id="{F310CB0D-B7BF-48DB-86BE-FFCB3B55F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66" name="BEx5BJQWS6YWHH4ZMSUAMD641V6Y" descr="ZTMFMXCIQSECDX38ALEFHUB00" hidden="1">
          <a:extLst>
            <a:ext uri="{FF2B5EF4-FFF2-40B4-BE49-F238E27FC236}">
              <a16:creationId xmlns:a16="http://schemas.microsoft.com/office/drawing/2014/main" id="{7E82F2D4-2AF1-4B10-842F-3BB0F5358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67" name="BExUBK0YZ5VYFY8TTITJGJU9S06A" hidden="1">
          <a:extLst>
            <a:ext uri="{FF2B5EF4-FFF2-40B4-BE49-F238E27FC236}">
              <a16:creationId xmlns:a16="http://schemas.microsoft.com/office/drawing/2014/main" id="{70D83467-A016-4814-BE2A-5E642309F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68" name="BEx5BJQWS6YWHH4ZMSUAMD641V6Y" descr="ZTMFMXCIQSECDX38ALEFHUB00" hidden="1">
          <a:extLst>
            <a:ext uri="{FF2B5EF4-FFF2-40B4-BE49-F238E27FC236}">
              <a16:creationId xmlns:a16="http://schemas.microsoft.com/office/drawing/2014/main" id="{4D9B4C1E-C1C2-4774-B4C0-838F9F7C9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69" name="BExUBK0YZ5VYFY8TTITJGJU9S06A" hidden="1">
          <a:extLst>
            <a:ext uri="{FF2B5EF4-FFF2-40B4-BE49-F238E27FC236}">
              <a16:creationId xmlns:a16="http://schemas.microsoft.com/office/drawing/2014/main" id="{C6C30615-D44E-4CDB-A6CD-258B43F39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70" name="BEx5BJQWS6YWHH4ZMSUAMD641V6Y" descr="ZTMFMXCIQSECDX38ALEFHUB00" hidden="1">
          <a:extLst>
            <a:ext uri="{FF2B5EF4-FFF2-40B4-BE49-F238E27FC236}">
              <a16:creationId xmlns:a16="http://schemas.microsoft.com/office/drawing/2014/main" id="{00DDBAD3-4A41-4152-91F6-36A6538CB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71" name="BExUBK0YZ5VYFY8TTITJGJU9S06A" hidden="1">
          <a:extLst>
            <a:ext uri="{FF2B5EF4-FFF2-40B4-BE49-F238E27FC236}">
              <a16:creationId xmlns:a16="http://schemas.microsoft.com/office/drawing/2014/main" id="{9424E5E2-516E-4322-82D6-35BF3612C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72" name="BEx5BJQWS6YWHH4ZMSUAMD641V6Y" descr="ZTMFMXCIQSECDX38ALEFHUB00" hidden="1">
          <a:extLst>
            <a:ext uri="{FF2B5EF4-FFF2-40B4-BE49-F238E27FC236}">
              <a16:creationId xmlns:a16="http://schemas.microsoft.com/office/drawing/2014/main" id="{3590DB89-95A6-45BE-9991-E55EF306A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73" name="BExUBK0YZ5VYFY8TTITJGJU9S06A" hidden="1">
          <a:extLst>
            <a:ext uri="{FF2B5EF4-FFF2-40B4-BE49-F238E27FC236}">
              <a16:creationId xmlns:a16="http://schemas.microsoft.com/office/drawing/2014/main" id="{A47DC229-34A1-4C2A-9172-383DB7D48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74" name="BEx5BJQWS6YWHH4ZMSUAMD641V6Y" descr="ZTMFMXCIQSECDX38ALEFHUB00" hidden="1">
          <a:extLst>
            <a:ext uri="{FF2B5EF4-FFF2-40B4-BE49-F238E27FC236}">
              <a16:creationId xmlns:a16="http://schemas.microsoft.com/office/drawing/2014/main" id="{EB1AB111-D243-4307-B05B-C50CD730C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75" name="BExUBK0YZ5VYFY8TTITJGJU9S06A" hidden="1">
          <a:extLst>
            <a:ext uri="{FF2B5EF4-FFF2-40B4-BE49-F238E27FC236}">
              <a16:creationId xmlns:a16="http://schemas.microsoft.com/office/drawing/2014/main" id="{230043B5-44D0-474C-8E01-96956C49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76" name="BEx5BJQWS6YWHH4ZMSUAMD641V6Y" descr="ZTMFMXCIQSECDX38ALEFHUB00" hidden="1">
          <a:extLst>
            <a:ext uri="{FF2B5EF4-FFF2-40B4-BE49-F238E27FC236}">
              <a16:creationId xmlns:a16="http://schemas.microsoft.com/office/drawing/2014/main" id="{697271FD-A748-47F0-A2C5-9F70BD46A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77" name="BExUBK0YZ5VYFY8TTITJGJU9S06A" hidden="1">
          <a:extLst>
            <a:ext uri="{FF2B5EF4-FFF2-40B4-BE49-F238E27FC236}">
              <a16:creationId xmlns:a16="http://schemas.microsoft.com/office/drawing/2014/main" id="{9B63907B-F747-4D0E-91B2-E18863F6C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78" name="BEx5BJQWS6YWHH4ZMSUAMD641V6Y" descr="ZTMFMXCIQSECDX38ALEFHUB00" hidden="1">
          <a:extLst>
            <a:ext uri="{FF2B5EF4-FFF2-40B4-BE49-F238E27FC236}">
              <a16:creationId xmlns:a16="http://schemas.microsoft.com/office/drawing/2014/main" id="{4147714F-BBD4-4C7C-A9BE-198EE4F75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79" name="BExUBK0YZ5VYFY8TTITJGJU9S06A" hidden="1">
          <a:extLst>
            <a:ext uri="{FF2B5EF4-FFF2-40B4-BE49-F238E27FC236}">
              <a16:creationId xmlns:a16="http://schemas.microsoft.com/office/drawing/2014/main" id="{7FAC35FA-2462-451F-A4C2-BFF4C2AAD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80" name="BEx5BJQWS6YWHH4ZMSUAMD641V6Y" descr="ZTMFMXCIQSECDX38ALEFHUB00" hidden="1">
          <a:extLst>
            <a:ext uri="{FF2B5EF4-FFF2-40B4-BE49-F238E27FC236}">
              <a16:creationId xmlns:a16="http://schemas.microsoft.com/office/drawing/2014/main" id="{984F2F49-E6D3-46DA-9348-143526290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81" name="BExUBK0YZ5VYFY8TTITJGJU9S06A" hidden="1">
          <a:extLst>
            <a:ext uri="{FF2B5EF4-FFF2-40B4-BE49-F238E27FC236}">
              <a16:creationId xmlns:a16="http://schemas.microsoft.com/office/drawing/2014/main" id="{0DA185AB-68DA-4714-B74F-6723FACDD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82" name="BEx5BJQWS6YWHH4ZMSUAMD641V6Y" descr="ZTMFMXCIQSECDX38ALEFHUB00" hidden="1">
          <a:extLst>
            <a:ext uri="{FF2B5EF4-FFF2-40B4-BE49-F238E27FC236}">
              <a16:creationId xmlns:a16="http://schemas.microsoft.com/office/drawing/2014/main" id="{D4F1D74A-6001-4EE7-895C-0D3C53C8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83" name="BExUBK0YZ5VYFY8TTITJGJU9S06A" hidden="1">
          <a:extLst>
            <a:ext uri="{FF2B5EF4-FFF2-40B4-BE49-F238E27FC236}">
              <a16:creationId xmlns:a16="http://schemas.microsoft.com/office/drawing/2014/main" id="{982A989C-80C0-492C-95D0-9F68C348C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84" name="BEx5BJQWS6YWHH4ZMSUAMD641V6Y" descr="ZTMFMXCIQSECDX38ALEFHUB00" hidden="1">
          <a:extLst>
            <a:ext uri="{FF2B5EF4-FFF2-40B4-BE49-F238E27FC236}">
              <a16:creationId xmlns:a16="http://schemas.microsoft.com/office/drawing/2014/main" id="{D1DCFF3C-2967-4EDF-B7B8-966BC4867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85" name="BExUBK0YZ5VYFY8TTITJGJU9S06A" hidden="1">
          <a:extLst>
            <a:ext uri="{FF2B5EF4-FFF2-40B4-BE49-F238E27FC236}">
              <a16:creationId xmlns:a16="http://schemas.microsoft.com/office/drawing/2014/main" id="{9CF1A4F0-9C58-4F8B-9A38-5719D2EC3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86" name="BEx5BJQWS6YWHH4ZMSUAMD641V6Y" descr="ZTMFMXCIQSECDX38ALEFHUB00" hidden="1">
          <a:extLst>
            <a:ext uri="{FF2B5EF4-FFF2-40B4-BE49-F238E27FC236}">
              <a16:creationId xmlns:a16="http://schemas.microsoft.com/office/drawing/2014/main" id="{5FD6B254-5E21-439B-A969-3E7D51C00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87" name="BExUBK0YZ5VYFY8TTITJGJU9S06A" hidden="1">
          <a:extLst>
            <a:ext uri="{FF2B5EF4-FFF2-40B4-BE49-F238E27FC236}">
              <a16:creationId xmlns:a16="http://schemas.microsoft.com/office/drawing/2014/main" id="{958C9C62-3B63-4968-BB51-4B4B1DBC2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88" name="BEx5BJQWS6YWHH4ZMSUAMD641V6Y" descr="ZTMFMXCIQSECDX38ALEFHUB00" hidden="1">
          <a:extLst>
            <a:ext uri="{FF2B5EF4-FFF2-40B4-BE49-F238E27FC236}">
              <a16:creationId xmlns:a16="http://schemas.microsoft.com/office/drawing/2014/main" id="{8F943708-82E8-4390-A6B5-6192B855E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89" name="BExUBK0YZ5VYFY8TTITJGJU9S06A" hidden="1">
          <a:extLst>
            <a:ext uri="{FF2B5EF4-FFF2-40B4-BE49-F238E27FC236}">
              <a16:creationId xmlns:a16="http://schemas.microsoft.com/office/drawing/2014/main" id="{8E8FAFDE-AE99-4203-8393-E48B36CEC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90" name="BEx5BJQWS6YWHH4ZMSUAMD641V6Y" descr="ZTMFMXCIQSECDX38ALEFHUB00" hidden="1">
          <a:extLst>
            <a:ext uri="{FF2B5EF4-FFF2-40B4-BE49-F238E27FC236}">
              <a16:creationId xmlns:a16="http://schemas.microsoft.com/office/drawing/2014/main" id="{F7164102-408A-4F00-9C13-F05FA9809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91" name="BExUBK0YZ5VYFY8TTITJGJU9S06A" hidden="1">
          <a:extLst>
            <a:ext uri="{FF2B5EF4-FFF2-40B4-BE49-F238E27FC236}">
              <a16:creationId xmlns:a16="http://schemas.microsoft.com/office/drawing/2014/main" id="{4DE0F4E6-4789-4587-A0F0-03F29242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92" name="BEx5BJQWS6YWHH4ZMSUAMD641V6Y" descr="ZTMFMXCIQSECDX38ALEFHUB00" hidden="1">
          <a:extLst>
            <a:ext uri="{FF2B5EF4-FFF2-40B4-BE49-F238E27FC236}">
              <a16:creationId xmlns:a16="http://schemas.microsoft.com/office/drawing/2014/main" id="{2E4D3BEF-1C71-4CFB-B7F4-96B883449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93" name="BExUBK0YZ5VYFY8TTITJGJU9S06A" hidden="1">
          <a:extLst>
            <a:ext uri="{FF2B5EF4-FFF2-40B4-BE49-F238E27FC236}">
              <a16:creationId xmlns:a16="http://schemas.microsoft.com/office/drawing/2014/main" id="{31DD1BFC-C30E-4EAA-A494-8EE3A0D9A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94" name="BEx5BJQWS6YWHH4ZMSUAMD641V6Y" descr="ZTMFMXCIQSECDX38ALEFHUB00" hidden="1">
          <a:extLst>
            <a:ext uri="{FF2B5EF4-FFF2-40B4-BE49-F238E27FC236}">
              <a16:creationId xmlns:a16="http://schemas.microsoft.com/office/drawing/2014/main" id="{9A48A6B9-B416-43D6-BC31-C480FBE61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95" name="BExUBK0YZ5VYFY8TTITJGJU9S06A" hidden="1">
          <a:extLst>
            <a:ext uri="{FF2B5EF4-FFF2-40B4-BE49-F238E27FC236}">
              <a16:creationId xmlns:a16="http://schemas.microsoft.com/office/drawing/2014/main" id="{FC14F11C-CE52-4AB7-9A19-01E22A08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96" name="BEx5BJQWS6YWHH4ZMSUAMD641V6Y" descr="ZTMFMXCIQSECDX38ALEFHUB00" hidden="1">
          <a:extLst>
            <a:ext uri="{FF2B5EF4-FFF2-40B4-BE49-F238E27FC236}">
              <a16:creationId xmlns:a16="http://schemas.microsoft.com/office/drawing/2014/main" id="{CDFB26B0-5A98-4DD0-BFF6-44A97323B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97" name="BExUBK0YZ5VYFY8TTITJGJU9S06A" hidden="1">
          <a:extLst>
            <a:ext uri="{FF2B5EF4-FFF2-40B4-BE49-F238E27FC236}">
              <a16:creationId xmlns:a16="http://schemas.microsoft.com/office/drawing/2014/main" id="{7348BA45-5A3C-4391-9768-1BB2B3626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98" name="BEx5BJQWS6YWHH4ZMSUAMD641V6Y" descr="ZTMFMXCIQSECDX38ALEFHUB00" hidden="1">
          <a:extLst>
            <a:ext uri="{FF2B5EF4-FFF2-40B4-BE49-F238E27FC236}">
              <a16:creationId xmlns:a16="http://schemas.microsoft.com/office/drawing/2014/main" id="{1A80C5FA-DB01-453F-865C-3A45DE15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3999" name="BExUBK0YZ5VYFY8TTITJGJU9S06A" hidden="1">
          <a:extLst>
            <a:ext uri="{FF2B5EF4-FFF2-40B4-BE49-F238E27FC236}">
              <a16:creationId xmlns:a16="http://schemas.microsoft.com/office/drawing/2014/main" id="{0F29951A-E64F-44E7-9480-60CF4E2E7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00" name="BEx5BJQWS6YWHH4ZMSUAMD641V6Y" descr="ZTMFMXCIQSECDX38ALEFHUB00" hidden="1">
          <a:extLst>
            <a:ext uri="{FF2B5EF4-FFF2-40B4-BE49-F238E27FC236}">
              <a16:creationId xmlns:a16="http://schemas.microsoft.com/office/drawing/2014/main" id="{C16F2895-00E0-4A1A-88BA-5E0AA420C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01" name="BExUBK0YZ5VYFY8TTITJGJU9S06A" hidden="1">
          <a:extLst>
            <a:ext uri="{FF2B5EF4-FFF2-40B4-BE49-F238E27FC236}">
              <a16:creationId xmlns:a16="http://schemas.microsoft.com/office/drawing/2014/main" id="{5E52E2D0-8DBA-4BFA-8212-D7982CF6A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02" name="BEx5BJQWS6YWHH4ZMSUAMD641V6Y" descr="ZTMFMXCIQSECDX38ALEFHUB00" hidden="1">
          <a:extLst>
            <a:ext uri="{FF2B5EF4-FFF2-40B4-BE49-F238E27FC236}">
              <a16:creationId xmlns:a16="http://schemas.microsoft.com/office/drawing/2014/main" id="{7D63B391-EBB3-44F8-A3E0-046F619E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03" name="BExUBK0YZ5VYFY8TTITJGJU9S06A" hidden="1">
          <a:extLst>
            <a:ext uri="{FF2B5EF4-FFF2-40B4-BE49-F238E27FC236}">
              <a16:creationId xmlns:a16="http://schemas.microsoft.com/office/drawing/2014/main" id="{188DCE67-628C-4CDA-92DC-49FFA64CF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04" name="BEx5BJQWS6YWHH4ZMSUAMD641V6Y" descr="ZTMFMXCIQSECDX38ALEFHUB00" hidden="1">
          <a:extLst>
            <a:ext uri="{FF2B5EF4-FFF2-40B4-BE49-F238E27FC236}">
              <a16:creationId xmlns:a16="http://schemas.microsoft.com/office/drawing/2014/main" id="{76EBA525-50F1-4634-8D65-D1A72F97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05" name="BExUBK0YZ5VYFY8TTITJGJU9S06A" hidden="1">
          <a:extLst>
            <a:ext uri="{FF2B5EF4-FFF2-40B4-BE49-F238E27FC236}">
              <a16:creationId xmlns:a16="http://schemas.microsoft.com/office/drawing/2014/main" id="{E5CAC2E6-CB7A-403D-A919-C35F9C8A7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06" name="BEx5BJQWS6YWHH4ZMSUAMD641V6Y" descr="ZTMFMXCIQSECDX38ALEFHUB00" hidden="1">
          <a:extLst>
            <a:ext uri="{FF2B5EF4-FFF2-40B4-BE49-F238E27FC236}">
              <a16:creationId xmlns:a16="http://schemas.microsoft.com/office/drawing/2014/main" id="{BB54D732-D11F-41EB-BBBF-82DCE57C5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07" name="BExUBK0YZ5VYFY8TTITJGJU9S06A" hidden="1">
          <a:extLst>
            <a:ext uri="{FF2B5EF4-FFF2-40B4-BE49-F238E27FC236}">
              <a16:creationId xmlns:a16="http://schemas.microsoft.com/office/drawing/2014/main" id="{F1B0CB00-56C7-4D3C-A57B-1D6159F7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08" name="BEx5BJQWS6YWHH4ZMSUAMD641V6Y" descr="ZTMFMXCIQSECDX38ALEFHUB00" hidden="1">
          <a:extLst>
            <a:ext uri="{FF2B5EF4-FFF2-40B4-BE49-F238E27FC236}">
              <a16:creationId xmlns:a16="http://schemas.microsoft.com/office/drawing/2014/main" id="{CD0A5DBF-2E5A-48F8-8FDE-B271962A8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09" name="BExUBK0YZ5VYFY8TTITJGJU9S06A" hidden="1">
          <a:extLst>
            <a:ext uri="{FF2B5EF4-FFF2-40B4-BE49-F238E27FC236}">
              <a16:creationId xmlns:a16="http://schemas.microsoft.com/office/drawing/2014/main" id="{8367BC96-0102-4503-A959-D076C5155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10" name="BEx5BJQWS6YWHH4ZMSUAMD641V6Y" descr="ZTMFMXCIQSECDX38ALEFHUB00" hidden="1">
          <a:extLst>
            <a:ext uri="{FF2B5EF4-FFF2-40B4-BE49-F238E27FC236}">
              <a16:creationId xmlns:a16="http://schemas.microsoft.com/office/drawing/2014/main" id="{3DAAFFCE-BF5B-4773-A749-1853D5D0D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11" name="BExUBK0YZ5VYFY8TTITJGJU9S06A" hidden="1">
          <a:extLst>
            <a:ext uri="{FF2B5EF4-FFF2-40B4-BE49-F238E27FC236}">
              <a16:creationId xmlns:a16="http://schemas.microsoft.com/office/drawing/2014/main" id="{CBA0931A-ACED-4457-935C-428CEB4AD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12" name="BEx5BJQWS6YWHH4ZMSUAMD641V6Y" descr="ZTMFMXCIQSECDX38ALEFHUB00" hidden="1">
          <a:extLst>
            <a:ext uri="{FF2B5EF4-FFF2-40B4-BE49-F238E27FC236}">
              <a16:creationId xmlns:a16="http://schemas.microsoft.com/office/drawing/2014/main" id="{B42FA3E2-0264-4AA2-8053-7BDC21866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13" name="BExUBK0YZ5VYFY8TTITJGJU9S06A" hidden="1">
          <a:extLst>
            <a:ext uri="{FF2B5EF4-FFF2-40B4-BE49-F238E27FC236}">
              <a16:creationId xmlns:a16="http://schemas.microsoft.com/office/drawing/2014/main" id="{03C0EB3F-6E36-458A-BEF8-B9C85B011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14" name="BEx5BJQWS6YWHH4ZMSUAMD641V6Y" descr="ZTMFMXCIQSECDX38ALEFHUB00" hidden="1">
          <a:extLst>
            <a:ext uri="{FF2B5EF4-FFF2-40B4-BE49-F238E27FC236}">
              <a16:creationId xmlns:a16="http://schemas.microsoft.com/office/drawing/2014/main" id="{7C57E9FD-E047-410F-AFE5-A0569D1FF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15" name="BExUBK0YZ5VYFY8TTITJGJU9S06A" hidden="1">
          <a:extLst>
            <a:ext uri="{FF2B5EF4-FFF2-40B4-BE49-F238E27FC236}">
              <a16:creationId xmlns:a16="http://schemas.microsoft.com/office/drawing/2014/main" id="{F63CD4AE-B081-45CA-B5CA-B8BF79CF3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16" name="BEx5BJQWS6YWHH4ZMSUAMD641V6Y" descr="ZTMFMXCIQSECDX38ALEFHUB00" hidden="1">
          <a:extLst>
            <a:ext uri="{FF2B5EF4-FFF2-40B4-BE49-F238E27FC236}">
              <a16:creationId xmlns:a16="http://schemas.microsoft.com/office/drawing/2014/main" id="{9BF6BB06-0D9C-4620-B9A3-3437F118E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17" name="BExUBK0YZ5VYFY8TTITJGJU9S06A" hidden="1">
          <a:extLst>
            <a:ext uri="{FF2B5EF4-FFF2-40B4-BE49-F238E27FC236}">
              <a16:creationId xmlns:a16="http://schemas.microsoft.com/office/drawing/2014/main" id="{B547A170-A671-419A-9745-590D9421E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18" name="BEx5BJQWS6YWHH4ZMSUAMD641V6Y" descr="ZTMFMXCIQSECDX38ALEFHUB00" hidden="1">
          <a:extLst>
            <a:ext uri="{FF2B5EF4-FFF2-40B4-BE49-F238E27FC236}">
              <a16:creationId xmlns:a16="http://schemas.microsoft.com/office/drawing/2014/main" id="{3C3940AA-F2B3-4097-98AD-BD65F6511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19" name="BExUBK0YZ5VYFY8TTITJGJU9S06A" hidden="1">
          <a:extLst>
            <a:ext uri="{FF2B5EF4-FFF2-40B4-BE49-F238E27FC236}">
              <a16:creationId xmlns:a16="http://schemas.microsoft.com/office/drawing/2014/main" id="{7C93EA16-8F35-464E-8E3B-3F3B66DDD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20" name="BEx5BJQWS6YWHH4ZMSUAMD641V6Y" descr="ZTMFMXCIQSECDX38ALEFHUB00" hidden="1">
          <a:extLst>
            <a:ext uri="{FF2B5EF4-FFF2-40B4-BE49-F238E27FC236}">
              <a16:creationId xmlns:a16="http://schemas.microsoft.com/office/drawing/2014/main" id="{D67C8651-5C2D-4DE9-9F6F-713A62F9B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21" name="BExUBK0YZ5VYFY8TTITJGJU9S06A" hidden="1">
          <a:extLst>
            <a:ext uri="{FF2B5EF4-FFF2-40B4-BE49-F238E27FC236}">
              <a16:creationId xmlns:a16="http://schemas.microsoft.com/office/drawing/2014/main" id="{92ABD34E-386D-4614-8A8E-A7D20418C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22" name="BEx5BJQWS6YWHH4ZMSUAMD641V6Y" descr="ZTMFMXCIQSECDX38ALEFHUB00" hidden="1">
          <a:extLst>
            <a:ext uri="{FF2B5EF4-FFF2-40B4-BE49-F238E27FC236}">
              <a16:creationId xmlns:a16="http://schemas.microsoft.com/office/drawing/2014/main" id="{13864584-9F30-4579-B788-FBE408565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23" name="BExUBK0YZ5VYFY8TTITJGJU9S06A" hidden="1">
          <a:extLst>
            <a:ext uri="{FF2B5EF4-FFF2-40B4-BE49-F238E27FC236}">
              <a16:creationId xmlns:a16="http://schemas.microsoft.com/office/drawing/2014/main" id="{D601561E-52F0-4405-AB18-BA650E212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24" name="BEx5BJQWS6YWHH4ZMSUAMD641V6Y" descr="ZTMFMXCIQSECDX38ALEFHUB00" hidden="1">
          <a:extLst>
            <a:ext uri="{FF2B5EF4-FFF2-40B4-BE49-F238E27FC236}">
              <a16:creationId xmlns:a16="http://schemas.microsoft.com/office/drawing/2014/main" id="{23A6F953-2896-4748-B92C-1C34C91C0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25" name="BExUBK0YZ5VYFY8TTITJGJU9S06A" hidden="1">
          <a:extLst>
            <a:ext uri="{FF2B5EF4-FFF2-40B4-BE49-F238E27FC236}">
              <a16:creationId xmlns:a16="http://schemas.microsoft.com/office/drawing/2014/main" id="{A5ED2A17-4870-4964-AC91-5D068447C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26" name="BEx5BJQWS6YWHH4ZMSUAMD641V6Y" descr="ZTMFMXCIQSECDX38ALEFHUB00" hidden="1">
          <a:extLst>
            <a:ext uri="{FF2B5EF4-FFF2-40B4-BE49-F238E27FC236}">
              <a16:creationId xmlns:a16="http://schemas.microsoft.com/office/drawing/2014/main" id="{5D00AC8A-50B7-4DB6-B597-E728B0B5F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27" name="BExUBK0YZ5VYFY8TTITJGJU9S06A" hidden="1">
          <a:extLst>
            <a:ext uri="{FF2B5EF4-FFF2-40B4-BE49-F238E27FC236}">
              <a16:creationId xmlns:a16="http://schemas.microsoft.com/office/drawing/2014/main" id="{04D78B52-6CF8-43E6-96DC-F41373BE2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28" name="BEx5BJQWS6YWHH4ZMSUAMD641V6Y" descr="ZTMFMXCIQSECDX38ALEFHUB00" hidden="1">
          <a:extLst>
            <a:ext uri="{FF2B5EF4-FFF2-40B4-BE49-F238E27FC236}">
              <a16:creationId xmlns:a16="http://schemas.microsoft.com/office/drawing/2014/main" id="{565D3951-47B8-46A7-B430-DC976CCD1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29" name="BExUBK0YZ5VYFY8TTITJGJU9S06A" hidden="1">
          <a:extLst>
            <a:ext uri="{FF2B5EF4-FFF2-40B4-BE49-F238E27FC236}">
              <a16:creationId xmlns:a16="http://schemas.microsoft.com/office/drawing/2014/main" id="{9CAE24EC-5F59-4978-BFEA-7EBB12716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30" name="BEx5BJQWS6YWHH4ZMSUAMD641V6Y" descr="ZTMFMXCIQSECDX38ALEFHUB00" hidden="1">
          <a:extLst>
            <a:ext uri="{FF2B5EF4-FFF2-40B4-BE49-F238E27FC236}">
              <a16:creationId xmlns:a16="http://schemas.microsoft.com/office/drawing/2014/main" id="{7427A75E-1E7D-404C-8CA1-AA3AF61E5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31" name="BExUBK0YZ5VYFY8TTITJGJU9S06A" hidden="1">
          <a:extLst>
            <a:ext uri="{FF2B5EF4-FFF2-40B4-BE49-F238E27FC236}">
              <a16:creationId xmlns:a16="http://schemas.microsoft.com/office/drawing/2014/main" id="{C8119699-4269-49F1-A9A2-567CBA977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32" name="BEx5BJQWS6YWHH4ZMSUAMD641V6Y" descr="ZTMFMXCIQSECDX38ALEFHUB00" hidden="1">
          <a:extLst>
            <a:ext uri="{FF2B5EF4-FFF2-40B4-BE49-F238E27FC236}">
              <a16:creationId xmlns:a16="http://schemas.microsoft.com/office/drawing/2014/main" id="{0B4FD8BF-365C-46A7-AE94-AE23C4B60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33" name="BExUBK0YZ5VYFY8TTITJGJU9S06A" hidden="1">
          <a:extLst>
            <a:ext uri="{FF2B5EF4-FFF2-40B4-BE49-F238E27FC236}">
              <a16:creationId xmlns:a16="http://schemas.microsoft.com/office/drawing/2014/main" id="{524086CA-56AE-4EB2-8DE1-4C698946D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34" name="BEx5BJQWS6YWHH4ZMSUAMD641V6Y" descr="ZTMFMXCIQSECDX38ALEFHUB00" hidden="1">
          <a:extLst>
            <a:ext uri="{FF2B5EF4-FFF2-40B4-BE49-F238E27FC236}">
              <a16:creationId xmlns:a16="http://schemas.microsoft.com/office/drawing/2014/main" id="{6046A313-CADF-4494-9160-B44E28A3F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35" name="BExUBK0YZ5VYFY8TTITJGJU9S06A" hidden="1">
          <a:extLst>
            <a:ext uri="{FF2B5EF4-FFF2-40B4-BE49-F238E27FC236}">
              <a16:creationId xmlns:a16="http://schemas.microsoft.com/office/drawing/2014/main" id="{6E8C8B84-E4A6-4D7A-8044-34CCF38D4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36" name="BEx5BJQWS6YWHH4ZMSUAMD641V6Y" descr="ZTMFMXCIQSECDX38ALEFHUB00" hidden="1">
          <a:extLst>
            <a:ext uri="{FF2B5EF4-FFF2-40B4-BE49-F238E27FC236}">
              <a16:creationId xmlns:a16="http://schemas.microsoft.com/office/drawing/2014/main" id="{BAE1E5FA-F780-487F-8553-2891CD7F3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37" name="BExUBK0YZ5VYFY8TTITJGJU9S06A" hidden="1">
          <a:extLst>
            <a:ext uri="{FF2B5EF4-FFF2-40B4-BE49-F238E27FC236}">
              <a16:creationId xmlns:a16="http://schemas.microsoft.com/office/drawing/2014/main" id="{81466669-7351-478C-90AA-6CEAB27B6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38" name="BEx5BJQWS6YWHH4ZMSUAMD641V6Y" descr="ZTMFMXCIQSECDX38ALEFHUB00" hidden="1">
          <a:extLst>
            <a:ext uri="{FF2B5EF4-FFF2-40B4-BE49-F238E27FC236}">
              <a16:creationId xmlns:a16="http://schemas.microsoft.com/office/drawing/2014/main" id="{1889C6D6-B2EA-4A2C-BF95-51B96D844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39" name="BExUBK0YZ5VYFY8TTITJGJU9S06A" hidden="1">
          <a:extLst>
            <a:ext uri="{FF2B5EF4-FFF2-40B4-BE49-F238E27FC236}">
              <a16:creationId xmlns:a16="http://schemas.microsoft.com/office/drawing/2014/main" id="{FAC97F5F-9AA4-4F61-8C47-930CEDAB4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40" name="BEx5BJQWS6YWHH4ZMSUAMD641V6Y" descr="ZTMFMXCIQSECDX38ALEFHUB00" hidden="1">
          <a:extLst>
            <a:ext uri="{FF2B5EF4-FFF2-40B4-BE49-F238E27FC236}">
              <a16:creationId xmlns:a16="http://schemas.microsoft.com/office/drawing/2014/main" id="{BD80FD5F-B759-4798-82C5-1A3B89B16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41" name="BExUBK0YZ5VYFY8TTITJGJU9S06A" hidden="1">
          <a:extLst>
            <a:ext uri="{FF2B5EF4-FFF2-40B4-BE49-F238E27FC236}">
              <a16:creationId xmlns:a16="http://schemas.microsoft.com/office/drawing/2014/main" id="{AE9F167C-5598-49B6-9446-A5A4904D4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42" name="BEx5BJQWS6YWHH4ZMSUAMD641V6Y" descr="ZTMFMXCIQSECDX38ALEFHUB00" hidden="1">
          <a:extLst>
            <a:ext uri="{FF2B5EF4-FFF2-40B4-BE49-F238E27FC236}">
              <a16:creationId xmlns:a16="http://schemas.microsoft.com/office/drawing/2014/main" id="{06134DBA-A25C-4BC0-8226-EFA6DA67C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43" name="BExUBK0YZ5VYFY8TTITJGJU9S06A" hidden="1">
          <a:extLst>
            <a:ext uri="{FF2B5EF4-FFF2-40B4-BE49-F238E27FC236}">
              <a16:creationId xmlns:a16="http://schemas.microsoft.com/office/drawing/2014/main" id="{476408AD-C97E-43F5-A67A-76B8657B4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44" name="BEx5BJQWS6YWHH4ZMSUAMD641V6Y" descr="ZTMFMXCIQSECDX38ALEFHUB00" hidden="1">
          <a:extLst>
            <a:ext uri="{FF2B5EF4-FFF2-40B4-BE49-F238E27FC236}">
              <a16:creationId xmlns:a16="http://schemas.microsoft.com/office/drawing/2014/main" id="{299664DE-4F1D-403F-8096-9EF40E67B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45" name="BExUBK0YZ5VYFY8TTITJGJU9S06A" hidden="1">
          <a:extLst>
            <a:ext uri="{FF2B5EF4-FFF2-40B4-BE49-F238E27FC236}">
              <a16:creationId xmlns:a16="http://schemas.microsoft.com/office/drawing/2014/main" id="{017BF1EC-69E8-40B6-83B2-C7624CED4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46" name="BEx5BJQWS6YWHH4ZMSUAMD641V6Y" descr="ZTMFMXCIQSECDX38ALEFHUB00" hidden="1">
          <a:extLst>
            <a:ext uri="{FF2B5EF4-FFF2-40B4-BE49-F238E27FC236}">
              <a16:creationId xmlns:a16="http://schemas.microsoft.com/office/drawing/2014/main" id="{5908185C-7EF9-43C3-9EEB-2C0A173AE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47" name="BExUBK0YZ5VYFY8TTITJGJU9S06A" hidden="1">
          <a:extLst>
            <a:ext uri="{FF2B5EF4-FFF2-40B4-BE49-F238E27FC236}">
              <a16:creationId xmlns:a16="http://schemas.microsoft.com/office/drawing/2014/main" id="{3B5D15E8-7775-43EF-A68F-4A87BA584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48" name="BEx5BJQWS6YWHH4ZMSUAMD641V6Y" descr="ZTMFMXCIQSECDX38ALEFHUB00" hidden="1">
          <a:extLst>
            <a:ext uri="{FF2B5EF4-FFF2-40B4-BE49-F238E27FC236}">
              <a16:creationId xmlns:a16="http://schemas.microsoft.com/office/drawing/2014/main" id="{0F3F220F-0B8F-4DC7-B709-64D20057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49" name="BExUBK0YZ5VYFY8TTITJGJU9S06A" hidden="1">
          <a:extLst>
            <a:ext uri="{FF2B5EF4-FFF2-40B4-BE49-F238E27FC236}">
              <a16:creationId xmlns:a16="http://schemas.microsoft.com/office/drawing/2014/main" id="{51E1FBF3-95D7-4EE9-967F-52262F63E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50" name="BEx5BJQWS6YWHH4ZMSUAMD641V6Y" descr="ZTMFMXCIQSECDX38ALEFHUB00" hidden="1">
          <a:extLst>
            <a:ext uri="{FF2B5EF4-FFF2-40B4-BE49-F238E27FC236}">
              <a16:creationId xmlns:a16="http://schemas.microsoft.com/office/drawing/2014/main" id="{5A667AEF-58CE-4D35-B33C-D3A6158F5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51" name="BExUBK0YZ5VYFY8TTITJGJU9S06A" hidden="1">
          <a:extLst>
            <a:ext uri="{FF2B5EF4-FFF2-40B4-BE49-F238E27FC236}">
              <a16:creationId xmlns:a16="http://schemas.microsoft.com/office/drawing/2014/main" id="{498F2684-EDBD-4EC5-AC82-30783DD4F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52" name="BEx5BJQWS6YWHH4ZMSUAMD641V6Y" descr="ZTMFMXCIQSECDX38ALEFHUB00" hidden="1">
          <a:extLst>
            <a:ext uri="{FF2B5EF4-FFF2-40B4-BE49-F238E27FC236}">
              <a16:creationId xmlns:a16="http://schemas.microsoft.com/office/drawing/2014/main" id="{60F588AA-E291-4201-B481-512B7295A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53" name="BExUBK0YZ5VYFY8TTITJGJU9S06A" hidden="1">
          <a:extLst>
            <a:ext uri="{FF2B5EF4-FFF2-40B4-BE49-F238E27FC236}">
              <a16:creationId xmlns:a16="http://schemas.microsoft.com/office/drawing/2014/main" id="{8EC14393-2B43-43C4-829D-F3C204EC9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54" name="BEx5BJQWS6YWHH4ZMSUAMD641V6Y" descr="ZTMFMXCIQSECDX38ALEFHUB00" hidden="1">
          <a:extLst>
            <a:ext uri="{FF2B5EF4-FFF2-40B4-BE49-F238E27FC236}">
              <a16:creationId xmlns:a16="http://schemas.microsoft.com/office/drawing/2014/main" id="{F1573CBC-F2C9-4E3A-A509-1F697D204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55" name="BExUBK0YZ5VYFY8TTITJGJU9S06A" hidden="1">
          <a:extLst>
            <a:ext uri="{FF2B5EF4-FFF2-40B4-BE49-F238E27FC236}">
              <a16:creationId xmlns:a16="http://schemas.microsoft.com/office/drawing/2014/main" id="{DBC3F56E-1486-4C85-BBDD-716D93EA5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56" name="BEx5BJQWS6YWHH4ZMSUAMD641V6Y" descr="ZTMFMXCIQSECDX38ALEFHUB00" hidden="1">
          <a:extLst>
            <a:ext uri="{FF2B5EF4-FFF2-40B4-BE49-F238E27FC236}">
              <a16:creationId xmlns:a16="http://schemas.microsoft.com/office/drawing/2014/main" id="{54A62DA1-EE95-49BD-8E57-A02FDC924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57" name="BExUBK0YZ5VYFY8TTITJGJU9S06A" hidden="1">
          <a:extLst>
            <a:ext uri="{FF2B5EF4-FFF2-40B4-BE49-F238E27FC236}">
              <a16:creationId xmlns:a16="http://schemas.microsoft.com/office/drawing/2014/main" id="{56E67C17-811D-4D1A-9DBF-A864C6A18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58" name="BEx5BJQWS6YWHH4ZMSUAMD641V6Y" descr="ZTMFMXCIQSECDX38ALEFHUB00" hidden="1">
          <a:extLst>
            <a:ext uri="{FF2B5EF4-FFF2-40B4-BE49-F238E27FC236}">
              <a16:creationId xmlns:a16="http://schemas.microsoft.com/office/drawing/2014/main" id="{1AE06775-037F-4034-A18A-12FA26503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59" name="BExUBK0YZ5VYFY8TTITJGJU9S06A" hidden="1">
          <a:extLst>
            <a:ext uri="{FF2B5EF4-FFF2-40B4-BE49-F238E27FC236}">
              <a16:creationId xmlns:a16="http://schemas.microsoft.com/office/drawing/2014/main" id="{FE3DF4BB-6ABE-4A3D-AD94-05B9DA7B6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60" name="BEx5BJQWS6YWHH4ZMSUAMD641V6Y" descr="ZTMFMXCIQSECDX38ALEFHUB00" hidden="1">
          <a:extLst>
            <a:ext uri="{FF2B5EF4-FFF2-40B4-BE49-F238E27FC236}">
              <a16:creationId xmlns:a16="http://schemas.microsoft.com/office/drawing/2014/main" id="{8F2AAC51-4A99-4B37-862D-F4CA929C3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61" name="BExUBK0YZ5VYFY8TTITJGJU9S06A" hidden="1">
          <a:extLst>
            <a:ext uri="{FF2B5EF4-FFF2-40B4-BE49-F238E27FC236}">
              <a16:creationId xmlns:a16="http://schemas.microsoft.com/office/drawing/2014/main" id="{76C5E16B-FC72-4FD9-9E25-438A2092C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62" name="BEx5BJQWS6YWHH4ZMSUAMD641V6Y" descr="ZTMFMXCIQSECDX38ALEFHUB00" hidden="1">
          <a:extLst>
            <a:ext uri="{FF2B5EF4-FFF2-40B4-BE49-F238E27FC236}">
              <a16:creationId xmlns:a16="http://schemas.microsoft.com/office/drawing/2014/main" id="{4618053A-C8A4-4410-B162-178748232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63" name="BExUBK0YZ5VYFY8TTITJGJU9S06A" hidden="1">
          <a:extLst>
            <a:ext uri="{FF2B5EF4-FFF2-40B4-BE49-F238E27FC236}">
              <a16:creationId xmlns:a16="http://schemas.microsoft.com/office/drawing/2014/main" id="{7CB18F81-43A3-4C20-A264-C0A73BF77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4064" name="BEx1KD7H6UB1VYCJ7O61P562EIUY" descr="IQGV9140X0K0UPBL8OGU3I44J" hidden="1">
          <a:extLst>
            <a:ext uri="{FF2B5EF4-FFF2-40B4-BE49-F238E27FC236}">
              <a16:creationId xmlns:a16="http://schemas.microsoft.com/office/drawing/2014/main" id="{662FF6AD-CD00-4006-9AAC-04B040080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4065" name="BEx5BJQWS6YWHH4ZMSUAMD641V6Y" descr="ZTMFMXCIQSECDX38ALEFHUB00" hidden="1">
          <a:extLst>
            <a:ext uri="{FF2B5EF4-FFF2-40B4-BE49-F238E27FC236}">
              <a16:creationId xmlns:a16="http://schemas.microsoft.com/office/drawing/2014/main" id="{C83BD53C-B815-47F7-9E7D-6ACCBD600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4066" name="BEx5AQZ4ETQ9LMY5EBWVH20Z7VXQ" hidden="1">
          <a:extLst>
            <a:ext uri="{FF2B5EF4-FFF2-40B4-BE49-F238E27FC236}">
              <a16:creationId xmlns:a16="http://schemas.microsoft.com/office/drawing/2014/main" id="{A4355DC8-F9ED-47F0-BD20-5B9D45623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0</xdr:rowOff>
    </xdr:from>
    <xdr:ext cx="59531" cy="295275"/>
    <xdr:pic>
      <xdr:nvPicPr>
        <xdr:cNvPr id="4067" name="BExUBK0YZ5VYFY8TTITJGJU9S06A" hidden="1">
          <a:extLst>
            <a:ext uri="{FF2B5EF4-FFF2-40B4-BE49-F238E27FC236}">
              <a16:creationId xmlns:a16="http://schemas.microsoft.com/office/drawing/2014/main" id="{D29DE9A7-FA5D-4C50-B741-32358601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400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68" name="BEx5BJQWS6YWHH4ZMSUAMD641V6Y" descr="ZTMFMXCIQSECDX38ALEFHUB00" hidden="1">
          <a:extLst>
            <a:ext uri="{FF2B5EF4-FFF2-40B4-BE49-F238E27FC236}">
              <a16:creationId xmlns:a16="http://schemas.microsoft.com/office/drawing/2014/main" id="{4B8FBD5D-C622-4247-85F2-82F06D287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69" name="BExUBK0YZ5VYFY8TTITJGJU9S06A" hidden="1">
          <a:extLst>
            <a:ext uri="{FF2B5EF4-FFF2-40B4-BE49-F238E27FC236}">
              <a16:creationId xmlns:a16="http://schemas.microsoft.com/office/drawing/2014/main" id="{10A21538-4362-44A2-A3E0-0ED2CEEC9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70" name="BEx5BJQWS6YWHH4ZMSUAMD641V6Y" descr="ZTMFMXCIQSECDX38ALEFHUB00" hidden="1">
          <a:extLst>
            <a:ext uri="{FF2B5EF4-FFF2-40B4-BE49-F238E27FC236}">
              <a16:creationId xmlns:a16="http://schemas.microsoft.com/office/drawing/2014/main" id="{6611FE79-E8C1-431E-B9EB-FE6C46F57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71" name="BExUBK0YZ5VYFY8TTITJGJU9S06A" hidden="1">
          <a:extLst>
            <a:ext uri="{FF2B5EF4-FFF2-40B4-BE49-F238E27FC236}">
              <a16:creationId xmlns:a16="http://schemas.microsoft.com/office/drawing/2014/main" id="{F23F5859-7775-48E8-BDBE-D8EFD2D11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72" name="BEx5BJQWS6YWHH4ZMSUAMD641V6Y" descr="ZTMFMXCIQSECDX38ALEFHUB00" hidden="1">
          <a:extLst>
            <a:ext uri="{FF2B5EF4-FFF2-40B4-BE49-F238E27FC236}">
              <a16:creationId xmlns:a16="http://schemas.microsoft.com/office/drawing/2014/main" id="{3B70DC2B-3BF1-44E2-83E2-F92DFEE6B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73" name="BExUBK0YZ5VYFY8TTITJGJU9S06A" hidden="1">
          <a:extLst>
            <a:ext uri="{FF2B5EF4-FFF2-40B4-BE49-F238E27FC236}">
              <a16:creationId xmlns:a16="http://schemas.microsoft.com/office/drawing/2014/main" id="{165EC606-B728-4DD7-925E-825234B7F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74" name="BEx5BJQWS6YWHH4ZMSUAMD641V6Y" descr="ZTMFMXCIQSECDX38ALEFHUB00" hidden="1">
          <a:extLst>
            <a:ext uri="{FF2B5EF4-FFF2-40B4-BE49-F238E27FC236}">
              <a16:creationId xmlns:a16="http://schemas.microsoft.com/office/drawing/2014/main" id="{3CA2F91D-E957-46DC-8914-AE5ACDC08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75" name="BExUBK0YZ5VYFY8TTITJGJU9S06A" hidden="1">
          <a:extLst>
            <a:ext uri="{FF2B5EF4-FFF2-40B4-BE49-F238E27FC236}">
              <a16:creationId xmlns:a16="http://schemas.microsoft.com/office/drawing/2014/main" id="{29D6D0FF-F428-4ED8-AA8E-B7AFFC950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76" name="BEx5BJQWS6YWHH4ZMSUAMD641V6Y" descr="ZTMFMXCIQSECDX38ALEFHUB00" hidden="1">
          <a:extLst>
            <a:ext uri="{FF2B5EF4-FFF2-40B4-BE49-F238E27FC236}">
              <a16:creationId xmlns:a16="http://schemas.microsoft.com/office/drawing/2014/main" id="{77BCAB80-7AB9-4C47-9ED3-3574134E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77" name="BExUBK0YZ5VYFY8TTITJGJU9S06A" hidden="1">
          <a:extLst>
            <a:ext uri="{FF2B5EF4-FFF2-40B4-BE49-F238E27FC236}">
              <a16:creationId xmlns:a16="http://schemas.microsoft.com/office/drawing/2014/main" id="{706F4D52-3872-49AE-9C65-EFDC2A4DF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4078" name="BEx1KD7H6UB1VYCJ7O61P562EIUY" descr="IQGV9140X0K0UPBL8OGU3I44J" hidden="1">
          <a:extLst>
            <a:ext uri="{FF2B5EF4-FFF2-40B4-BE49-F238E27FC236}">
              <a16:creationId xmlns:a16="http://schemas.microsoft.com/office/drawing/2014/main" id="{94418A32-6C7E-41CA-9638-4C75BBFF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4079" name="BEx5AQZ4ETQ9LMY5EBWVH20Z7VXQ" hidden="1">
          <a:extLst>
            <a:ext uri="{FF2B5EF4-FFF2-40B4-BE49-F238E27FC236}">
              <a16:creationId xmlns:a16="http://schemas.microsoft.com/office/drawing/2014/main" id="{08B1625A-2CD0-4D16-B70A-7EC03B202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4080" name="BEx1KD7H6UB1VYCJ7O61P562EIUY" descr="IQGV9140X0K0UPBL8OGU3I44J" hidden="1">
          <a:extLst>
            <a:ext uri="{FF2B5EF4-FFF2-40B4-BE49-F238E27FC236}">
              <a16:creationId xmlns:a16="http://schemas.microsoft.com/office/drawing/2014/main" id="{9948A9D2-E8ED-4E20-B057-15597A0B4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4081" name="BEx5AQZ4ETQ9LMY5EBWVH20Z7VXQ" hidden="1">
          <a:extLst>
            <a:ext uri="{FF2B5EF4-FFF2-40B4-BE49-F238E27FC236}">
              <a16:creationId xmlns:a16="http://schemas.microsoft.com/office/drawing/2014/main" id="{A08CB014-98D9-4EB3-8A90-38AE1AD86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82" name="BEx5BJQWS6YWHH4ZMSUAMD641V6Y" descr="ZTMFMXCIQSECDX38ALEFHUB00" hidden="1">
          <a:extLst>
            <a:ext uri="{FF2B5EF4-FFF2-40B4-BE49-F238E27FC236}">
              <a16:creationId xmlns:a16="http://schemas.microsoft.com/office/drawing/2014/main" id="{045E7A0C-91C1-47C8-8127-885EEC560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83" name="BExUBK0YZ5VYFY8TTITJGJU9S06A" hidden="1">
          <a:extLst>
            <a:ext uri="{FF2B5EF4-FFF2-40B4-BE49-F238E27FC236}">
              <a16:creationId xmlns:a16="http://schemas.microsoft.com/office/drawing/2014/main" id="{DD851297-9747-484D-B758-E344B73A6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4084" name="BEx1KD7H6UB1VYCJ7O61P562EIUY" descr="IQGV9140X0K0UPBL8OGU3I44J" hidden="1">
          <a:extLst>
            <a:ext uri="{FF2B5EF4-FFF2-40B4-BE49-F238E27FC236}">
              <a16:creationId xmlns:a16="http://schemas.microsoft.com/office/drawing/2014/main" id="{26BD68F0-9FA0-43BF-9F4C-9A12D09CA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4085" name="BEx5AQZ4ETQ9LMY5EBWVH20Z7VXQ" hidden="1">
          <a:extLst>
            <a:ext uri="{FF2B5EF4-FFF2-40B4-BE49-F238E27FC236}">
              <a16:creationId xmlns:a16="http://schemas.microsoft.com/office/drawing/2014/main" id="{1100FAF5-A43C-42AD-9626-6017CAC12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86" name="BEx5BJQWS6YWHH4ZMSUAMD641V6Y" descr="ZTMFMXCIQSECDX38ALEFHUB00" hidden="1">
          <a:extLst>
            <a:ext uri="{FF2B5EF4-FFF2-40B4-BE49-F238E27FC236}">
              <a16:creationId xmlns:a16="http://schemas.microsoft.com/office/drawing/2014/main" id="{438BBEE9-D94C-48F3-926F-4262F37C7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87" name="BExUBK0YZ5VYFY8TTITJGJU9S06A" hidden="1">
          <a:extLst>
            <a:ext uri="{FF2B5EF4-FFF2-40B4-BE49-F238E27FC236}">
              <a16:creationId xmlns:a16="http://schemas.microsoft.com/office/drawing/2014/main" id="{9C7FA9AF-2BA3-4D2B-8024-207FB9F0A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88" name="BEx5BJQWS6YWHH4ZMSUAMD641V6Y" descr="ZTMFMXCIQSECDX38ALEFHUB00" hidden="1">
          <a:extLst>
            <a:ext uri="{FF2B5EF4-FFF2-40B4-BE49-F238E27FC236}">
              <a16:creationId xmlns:a16="http://schemas.microsoft.com/office/drawing/2014/main" id="{B01066E2-4861-4412-BA6F-2CFB4F703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89" name="BExUBK0YZ5VYFY8TTITJGJU9S06A" hidden="1">
          <a:extLst>
            <a:ext uri="{FF2B5EF4-FFF2-40B4-BE49-F238E27FC236}">
              <a16:creationId xmlns:a16="http://schemas.microsoft.com/office/drawing/2014/main" id="{B0D9A693-BE18-499A-B3CE-CD0DCBB2A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4090" name="BEx1KD7H6UB1VYCJ7O61P562EIUY" descr="IQGV9140X0K0UPBL8OGU3I44J" hidden="1">
          <a:extLst>
            <a:ext uri="{FF2B5EF4-FFF2-40B4-BE49-F238E27FC236}">
              <a16:creationId xmlns:a16="http://schemas.microsoft.com/office/drawing/2014/main" id="{6F7F72CB-9DAA-4482-8CCB-38E1D031A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4091" name="BEx5AQZ4ETQ9LMY5EBWVH20Z7VXQ" hidden="1">
          <a:extLst>
            <a:ext uri="{FF2B5EF4-FFF2-40B4-BE49-F238E27FC236}">
              <a16:creationId xmlns:a16="http://schemas.microsoft.com/office/drawing/2014/main" id="{77893C97-2F07-4A50-AC85-3B9D7DE4C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92" name="BEx5BJQWS6YWHH4ZMSUAMD641V6Y" descr="ZTMFMXCIQSECDX38ALEFHUB00" hidden="1">
          <a:extLst>
            <a:ext uri="{FF2B5EF4-FFF2-40B4-BE49-F238E27FC236}">
              <a16:creationId xmlns:a16="http://schemas.microsoft.com/office/drawing/2014/main" id="{D746565F-C6B7-4070-83F5-D505AAA5C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93" name="BExUBK0YZ5VYFY8TTITJGJU9S06A" hidden="1">
          <a:extLst>
            <a:ext uri="{FF2B5EF4-FFF2-40B4-BE49-F238E27FC236}">
              <a16:creationId xmlns:a16="http://schemas.microsoft.com/office/drawing/2014/main" id="{1214727E-0611-4E21-9D7B-F17185490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94" name="BEx5BJQWS6YWHH4ZMSUAMD641V6Y" descr="ZTMFMXCIQSECDX38ALEFHUB00" hidden="1">
          <a:extLst>
            <a:ext uri="{FF2B5EF4-FFF2-40B4-BE49-F238E27FC236}">
              <a16:creationId xmlns:a16="http://schemas.microsoft.com/office/drawing/2014/main" id="{EF7C0353-4C55-4A58-8FD1-1DB5958AC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95" name="BExUBK0YZ5VYFY8TTITJGJU9S06A" hidden="1">
          <a:extLst>
            <a:ext uri="{FF2B5EF4-FFF2-40B4-BE49-F238E27FC236}">
              <a16:creationId xmlns:a16="http://schemas.microsoft.com/office/drawing/2014/main" id="{7CAA530D-0C3F-45F5-8301-1B829AA9E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96" name="BEx5BJQWS6YWHH4ZMSUAMD641V6Y" descr="ZTMFMXCIQSECDX38ALEFHUB00" hidden="1">
          <a:extLst>
            <a:ext uri="{FF2B5EF4-FFF2-40B4-BE49-F238E27FC236}">
              <a16:creationId xmlns:a16="http://schemas.microsoft.com/office/drawing/2014/main" id="{6FDA8652-EBD0-4A9D-A4B0-5B6CCAF9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097" name="BExUBK0YZ5VYFY8TTITJGJU9S06A" hidden="1">
          <a:extLst>
            <a:ext uri="{FF2B5EF4-FFF2-40B4-BE49-F238E27FC236}">
              <a16:creationId xmlns:a16="http://schemas.microsoft.com/office/drawing/2014/main" id="{CA4F07E7-E27E-46CF-89A3-E000B0055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4098" name="BEx1KD7H6UB1VYCJ7O61P562EIUY" descr="IQGV9140X0K0UPBL8OGU3I44J" hidden="1">
          <a:extLst>
            <a:ext uri="{FF2B5EF4-FFF2-40B4-BE49-F238E27FC236}">
              <a16:creationId xmlns:a16="http://schemas.microsoft.com/office/drawing/2014/main" id="{00B05DA9-D01C-4AF1-B2A7-E401E5E1D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18</xdr:row>
      <xdr:rowOff>1905</xdr:rowOff>
    </xdr:from>
    <xdr:ext cx="59531" cy="829901"/>
    <xdr:pic>
      <xdr:nvPicPr>
        <xdr:cNvPr id="4099" name="BEx5AQZ4ETQ9LMY5EBWVH20Z7VXQ" hidden="1">
          <a:extLst>
            <a:ext uri="{FF2B5EF4-FFF2-40B4-BE49-F238E27FC236}">
              <a16:creationId xmlns:a16="http://schemas.microsoft.com/office/drawing/2014/main" id="{07D92DD0-B92A-446F-97EF-0849B4C06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402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00" name="BEx5BJQWS6YWHH4ZMSUAMD641V6Y" descr="ZTMFMXCIQSECDX38ALEFHUB00" hidden="1">
          <a:extLst>
            <a:ext uri="{FF2B5EF4-FFF2-40B4-BE49-F238E27FC236}">
              <a16:creationId xmlns:a16="http://schemas.microsoft.com/office/drawing/2014/main" id="{ABBA846F-25E9-4523-BA4F-AAA2B0409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01" name="BExUBK0YZ5VYFY8TTITJGJU9S06A" hidden="1">
          <a:extLst>
            <a:ext uri="{FF2B5EF4-FFF2-40B4-BE49-F238E27FC236}">
              <a16:creationId xmlns:a16="http://schemas.microsoft.com/office/drawing/2014/main" id="{021FDB8C-3575-405F-AB79-A2FB5281C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02" name="BEx5BJQWS6YWHH4ZMSUAMD641V6Y" descr="ZTMFMXCIQSECDX38ALEFHUB00" hidden="1">
          <a:extLst>
            <a:ext uri="{FF2B5EF4-FFF2-40B4-BE49-F238E27FC236}">
              <a16:creationId xmlns:a16="http://schemas.microsoft.com/office/drawing/2014/main" id="{D9F53F8B-F4F3-4DE1-86D3-A9C363656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03" name="BExUBK0YZ5VYFY8TTITJGJU9S06A" hidden="1">
          <a:extLst>
            <a:ext uri="{FF2B5EF4-FFF2-40B4-BE49-F238E27FC236}">
              <a16:creationId xmlns:a16="http://schemas.microsoft.com/office/drawing/2014/main" id="{E68E9754-06F2-40BE-B6F7-F1980EBD8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04" name="BEx5BJQWS6YWHH4ZMSUAMD641V6Y" descr="ZTMFMXCIQSECDX38ALEFHUB00" hidden="1">
          <a:extLst>
            <a:ext uri="{FF2B5EF4-FFF2-40B4-BE49-F238E27FC236}">
              <a16:creationId xmlns:a16="http://schemas.microsoft.com/office/drawing/2014/main" id="{50DA6D19-263D-4CD4-8CE9-05AE1F32E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05" name="BExUBK0YZ5VYFY8TTITJGJU9S06A" hidden="1">
          <a:extLst>
            <a:ext uri="{FF2B5EF4-FFF2-40B4-BE49-F238E27FC236}">
              <a16:creationId xmlns:a16="http://schemas.microsoft.com/office/drawing/2014/main" id="{CEF22221-AA1A-45A7-8B35-E8ABADF40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06" name="BEx5BJQWS6YWHH4ZMSUAMD641V6Y" descr="ZTMFMXCIQSECDX38ALEFHUB00" hidden="1">
          <a:extLst>
            <a:ext uri="{FF2B5EF4-FFF2-40B4-BE49-F238E27FC236}">
              <a16:creationId xmlns:a16="http://schemas.microsoft.com/office/drawing/2014/main" id="{4958D91C-88EA-4938-BBF2-1797A8792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07" name="BExUBK0YZ5VYFY8TTITJGJU9S06A" hidden="1">
          <a:extLst>
            <a:ext uri="{FF2B5EF4-FFF2-40B4-BE49-F238E27FC236}">
              <a16:creationId xmlns:a16="http://schemas.microsoft.com/office/drawing/2014/main" id="{306F696D-22C1-4E77-9B44-DA1777521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08" name="BEx5BJQWS6YWHH4ZMSUAMD641V6Y" descr="ZTMFMXCIQSECDX38ALEFHUB00" hidden="1">
          <a:extLst>
            <a:ext uri="{FF2B5EF4-FFF2-40B4-BE49-F238E27FC236}">
              <a16:creationId xmlns:a16="http://schemas.microsoft.com/office/drawing/2014/main" id="{8A5851F2-A266-4E0C-A2F5-ECCB15625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09" name="BExUBK0YZ5VYFY8TTITJGJU9S06A" hidden="1">
          <a:extLst>
            <a:ext uri="{FF2B5EF4-FFF2-40B4-BE49-F238E27FC236}">
              <a16:creationId xmlns:a16="http://schemas.microsoft.com/office/drawing/2014/main" id="{79D25D39-63DA-429C-9418-8C0DC35EC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10" name="BEx5BJQWS6YWHH4ZMSUAMD641V6Y" descr="ZTMFMXCIQSECDX38ALEFHUB00" hidden="1">
          <a:extLst>
            <a:ext uri="{FF2B5EF4-FFF2-40B4-BE49-F238E27FC236}">
              <a16:creationId xmlns:a16="http://schemas.microsoft.com/office/drawing/2014/main" id="{B46A0F60-1231-4FD9-9069-29A8435B4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11" name="BExUBK0YZ5VYFY8TTITJGJU9S06A" hidden="1">
          <a:extLst>
            <a:ext uri="{FF2B5EF4-FFF2-40B4-BE49-F238E27FC236}">
              <a16:creationId xmlns:a16="http://schemas.microsoft.com/office/drawing/2014/main" id="{90EE207E-6165-41C4-A8B8-CBDCD551A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112" name="BExMO7VFCN4EL59982UR4AJ25JNJ" descr="XX6TINEJADZGKR0CTM7ZRT0RA" hidden="1">
          <a:extLst>
            <a:ext uri="{FF2B5EF4-FFF2-40B4-BE49-F238E27FC236}">
              <a16:creationId xmlns:a16="http://schemas.microsoft.com/office/drawing/2014/main" id="{54E8916B-1D80-4AAC-88D1-50EBFAC76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13" name="BExU3EX5JJCXCII4YKUJBFBGIJR2" descr="OF5ZI9PI5WH36VPANJ2DYLNMI" hidden="1">
          <a:extLst>
            <a:ext uri="{FF2B5EF4-FFF2-40B4-BE49-F238E27FC236}">
              <a16:creationId xmlns:a16="http://schemas.microsoft.com/office/drawing/2014/main" id="{6E4E7CA6-EB80-438E-9AE4-768E5DA97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114" name="BEx1KD7H6UB1VYCJ7O61P562EIUY" descr="IQGV9140X0K0UPBL8OGU3I44J" hidden="1">
          <a:extLst>
            <a:ext uri="{FF2B5EF4-FFF2-40B4-BE49-F238E27FC236}">
              <a16:creationId xmlns:a16="http://schemas.microsoft.com/office/drawing/2014/main" id="{91CE199A-5BF5-4D28-84C9-424866E1D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15" name="BEx5BJQWS6YWHH4ZMSUAMD641V6Y" descr="ZTMFMXCIQSECDX38ALEFHUB00" hidden="1">
          <a:extLst>
            <a:ext uri="{FF2B5EF4-FFF2-40B4-BE49-F238E27FC236}">
              <a16:creationId xmlns:a16="http://schemas.microsoft.com/office/drawing/2014/main" id="{8840234E-5CDE-4D1B-AEDB-800AD4902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4116" name="BExVTO5Q8G2M7BPL4B2584LQS0R0" descr="OB6Q8NA4LZFE4GM9Y3V56BPMQ" hidden="1">
          <a:extLst>
            <a:ext uri="{FF2B5EF4-FFF2-40B4-BE49-F238E27FC236}">
              <a16:creationId xmlns:a16="http://schemas.microsoft.com/office/drawing/2014/main" id="{6A8F74DF-28F0-464C-BE6B-A646DEB25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4117" name="BExIFSCLN1G86X78PFLTSMRP0US5" descr="9JK4SPV4DG7VTCZIILWHXQU5J" hidden="1">
          <a:extLst>
            <a:ext uri="{FF2B5EF4-FFF2-40B4-BE49-F238E27FC236}">
              <a16:creationId xmlns:a16="http://schemas.microsoft.com/office/drawing/2014/main" id="{69A85248-D356-40E2-ADA0-E1F1DF62E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118" name="BEx1I152WN2D3A85O2XN0DGXCWHN" descr="KHBZFMANRA4UMJR1AB4M5NJNT" hidden="1">
          <a:extLst>
            <a:ext uri="{FF2B5EF4-FFF2-40B4-BE49-F238E27FC236}">
              <a16:creationId xmlns:a16="http://schemas.microsoft.com/office/drawing/2014/main" id="{F9A00DC4-92BB-47DF-9EC2-E05CAA835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19" name="BExW9676P0SKCVKK25QCGHPA3PAD" descr="9A4PWZ20RMSRF0PNECCDM75CA" hidden="1">
          <a:extLst>
            <a:ext uri="{FF2B5EF4-FFF2-40B4-BE49-F238E27FC236}">
              <a16:creationId xmlns:a16="http://schemas.microsoft.com/office/drawing/2014/main" id="{EB48246E-8D90-4FD7-8BAB-AFDD24289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120" name="BExS5CPQ8P8JOQPK7ANNKHLSGOKU" hidden="1">
          <a:extLst>
            <a:ext uri="{FF2B5EF4-FFF2-40B4-BE49-F238E27FC236}">
              <a16:creationId xmlns:a16="http://schemas.microsoft.com/office/drawing/2014/main" id="{292615D9-0029-40C3-9BA3-6CA5FC63F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21" name="BExMM0AVUAIRNJLXB1FW8R0YB4ZZ" hidden="1">
          <a:extLst>
            <a:ext uri="{FF2B5EF4-FFF2-40B4-BE49-F238E27FC236}">
              <a16:creationId xmlns:a16="http://schemas.microsoft.com/office/drawing/2014/main" id="{EBDCA3C8-46C4-4167-A40C-131324C02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122" name="BExXZ7Y09CBS0XA7IPB3IRJ8RJM4" hidden="1">
          <a:extLst>
            <a:ext uri="{FF2B5EF4-FFF2-40B4-BE49-F238E27FC236}">
              <a16:creationId xmlns:a16="http://schemas.microsoft.com/office/drawing/2014/main" id="{71437047-6373-4B1F-B183-152622BDE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23" name="BExQ7SXS9VUG7P6CACU2J7R2SGIZ" hidden="1">
          <a:extLst>
            <a:ext uri="{FF2B5EF4-FFF2-40B4-BE49-F238E27FC236}">
              <a16:creationId xmlns:a16="http://schemas.microsoft.com/office/drawing/2014/main" id="{A19BD963-244A-424F-8358-65A3A7B01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124" name="BEx5AQZ4ETQ9LMY5EBWVH20Z7VXQ" hidden="1">
          <a:extLst>
            <a:ext uri="{FF2B5EF4-FFF2-40B4-BE49-F238E27FC236}">
              <a16:creationId xmlns:a16="http://schemas.microsoft.com/office/drawing/2014/main" id="{CBD3A26A-033B-4229-99BB-5DEFD5631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25" name="BExUBK0YZ5VYFY8TTITJGJU9S06A" hidden="1">
          <a:extLst>
            <a:ext uri="{FF2B5EF4-FFF2-40B4-BE49-F238E27FC236}">
              <a16:creationId xmlns:a16="http://schemas.microsoft.com/office/drawing/2014/main" id="{1F2E8013-058F-48C1-B77B-E773EC1E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590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4126" name="BExUEZCSSJ7RN4J18I2NUIQR2FZS" hidden="1">
          <a:extLst>
            <a:ext uri="{FF2B5EF4-FFF2-40B4-BE49-F238E27FC236}">
              <a16:creationId xmlns:a16="http://schemas.microsoft.com/office/drawing/2014/main" id="{C474914E-4500-4F36-B123-899CFBD97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2592705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4127" name="BExS3JDQWF7U3F5JTEVOE16ASIYK" hidden="1">
          <a:extLst>
            <a:ext uri="{FF2B5EF4-FFF2-40B4-BE49-F238E27FC236}">
              <a16:creationId xmlns:a16="http://schemas.microsoft.com/office/drawing/2014/main" id="{3091C27E-9938-4218-ABE5-B4FCE5B63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25908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128" name="BEx1KD7H6UB1VYCJ7O61P562EIUY" descr="IQGV9140X0K0UPBL8OGU3I44J" hidden="1">
          <a:extLst>
            <a:ext uri="{FF2B5EF4-FFF2-40B4-BE49-F238E27FC236}">
              <a16:creationId xmlns:a16="http://schemas.microsoft.com/office/drawing/2014/main" id="{63363C46-C756-451C-9FD9-DA85D6254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29" name="BEx5BJQWS6YWHH4ZMSUAMD641V6Y" descr="ZTMFMXCIQSECDX38ALEFHUB00" hidden="1">
          <a:extLst>
            <a:ext uri="{FF2B5EF4-FFF2-40B4-BE49-F238E27FC236}">
              <a16:creationId xmlns:a16="http://schemas.microsoft.com/office/drawing/2014/main" id="{797E8FD3-51F7-439F-8B30-05440D8D5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130" name="BEx5AQZ4ETQ9LMY5EBWVH20Z7VXQ" hidden="1">
          <a:extLst>
            <a:ext uri="{FF2B5EF4-FFF2-40B4-BE49-F238E27FC236}">
              <a16:creationId xmlns:a16="http://schemas.microsoft.com/office/drawing/2014/main" id="{D120EBDB-F140-4BCA-92B9-1A58CD0E6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31" name="BExUBK0YZ5VYFY8TTITJGJU9S06A" hidden="1">
          <a:extLst>
            <a:ext uri="{FF2B5EF4-FFF2-40B4-BE49-F238E27FC236}">
              <a16:creationId xmlns:a16="http://schemas.microsoft.com/office/drawing/2014/main" id="{554388C3-F8A0-4202-952A-541A7B8C0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132" name="BExMO7VFCN4EL59982UR4AJ25JNJ" descr="XX6TINEJADZGKR0CTM7ZRT0RA" hidden="1">
          <a:extLst>
            <a:ext uri="{FF2B5EF4-FFF2-40B4-BE49-F238E27FC236}">
              <a16:creationId xmlns:a16="http://schemas.microsoft.com/office/drawing/2014/main" id="{3ADE7F0E-A9D0-447D-8A9D-5D8D8C491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33" name="BExU3EX5JJCXCII4YKUJBFBGIJR2" descr="OF5ZI9PI5WH36VPANJ2DYLNMI" hidden="1">
          <a:extLst>
            <a:ext uri="{FF2B5EF4-FFF2-40B4-BE49-F238E27FC236}">
              <a16:creationId xmlns:a16="http://schemas.microsoft.com/office/drawing/2014/main" id="{F7DE1011-FA71-4E96-AAF9-6B27D39EE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134" name="BEx1I152WN2D3A85O2XN0DGXCWHN" descr="KHBZFMANRA4UMJR1AB4M5NJNT" hidden="1">
          <a:extLst>
            <a:ext uri="{FF2B5EF4-FFF2-40B4-BE49-F238E27FC236}">
              <a16:creationId xmlns:a16="http://schemas.microsoft.com/office/drawing/2014/main" id="{A78B65A2-3BD3-479C-91DC-E16592A7F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35" name="BExW9676P0SKCVKK25QCGHPA3PAD" descr="9A4PWZ20RMSRF0PNECCDM75CA" hidden="1">
          <a:extLst>
            <a:ext uri="{FF2B5EF4-FFF2-40B4-BE49-F238E27FC236}">
              <a16:creationId xmlns:a16="http://schemas.microsoft.com/office/drawing/2014/main" id="{6DFFD15D-4897-4064-9065-6B1AB2203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136" name="BExS5CPQ8P8JOQPK7ANNKHLSGOKU" hidden="1">
          <a:extLst>
            <a:ext uri="{FF2B5EF4-FFF2-40B4-BE49-F238E27FC236}">
              <a16:creationId xmlns:a16="http://schemas.microsoft.com/office/drawing/2014/main" id="{8D09D9E0-0D66-4E2C-A502-00AE066C2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37" name="BExMM0AVUAIRNJLXB1FW8R0YB4ZZ" hidden="1">
          <a:extLst>
            <a:ext uri="{FF2B5EF4-FFF2-40B4-BE49-F238E27FC236}">
              <a16:creationId xmlns:a16="http://schemas.microsoft.com/office/drawing/2014/main" id="{5901E575-374D-4FA1-9B6E-462888954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138" name="BExXZ7Y09CBS0XA7IPB3IRJ8RJM4" hidden="1">
          <a:extLst>
            <a:ext uri="{FF2B5EF4-FFF2-40B4-BE49-F238E27FC236}">
              <a16:creationId xmlns:a16="http://schemas.microsoft.com/office/drawing/2014/main" id="{5225E70C-83BC-4915-9897-810B7E34E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39" name="BExQ7SXS9VUG7P6CACU2J7R2SGIZ" hidden="1">
          <a:extLst>
            <a:ext uri="{FF2B5EF4-FFF2-40B4-BE49-F238E27FC236}">
              <a16:creationId xmlns:a16="http://schemas.microsoft.com/office/drawing/2014/main" id="{753E6467-86DF-47FE-8D76-4C8855663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40" name="BExU3EX5JJCXCII4YKUJBFBGIJR2" descr="OF5ZI9PI5WH36VPANJ2DYLNMI" hidden="1">
          <a:extLst>
            <a:ext uri="{FF2B5EF4-FFF2-40B4-BE49-F238E27FC236}">
              <a16:creationId xmlns:a16="http://schemas.microsoft.com/office/drawing/2014/main" id="{5C08FE4D-5840-4477-BEC7-C3A6C086A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41" name="BExW9676P0SKCVKK25QCGHPA3PAD" descr="9A4PWZ20RMSRF0PNECCDM75CA" hidden="1">
          <a:extLst>
            <a:ext uri="{FF2B5EF4-FFF2-40B4-BE49-F238E27FC236}">
              <a16:creationId xmlns:a16="http://schemas.microsoft.com/office/drawing/2014/main" id="{512598CD-5B87-4CB1-A53E-4D4E2F31E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42" name="BExMM0AVUAIRNJLXB1FW8R0YB4ZZ" hidden="1">
          <a:extLst>
            <a:ext uri="{FF2B5EF4-FFF2-40B4-BE49-F238E27FC236}">
              <a16:creationId xmlns:a16="http://schemas.microsoft.com/office/drawing/2014/main" id="{08AC1257-13E6-4BD2-97B2-02D210212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43" name="BExQ7SXS9VUG7P6CACU2J7R2SGIZ" hidden="1">
          <a:extLst>
            <a:ext uri="{FF2B5EF4-FFF2-40B4-BE49-F238E27FC236}">
              <a16:creationId xmlns:a16="http://schemas.microsoft.com/office/drawing/2014/main" id="{62BEBC7B-577C-456F-8045-5C91E3585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144" name="BEx1KD7H6UB1VYCJ7O61P562EIUY" descr="IQGV9140X0K0UPBL8OGU3I44J" hidden="1">
          <a:extLst>
            <a:ext uri="{FF2B5EF4-FFF2-40B4-BE49-F238E27FC236}">
              <a16:creationId xmlns:a16="http://schemas.microsoft.com/office/drawing/2014/main" id="{F22FE762-6387-4F23-BD4A-83D86420D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45" name="BEx5BJQWS6YWHH4ZMSUAMD641V6Y" descr="ZTMFMXCIQSECDX38ALEFHUB00" hidden="1">
          <a:extLst>
            <a:ext uri="{FF2B5EF4-FFF2-40B4-BE49-F238E27FC236}">
              <a16:creationId xmlns:a16="http://schemas.microsoft.com/office/drawing/2014/main" id="{2C8C11BC-2CBC-46DD-B532-0D8A8CE8E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146" name="BEx5AQZ4ETQ9LMY5EBWVH20Z7VXQ" hidden="1">
          <a:extLst>
            <a:ext uri="{FF2B5EF4-FFF2-40B4-BE49-F238E27FC236}">
              <a16:creationId xmlns:a16="http://schemas.microsoft.com/office/drawing/2014/main" id="{D2E22C08-4927-4821-ADF1-A55419C0F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47" name="BExUBK0YZ5VYFY8TTITJGJU9S06A" hidden="1">
          <a:extLst>
            <a:ext uri="{FF2B5EF4-FFF2-40B4-BE49-F238E27FC236}">
              <a16:creationId xmlns:a16="http://schemas.microsoft.com/office/drawing/2014/main" id="{8B0600CF-4E8A-4E82-996B-6B066ECE6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48" name="BEx5BJQWS6YWHH4ZMSUAMD641V6Y" descr="ZTMFMXCIQSECDX38ALEFHUB00" hidden="1">
          <a:extLst>
            <a:ext uri="{FF2B5EF4-FFF2-40B4-BE49-F238E27FC236}">
              <a16:creationId xmlns:a16="http://schemas.microsoft.com/office/drawing/2014/main" id="{CB4365AA-6851-4D76-8D40-61A45DBA2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49" name="BExUBK0YZ5VYFY8TTITJGJU9S06A" hidden="1">
          <a:extLst>
            <a:ext uri="{FF2B5EF4-FFF2-40B4-BE49-F238E27FC236}">
              <a16:creationId xmlns:a16="http://schemas.microsoft.com/office/drawing/2014/main" id="{FAAD7EEC-6A35-436B-96DB-3AA522B17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150" name="BEx1KD7H6UB1VYCJ7O61P562EIUY" descr="IQGV9140X0K0UPBL8OGU3I44J" hidden="1">
          <a:extLst>
            <a:ext uri="{FF2B5EF4-FFF2-40B4-BE49-F238E27FC236}">
              <a16:creationId xmlns:a16="http://schemas.microsoft.com/office/drawing/2014/main" id="{500D4D3E-74A3-4AF0-BDE0-6521F7C8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51" name="BEx5BJQWS6YWHH4ZMSUAMD641V6Y" descr="ZTMFMXCIQSECDX38ALEFHUB00" hidden="1">
          <a:extLst>
            <a:ext uri="{FF2B5EF4-FFF2-40B4-BE49-F238E27FC236}">
              <a16:creationId xmlns:a16="http://schemas.microsoft.com/office/drawing/2014/main" id="{DDADA4EA-9E66-4CD5-B655-C43BA5AEA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152" name="BEx5AQZ4ETQ9LMY5EBWVH20Z7VXQ" hidden="1">
          <a:extLst>
            <a:ext uri="{FF2B5EF4-FFF2-40B4-BE49-F238E27FC236}">
              <a16:creationId xmlns:a16="http://schemas.microsoft.com/office/drawing/2014/main" id="{5EB5CDB9-3778-42DB-9AFE-5435D7635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53" name="BExUBK0YZ5VYFY8TTITJGJU9S06A" hidden="1">
          <a:extLst>
            <a:ext uri="{FF2B5EF4-FFF2-40B4-BE49-F238E27FC236}">
              <a16:creationId xmlns:a16="http://schemas.microsoft.com/office/drawing/2014/main" id="{C552136A-3C03-40B8-8058-2FA235D9C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54" name="BEx5BJQWS6YWHH4ZMSUAMD641V6Y" descr="ZTMFMXCIQSECDX38ALEFHUB00" hidden="1">
          <a:extLst>
            <a:ext uri="{FF2B5EF4-FFF2-40B4-BE49-F238E27FC236}">
              <a16:creationId xmlns:a16="http://schemas.microsoft.com/office/drawing/2014/main" id="{0898F2F5-B0E2-43A9-82E9-63099DEA2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55" name="BExUBK0YZ5VYFY8TTITJGJU9S06A" hidden="1">
          <a:extLst>
            <a:ext uri="{FF2B5EF4-FFF2-40B4-BE49-F238E27FC236}">
              <a16:creationId xmlns:a16="http://schemas.microsoft.com/office/drawing/2014/main" id="{B238C7DD-6C5F-4262-8E9A-557CF47AB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56" name="BEx5BJQWS6YWHH4ZMSUAMD641V6Y" descr="ZTMFMXCIQSECDX38ALEFHUB00" hidden="1">
          <a:extLst>
            <a:ext uri="{FF2B5EF4-FFF2-40B4-BE49-F238E27FC236}">
              <a16:creationId xmlns:a16="http://schemas.microsoft.com/office/drawing/2014/main" id="{8B9C8E32-FB08-4E49-8D87-987477AAA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57" name="BExUBK0YZ5VYFY8TTITJGJU9S06A" hidden="1">
          <a:extLst>
            <a:ext uri="{FF2B5EF4-FFF2-40B4-BE49-F238E27FC236}">
              <a16:creationId xmlns:a16="http://schemas.microsoft.com/office/drawing/2014/main" id="{5CE10A9F-289B-476D-8AAA-6D214F40F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158" name="BEx1KD7H6UB1VYCJ7O61P562EIUY" descr="IQGV9140X0K0UPBL8OGU3I44J" hidden="1">
          <a:extLst>
            <a:ext uri="{FF2B5EF4-FFF2-40B4-BE49-F238E27FC236}">
              <a16:creationId xmlns:a16="http://schemas.microsoft.com/office/drawing/2014/main" id="{2339A4F2-2247-46DE-B6FC-16B0D003A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59" name="BEx5BJQWS6YWHH4ZMSUAMD641V6Y" descr="ZTMFMXCIQSECDX38ALEFHUB00" hidden="1">
          <a:extLst>
            <a:ext uri="{FF2B5EF4-FFF2-40B4-BE49-F238E27FC236}">
              <a16:creationId xmlns:a16="http://schemas.microsoft.com/office/drawing/2014/main" id="{3D9740E5-1492-48F9-96C4-517D32321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160" name="BEx5AQZ4ETQ9LMY5EBWVH20Z7VXQ" hidden="1">
          <a:extLst>
            <a:ext uri="{FF2B5EF4-FFF2-40B4-BE49-F238E27FC236}">
              <a16:creationId xmlns:a16="http://schemas.microsoft.com/office/drawing/2014/main" id="{111F9D40-EDB5-4465-A8F6-E7973D868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61" name="BExUBK0YZ5VYFY8TTITJGJU9S06A" hidden="1">
          <a:extLst>
            <a:ext uri="{FF2B5EF4-FFF2-40B4-BE49-F238E27FC236}">
              <a16:creationId xmlns:a16="http://schemas.microsoft.com/office/drawing/2014/main" id="{F9B06B7E-622F-4169-9B21-C1A5619D9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62" name="BEx5BJQWS6YWHH4ZMSUAMD641V6Y" descr="ZTMFMXCIQSECDX38ALEFHUB00" hidden="1">
          <a:extLst>
            <a:ext uri="{FF2B5EF4-FFF2-40B4-BE49-F238E27FC236}">
              <a16:creationId xmlns:a16="http://schemas.microsoft.com/office/drawing/2014/main" id="{09759DF4-B594-4F67-9728-2662A0C27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63" name="BExUBK0YZ5VYFY8TTITJGJU9S06A" hidden="1">
          <a:extLst>
            <a:ext uri="{FF2B5EF4-FFF2-40B4-BE49-F238E27FC236}">
              <a16:creationId xmlns:a16="http://schemas.microsoft.com/office/drawing/2014/main" id="{AA18A0ED-635A-44BC-BE38-2AA4A728B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64" name="BEx5BJQWS6YWHH4ZMSUAMD641V6Y" descr="ZTMFMXCIQSECDX38ALEFHUB00" hidden="1">
          <a:extLst>
            <a:ext uri="{FF2B5EF4-FFF2-40B4-BE49-F238E27FC236}">
              <a16:creationId xmlns:a16="http://schemas.microsoft.com/office/drawing/2014/main" id="{65CA48B2-0473-4609-8555-476AD8624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65" name="BExUBK0YZ5VYFY8TTITJGJU9S06A" hidden="1">
          <a:extLst>
            <a:ext uri="{FF2B5EF4-FFF2-40B4-BE49-F238E27FC236}">
              <a16:creationId xmlns:a16="http://schemas.microsoft.com/office/drawing/2014/main" id="{EFA4C7DD-F6A3-48D3-B626-7453D2CAA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66" name="BEx5BJQWS6YWHH4ZMSUAMD641V6Y" descr="ZTMFMXCIQSECDX38ALEFHUB00" hidden="1">
          <a:extLst>
            <a:ext uri="{FF2B5EF4-FFF2-40B4-BE49-F238E27FC236}">
              <a16:creationId xmlns:a16="http://schemas.microsoft.com/office/drawing/2014/main" id="{47E6DF00-098A-4FCB-B6E4-E2E55FB07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67" name="BExUBK0YZ5VYFY8TTITJGJU9S06A" hidden="1">
          <a:extLst>
            <a:ext uri="{FF2B5EF4-FFF2-40B4-BE49-F238E27FC236}">
              <a16:creationId xmlns:a16="http://schemas.microsoft.com/office/drawing/2014/main" id="{F5C67D80-4085-4D88-9434-20B7000F0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168" name="BExMO7VFCN4EL59982UR4AJ25JNJ" descr="XX6TINEJADZGKR0CTM7ZRT0RA" hidden="1">
          <a:extLst>
            <a:ext uri="{FF2B5EF4-FFF2-40B4-BE49-F238E27FC236}">
              <a16:creationId xmlns:a16="http://schemas.microsoft.com/office/drawing/2014/main" id="{B0BEDE59-87F6-4F4C-9532-E3738F53D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69" name="BExU3EX5JJCXCII4YKUJBFBGIJR2" descr="OF5ZI9PI5WH36VPANJ2DYLNMI" hidden="1">
          <a:extLst>
            <a:ext uri="{FF2B5EF4-FFF2-40B4-BE49-F238E27FC236}">
              <a16:creationId xmlns:a16="http://schemas.microsoft.com/office/drawing/2014/main" id="{FC96E069-8148-422A-AFC7-2BFC7DC0B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170" name="BEx1I152WN2D3A85O2XN0DGXCWHN" descr="KHBZFMANRA4UMJR1AB4M5NJNT" hidden="1">
          <a:extLst>
            <a:ext uri="{FF2B5EF4-FFF2-40B4-BE49-F238E27FC236}">
              <a16:creationId xmlns:a16="http://schemas.microsoft.com/office/drawing/2014/main" id="{D445C3FD-5261-4DA8-89C6-65FF66C25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71" name="BExW9676P0SKCVKK25QCGHPA3PAD" descr="9A4PWZ20RMSRF0PNECCDM75CA" hidden="1">
          <a:extLst>
            <a:ext uri="{FF2B5EF4-FFF2-40B4-BE49-F238E27FC236}">
              <a16:creationId xmlns:a16="http://schemas.microsoft.com/office/drawing/2014/main" id="{5DC54AD0-CAD4-4883-B04D-B8BEE2B30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172" name="BExS5CPQ8P8JOQPK7ANNKHLSGOKU" hidden="1">
          <a:extLst>
            <a:ext uri="{FF2B5EF4-FFF2-40B4-BE49-F238E27FC236}">
              <a16:creationId xmlns:a16="http://schemas.microsoft.com/office/drawing/2014/main" id="{42F03CAB-BC83-41D4-81CC-DC320B6BD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73" name="BExMM0AVUAIRNJLXB1FW8R0YB4ZZ" hidden="1">
          <a:extLst>
            <a:ext uri="{FF2B5EF4-FFF2-40B4-BE49-F238E27FC236}">
              <a16:creationId xmlns:a16="http://schemas.microsoft.com/office/drawing/2014/main" id="{1B36AF15-34B2-4A22-A388-D6BEEDF17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174" name="BExXZ7Y09CBS0XA7IPB3IRJ8RJM4" hidden="1">
          <a:extLst>
            <a:ext uri="{FF2B5EF4-FFF2-40B4-BE49-F238E27FC236}">
              <a16:creationId xmlns:a16="http://schemas.microsoft.com/office/drawing/2014/main" id="{3347451E-158E-44BE-9F4F-ED053C14D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75" name="BExQ7SXS9VUG7P6CACU2J7R2SGIZ" hidden="1">
          <a:extLst>
            <a:ext uri="{FF2B5EF4-FFF2-40B4-BE49-F238E27FC236}">
              <a16:creationId xmlns:a16="http://schemas.microsoft.com/office/drawing/2014/main" id="{FC15D2A6-4270-48E0-B44D-90E769C67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76" name="BExU3EX5JJCXCII4YKUJBFBGIJR2" descr="OF5ZI9PI5WH36VPANJ2DYLNMI" hidden="1">
          <a:extLst>
            <a:ext uri="{FF2B5EF4-FFF2-40B4-BE49-F238E27FC236}">
              <a16:creationId xmlns:a16="http://schemas.microsoft.com/office/drawing/2014/main" id="{AAF883B7-BB3D-4C8A-8998-C812B2EAD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77" name="BExW9676P0SKCVKK25QCGHPA3PAD" descr="9A4PWZ20RMSRF0PNECCDM75CA" hidden="1">
          <a:extLst>
            <a:ext uri="{FF2B5EF4-FFF2-40B4-BE49-F238E27FC236}">
              <a16:creationId xmlns:a16="http://schemas.microsoft.com/office/drawing/2014/main" id="{47304470-1770-42C4-A729-C1F520CE5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78" name="BExMM0AVUAIRNJLXB1FW8R0YB4ZZ" hidden="1">
          <a:extLst>
            <a:ext uri="{FF2B5EF4-FFF2-40B4-BE49-F238E27FC236}">
              <a16:creationId xmlns:a16="http://schemas.microsoft.com/office/drawing/2014/main" id="{43D1DEE9-04D0-4AF1-9125-C39339574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79" name="BExQ7SXS9VUG7P6CACU2J7R2SGIZ" hidden="1">
          <a:extLst>
            <a:ext uri="{FF2B5EF4-FFF2-40B4-BE49-F238E27FC236}">
              <a16:creationId xmlns:a16="http://schemas.microsoft.com/office/drawing/2014/main" id="{2B321CF5-1F8E-4B20-AD4B-71A9C2596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180" name="BEx1KD7H6UB1VYCJ7O61P562EIUY" descr="IQGV9140X0K0UPBL8OGU3I44J" hidden="1">
          <a:extLst>
            <a:ext uri="{FF2B5EF4-FFF2-40B4-BE49-F238E27FC236}">
              <a16:creationId xmlns:a16="http://schemas.microsoft.com/office/drawing/2014/main" id="{733E2B4B-4666-4014-8B46-2708DE5EF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81" name="BEx5BJQWS6YWHH4ZMSUAMD641V6Y" descr="ZTMFMXCIQSECDX38ALEFHUB00" hidden="1">
          <a:extLst>
            <a:ext uri="{FF2B5EF4-FFF2-40B4-BE49-F238E27FC236}">
              <a16:creationId xmlns:a16="http://schemas.microsoft.com/office/drawing/2014/main" id="{F729BAA5-B9A0-4DFC-83A4-3C87978E0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182" name="BEx5AQZ4ETQ9LMY5EBWVH20Z7VXQ" hidden="1">
          <a:extLst>
            <a:ext uri="{FF2B5EF4-FFF2-40B4-BE49-F238E27FC236}">
              <a16:creationId xmlns:a16="http://schemas.microsoft.com/office/drawing/2014/main" id="{D64ECD08-C3AE-4CA1-85D4-B07BDF1EC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83" name="BExUBK0YZ5VYFY8TTITJGJU9S06A" hidden="1">
          <a:extLst>
            <a:ext uri="{FF2B5EF4-FFF2-40B4-BE49-F238E27FC236}">
              <a16:creationId xmlns:a16="http://schemas.microsoft.com/office/drawing/2014/main" id="{ED604765-C0A0-46D6-B5C4-2C593A019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84" name="BEx5BJQWS6YWHH4ZMSUAMD641V6Y" descr="ZTMFMXCIQSECDX38ALEFHUB00" hidden="1">
          <a:extLst>
            <a:ext uri="{FF2B5EF4-FFF2-40B4-BE49-F238E27FC236}">
              <a16:creationId xmlns:a16="http://schemas.microsoft.com/office/drawing/2014/main" id="{BDF5B0FF-4449-41EB-8362-9E82057B2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85" name="BExUBK0YZ5VYFY8TTITJGJU9S06A" hidden="1">
          <a:extLst>
            <a:ext uri="{FF2B5EF4-FFF2-40B4-BE49-F238E27FC236}">
              <a16:creationId xmlns:a16="http://schemas.microsoft.com/office/drawing/2014/main" id="{DA872274-4623-4942-A3B7-00556536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86" name="BEx5BJQWS6YWHH4ZMSUAMD641V6Y" descr="ZTMFMXCIQSECDX38ALEFHUB00" hidden="1">
          <a:extLst>
            <a:ext uri="{FF2B5EF4-FFF2-40B4-BE49-F238E27FC236}">
              <a16:creationId xmlns:a16="http://schemas.microsoft.com/office/drawing/2014/main" id="{AC26FCFD-B882-4817-903F-68675C556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87" name="BExUBK0YZ5VYFY8TTITJGJU9S06A" hidden="1">
          <a:extLst>
            <a:ext uri="{FF2B5EF4-FFF2-40B4-BE49-F238E27FC236}">
              <a16:creationId xmlns:a16="http://schemas.microsoft.com/office/drawing/2014/main" id="{0F0A1BFD-4AC0-413F-8E57-12DC8E9D2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88" name="BEx5BJQWS6YWHH4ZMSUAMD641V6Y" descr="ZTMFMXCIQSECDX38ALEFHUB00" hidden="1">
          <a:extLst>
            <a:ext uri="{FF2B5EF4-FFF2-40B4-BE49-F238E27FC236}">
              <a16:creationId xmlns:a16="http://schemas.microsoft.com/office/drawing/2014/main" id="{EA088D66-0426-4F5E-949B-826EA4E73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89" name="BExUBK0YZ5VYFY8TTITJGJU9S06A" hidden="1">
          <a:extLst>
            <a:ext uri="{FF2B5EF4-FFF2-40B4-BE49-F238E27FC236}">
              <a16:creationId xmlns:a16="http://schemas.microsoft.com/office/drawing/2014/main" id="{42E6911A-3C6A-4E0B-80E2-DD7A63EDE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90" name="BEx5BJQWS6YWHH4ZMSUAMD641V6Y" descr="ZTMFMXCIQSECDX38ALEFHUB00" hidden="1">
          <a:extLst>
            <a:ext uri="{FF2B5EF4-FFF2-40B4-BE49-F238E27FC236}">
              <a16:creationId xmlns:a16="http://schemas.microsoft.com/office/drawing/2014/main" id="{142EA0B9-CFCA-4605-8DCA-911EB743A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91" name="BExUBK0YZ5VYFY8TTITJGJU9S06A" hidden="1">
          <a:extLst>
            <a:ext uri="{FF2B5EF4-FFF2-40B4-BE49-F238E27FC236}">
              <a16:creationId xmlns:a16="http://schemas.microsoft.com/office/drawing/2014/main" id="{E0568A8F-6648-4F82-A2EE-695BDAEAD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92" name="BExU3EX5JJCXCII4YKUJBFBGIJR2" descr="OF5ZI9PI5WH36VPANJ2DYLNMI" hidden="1">
          <a:extLst>
            <a:ext uri="{FF2B5EF4-FFF2-40B4-BE49-F238E27FC236}">
              <a16:creationId xmlns:a16="http://schemas.microsoft.com/office/drawing/2014/main" id="{BD605D7F-FCCB-468B-9451-C06F25F00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93" name="BEx5BJQWS6YWHH4ZMSUAMD641V6Y" descr="ZTMFMXCIQSECDX38ALEFHUB00" hidden="1">
          <a:extLst>
            <a:ext uri="{FF2B5EF4-FFF2-40B4-BE49-F238E27FC236}">
              <a16:creationId xmlns:a16="http://schemas.microsoft.com/office/drawing/2014/main" id="{88D17AC5-D373-4C3D-AD6F-361FC8BC1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4194" name="BExIFSCLN1G86X78PFLTSMRP0US5" descr="9JK4SPV4DG7VTCZIILWHXQU5J" hidden="1">
          <a:extLst>
            <a:ext uri="{FF2B5EF4-FFF2-40B4-BE49-F238E27FC236}">
              <a16:creationId xmlns:a16="http://schemas.microsoft.com/office/drawing/2014/main" id="{5EF7B9B9-77B2-4E41-BCC9-2B82B9A1E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95" name="BExW9676P0SKCVKK25QCGHPA3PAD" descr="9A4PWZ20RMSRF0PNECCDM75CA" hidden="1">
          <a:extLst>
            <a:ext uri="{FF2B5EF4-FFF2-40B4-BE49-F238E27FC236}">
              <a16:creationId xmlns:a16="http://schemas.microsoft.com/office/drawing/2014/main" id="{ED60CDCA-C131-4EDC-8923-D68110334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96" name="BExMM0AVUAIRNJLXB1FW8R0YB4ZZ" hidden="1">
          <a:extLst>
            <a:ext uri="{FF2B5EF4-FFF2-40B4-BE49-F238E27FC236}">
              <a16:creationId xmlns:a16="http://schemas.microsoft.com/office/drawing/2014/main" id="{9F52AAF9-4096-4FBE-ADD3-BAA8BA6C5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197" name="BExQ7SXS9VUG7P6CACU2J7R2SGIZ" hidden="1">
          <a:extLst>
            <a:ext uri="{FF2B5EF4-FFF2-40B4-BE49-F238E27FC236}">
              <a16:creationId xmlns:a16="http://schemas.microsoft.com/office/drawing/2014/main" id="{1392EED2-FD46-4670-9A6C-671CA529F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198" name="BExUBK0YZ5VYFY8TTITJGJU9S06A" hidden="1">
          <a:extLst>
            <a:ext uri="{FF2B5EF4-FFF2-40B4-BE49-F238E27FC236}">
              <a16:creationId xmlns:a16="http://schemas.microsoft.com/office/drawing/2014/main" id="{70296364-AD02-4E8A-AC01-31BF595A0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4199" name="BExS3JDQWF7U3F5JTEVOE16ASIYK" hidden="1">
          <a:extLst>
            <a:ext uri="{FF2B5EF4-FFF2-40B4-BE49-F238E27FC236}">
              <a16:creationId xmlns:a16="http://schemas.microsoft.com/office/drawing/2014/main" id="{00543E3C-D80E-45C4-B95E-D0372BFEE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29718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00" name="BEx1KD7H6UB1VYCJ7O61P562EIUY" descr="IQGV9140X0K0UPBL8OGU3I44J" hidden="1">
          <a:extLst>
            <a:ext uri="{FF2B5EF4-FFF2-40B4-BE49-F238E27FC236}">
              <a16:creationId xmlns:a16="http://schemas.microsoft.com/office/drawing/2014/main" id="{97EDBD4A-32AA-451D-AC0B-C7786581E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01" name="BEx5AQZ4ETQ9LMY5EBWVH20Z7VXQ" hidden="1">
          <a:extLst>
            <a:ext uri="{FF2B5EF4-FFF2-40B4-BE49-F238E27FC236}">
              <a16:creationId xmlns:a16="http://schemas.microsoft.com/office/drawing/2014/main" id="{5E990218-F83F-48D0-9A24-A0A1C97E0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02" name="BEx1KD7H6UB1VYCJ7O61P562EIUY" descr="IQGV9140X0K0UPBL8OGU3I44J" hidden="1">
          <a:extLst>
            <a:ext uri="{FF2B5EF4-FFF2-40B4-BE49-F238E27FC236}">
              <a16:creationId xmlns:a16="http://schemas.microsoft.com/office/drawing/2014/main" id="{5A22E808-721C-40AA-9E23-28C56EA36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03" name="BEx5AQZ4ETQ9LMY5EBWVH20Z7VXQ" hidden="1">
          <a:extLst>
            <a:ext uri="{FF2B5EF4-FFF2-40B4-BE49-F238E27FC236}">
              <a16:creationId xmlns:a16="http://schemas.microsoft.com/office/drawing/2014/main" id="{D871903C-3CFC-4578-A054-CE8462ED3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04" name="BEx1KD7H6UB1VYCJ7O61P562EIUY" descr="IQGV9140X0K0UPBL8OGU3I44J" hidden="1">
          <a:extLst>
            <a:ext uri="{FF2B5EF4-FFF2-40B4-BE49-F238E27FC236}">
              <a16:creationId xmlns:a16="http://schemas.microsoft.com/office/drawing/2014/main" id="{EB7D9566-64D0-47FC-A3A7-A54BC19B7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05" name="BEx5BJQWS6YWHH4ZMSUAMD641V6Y" descr="ZTMFMXCIQSECDX38ALEFHUB00" hidden="1">
          <a:extLst>
            <a:ext uri="{FF2B5EF4-FFF2-40B4-BE49-F238E27FC236}">
              <a16:creationId xmlns:a16="http://schemas.microsoft.com/office/drawing/2014/main" id="{4DE81CC7-94F6-4B9A-A2AE-3D3F8C6B0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06" name="BEx5AQZ4ETQ9LMY5EBWVH20Z7VXQ" hidden="1">
          <a:extLst>
            <a:ext uri="{FF2B5EF4-FFF2-40B4-BE49-F238E27FC236}">
              <a16:creationId xmlns:a16="http://schemas.microsoft.com/office/drawing/2014/main" id="{EF9365EC-0F51-4B4C-B6DF-4C9F8DA0E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07" name="BExUBK0YZ5VYFY8TTITJGJU9S06A" hidden="1">
          <a:extLst>
            <a:ext uri="{FF2B5EF4-FFF2-40B4-BE49-F238E27FC236}">
              <a16:creationId xmlns:a16="http://schemas.microsoft.com/office/drawing/2014/main" id="{96C5DB3D-B160-4D08-9C06-ED25A410A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08" name="BEx1KD7H6UB1VYCJ7O61P562EIUY" descr="IQGV9140X0K0UPBL8OGU3I44J" hidden="1">
          <a:extLst>
            <a:ext uri="{FF2B5EF4-FFF2-40B4-BE49-F238E27FC236}">
              <a16:creationId xmlns:a16="http://schemas.microsoft.com/office/drawing/2014/main" id="{BAB6563F-ECD6-4535-B44E-D806FA458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09" name="BEx5AQZ4ETQ9LMY5EBWVH20Z7VXQ" hidden="1">
          <a:extLst>
            <a:ext uri="{FF2B5EF4-FFF2-40B4-BE49-F238E27FC236}">
              <a16:creationId xmlns:a16="http://schemas.microsoft.com/office/drawing/2014/main" id="{8AA1E6CD-2EF5-4309-96B8-AEC5F67BC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10" name="BEx1KD7H6UB1VYCJ7O61P562EIUY" descr="IQGV9140X0K0UPBL8OGU3I44J" hidden="1">
          <a:extLst>
            <a:ext uri="{FF2B5EF4-FFF2-40B4-BE49-F238E27FC236}">
              <a16:creationId xmlns:a16="http://schemas.microsoft.com/office/drawing/2014/main" id="{866EFAC6-99D6-4ABF-958F-8F4EE018B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11" name="BEx5BJQWS6YWHH4ZMSUAMD641V6Y" descr="ZTMFMXCIQSECDX38ALEFHUB00" hidden="1">
          <a:extLst>
            <a:ext uri="{FF2B5EF4-FFF2-40B4-BE49-F238E27FC236}">
              <a16:creationId xmlns:a16="http://schemas.microsoft.com/office/drawing/2014/main" id="{847740B1-E125-4BA4-B27D-CEB6250EE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12" name="BEx5AQZ4ETQ9LMY5EBWVH20Z7VXQ" hidden="1">
          <a:extLst>
            <a:ext uri="{FF2B5EF4-FFF2-40B4-BE49-F238E27FC236}">
              <a16:creationId xmlns:a16="http://schemas.microsoft.com/office/drawing/2014/main" id="{6C66C138-8D9F-49BF-8F82-45D29A950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13" name="BExUBK0YZ5VYFY8TTITJGJU9S06A" hidden="1">
          <a:extLst>
            <a:ext uri="{FF2B5EF4-FFF2-40B4-BE49-F238E27FC236}">
              <a16:creationId xmlns:a16="http://schemas.microsoft.com/office/drawing/2014/main" id="{FEE7BA28-F60B-4BEB-ACAD-4AFCBCD2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14" name="BEx1KD7H6UB1VYCJ7O61P562EIUY" descr="IQGV9140X0K0UPBL8OGU3I44J" hidden="1">
          <a:extLst>
            <a:ext uri="{FF2B5EF4-FFF2-40B4-BE49-F238E27FC236}">
              <a16:creationId xmlns:a16="http://schemas.microsoft.com/office/drawing/2014/main" id="{66F8A907-3E47-4FB2-8683-BAAD59C98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15" name="BEx5BJQWS6YWHH4ZMSUAMD641V6Y" descr="ZTMFMXCIQSECDX38ALEFHUB00" hidden="1">
          <a:extLst>
            <a:ext uri="{FF2B5EF4-FFF2-40B4-BE49-F238E27FC236}">
              <a16:creationId xmlns:a16="http://schemas.microsoft.com/office/drawing/2014/main" id="{006E71FD-BF6C-42A2-8C86-789BD83A1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16" name="BEx5AQZ4ETQ9LMY5EBWVH20Z7VXQ" hidden="1">
          <a:extLst>
            <a:ext uri="{FF2B5EF4-FFF2-40B4-BE49-F238E27FC236}">
              <a16:creationId xmlns:a16="http://schemas.microsoft.com/office/drawing/2014/main" id="{CB92FF23-60FE-4DE1-891A-92CF619E6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17" name="BExUBK0YZ5VYFY8TTITJGJU9S06A" hidden="1">
          <a:extLst>
            <a:ext uri="{FF2B5EF4-FFF2-40B4-BE49-F238E27FC236}">
              <a16:creationId xmlns:a16="http://schemas.microsoft.com/office/drawing/2014/main" id="{ACC015A9-000F-4BEC-B73C-A9653997D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18" name="BEx1KD7H6UB1VYCJ7O61P562EIUY" descr="IQGV9140X0K0UPBL8OGU3I44J" hidden="1">
          <a:extLst>
            <a:ext uri="{FF2B5EF4-FFF2-40B4-BE49-F238E27FC236}">
              <a16:creationId xmlns:a16="http://schemas.microsoft.com/office/drawing/2014/main" id="{F5AE2363-6B11-4BFA-A81D-0D72FA96C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19" name="BEx5AQZ4ETQ9LMY5EBWVH20Z7VXQ" hidden="1">
          <a:extLst>
            <a:ext uri="{FF2B5EF4-FFF2-40B4-BE49-F238E27FC236}">
              <a16:creationId xmlns:a16="http://schemas.microsoft.com/office/drawing/2014/main" id="{5562DB4D-7F41-4656-8CCB-79A2693AF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20" name="BEx1KD7H6UB1VYCJ7O61P562EIUY" descr="IQGV9140X0K0UPBL8OGU3I44J" hidden="1">
          <a:extLst>
            <a:ext uri="{FF2B5EF4-FFF2-40B4-BE49-F238E27FC236}">
              <a16:creationId xmlns:a16="http://schemas.microsoft.com/office/drawing/2014/main" id="{604627E7-F761-461D-90CF-0605E60F9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21" name="BEx5BJQWS6YWHH4ZMSUAMD641V6Y" descr="ZTMFMXCIQSECDX38ALEFHUB00" hidden="1">
          <a:extLst>
            <a:ext uri="{FF2B5EF4-FFF2-40B4-BE49-F238E27FC236}">
              <a16:creationId xmlns:a16="http://schemas.microsoft.com/office/drawing/2014/main" id="{9210BCA0-D8A3-4190-97D1-A3BA5A7A8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22" name="BEx5AQZ4ETQ9LMY5EBWVH20Z7VXQ" hidden="1">
          <a:extLst>
            <a:ext uri="{FF2B5EF4-FFF2-40B4-BE49-F238E27FC236}">
              <a16:creationId xmlns:a16="http://schemas.microsoft.com/office/drawing/2014/main" id="{FB789FAE-2C79-41D6-873D-0AD4B4020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23" name="BExUBK0YZ5VYFY8TTITJGJU9S06A" hidden="1">
          <a:extLst>
            <a:ext uri="{FF2B5EF4-FFF2-40B4-BE49-F238E27FC236}">
              <a16:creationId xmlns:a16="http://schemas.microsoft.com/office/drawing/2014/main" id="{4B1EAB99-A7F8-4368-BDB9-084236122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24" name="BEx1KD7H6UB1VYCJ7O61P562EIUY" descr="IQGV9140X0K0UPBL8OGU3I44J" hidden="1">
          <a:extLst>
            <a:ext uri="{FF2B5EF4-FFF2-40B4-BE49-F238E27FC236}">
              <a16:creationId xmlns:a16="http://schemas.microsoft.com/office/drawing/2014/main" id="{88E772DC-F4C5-48A6-A27B-FAAB0ADB3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25" name="BEx5BJQWS6YWHH4ZMSUAMD641V6Y" descr="ZTMFMXCIQSECDX38ALEFHUB00" hidden="1">
          <a:extLst>
            <a:ext uri="{FF2B5EF4-FFF2-40B4-BE49-F238E27FC236}">
              <a16:creationId xmlns:a16="http://schemas.microsoft.com/office/drawing/2014/main" id="{697BFCFD-5065-4422-BD54-D5F7191F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26" name="BEx5AQZ4ETQ9LMY5EBWVH20Z7VXQ" hidden="1">
          <a:extLst>
            <a:ext uri="{FF2B5EF4-FFF2-40B4-BE49-F238E27FC236}">
              <a16:creationId xmlns:a16="http://schemas.microsoft.com/office/drawing/2014/main" id="{E1A9BE74-9343-44E9-BEB5-0E3A9884E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27" name="BExUBK0YZ5VYFY8TTITJGJU9S06A" hidden="1">
          <a:extLst>
            <a:ext uri="{FF2B5EF4-FFF2-40B4-BE49-F238E27FC236}">
              <a16:creationId xmlns:a16="http://schemas.microsoft.com/office/drawing/2014/main" id="{BCBF2254-98F2-4F7A-8237-9BAD90772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28" name="BEx1KD7H6UB1VYCJ7O61P562EIUY" descr="IQGV9140X0K0UPBL8OGU3I44J" hidden="1">
          <a:extLst>
            <a:ext uri="{FF2B5EF4-FFF2-40B4-BE49-F238E27FC236}">
              <a16:creationId xmlns:a16="http://schemas.microsoft.com/office/drawing/2014/main" id="{91C5964D-7582-493C-88D0-5AA7F6AD0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29" name="BEx5BJQWS6YWHH4ZMSUAMD641V6Y" descr="ZTMFMXCIQSECDX38ALEFHUB00" hidden="1">
          <a:extLst>
            <a:ext uri="{FF2B5EF4-FFF2-40B4-BE49-F238E27FC236}">
              <a16:creationId xmlns:a16="http://schemas.microsoft.com/office/drawing/2014/main" id="{4619F420-3FB3-4AAF-ABD8-BF81510E1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30" name="BEx5AQZ4ETQ9LMY5EBWVH20Z7VXQ" hidden="1">
          <a:extLst>
            <a:ext uri="{FF2B5EF4-FFF2-40B4-BE49-F238E27FC236}">
              <a16:creationId xmlns:a16="http://schemas.microsoft.com/office/drawing/2014/main" id="{A90DAC3E-555B-4B14-B65E-C46B6AA86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31" name="BExUBK0YZ5VYFY8TTITJGJU9S06A" hidden="1">
          <a:extLst>
            <a:ext uri="{FF2B5EF4-FFF2-40B4-BE49-F238E27FC236}">
              <a16:creationId xmlns:a16="http://schemas.microsoft.com/office/drawing/2014/main" id="{443222EC-A6CB-4979-9074-6C7258A08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32" name="BEx1KD7H6UB1VYCJ7O61P562EIUY" descr="IQGV9140X0K0UPBL8OGU3I44J" hidden="1">
          <a:extLst>
            <a:ext uri="{FF2B5EF4-FFF2-40B4-BE49-F238E27FC236}">
              <a16:creationId xmlns:a16="http://schemas.microsoft.com/office/drawing/2014/main" id="{575ED2ED-DAF7-41E6-83C4-8575FFC98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33" name="BEx5AQZ4ETQ9LMY5EBWVH20Z7VXQ" hidden="1">
          <a:extLst>
            <a:ext uri="{FF2B5EF4-FFF2-40B4-BE49-F238E27FC236}">
              <a16:creationId xmlns:a16="http://schemas.microsoft.com/office/drawing/2014/main" id="{58C6627C-D264-4DBF-8B7B-44F6CD40C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34" name="BEx1KD7H6UB1VYCJ7O61P562EIUY" descr="IQGV9140X0K0UPBL8OGU3I44J" hidden="1">
          <a:extLst>
            <a:ext uri="{FF2B5EF4-FFF2-40B4-BE49-F238E27FC236}">
              <a16:creationId xmlns:a16="http://schemas.microsoft.com/office/drawing/2014/main" id="{D8810EF1-515A-4072-AE7B-6754962D5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35" name="BEx5AQZ4ETQ9LMY5EBWVH20Z7VXQ" hidden="1">
          <a:extLst>
            <a:ext uri="{FF2B5EF4-FFF2-40B4-BE49-F238E27FC236}">
              <a16:creationId xmlns:a16="http://schemas.microsoft.com/office/drawing/2014/main" id="{40052E14-1461-465E-A848-E3FDB913E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36" name="BEx1KD7H6UB1VYCJ7O61P562EIUY" descr="IQGV9140X0K0UPBL8OGU3I44J" hidden="1">
          <a:extLst>
            <a:ext uri="{FF2B5EF4-FFF2-40B4-BE49-F238E27FC236}">
              <a16:creationId xmlns:a16="http://schemas.microsoft.com/office/drawing/2014/main" id="{363BD0C4-6B17-4980-A439-8F53757F7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37" name="BEx5AQZ4ETQ9LMY5EBWVH20Z7VXQ" hidden="1">
          <a:extLst>
            <a:ext uri="{FF2B5EF4-FFF2-40B4-BE49-F238E27FC236}">
              <a16:creationId xmlns:a16="http://schemas.microsoft.com/office/drawing/2014/main" id="{EDD68B7E-D75B-4B24-A3CE-BD4B4EE6D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38" name="BEx1KD7H6UB1VYCJ7O61P562EIUY" descr="IQGV9140X0K0UPBL8OGU3I44J" hidden="1">
          <a:extLst>
            <a:ext uri="{FF2B5EF4-FFF2-40B4-BE49-F238E27FC236}">
              <a16:creationId xmlns:a16="http://schemas.microsoft.com/office/drawing/2014/main" id="{E867573A-6C2E-401C-99B7-0FAFAA33A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39" name="BEx5AQZ4ETQ9LMY5EBWVH20Z7VXQ" hidden="1">
          <a:extLst>
            <a:ext uri="{FF2B5EF4-FFF2-40B4-BE49-F238E27FC236}">
              <a16:creationId xmlns:a16="http://schemas.microsoft.com/office/drawing/2014/main" id="{E103E308-3F37-4F07-A955-8F0F207DE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40" name="BEx1KD7H6UB1VYCJ7O61P562EIUY" descr="IQGV9140X0K0UPBL8OGU3I44J" hidden="1">
          <a:extLst>
            <a:ext uri="{FF2B5EF4-FFF2-40B4-BE49-F238E27FC236}">
              <a16:creationId xmlns:a16="http://schemas.microsoft.com/office/drawing/2014/main" id="{20170167-A52D-408A-824C-BB43FEF36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41" name="BEx5AQZ4ETQ9LMY5EBWVH20Z7VXQ" hidden="1">
          <a:extLst>
            <a:ext uri="{FF2B5EF4-FFF2-40B4-BE49-F238E27FC236}">
              <a16:creationId xmlns:a16="http://schemas.microsoft.com/office/drawing/2014/main" id="{FF1CE1F7-4DE0-4543-B6DC-293FB470B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592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42" name="BEx1KD7H6UB1VYCJ7O61P562EIUY" descr="IQGV9140X0K0UPBL8OGU3I44J" hidden="1">
          <a:extLst>
            <a:ext uri="{FF2B5EF4-FFF2-40B4-BE49-F238E27FC236}">
              <a16:creationId xmlns:a16="http://schemas.microsoft.com/office/drawing/2014/main" id="{01933871-267D-42F2-8A64-C8E64EDEB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43" name="BEx5BJQWS6YWHH4ZMSUAMD641V6Y" descr="ZTMFMXCIQSECDX38ALEFHUB00" hidden="1">
          <a:extLst>
            <a:ext uri="{FF2B5EF4-FFF2-40B4-BE49-F238E27FC236}">
              <a16:creationId xmlns:a16="http://schemas.microsoft.com/office/drawing/2014/main" id="{2F6FBFEC-C514-4D0A-8563-61374F1E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44" name="BEx5AQZ4ETQ9LMY5EBWVH20Z7VXQ" hidden="1">
          <a:extLst>
            <a:ext uri="{FF2B5EF4-FFF2-40B4-BE49-F238E27FC236}">
              <a16:creationId xmlns:a16="http://schemas.microsoft.com/office/drawing/2014/main" id="{67F8EF09-73EC-41E9-A0BA-BD15CE3F5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45" name="BExUBK0YZ5VYFY8TTITJGJU9S06A" hidden="1">
          <a:extLst>
            <a:ext uri="{FF2B5EF4-FFF2-40B4-BE49-F238E27FC236}">
              <a16:creationId xmlns:a16="http://schemas.microsoft.com/office/drawing/2014/main" id="{D4A21925-26EF-4C9B-83FB-42AE8E132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46" name="BEx1KD7H6UB1VYCJ7O61P562EIUY" descr="IQGV9140X0K0UPBL8OGU3I44J" hidden="1">
          <a:extLst>
            <a:ext uri="{FF2B5EF4-FFF2-40B4-BE49-F238E27FC236}">
              <a16:creationId xmlns:a16="http://schemas.microsoft.com/office/drawing/2014/main" id="{13B0C4F9-3B93-40BC-85CA-344229C80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47" name="BEx5BJQWS6YWHH4ZMSUAMD641V6Y" descr="ZTMFMXCIQSECDX38ALEFHUB00" hidden="1">
          <a:extLst>
            <a:ext uri="{FF2B5EF4-FFF2-40B4-BE49-F238E27FC236}">
              <a16:creationId xmlns:a16="http://schemas.microsoft.com/office/drawing/2014/main" id="{C4E7516B-1A2D-4EEF-8192-0C71B2855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48" name="BEx5AQZ4ETQ9LMY5EBWVH20Z7VXQ" hidden="1">
          <a:extLst>
            <a:ext uri="{FF2B5EF4-FFF2-40B4-BE49-F238E27FC236}">
              <a16:creationId xmlns:a16="http://schemas.microsoft.com/office/drawing/2014/main" id="{7BBB94BD-586D-4C55-AEC9-F062DB3B5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49" name="BExUBK0YZ5VYFY8TTITJGJU9S06A" hidden="1">
          <a:extLst>
            <a:ext uri="{FF2B5EF4-FFF2-40B4-BE49-F238E27FC236}">
              <a16:creationId xmlns:a16="http://schemas.microsoft.com/office/drawing/2014/main" id="{50E44F78-58DE-4232-9479-A5405E60D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50" name="BEx1KD7H6UB1VYCJ7O61P562EIUY" descr="IQGV9140X0K0UPBL8OGU3I44J" hidden="1">
          <a:extLst>
            <a:ext uri="{FF2B5EF4-FFF2-40B4-BE49-F238E27FC236}">
              <a16:creationId xmlns:a16="http://schemas.microsoft.com/office/drawing/2014/main" id="{9CF223DE-0C7D-41A7-9515-A578670CF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51" name="BEx5BJQWS6YWHH4ZMSUAMD641V6Y" descr="ZTMFMXCIQSECDX38ALEFHUB00" hidden="1">
          <a:extLst>
            <a:ext uri="{FF2B5EF4-FFF2-40B4-BE49-F238E27FC236}">
              <a16:creationId xmlns:a16="http://schemas.microsoft.com/office/drawing/2014/main" id="{4DAF858E-6EBA-4A91-B638-C7BF2BCB0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52" name="BEx5AQZ4ETQ9LMY5EBWVH20Z7VXQ" hidden="1">
          <a:extLst>
            <a:ext uri="{FF2B5EF4-FFF2-40B4-BE49-F238E27FC236}">
              <a16:creationId xmlns:a16="http://schemas.microsoft.com/office/drawing/2014/main" id="{911A9965-E54A-448E-B801-3678155F4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53" name="BExUBK0YZ5VYFY8TTITJGJU9S06A" hidden="1">
          <a:extLst>
            <a:ext uri="{FF2B5EF4-FFF2-40B4-BE49-F238E27FC236}">
              <a16:creationId xmlns:a16="http://schemas.microsoft.com/office/drawing/2014/main" id="{2C042139-9B81-4DD7-B463-B2E2CD62B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54" name="BEx1KD7H6UB1VYCJ7O61P562EIUY" descr="IQGV9140X0K0UPBL8OGU3I44J" hidden="1">
          <a:extLst>
            <a:ext uri="{FF2B5EF4-FFF2-40B4-BE49-F238E27FC236}">
              <a16:creationId xmlns:a16="http://schemas.microsoft.com/office/drawing/2014/main" id="{7ECD5D7A-AC08-45E1-8354-FFD6FE51A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55" name="BEx5BJQWS6YWHH4ZMSUAMD641V6Y" descr="ZTMFMXCIQSECDX38ALEFHUB00" hidden="1">
          <a:extLst>
            <a:ext uri="{FF2B5EF4-FFF2-40B4-BE49-F238E27FC236}">
              <a16:creationId xmlns:a16="http://schemas.microsoft.com/office/drawing/2014/main" id="{7B1436A4-2CDD-41B2-B311-82E0630CB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56" name="BEx5AQZ4ETQ9LMY5EBWVH20Z7VXQ" hidden="1">
          <a:extLst>
            <a:ext uri="{FF2B5EF4-FFF2-40B4-BE49-F238E27FC236}">
              <a16:creationId xmlns:a16="http://schemas.microsoft.com/office/drawing/2014/main" id="{A59738B8-E7B7-4387-ACBD-BC9F403F7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57" name="BExUBK0YZ5VYFY8TTITJGJU9S06A" hidden="1">
          <a:extLst>
            <a:ext uri="{FF2B5EF4-FFF2-40B4-BE49-F238E27FC236}">
              <a16:creationId xmlns:a16="http://schemas.microsoft.com/office/drawing/2014/main" id="{304C0B66-9678-43A7-A964-E88517FDE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58" name="BEx1KD7H6UB1VYCJ7O61P562EIUY" descr="IQGV9140X0K0UPBL8OGU3I44J" hidden="1">
          <a:extLst>
            <a:ext uri="{FF2B5EF4-FFF2-40B4-BE49-F238E27FC236}">
              <a16:creationId xmlns:a16="http://schemas.microsoft.com/office/drawing/2014/main" id="{C431D695-F690-400F-ACC2-F0C92FC5B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59" name="BEx5BJQWS6YWHH4ZMSUAMD641V6Y" descr="ZTMFMXCIQSECDX38ALEFHUB00" hidden="1">
          <a:extLst>
            <a:ext uri="{FF2B5EF4-FFF2-40B4-BE49-F238E27FC236}">
              <a16:creationId xmlns:a16="http://schemas.microsoft.com/office/drawing/2014/main" id="{1D152B9A-D59E-4BFB-9FE7-0BF642F87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60" name="BEx5AQZ4ETQ9LMY5EBWVH20Z7VXQ" hidden="1">
          <a:extLst>
            <a:ext uri="{FF2B5EF4-FFF2-40B4-BE49-F238E27FC236}">
              <a16:creationId xmlns:a16="http://schemas.microsoft.com/office/drawing/2014/main" id="{52111645-4F16-47DD-B4A8-F1691D1CB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61" name="BExUBK0YZ5VYFY8TTITJGJU9S06A" hidden="1">
          <a:extLst>
            <a:ext uri="{FF2B5EF4-FFF2-40B4-BE49-F238E27FC236}">
              <a16:creationId xmlns:a16="http://schemas.microsoft.com/office/drawing/2014/main" id="{EB8D6EA3-287C-4072-95C3-FEB0882D3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62" name="BEx1KD7H6UB1VYCJ7O61P562EIUY" descr="IQGV9140X0K0UPBL8OGU3I44J" hidden="1">
          <a:extLst>
            <a:ext uri="{FF2B5EF4-FFF2-40B4-BE49-F238E27FC236}">
              <a16:creationId xmlns:a16="http://schemas.microsoft.com/office/drawing/2014/main" id="{0BD65AD4-349E-40F6-8F71-292947984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63" name="BEx5BJQWS6YWHH4ZMSUAMD641V6Y" descr="ZTMFMXCIQSECDX38ALEFHUB00" hidden="1">
          <a:extLst>
            <a:ext uri="{FF2B5EF4-FFF2-40B4-BE49-F238E27FC236}">
              <a16:creationId xmlns:a16="http://schemas.microsoft.com/office/drawing/2014/main" id="{2A4F94FE-1900-4D17-811A-915F19ADF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64" name="BEx5AQZ4ETQ9LMY5EBWVH20Z7VXQ" hidden="1">
          <a:extLst>
            <a:ext uri="{FF2B5EF4-FFF2-40B4-BE49-F238E27FC236}">
              <a16:creationId xmlns:a16="http://schemas.microsoft.com/office/drawing/2014/main" id="{C6701D4F-03FF-4FD7-81F1-37B2C691C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65" name="BExUBK0YZ5VYFY8TTITJGJU9S06A" hidden="1">
          <a:extLst>
            <a:ext uri="{FF2B5EF4-FFF2-40B4-BE49-F238E27FC236}">
              <a16:creationId xmlns:a16="http://schemas.microsoft.com/office/drawing/2014/main" id="{4DADA5A3-EC6E-48D4-9010-4120D6045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66" name="BEx5BJQWS6YWHH4ZMSUAMD641V6Y" descr="ZTMFMXCIQSECDX38ALEFHUB00" hidden="1">
          <a:extLst>
            <a:ext uri="{FF2B5EF4-FFF2-40B4-BE49-F238E27FC236}">
              <a16:creationId xmlns:a16="http://schemas.microsoft.com/office/drawing/2014/main" id="{9C08912D-9DE3-4D34-A794-DD529F56D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67" name="BExUBK0YZ5VYFY8TTITJGJU9S06A" hidden="1">
          <a:extLst>
            <a:ext uri="{FF2B5EF4-FFF2-40B4-BE49-F238E27FC236}">
              <a16:creationId xmlns:a16="http://schemas.microsoft.com/office/drawing/2014/main" id="{5B2707C9-FA0F-4E3C-AD02-BC566A963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68" name="BEx5BJQWS6YWHH4ZMSUAMD641V6Y" descr="ZTMFMXCIQSECDX38ALEFHUB00" hidden="1">
          <a:extLst>
            <a:ext uri="{FF2B5EF4-FFF2-40B4-BE49-F238E27FC236}">
              <a16:creationId xmlns:a16="http://schemas.microsoft.com/office/drawing/2014/main" id="{4D51E5B0-FB29-44B7-889E-CFC82AF15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69" name="BExUBK0YZ5VYFY8TTITJGJU9S06A" hidden="1">
          <a:extLst>
            <a:ext uri="{FF2B5EF4-FFF2-40B4-BE49-F238E27FC236}">
              <a16:creationId xmlns:a16="http://schemas.microsoft.com/office/drawing/2014/main" id="{E815E6C7-2C91-4DF2-AAF4-F09E3A11C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70" name="BEx5BJQWS6YWHH4ZMSUAMD641V6Y" descr="ZTMFMXCIQSECDX38ALEFHUB00" hidden="1">
          <a:extLst>
            <a:ext uri="{FF2B5EF4-FFF2-40B4-BE49-F238E27FC236}">
              <a16:creationId xmlns:a16="http://schemas.microsoft.com/office/drawing/2014/main" id="{8489A2C1-7D13-479A-A040-41C2C5B77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71" name="BExUBK0YZ5VYFY8TTITJGJU9S06A" hidden="1">
          <a:extLst>
            <a:ext uri="{FF2B5EF4-FFF2-40B4-BE49-F238E27FC236}">
              <a16:creationId xmlns:a16="http://schemas.microsoft.com/office/drawing/2014/main" id="{F5EE812C-ED26-4A58-A296-069861177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72" name="BEx5BJQWS6YWHH4ZMSUAMD641V6Y" descr="ZTMFMXCIQSECDX38ALEFHUB00" hidden="1">
          <a:extLst>
            <a:ext uri="{FF2B5EF4-FFF2-40B4-BE49-F238E27FC236}">
              <a16:creationId xmlns:a16="http://schemas.microsoft.com/office/drawing/2014/main" id="{9C5E4E87-0D61-4419-B370-F9395D39B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73" name="BExUBK0YZ5VYFY8TTITJGJU9S06A" hidden="1">
          <a:extLst>
            <a:ext uri="{FF2B5EF4-FFF2-40B4-BE49-F238E27FC236}">
              <a16:creationId xmlns:a16="http://schemas.microsoft.com/office/drawing/2014/main" id="{B19E2287-DF6D-4BCD-9C05-BED688153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74" name="BEx5BJQWS6YWHH4ZMSUAMD641V6Y" descr="ZTMFMXCIQSECDX38ALEFHUB00" hidden="1">
          <a:extLst>
            <a:ext uri="{FF2B5EF4-FFF2-40B4-BE49-F238E27FC236}">
              <a16:creationId xmlns:a16="http://schemas.microsoft.com/office/drawing/2014/main" id="{B05B0FB0-6206-4B96-9EA8-1B1FC1277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75" name="BExUBK0YZ5VYFY8TTITJGJU9S06A" hidden="1">
          <a:extLst>
            <a:ext uri="{FF2B5EF4-FFF2-40B4-BE49-F238E27FC236}">
              <a16:creationId xmlns:a16="http://schemas.microsoft.com/office/drawing/2014/main" id="{090843B8-0EB7-4DB9-BDBC-D69DDE6AF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76" name="BEx1KD7H6UB1VYCJ7O61P562EIUY" descr="IQGV9140X0K0UPBL8OGU3I44J" hidden="1">
          <a:extLst>
            <a:ext uri="{FF2B5EF4-FFF2-40B4-BE49-F238E27FC236}">
              <a16:creationId xmlns:a16="http://schemas.microsoft.com/office/drawing/2014/main" id="{C59CB8C6-1717-4936-B88B-C6F5F4B44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77" name="BEx5AQZ4ETQ9LMY5EBWVH20Z7VXQ" hidden="1">
          <a:extLst>
            <a:ext uri="{FF2B5EF4-FFF2-40B4-BE49-F238E27FC236}">
              <a16:creationId xmlns:a16="http://schemas.microsoft.com/office/drawing/2014/main" id="{B6ECB68E-DD45-4D57-B70C-67089CDDC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78" name="BEx1KD7H6UB1VYCJ7O61P562EIUY" descr="IQGV9140X0K0UPBL8OGU3I44J" hidden="1">
          <a:extLst>
            <a:ext uri="{FF2B5EF4-FFF2-40B4-BE49-F238E27FC236}">
              <a16:creationId xmlns:a16="http://schemas.microsoft.com/office/drawing/2014/main" id="{FD6E4276-8F40-4227-BBCC-61F25CCBD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79" name="BEx5AQZ4ETQ9LMY5EBWVH20Z7VXQ" hidden="1">
          <a:extLst>
            <a:ext uri="{FF2B5EF4-FFF2-40B4-BE49-F238E27FC236}">
              <a16:creationId xmlns:a16="http://schemas.microsoft.com/office/drawing/2014/main" id="{956BFA2D-A37C-4988-8402-7647D3C9A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80" name="BEx5BJQWS6YWHH4ZMSUAMD641V6Y" descr="ZTMFMXCIQSECDX38ALEFHUB00" hidden="1">
          <a:extLst>
            <a:ext uri="{FF2B5EF4-FFF2-40B4-BE49-F238E27FC236}">
              <a16:creationId xmlns:a16="http://schemas.microsoft.com/office/drawing/2014/main" id="{A2DF4245-2323-406C-B1E3-482308434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81" name="BExUBK0YZ5VYFY8TTITJGJU9S06A" hidden="1">
          <a:extLst>
            <a:ext uri="{FF2B5EF4-FFF2-40B4-BE49-F238E27FC236}">
              <a16:creationId xmlns:a16="http://schemas.microsoft.com/office/drawing/2014/main" id="{EDA3EF8D-5C51-42DD-87F1-2FFDD850A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82" name="BEx1KD7H6UB1VYCJ7O61P562EIUY" descr="IQGV9140X0K0UPBL8OGU3I44J" hidden="1">
          <a:extLst>
            <a:ext uri="{FF2B5EF4-FFF2-40B4-BE49-F238E27FC236}">
              <a16:creationId xmlns:a16="http://schemas.microsoft.com/office/drawing/2014/main" id="{55B151E6-61C0-4CDF-A129-DB39C4F36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83" name="BEx5AQZ4ETQ9LMY5EBWVH20Z7VXQ" hidden="1">
          <a:extLst>
            <a:ext uri="{FF2B5EF4-FFF2-40B4-BE49-F238E27FC236}">
              <a16:creationId xmlns:a16="http://schemas.microsoft.com/office/drawing/2014/main" id="{E7C3490A-1B7B-4D17-985E-53A70B629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84" name="BEx5BJQWS6YWHH4ZMSUAMD641V6Y" descr="ZTMFMXCIQSECDX38ALEFHUB00" hidden="1">
          <a:extLst>
            <a:ext uri="{FF2B5EF4-FFF2-40B4-BE49-F238E27FC236}">
              <a16:creationId xmlns:a16="http://schemas.microsoft.com/office/drawing/2014/main" id="{1AAF9E5F-60D6-4B97-9B48-BA33708AB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85" name="BExUBK0YZ5VYFY8TTITJGJU9S06A" hidden="1">
          <a:extLst>
            <a:ext uri="{FF2B5EF4-FFF2-40B4-BE49-F238E27FC236}">
              <a16:creationId xmlns:a16="http://schemas.microsoft.com/office/drawing/2014/main" id="{1F2BD637-1F09-4B12-90FF-EAF5BE88D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86" name="BEx5BJQWS6YWHH4ZMSUAMD641V6Y" descr="ZTMFMXCIQSECDX38ALEFHUB00" hidden="1">
          <a:extLst>
            <a:ext uri="{FF2B5EF4-FFF2-40B4-BE49-F238E27FC236}">
              <a16:creationId xmlns:a16="http://schemas.microsoft.com/office/drawing/2014/main" id="{32A6C770-E81C-4604-B829-7EFC86201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87" name="BExUBK0YZ5VYFY8TTITJGJU9S06A" hidden="1">
          <a:extLst>
            <a:ext uri="{FF2B5EF4-FFF2-40B4-BE49-F238E27FC236}">
              <a16:creationId xmlns:a16="http://schemas.microsoft.com/office/drawing/2014/main" id="{6612EB98-D150-4F3B-9549-A659BF2B5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88" name="BEx1KD7H6UB1VYCJ7O61P562EIUY" descr="IQGV9140X0K0UPBL8OGU3I44J" hidden="1">
          <a:extLst>
            <a:ext uri="{FF2B5EF4-FFF2-40B4-BE49-F238E27FC236}">
              <a16:creationId xmlns:a16="http://schemas.microsoft.com/office/drawing/2014/main" id="{D95146E0-4DB3-4750-B423-C66CFAF75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89" name="BEx5AQZ4ETQ9LMY5EBWVH20Z7VXQ" hidden="1">
          <a:extLst>
            <a:ext uri="{FF2B5EF4-FFF2-40B4-BE49-F238E27FC236}">
              <a16:creationId xmlns:a16="http://schemas.microsoft.com/office/drawing/2014/main" id="{991D5412-BDC2-445A-8581-291DAAEC9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90" name="BEx5BJQWS6YWHH4ZMSUAMD641V6Y" descr="ZTMFMXCIQSECDX38ALEFHUB00" hidden="1">
          <a:extLst>
            <a:ext uri="{FF2B5EF4-FFF2-40B4-BE49-F238E27FC236}">
              <a16:creationId xmlns:a16="http://schemas.microsoft.com/office/drawing/2014/main" id="{07C0B2AE-EB71-416C-88B3-26297DB0B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91" name="BExUBK0YZ5VYFY8TTITJGJU9S06A" hidden="1">
          <a:extLst>
            <a:ext uri="{FF2B5EF4-FFF2-40B4-BE49-F238E27FC236}">
              <a16:creationId xmlns:a16="http://schemas.microsoft.com/office/drawing/2014/main" id="{ADE21CB9-4D84-43C5-8FD7-9DE9534AE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92" name="BEx5BJQWS6YWHH4ZMSUAMD641V6Y" descr="ZTMFMXCIQSECDX38ALEFHUB00" hidden="1">
          <a:extLst>
            <a:ext uri="{FF2B5EF4-FFF2-40B4-BE49-F238E27FC236}">
              <a16:creationId xmlns:a16="http://schemas.microsoft.com/office/drawing/2014/main" id="{13389D45-F419-42AB-9C32-EE0E3A291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93" name="BExUBK0YZ5VYFY8TTITJGJU9S06A" hidden="1">
          <a:extLst>
            <a:ext uri="{FF2B5EF4-FFF2-40B4-BE49-F238E27FC236}">
              <a16:creationId xmlns:a16="http://schemas.microsoft.com/office/drawing/2014/main" id="{B8463021-8C02-493B-BFEE-36B35A900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94" name="BEx5BJQWS6YWHH4ZMSUAMD641V6Y" descr="ZTMFMXCIQSECDX38ALEFHUB00" hidden="1">
          <a:extLst>
            <a:ext uri="{FF2B5EF4-FFF2-40B4-BE49-F238E27FC236}">
              <a16:creationId xmlns:a16="http://schemas.microsoft.com/office/drawing/2014/main" id="{44180BD9-6B2B-4A15-A7AD-CCE414B5E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95" name="BExUBK0YZ5VYFY8TTITJGJU9S06A" hidden="1">
          <a:extLst>
            <a:ext uri="{FF2B5EF4-FFF2-40B4-BE49-F238E27FC236}">
              <a16:creationId xmlns:a16="http://schemas.microsoft.com/office/drawing/2014/main" id="{95193451-AE16-4E00-B131-B035514D7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96" name="BEx1KD7H6UB1VYCJ7O61P562EIUY" descr="IQGV9140X0K0UPBL8OGU3I44J" hidden="1">
          <a:extLst>
            <a:ext uri="{FF2B5EF4-FFF2-40B4-BE49-F238E27FC236}">
              <a16:creationId xmlns:a16="http://schemas.microsoft.com/office/drawing/2014/main" id="{A68C38FC-7070-4A9C-BFB0-1ADBE5691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297" name="BEx5AQZ4ETQ9LMY5EBWVH20Z7VXQ" hidden="1">
          <a:extLst>
            <a:ext uri="{FF2B5EF4-FFF2-40B4-BE49-F238E27FC236}">
              <a16:creationId xmlns:a16="http://schemas.microsoft.com/office/drawing/2014/main" id="{B1634F0B-1D25-4CAC-8129-B8D776E66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98" name="BEx5BJQWS6YWHH4ZMSUAMD641V6Y" descr="ZTMFMXCIQSECDX38ALEFHUB00" hidden="1">
          <a:extLst>
            <a:ext uri="{FF2B5EF4-FFF2-40B4-BE49-F238E27FC236}">
              <a16:creationId xmlns:a16="http://schemas.microsoft.com/office/drawing/2014/main" id="{4C52701E-D26C-458A-9734-66CC3DFA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299" name="BExUBK0YZ5VYFY8TTITJGJU9S06A" hidden="1">
          <a:extLst>
            <a:ext uri="{FF2B5EF4-FFF2-40B4-BE49-F238E27FC236}">
              <a16:creationId xmlns:a16="http://schemas.microsoft.com/office/drawing/2014/main" id="{219BBDF1-21D5-4BA0-A239-76061095A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00" name="BEx5BJQWS6YWHH4ZMSUAMD641V6Y" descr="ZTMFMXCIQSECDX38ALEFHUB00" hidden="1">
          <a:extLst>
            <a:ext uri="{FF2B5EF4-FFF2-40B4-BE49-F238E27FC236}">
              <a16:creationId xmlns:a16="http://schemas.microsoft.com/office/drawing/2014/main" id="{4B859A19-B965-4443-8540-574683B53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01" name="BExUBK0YZ5VYFY8TTITJGJU9S06A" hidden="1">
          <a:extLst>
            <a:ext uri="{FF2B5EF4-FFF2-40B4-BE49-F238E27FC236}">
              <a16:creationId xmlns:a16="http://schemas.microsoft.com/office/drawing/2014/main" id="{7904380C-97B8-453F-A242-8BB25BA6C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02" name="BEx5BJQWS6YWHH4ZMSUAMD641V6Y" descr="ZTMFMXCIQSECDX38ALEFHUB00" hidden="1">
          <a:extLst>
            <a:ext uri="{FF2B5EF4-FFF2-40B4-BE49-F238E27FC236}">
              <a16:creationId xmlns:a16="http://schemas.microsoft.com/office/drawing/2014/main" id="{6446B211-B864-4E23-B804-F1644BE11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03" name="BExUBK0YZ5VYFY8TTITJGJU9S06A" hidden="1">
          <a:extLst>
            <a:ext uri="{FF2B5EF4-FFF2-40B4-BE49-F238E27FC236}">
              <a16:creationId xmlns:a16="http://schemas.microsoft.com/office/drawing/2014/main" id="{B52B0AC5-397D-4D1E-8C35-EA9D8D6A6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04" name="BEx5BJQWS6YWHH4ZMSUAMD641V6Y" descr="ZTMFMXCIQSECDX38ALEFHUB00" hidden="1">
          <a:extLst>
            <a:ext uri="{FF2B5EF4-FFF2-40B4-BE49-F238E27FC236}">
              <a16:creationId xmlns:a16="http://schemas.microsoft.com/office/drawing/2014/main" id="{D78CC483-03B5-4EEC-AC1F-2D9214FE3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05" name="BExUBK0YZ5VYFY8TTITJGJU9S06A" hidden="1">
          <a:extLst>
            <a:ext uri="{FF2B5EF4-FFF2-40B4-BE49-F238E27FC236}">
              <a16:creationId xmlns:a16="http://schemas.microsoft.com/office/drawing/2014/main" id="{933482E4-21E1-4E5C-9195-22C6A56EF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06" name="BEx5BJQWS6YWHH4ZMSUAMD641V6Y" descr="ZTMFMXCIQSECDX38ALEFHUB00" hidden="1">
          <a:extLst>
            <a:ext uri="{FF2B5EF4-FFF2-40B4-BE49-F238E27FC236}">
              <a16:creationId xmlns:a16="http://schemas.microsoft.com/office/drawing/2014/main" id="{E5E6BEC1-9CB5-4707-A41B-C4DD0E0F2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07" name="BExUBK0YZ5VYFY8TTITJGJU9S06A" hidden="1">
          <a:extLst>
            <a:ext uri="{FF2B5EF4-FFF2-40B4-BE49-F238E27FC236}">
              <a16:creationId xmlns:a16="http://schemas.microsoft.com/office/drawing/2014/main" id="{B44AD3E4-292D-4F61-A106-D6F6BBA81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308" name="BEx1KD7H6UB1VYCJ7O61P562EIUY" descr="IQGV9140X0K0UPBL8OGU3I44J" hidden="1">
          <a:extLst>
            <a:ext uri="{FF2B5EF4-FFF2-40B4-BE49-F238E27FC236}">
              <a16:creationId xmlns:a16="http://schemas.microsoft.com/office/drawing/2014/main" id="{2535544B-A364-4DD0-80C9-D2AD1F241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09" name="BEx5BJQWS6YWHH4ZMSUAMD641V6Y" descr="ZTMFMXCIQSECDX38ALEFHUB00" hidden="1">
          <a:extLst>
            <a:ext uri="{FF2B5EF4-FFF2-40B4-BE49-F238E27FC236}">
              <a16:creationId xmlns:a16="http://schemas.microsoft.com/office/drawing/2014/main" id="{912DCBDB-FE77-41C0-A7FA-48DF62FC8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310" name="BEx5AQZ4ETQ9LMY5EBWVH20Z7VXQ" hidden="1">
          <a:extLst>
            <a:ext uri="{FF2B5EF4-FFF2-40B4-BE49-F238E27FC236}">
              <a16:creationId xmlns:a16="http://schemas.microsoft.com/office/drawing/2014/main" id="{5EAACFBC-BA55-4F2B-A838-4300EA55F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11" name="BExUBK0YZ5VYFY8TTITJGJU9S06A" hidden="1">
          <a:extLst>
            <a:ext uri="{FF2B5EF4-FFF2-40B4-BE49-F238E27FC236}">
              <a16:creationId xmlns:a16="http://schemas.microsoft.com/office/drawing/2014/main" id="{59D41928-2DF6-426C-A3EE-8064C80E0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781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12" name="BEx5BJQWS6YWHH4ZMSUAMD641V6Y" descr="ZTMFMXCIQSECDX38ALEFHUB00" hidden="1">
          <a:extLst>
            <a:ext uri="{FF2B5EF4-FFF2-40B4-BE49-F238E27FC236}">
              <a16:creationId xmlns:a16="http://schemas.microsoft.com/office/drawing/2014/main" id="{FB4DFDD5-ECE9-41F7-80C2-8966954A8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13" name="BExUBK0YZ5VYFY8TTITJGJU9S06A" hidden="1">
          <a:extLst>
            <a:ext uri="{FF2B5EF4-FFF2-40B4-BE49-F238E27FC236}">
              <a16:creationId xmlns:a16="http://schemas.microsoft.com/office/drawing/2014/main" id="{74FE6772-778E-481C-BD02-A350D258F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14" name="BEx5BJQWS6YWHH4ZMSUAMD641V6Y" descr="ZTMFMXCIQSECDX38ALEFHUB00" hidden="1">
          <a:extLst>
            <a:ext uri="{FF2B5EF4-FFF2-40B4-BE49-F238E27FC236}">
              <a16:creationId xmlns:a16="http://schemas.microsoft.com/office/drawing/2014/main" id="{BEAD0F2A-CFB6-40DE-88D0-8F5633C15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15" name="BExUBK0YZ5VYFY8TTITJGJU9S06A" hidden="1">
          <a:extLst>
            <a:ext uri="{FF2B5EF4-FFF2-40B4-BE49-F238E27FC236}">
              <a16:creationId xmlns:a16="http://schemas.microsoft.com/office/drawing/2014/main" id="{6FC45CB6-A015-4856-9FC1-7F2AD5B4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16" name="BEx5BJQWS6YWHH4ZMSUAMD641V6Y" descr="ZTMFMXCIQSECDX38ALEFHUB00" hidden="1">
          <a:extLst>
            <a:ext uri="{FF2B5EF4-FFF2-40B4-BE49-F238E27FC236}">
              <a16:creationId xmlns:a16="http://schemas.microsoft.com/office/drawing/2014/main" id="{CFAD0B96-641E-41E5-AE72-732785470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17" name="BExUBK0YZ5VYFY8TTITJGJU9S06A" hidden="1">
          <a:extLst>
            <a:ext uri="{FF2B5EF4-FFF2-40B4-BE49-F238E27FC236}">
              <a16:creationId xmlns:a16="http://schemas.microsoft.com/office/drawing/2014/main" id="{2D6BD4EF-DA3B-47B0-960A-484204475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18" name="BEx5BJQWS6YWHH4ZMSUAMD641V6Y" descr="ZTMFMXCIQSECDX38ALEFHUB00" hidden="1">
          <a:extLst>
            <a:ext uri="{FF2B5EF4-FFF2-40B4-BE49-F238E27FC236}">
              <a16:creationId xmlns:a16="http://schemas.microsoft.com/office/drawing/2014/main" id="{DDEF787B-442D-4316-BED0-BFEF393CD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19" name="BExUBK0YZ5VYFY8TTITJGJU9S06A" hidden="1">
          <a:extLst>
            <a:ext uri="{FF2B5EF4-FFF2-40B4-BE49-F238E27FC236}">
              <a16:creationId xmlns:a16="http://schemas.microsoft.com/office/drawing/2014/main" id="{31D1F2A8-0BC7-4078-A390-E1C5632EB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20" name="BEx5BJQWS6YWHH4ZMSUAMD641V6Y" descr="ZTMFMXCIQSECDX38ALEFHUB00" hidden="1">
          <a:extLst>
            <a:ext uri="{FF2B5EF4-FFF2-40B4-BE49-F238E27FC236}">
              <a16:creationId xmlns:a16="http://schemas.microsoft.com/office/drawing/2014/main" id="{41B9406C-DC65-4CA5-9638-C4CB3B26B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21" name="BExUBK0YZ5VYFY8TTITJGJU9S06A" hidden="1">
          <a:extLst>
            <a:ext uri="{FF2B5EF4-FFF2-40B4-BE49-F238E27FC236}">
              <a16:creationId xmlns:a16="http://schemas.microsoft.com/office/drawing/2014/main" id="{4AEFD26B-0555-4407-9C51-68969B6D6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322" name="BEx1KD7H6UB1VYCJ7O61P562EIUY" descr="IQGV9140X0K0UPBL8OGU3I44J" hidden="1">
          <a:extLst>
            <a:ext uri="{FF2B5EF4-FFF2-40B4-BE49-F238E27FC236}">
              <a16:creationId xmlns:a16="http://schemas.microsoft.com/office/drawing/2014/main" id="{F39C87A5-2316-4AA8-A092-0A99A8B34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323" name="BEx5AQZ4ETQ9LMY5EBWVH20Z7VXQ" hidden="1">
          <a:extLst>
            <a:ext uri="{FF2B5EF4-FFF2-40B4-BE49-F238E27FC236}">
              <a16:creationId xmlns:a16="http://schemas.microsoft.com/office/drawing/2014/main" id="{DB47FB33-384C-43AA-A51A-157222D32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324" name="BEx1KD7H6UB1VYCJ7O61P562EIUY" descr="IQGV9140X0K0UPBL8OGU3I44J" hidden="1">
          <a:extLst>
            <a:ext uri="{FF2B5EF4-FFF2-40B4-BE49-F238E27FC236}">
              <a16:creationId xmlns:a16="http://schemas.microsoft.com/office/drawing/2014/main" id="{AA9D721C-49C4-49D9-9046-387CCB98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325" name="BEx5AQZ4ETQ9LMY5EBWVH20Z7VXQ" hidden="1">
          <a:extLst>
            <a:ext uri="{FF2B5EF4-FFF2-40B4-BE49-F238E27FC236}">
              <a16:creationId xmlns:a16="http://schemas.microsoft.com/office/drawing/2014/main" id="{6B982D79-695B-43D4-B01D-3C46E3710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26" name="BEx5BJQWS6YWHH4ZMSUAMD641V6Y" descr="ZTMFMXCIQSECDX38ALEFHUB00" hidden="1">
          <a:extLst>
            <a:ext uri="{FF2B5EF4-FFF2-40B4-BE49-F238E27FC236}">
              <a16:creationId xmlns:a16="http://schemas.microsoft.com/office/drawing/2014/main" id="{9C4F5976-ECCF-4ACB-B897-648182216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27" name="BExUBK0YZ5VYFY8TTITJGJU9S06A" hidden="1">
          <a:extLst>
            <a:ext uri="{FF2B5EF4-FFF2-40B4-BE49-F238E27FC236}">
              <a16:creationId xmlns:a16="http://schemas.microsoft.com/office/drawing/2014/main" id="{427DB1CB-E4CA-4B7D-812F-A1AF0B5F1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328" name="BEx1KD7H6UB1VYCJ7O61P562EIUY" descr="IQGV9140X0K0UPBL8OGU3I44J" hidden="1">
          <a:extLst>
            <a:ext uri="{FF2B5EF4-FFF2-40B4-BE49-F238E27FC236}">
              <a16:creationId xmlns:a16="http://schemas.microsoft.com/office/drawing/2014/main" id="{E79B7BA0-98BA-4403-A9F8-5C42CB17E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329" name="BEx5AQZ4ETQ9LMY5EBWVH20Z7VXQ" hidden="1">
          <a:extLst>
            <a:ext uri="{FF2B5EF4-FFF2-40B4-BE49-F238E27FC236}">
              <a16:creationId xmlns:a16="http://schemas.microsoft.com/office/drawing/2014/main" id="{7BA487B7-A924-401D-86A7-1332B65E5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30" name="BEx5BJQWS6YWHH4ZMSUAMD641V6Y" descr="ZTMFMXCIQSECDX38ALEFHUB00" hidden="1">
          <a:extLst>
            <a:ext uri="{FF2B5EF4-FFF2-40B4-BE49-F238E27FC236}">
              <a16:creationId xmlns:a16="http://schemas.microsoft.com/office/drawing/2014/main" id="{D0CCCAF2-FDC7-4C66-BEF0-5B96EC0AF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31" name="BExUBK0YZ5VYFY8TTITJGJU9S06A" hidden="1">
          <a:extLst>
            <a:ext uri="{FF2B5EF4-FFF2-40B4-BE49-F238E27FC236}">
              <a16:creationId xmlns:a16="http://schemas.microsoft.com/office/drawing/2014/main" id="{19CF1771-9F14-4599-ACBD-C54A966BF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32" name="BEx5BJQWS6YWHH4ZMSUAMD641V6Y" descr="ZTMFMXCIQSECDX38ALEFHUB00" hidden="1">
          <a:extLst>
            <a:ext uri="{FF2B5EF4-FFF2-40B4-BE49-F238E27FC236}">
              <a16:creationId xmlns:a16="http://schemas.microsoft.com/office/drawing/2014/main" id="{CF2A94E8-372D-452B-8633-9FDA4F4E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33" name="BExUBK0YZ5VYFY8TTITJGJU9S06A" hidden="1">
          <a:extLst>
            <a:ext uri="{FF2B5EF4-FFF2-40B4-BE49-F238E27FC236}">
              <a16:creationId xmlns:a16="http://schemas.microsoft.com/office/drawing/2014/main" id="{46F26F2D-3BDB-4F36-8B99-10854B79B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334" name="BEx1KD7H6UB1VYCJ7O61P562EIUY" descr="IQGV9140X0K0UPBL8OGU3I44J" hidden="1">
          <a:extLst>
            <a:ext uri="{FF2B5EF4-FFF2-40B4-BE49-F238E27FC236}">
              <a16:creationId xmlns:a16="http://schemas.microsoft.com/office/drawing/2014/main" id="{075B7756-CFCB-45FD-A898-D40A5CE76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335" name="BEx5AQZ4ETQ9LMY5EBWVH20Z7VXQ" hidden="1">
          <a:extLst>
            <a:ext uri="{FF2B5EF4-FFF2-40B4-BE49-F238E27FC236}">
              <a16:creationId xmlns:a16="http://schemas.microsoft.com/office/drawing/2014/main" id="{6B4B9CFD-37AC-4AD2-A947-3A60365CD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36" name="BEx5BJQWS6YWHH4ZMSUAMD641V6Y" descr="ZTMFMXCIQSECDX38ALEFHUB00" hidden="1">
          <a:extLst>
            <a:ext uri="{FF2B5EF4-FFF2-40B4-BE49-F238E27FC236}">
              <a16:creationId xmlns:a16="http://schemas.microsoft.com/office/drawing/2014/main" id="{C475DF9E-778C-4114-A4E4-155E36134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37" name="BExUBK0YZ5VYFY8TTITJGJU9S06A" hidden="1">
          <a:extLst>
            <a:ext uri="{FF2B5EF4-FFF2-40B4-BE49-F238E27FC236}">
              <a16:creationId xmlns:a16="http://schemas.microsoft.com/office/drawing/2014/main" id="{1D0DE508-90D4-4D54-8091-A47E4E6D9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38" name="BEx5BJQWS6YWHH4ZMSUAMD641V6Y" descr="ZTMFMXCIQSECDX38ALEFHUB00" hidden="1">
          <a:extLst>
            <a:ext uri="{FF2B5EF4-FFF2-40B4-BE49-F238E27FC236}">
              <a16:creationId xmlns:a16="http://schemas.microsoft.com/office/drawing/2014/main" id="{057AFE80-F035-4BD9-A49B-145027EEC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39" name="BExUBK0YZ5VYFY8TTITJGJU9S06A" hidden="1">
          <a:extLst>
            <a:ext uri="{FF2B5EF4-FFF2-40B4-BE49-F238E27FC236}">
              <a16:creationId xmlns:a16="http://schemas.microsoft.com/office/drawing/2014/main" id="{4B0ACF5F-8F09-4ADE-96ED-96F9E0336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40" name="BEx5BJQWS6YWHH4ZMSUAMD641V6Y" descr="ZTMFMXCIQSECDX38ALEFHUB00" hidden="1">
          <a:extLst>
            <a:ext uri="{FF2B5EF4-FFF2-40B4-BE49-F238E27FC236}">
              <a16:creationId xmlns:a16="http://schemas.microsoft.com/office/drawing/2014/main" id="{4C723D0E-1B8E-4F06-B658-ADDA55CE7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41" name="BExUBK0YZ5VYFY8TTITJGJU9S06A" hidden="1">
          <a:extLst>
            <a:ext uri="{FF2B5EF4-FFF2-40B4-BE49-F238E27FC236}">
              <a16:creationId xmlns:a16="http://schemas.microsoft.com/office/drawing/2014/main" id="{1ED3C170-8F18-410C-89D3-63396F8C8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342" name="BEx1KD7H6UB1VYCJ7O61P562EIUY" descr="IQGV9140X0K0UPBL8OGU3I44J" hidden="1">
          <a:extLst>
            <a:ext uri="{FF2B5EF4-FFF2-40B4-BE49-F238E27FC236}">
              <a16:creationId xmlns:a16="http://schemas.microsoft.com/office/drawing/2014/main" id="{4372045C-9643-4092-8486-E98485E1A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343" name="BEx5AQZ4ETQ9LMY5EBWVH20Z7VXQ" hidden="1">
          <a:extLst>
            <a:ext uri="{FF2B5EF4-FFF2-40B4-BE49-F238E27FC236}">
              <a16:creationId xmlns:a16="http://schemas.microsoft.com/office/drawing/2014/main" id="{3894FD8A-4592-48F4-B2B7-17A664BF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783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44" name="BEx5BJQWS6YWHH4ZMSUAMD641V6Y" descr="ZTMFMXCIQSECDX38ALEFHUB00" hidden="1">
          <a:extLst>
            <a:ext uri="{FF2B5EF4-FFF2-40B4-BE49-F238E27FC236}">
              <a16:creationId xmlns:a16="http://schemas.microsoft.com/office/drawing/2014/main" id="{2740C6FB-CEAB-4375-860A-AD2FD0180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45" name="BExUBK0YZ5VYFY8TTITJGJU9S06A" hidden="1">
          <a:extLst>
            <a:ext uri="{FF2B5EF4-FFF2-40B4-BE49-F238E27FC236}">
              <a16:creationId xmlns:a16="http://schemas.microsoft.com/office/drawing/2014/main" id="{6FC054A8-40E9-4838-9A3D-CAE801EF0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46" name="BEx5BJQWS6YWHH4ZMSUAMD641V6Y" descr="ZTMFMXCIQSECDX38ALEFHUB00" hidden="1">
          <a:extLst>
            <a:ext uri="{FF2B5EF4-FFF2-40B4-BE49-F238E27FC236}">
              <a16:creationId xmlns:a16="http://schemas.microsoft.com/office/drawing/2014/main" id="{746B99E6-291E-4975-B294-E7046BF43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47" name="BExUBK0YZ5VYFY8TTITJGJU9S06A" hidden="1">
          <a:extLst>
            <a:ext uri="{FF2B5EF4-FFF2-40B4-BE49-F238E27FC236}">
              <a16:creationId xmlns:a16="http://schemas.microsoft.com/office/drawing/2014/main" id="{27E803D9-C68E-4384-85A2-90086BC40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48" name="BEx5BJQWS6YWHH4ZMSUAMD641V6Y" descr="ZTMFMXCIQSECDX38ALEFHUB00" hidden="1">
          <a:extLst>
            <a:ext uri="{FF2B5EF4-FFF2-40B4-BE49-F238E27FC236}">
              <a16:creationId xmlns:a16="http://schemas.microsoft.com/office/drawing/2014/main" id="{2F33A01A-02BB-47DB-A68F-9C03B1AA3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49" name="BExUBK0YZ5VYFY8TTITJGJU9S06A" hidden="1">
          <a:extLst>
            <a:ext uri="{FF2B5EF4-FFF2-40B4-BE49-F238E27FC236}">
              <a16:creationId xmlns:a16="http://schemas.microsoft.com/office/drawing/2014/main" id="{95BE080A-2F2F-4812-B0E6-3994AA717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50" name="BEx5BJQWS6YWHH4ZMSUAMD641V6Y" descr="ZTMFMXCIQSECDX38ALEFHUB00" hidden="1">
          <a:extLst>
            <a:ext uri="{FF2B5EF4-FFF2-40B4-BE49-F238E27FC236}">
              <a16:creationId xmlns:a16="http://schemas.microsoft.com/office/drawing/2014/main" id="{B689902D-E7E1-42D0-9A1C-CC45578DE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51" name="BExUBK0YZ5VYFY8TTITJGJU9S06A" hidden="1">
          <a:extLst>
            <a:ext uri="{FF2B5EF4-FFF2-40B4-BE49-F238E27FC236}">
              <a16:creationId xmlns:a16="http://schemas.microsoft.com/office/drawing/2014/main" id="{BD8E0D65-FBC9-44AA-9B23-050A8D7D0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52" name="BEx5BJQWS6YWHH4ZMSUAMD641V6Y" descr="ZTMFMXCIQSECDX38ALEFHUB00" hidden="1">
          <a:extLst>
            <a:ext uri="{FF2B5EF4-FFF2-40B4-BE49-F238E27FC236}">
              <a16:creationId xmlns:a16="http://schemas.microsoft.com/office/drawing/2014/main" id="{421BB0B4-2689-4203-A3D7-16555888F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53" name="BExUBK0YZ5VYFY8TTITJGJU9S06A" hidden="1">
          <a:extLst>
            <a:ext uri="{FF2B5EF4-FFF2-40B4-BE49-F238E27FC236}">
              <a16:creationId xmlns:a16="http://schemas.microsoft.com/office/drawing/2014/main" id="{D964ADE9-DD5C-41FB-BE8C-B5819B872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54" name="BEx5BJQWS6YWHH4ZMSUAMD641V6Y" descr="ZTMFMXCIQSECDX38ALEFHUB00" hidden="1">
          <a:extLst>
            <a:ext uri="{FF2B5EF4-FFF2-40B4-BE49-F238E27FC236}">
              <a16:creationId xmlns:a16="http://schemas.microsoft.com/office/drawing/2014/main" id="{CC5B4AE9-F7B6-4A3B-9529-969AEC70B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55" name="BExUBK0YZ5VYFY8TTITJGJU9S06A" hidden="1">
          <a:extLst>
            <a:ext uri="{FF2B5EF4-FFF2-40B4-BE49-F238E27FC236}">
              <a16:creationId xmlns:a16="http://schemas.microsoft.com/office/drawing/2014/main" id="{1218C0BA-E87A-408E-A7F6-04F5C2590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356" name="BExMO7VFCN4EL59982UR4AJ25JNJ" descr="XX6TINEJADZGKR0CTM7ZRT0RA" hidden="1">
          <a:extLst>
            <a:ext uri="{FF2B5EF4-FFF2-40B4-BE49-F238E27FC236}">
              <a16:creationId xmlns:a16="http://schemas.microsoft.com/office/drawing/2014/main" id="{1A12D85F-597E-44F7-854A-5EB27A04C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357" name="BExU3EX5JJCXCII4YKUJBFBGIJR2" descr="OF5ZI9PI5WH36VPANJ2DYLNMI" hidden="1">
          <a:extLst>
            <a:ext uri="{FF2B5EF4-FFF2-40B4-BE49-F238E27FC236}">
              <a16:creationId xmlns:a16="http://schemas.microsoft.com/office/drawing/2014/main" id="{16ECD5E0-8207-4168-94A3-BCB5484A1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358" name="BEx1KD7H6UB1VYCJ7O61P562EIUY" descr="IQGV9140X0K0UPBL8OGU3I44J" hidden="1">
          <a:extLst>
            <a:ext uri="{FF2B5EF4-FFF2-40B4-BE49-F238E27FC236}">
              <a16:creationId xmlns:a16="http://schemas.microsoft.com/office/drawing/2014/main" id="{72D23B3C-BEC4-427D-AE72-03C597723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59" name="BEx5BJQWS6YWHH4ZMSUAMD641V6Y" descr="ZTMFMXCIQSECDX38ALEFHUB00" hidden="1">
          <a:extLst>
            <a:ext uri="{FF2B5EF4-FFF2-40B4-BE49-F238E27FC236}">
              <a16:creationId xmlns:a16="http://schemas.microsoft.com/office/drawing/2014/main" id="{6EA28E0C-A85D-46FF-8FF2-521D55A53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4360" name="BExVTO5Q8G2M7BPL4B2584LQS0R0" descr="OB6Q8NA4LZFE4GM9Y3V56BPMQ" hidden="1">
          <a:extLst>
            <a:ext uri="{FF2B5EF4-FFF2-40B4-BE49-F238E27FC236}">
              <a16:creationId xmlns:a16="http://schemas.microsoft.com/office/drawing/2014/main" id="{C756624B-EF88-41E6-9664-76C3E2FE3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4361" name="BExIFSCLN1G86X78PFLTSMRP0US5" descr="9JK4SPV4DG7VTCZIILWHXQU5J" hidden="1">
          <a:extLst>
            <a:ext uri="{FF2B5EF4-FFF2-40B4-BE49-F238E27FC236}">
              <a16:creationId xmlns:a16="http://schemas.microsoft.com/office/drawing/2014/main" id="{044AC66E-0403-44DF-BB8B-C2193F784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362" name="BEx1I152WN2D3A85O2XN0DGXCWHN" descr="KHBZFMANRA4UMJR1AB4M5NJNT" hidden="1">
          <a:extLst>
            <a:ext uri="{FF2B5EF4-FFF2-40B4-BE49-F238E27FC236}">
              <a16:creationId xmlns:a16="http://schemas.microsoft.com/office/drawing/2014/main" id="{CFFBE176-505F-46F8-A971-19023F4EC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363" name="BExW9676P0SKCVKK25QCGHPA3PAD" descr="9A4PWZ20RMSRF0PNECCDM75CA" hidden="1">
          <a:extLst>
            <a:ext uri="{FF2B5EF4-FFF2-40B4-BE49-F238E27FC236}">
              <a16:creationId xmlns:a16="http://schemas.microsoft.com/office/drawing/2014/main" id="{1FE795CC-3B08-4432-9FE3-8B7750FD3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364" name="BExS5CPQ8P8JOQPK7ANNKHLSGOKU" hidden="1">
          <a:extLst>
            <a:ext uri="{FF2B5EF4-FFF2-40B4-BE49-F238E27FC236}">
              <a16:creationId xmlns:a16="http://schemas.microsoft.com/office/drawing/2014/main" id="{4AE8F769-B4CD-4728-9465-456783310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365" name="BExMM0AVUAIRNJLXB1FW8R0YB4ZZ" hidden="1">
          <a:extLst>
            <a:ext uri="{FF2B5EF4-FFF2-40B4-BE49-F238E27FC236}">
              <a16:creationId xmlns:a16="http://schemas.microsoft.com/office/drawing/2014/main" id="{5A441F89-075E-4C7C-AC4B-F80E8B4BA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366" name="BExXZ7Y09CBS0XA7IPB3IRJ8RJM4" hidden="1">
          <a:extLst>
            <a:ext uri="{FF2B5EF4-FFF2-40B4-BE49-F238E27FC236}">
              <a16:creationId xmlns:a16="http://schemas.microsoft.com/office/drawing/2014/main" id="{C425963D-31A1-4D86-8265-44C551A33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367" name="BExQ7SXS9VUG7P6CACU2J7R2SGIZ" hidden="1">
          <a:extLst>
            <a:ext uri="{FF2B5EF4-FFF2-40B4-BE49-F238E27FC236}">
              <a16:creationId xmlns:a16="http://schemas.microsoft.com/office/drawing/2014/main" id="{4A4D00E9-71FD-44AC-A48C-4DB0F6860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368" name="BEx5AQZ4ETQ9LMY5EBWVH20Z7VXQ" hidden="1">
          <a:extLst>
            <a:ext uri="{FF2B5EF4-FFF2-40B4-BE49-F238E27FC236}">
              <a16:creationId xmlns:a16="http://schemas.microsoft.com/office/drawing/2014/main" id="{396D664E-C899-461F-A0A9-C9FB84A2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69" name="BExUBK0YZ5VYFY8TTITJGJU9S06A" hidden="1">
          <a:extLst>
            <a:ext uri="{FF2B5EF4-FFF2-40B4-BE49-F238E27FC236}">
              <a16:creationId xmlns:a16="http://schemas.microsoft.com/office/drawing/2014/main" id="{2B36B9AF-A2A8-4090-86A9-F9DA754C6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2971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4370" name="BExUEZCSSJ7RN4J18I2NUIQR2FZS" hidden="1">
          <a:extLst>
            <a:ext uri="{FF2B5EF4-FFF2-40B4-BE49-F238E27FC236}">
              <a16:creationId xmlns:a16="http://schemas.microsoft.com/office/drawing/2014/main" id="{254A0189-C88B-4C51-BA60-2326C707B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2973705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4371" name="BExS3JDQWF7U3F5JTEVOE16ASIYK" hidden="1">
          <a:extLst>
            <a:ext uri="{FF2B5EF4-FFF2-40B4-BE49-F238E27FC236}">
              <a16:creationId xmlns:a16="http://schemas.microsoft.com/office/drawing/2014/main" id="{9DE10E1D-CBD1-4A42-A85A-E6CCE45F2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29718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372" name="BEx1KD7H6UB1VYCJ7O61P562EIUY" descr="IQGV9140X0K0UPBL8OGU3I44J" hidden="1">
          <a:extLst>
            <a:ext uri="{FF2B5EF4-FFF2-40B4-BE49-F238E27FC236}">
              <a16:creationId xmlns:a16="http://schemas.microsoft.com/office/drawing/2014/main" id="{02D99696-5D35-40DA-ACC8-794E8D64D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73" name="BEx5BJQWS6YWHH4ZMSUAMD641V6Y" descr="ZTMFMXCIQSECDX38ALEFHUB00" hidden="1">
          <a:extLst>
            <a:ext uri="{FF2B5EF4-FFF2-40B4-BE49-F238E27FC236}">
              <a16:creationId xmlns:a16="http://schemas.microsoft.com/office/drawing/2014/main" id="{3B071304-20EF-410D-BC7C-46D7490E8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374" name="BEx5AQZ4ETQ9LMY5EBWVH20Z7VXQ" hidden="1">
          <a:extLst>
            <a:ext uri="{FF2B5EF4-FFF2-40B4-BE49-F238E27FC236}">
              <a16:creationId xmlns:a16="http://schemas.microsoft.com/office/drawing/2014/main" id="{4F243DC8-7892-4AA0-8F3B-AD47B6960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75" name="BExUBK0YZ5VYFY8TTITJGJU9S06A" hidden="1">
          <a:extLst>
            <a:ext uri="{FF2B5EF4-FFF2-40B4-BE49-F238E27FC236}">
              <a16:creationId xmlns:a16="http://schemas.microsoft.com/office/drawing/2014/main" id="{817D627F-D0FB-40ED-88C6-CCF5F76CE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376" name="BExMO7VFCN4EL59982UR4AJ25JNJ" descr="XX6TINEJADZGKR0CTM7ZRT0RA" hidden="1">
          <a:extLst>
            <a:ext uri="{FF2B5EF4-FFF2-40B4-BE49-F238E27FC236}">
              <a16:creationId xmlns:a16="http://schemas.microsoft.com/office/drawing/2014/main" id="{C268C810-0755-4752-A440-28F08D700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377" name="BExU3EX5JJCXCII4YKUJBFBGIJR2" descr="OF5ZI9PI5WH36VPANJ2DYLNMI" hidden="1">
          <a:extLst>
            <a:ext uri="{FF2B5EF4-FFF2-40B4-BE49-F238E27FC236}">
              <a16:creationId xmlns:a16="http://schemas.microsoft.com/office/drawing/2014/main" id="{0D6C2F5E-5BFB-4FEF-ADF7-D6090B8C8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378" name="BEx1I152WN2D3A85O2XN0DGXCWHN" descr="KHBZFMANRA4UMJR1AB4M5NJNT" hidden="1">
          <a:extLst>
            <a:ext uri="{FF2B5EF4-FFF2-40B4-BE49-F238E27FC236}">
              <a16:creationId xmlns:a16="http://schemas.microsoft.com/office/drawing/2014/main" id="{ADA5C07A-1696-492A-A36F-6247AB340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379" name="BExW9676P0SKCVKK25QCGHPA3PAD" descr="9A4PWZ20RMSRF0PNECCDM75CA" hidden="1">
          <a:extLst>
            <a:ext uri="{FF2B5EF4-FFF2-40B4-BE49-F238E27FC236}">
              <a16:creationId xmlns:a16="http://schemas.microsoft.com/office/drawing/2014/main" id="{D5BC66CD-0C0F-4843-A8E2-4BE917D2C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380" name="BExS5CPQ8P8JOQPK7ANNKHLSGOKU" hidden="1">
          <a:extLst>
            <a:ext uri="{FF2B5EF4-FFF2-40B4-BE49-F238E27FC236}">
              <a16:creationId xmlns:a16="http://schemas.microsoft.com/office/drawing/2014/main" id="{6A394F18-C121-4C51-9ACC-15D9A79AF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381" name="BExMM0AVUAIRNJLXB1FW8R0YB4ZZ" hidden="1">
          <a:extLst>
            <a:ext uri="{FF2B5EF4-FFF2-40B4-BE49-F238E27FC236}">
              <a16:creationId xmlns:a16="http://schemas.microsoft.com/office/drawing/2014/main" id="{63753653-CF2E-47EF-BF25-29F6D3EC3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382" name="BExXZ7Y09CBS0XA7IPB3IRJ8RJM4" hidden="1">
          <a:extLst>
            <a:ext uri="{FF2B5EF4-FFF2-40B4-BE49-F238E27FC236}">
              <a16:creationId xmlns:a16="http://schemas.microsoft.com/office/drawing/2014/main" id="{F946CC07-7ADC-47FC-8559-F279FD5A3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383" name="BExQ7SXS9VUG7P6CACU2J7R2SGIZ" hidden="1">
          <a:extLst>
            <a:ext uri="{FF2B5EF4-FFF2-40B4-BE49-F238E27FC236}">
              <a16:creationId xmlns:a16="http://schemas.microsoft.com/office/drawing/2014/main" id="{C754DEDA-9CB8-4EAD-B9F0-025687B3E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384" name="BExMO7VFCN4EL59982UR4AJ25JNJ" descr="XX6TINEJADZGKR0CTM7ZRT0RA" hidden="1">
          <a:extLst>
            <a:ext uri="{FF2B5EF4-FFF2-40B4-BE49-F238E27FC236}">
              <a16:creationId xmlns:a16="http://schemas.microsoft.com/office/drawing/2014/main" id="{1D81808A-E239-4887-A4C8-C35CBAF0C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385" name="BExU3EX5JJCXCII4YKUJBFBGIJR2" descr="OF5ZI9PI5WH36VPANJ2DYLNMI" hidden="1">
          <a:extLst>
            <a:ext uri="{FF2B5EF4-FFF2-40B4-BE49-F238E27FC236}">
              <a16:creationId xmlns:a16="http://schemas.microsoft.com/office/drawing/2014/main" id="{D8BCB56C-6AA7-4F63-907B-AF8E9574E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386" name="BEx1I152WN2D3A85O2XN0DGXCWHN" descr="KHBZFMANRA4UMJR1AB4M5NJNT" hidden="1">
          <a:extLst>
            <a:ext uri="{FF2B5EF4-FFF2-40B4-BE49-F238E27FC236}">
              <a16:creationId xmlns:a16="http://schemas.microsoft.com/office/drawing/2014/main" id="{ED15AFBD-9060-4BD0-813D-9459B7076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387" name="BExW9676P0SKCVKK25QCGHPA3PAD" descr="9A4PWZ20RMSRF0PNECCDM75CA" hidden="1">
          <a:extLst>
            <a:ext uri="{FF2B5EF4-FFF2-40B4-BE49-F238E27FC236}">
              <a16:creationId xmlns:a16="http://schemas.microsoft.com/office/drawing/2014/main" id="{285DECD1-5416-499A-B65F-E0CA9B226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388" name="BExS5CPQ8P8JOQPK7ANNKHLSGOKU" hidden="1">
          <a:extLst>
            <a:ext uri="{FF2B5EF4-FFF2-40B4-BE49-F238E27FC236}">
              <a16:creationId xmlns:a16="http://schemas.microsoft.com/office/drawing/2014/main" id="{D322935D-64F2-445C-9DC6-FC10FC82F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389" name="BExMM0AVUAIRNJLXB1FW8R0YB4ZZ" hidden="1">
          <a:extLst>
            <a:ext uri="{FF2B5EF4-FFF2-40B4-BE49-F238E27FC236}">
              <a16:creationId xmlns:a16="http://schemas.microsoft.com/office/drawing/2014/main" id="{581FAD28-F18D-4783-8961-466A2FDD0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390" name="BExXZ7Y09CBS0XA7IPB3IRJ8RJM4" hidden="1">
          <a:extLst>
            <a:ext uri="{FF2B5EF4-FFF2-40B4-BE49-F238E27FC236}">
              <a16:creationId xmlns:a16="http://schemas.microsoft.com/office/drawing/2014/main" id="{9F9ED6E2-9970-4E7D-A7A6-67960FB38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391" name="BExQ7SXS9VUG7P6CACU2J7R2SGIZ" hidden="1">
          <a:extLst>
            <a:ext uri="{FF2B5EF4-FFF2-40B4-BE49-F238E27FC236}">
              <a16:creationId xmlns:a16="http://schemas.microsoft.com/office/drawing/2014/main" id="{7E11543E-712E-4CF0-9804-2CF98E6E9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392" name="BEx1KD7H6UB1VYCJ7O61P562EIUY" descr="IQGV9140X0K0UPBL8OGU3I44J" hidden="1">
          <a:extLst>
            <a:ext uri="{FF2B5EF4-FFF2-40B4-BE49-F238E27FC236}">
              <a16:creationId xmlns:a16="http://schemas.microsoft.com/office/drawing/2014/main" id="{0E531075-11FD-40B6-90CE-8D322728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93" name="BEx5BJQWS6YWHH4ZMSUAMD641V6Y" descr="ZTMFMXCIQSECDX38ALEFHUB00" hidden="1">
          <a:extLst>
            <a:ext uri="{FF2B5EF4-FFF2-40B4-BE49-F238E27FC236}">
              <a16:creationId xmlns:a16="http://schemas.microsoft.com/office/drawing/2014/main" id="{F5112698-9333-40DE-9CA5-71DD169C0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394" name="BEx5AQZ4ETQ9LMY5EBWVH20Z7VXQ" hidden="1">
          <a:extLst>
            <a:ext uri="{FF2B5EF4-FFF2-40B4-BE49-F238E27FC236}">
              <a16:creationId xmlns:a16="http://schemas.microsoft.com/office/drawing/2014/main" id="{0A623F97-869F-4041-A8D8-132CA4A20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95" name="BExUBK0YZ5VYFY8TTITJGJU9S06A" hidden="1">
          <a:extLst>
            <a:ext uri="{FF2B5EF4-FFF2-40B4-BE49-F238E27FC236}">
              <a16:creationId xmlns:a16="http://schemas.microsoft.com/office/drawing/2014/main" id="{3D25AEBD-51F9-43D2-87C4-82946313B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396" name="BEx1KD7H6UB1VYCJ7O61P562EIUY" descr="IQGV9140X0K0UPBL8OGU3I44J" hidden="1">
          <a:extLst>
            <a:ext uri="{FF2B5EF4-FFF2-40B4-BE49-F238E27FC236}">
              <a16:creationId xmlns:a16="http://schemas.microsoft.com/office/drawing/2014/main" id="{09B4A1B0-D223-45EA-81C9-525D4D5AD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97" name="BEx5BJQWS6YWHH4ZMSUAMD641V6Y" descr="ZTMFMXCIQSECDX38ALEFHUB00" hidden="1">
          <a:extLst>
            <a:ext uri="{FF2B5EF4-FFF2-40B4-BE49-F238E27FC236}">
              <a16:creationId xmlns:a16="http://schemas.microsoft.com/office/drawing/2014/main" id="{3DFFEC71-69E7-4DDC-A6DC-193AFA74A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398" name="BEx5AQZ4ETQ9LMY5EBWVH20Z7VXQ" hidden="1">
          <a:extLst>
            <a:ext uri="{FF2B5EF4-FFF2-40B4-BE49-F238E27FC236}">
              <a16:creationId xmlns:a16="http://schemas.microsoft.com/office/drawing/2014/main" id="{6C4A0812-36D9-4909-8C4A-A2E8D7869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399" name="BExUBK0YZ5VYFY8TTITJGJU9S06A" hidden="1">
          <a:extLst>
            <a:ext uri="{FF2B5EF4-FFF2-40B4-BE49-F238E27FC236}">
              <a16:creationId xmlns:a16="http://schemas.microsoft.com/office/drawing/2014/main" id="{030E705C-CA85-41D7-B828-A932C6403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00" name="BEx1KD7H6UB1VYCJ7O61P562EIUY" descr="IQGV9140X0K0UPBL8OGU3I44J" hidden="1">
          <a:extLst>
            <a:ext uri="{FF2B5EF4-FFF2-40B4-BE49-F238E27FC236}">
              <a16:creationId xmlns:a16="http://schemas.microsoft.com/office/drawing/2014/main" id="{B633F082-E51D-46DD-86EF-0FA42BCC8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01" name="BEx5BJQWS6YWHH4ZMSUAMD641V6Y" descr="ZTMFMXCIQSECDX38ALEFHUB00" hidden="1">
          <a:extLst>
            <a:ext uri="{FF2B5EF4-FFF2-40B4-BE49-F238E27FC236}">
              <a16:creationId xmlns:a16="http://schemas.microsoft.com/office/drawing/2014/main" id="{3B9E622A-818D-49C8-B1E4-668C5C59C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02" name="BEx5AQZ4ETQ9LMY5EBWVH20Z7VXQ" hidden="1">
          <a:extLst>
            <a:ext uri="{FF2B5EF4-FFF2-40B4-BE49-F238E27FC236}">
              <a16:creationId xmlns:a16="http://schemas.microsoft.com/office/drawing/2014/main" id="{479E6DD8-955A-4253-B7D9-D65743AC8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03" name="BExUBK0YZ5VYFY8TTITJGJU9S06A" hidden="1">
          <a:extLst>
            <a:ext uri="{FF2B5EF4-FFF2-40B4-BE49-F238E27FC236}">
              <a16:creationId xmlns:a16="http://schemas.microsoft.com/office/drawing/2014/main" id="{2BF61786-6916-4ECF-B1C5-6828309F5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04" name="BEx1KD7H6UB1VYCJ7O61P562EIUY" descr="IQGV9140X0K0UPBL8OGU3I44J" hidden="1">
          <a:extLst>
            <a:ext uri="{FF2B5EF4-FFF2-40B4-BE49-F238E27FC236}">
              <a16:creationId xmlns:a16="http://schemas.microsoft.com/office/drawing/2014/main" id="{3D9DE2B9-6C00-456D-8CF8-D8EF5CDBB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05" name="BEx5BJQWS6YWHH4ZMSUAMD641V6Y" descr="ZTMFMXCIQSECDX38ALEFHUB00" hidden="1">
          <a:extLst>
            <a:ext uri="{FF2B5EF4-FFF2-40B4-BE49-F238E27FC236}">
              <a16:creationId xmlns:a16="http://schemas.microsoft.com/office/drawing/2014/main" id="{12F77548-0036-462A-B82E-9BBEAFFB9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06" name="BEx5AQZ4ETQ9LMY5EBWVH20Z7VXQ" hidden="1">
          <a:extLst>
            <a:ext uri="{FF2B5EF4-FFF2-40B4-BE49-F238E27FC236}">
              <a16:creationId xmlns:a16="http://schemas.microsoft.com/office/drawing/2014/main" id="{2D913733-47FF-4AC7-A8F4-191A187AA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07" name="BExUBK0YZ5VYFY8TTITJGJU9S06A" hidden="1">
          <a:extLst>
            <a:ext uri="{FF2B5EF4-FFF2-40B4-BE49-F238E27FC236}">
              <a16:creationId xmlns:a16="http://schemas.microsoft.com/office/drawing/2014/main" id="{C9BE226A-CA89-4650-B38D-FB5545842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08" name="BEx1KD7H6UB1VYCJ7O61P562EIUY" descr="IQGV9140X0K0UPBL8OGU3I44J" hidden="1">
          <a:extLst>
            <a:ext uri="{FF2B5EF4-FFF2-40B4-BE49-F238E27FC236}">
              <a16:creationId xmlns:a16="http://schemas.microsoft.com/office/drawing/2014/main" id="{8BD23BA5-F793-45CC-AB39-45CB378F5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09" name="BEx5BJQWS6YWHH4ZMSUAMD641V6Y" descr="ZTMFMXCIQSECDX38ALEFHUB00" hidden="1">
          <a:extLst>
            <a:ext uri="{FF2B5EF4-FFF2-40B4-BE49-F238E27FC236}">
              <a16:creationId xmlns:a16="http://schemas.microsoft.com/office/drawing/2014/main" id="{7E70ACA2-60E0-4976-B33F-76B629669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10" name="BEx5AQZ4ETQ9LMY5EBWVH20Z7VXQ" hidden="1">
          <a:extLst>
            <a:ext uri="{FF2B5EF4-FFF2-40B4-BE49-F238E27FC236}">
              <a16:creationId xmlns:a16="http://schemas.microsoft.com/office/drawing/2014/main" id="{A3392C95-142E-4AFD-9239-4F909A849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11" name="BExUBK0YZ5VYFY8TTITJGJU9S06A" hidden="1">
          <a:extLst>
            <a:ext uri="{FF2B5EF4-FFF2-40B4-BE49-F238E27FC236}">
              <a16:creationId xmlns:a16="http://schemas.microsoft.com/office/drawing/2014/main" id="{ABDE2C38-80CA-4C69-81B6-6FAAB896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12" name="BEx1KD7H6UB1VYCJ7O61P562EIUY" descr="IQGV9140X0K0UPBL8OGU3I44J" hidden="1">
          <a:extLst>
            <a:ext uri="{FF2B5EF4-FFF2-40B4-BE49-F238E27FC236}">
              <a16:creationId xmlns:a16="http://schemas.microsoft.com/office/drawing/2014/main" id="{9F991663-6400-4EFB-AD39-F25069B76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13" name="BEx5BJQWS6YWHH4ZMSUAMD641V6Y" descr="ZTMFMXCIQSECDX38ALEFHUB00" hidden="1">
          <a:extLst>
            <a:ext uri="{FF2B5EF4-FFF2-40B4-BE49-F238E27FC236}">
              <a16:creationId xmlns:a16="http://schemas.microsoft.com/office/drawing/2014/main" id="{EEAA0EE9-0EFB-4848-8187-125C2DC9C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14" name="BEx5AQZ4ETQ9LMY5EBWVH20Z7VXQ" hidden="1">
          <a:extLst>
            <a:ext uri="{FF2B5EF4-FFF2-40B4-BE49-F238E27FC236}">
              <a16:creationId xmlns:a16="http://schemas.microsoft.com/office/drawing/2014/main" id="{7B968A35-38AB-4AEF-B98B-5080B869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15" name="BExUBK0YZ5VYFY8TTITJGJU9S06A" hidden="1">
          <a:extLst>
            <a:ext uri="{FF2B5EF4-FFF2-40B4-BE49-F238E27FC236}">
              <a16:creationId xmlns:a16="http://schemas.microsoft.com/office/drawing/2014/main" id="{7521F86A-4E30-4705-8CF3-0600B2A6E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16" name="BEx1KD7H6UB1VYCJ7O61P562EIUY" descr="IQGV9140X0K0UPBL8OGU3I44J" hidden="1">
          <a:extLst>
            <a:ext uri="{FF2B5EF4-FFF2-40B4-BE49-F238E27FC236}">
              <a16:creationId xmlns:a16="http://schemas.microsoft.com/office/drawing/2014/main" id="{F4E04AF7-EDCF-41A9-807C-3ED784AF7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17" name="BEx5BJQWS6YWHH4ZMSUAMD641V6Y" descr="ZTMFMXCIQSECDX38ALEFHUB00" hidden="1">
          <a:extLst>
            <a:ext uri="{FF2B5EF4-FFF2-40B4-BE49-F238E27FC236}">
              <a16:creationId xmlns:a16="http://schemas.microsoft.com/office/drawing/2014/main" id="{3BB5B221-79B0-4BE0-A7F5-D1938A7A4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18" name="BEx5AQZ4ETQ9LMY5EBWVH20Z7VXQ" hidden="1">
          <a:extLst>
            <a:ext uri="{FF2B5EF4-FFF2-40B4-BE49-F238E27FC236}">
              <a16:creationId xmlns:a16="http://schemas.microsoft.com/office/drawing/2014/main" id="{5E948A60-B1E6-40A3-8586-38A52C3AB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19" name="BExUBK0YZ5VYFY8TTITJGJU9S06A" hidden="1">
          <a:extLst>
            <a:ext uri="{FF2B5EF4-FFF2-40B4-BE49-F238E27FC236}">
              <a16:creationId xmlns:a16="http://schemas.microsoft.com/office/drawing/2014/main" id="{EC85D6E5-C6DC-42E0-B76F-403967BE5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20" name="BEx1KD7H6UB1VYCJ7O61P562EIUY" descr="IQGV9140X0K0UPBL8OGU3I44J" hidden="1">
          <a:extLst>
            <a:ext uri="{FF2B5EF4-FFF2-40B4-BE49-F238E27FC236}">
              <a16:creationId xmlns:a16="http://schemas.microsoft.com/office/drawing/2014/main" id="{110A1C86-4F25-47C7-89F7-1737A8CB5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21" name="BEx5BJQWS6YWHH4ZMSUAMD641V6Y" descr="ZTMFMXCIQSECDX38ALEFHUB00" hidden="1">
          <a:extLst>
            <a:ext uri="{FF2B5EF4-FFF2-40B4-BE49-F238E27FC236}">
              <a16:creationId xmlns:a16="http://schemas.microsoft.com/office/drawing/2014/main" id="{B4EC0FCB-9502-4BBA-8FAD-DE39D0B59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22" name="BEx5AQZ4ETQ9LMY5EBWVH20Z7VXQ" hidden="1">
          <a:extLst>
            <a:ext uri="{FF2B5EF4-FFF2-40B4-BE49-F238E27FC236}">
              <a16:creationId xmlns:a16="http://schemas.microsoft.com/office/drawing/2014/main" id="{2B32330B-1F9D-4628-BEB8-07F2912D7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23" name="BExUBK0YZ5VYFY8TTITJGJU9S06A" hidden="1">
          <a:extLst>
            <a:ext uri="{FF2B5EF4-FFF2-40B4-BE49-F238E27FC236}">
              <a16:creationId xmlns:a16="http://schemas.microsoft.com/office/drawing/2014/main" id="{0D585622-85DF-4FBB-8E34-B997597B9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24" name="BEx1KD7H6UB1VYCJ7O61P562EIUY" descr="IQGV9140X0K0UPBL8OGU3I44J" hidden="1">
          <a:extLst>
            <a:ext uri="{FF2B5EF4-FFF2-40B4-BE49-F238E27FC236}">
              <a16:creationId xmlns:a16="http://schemas.microsoft.com/office/drawing/2014/main" id="{678D8343-4BC2-48C7-8081-E5FE5090D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25" name="BEx5BJQWS6YWHH4ZMSUAMD641V6Y" descr="ZTMFMXCIQSECDX38ALEFHUB00" hidden="1">
          <a:extLst>
            <a:ext uri="{FF2B5EF4-FFF2-40B4-BE49-F238E27FC236}">
              <a16:creationId xmlns:a16="http://schemas.microsoft.com/office/drawing/2014/main" id="{BAAEEFB3-42D1-4323-8F64-B555B12A8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26" name="BEx5AQZ4ETQ9LMY5EBWVH20Z7VXQ" hidden="1">
          <a:extLst>
            <a:ext uri="{FF2B5EF4-FFF2-40B4-BE49-F238E27FC236}">
              <a16:creationId xmlns:a16="http://schemas.microsoft.com/office/drawing/2014/main" id="{AC01FB5D-ADB8-4C97-B499-68EB85D54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27" name="BExUBK0YZ5VYFY8TTITJGJU9S06A" hidden="1">
          <a:extLst>
            <a:ext uri="{FF2B5EF4-FFF2-40B4-BE49-F238E27FC236}">
              <a16:creationId xmlns:a16="http://schemas.microsoft.com/office/drawing/2014/main" id="{287B9D74-25A8-4FD3-918C-C469EB7B8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428" name="BExMO7VFCN4EL59982UR4AJ25JNJ" descr="XX6TINEJADZGKR0CTM7ZRT0RA" hidden="1">
          <a:extLst>
            <a:ext uri="{FF2B5EF4-FFF2-40B4-BE49-F238E27FC236}">
              <a16:creationId xmlns:a16="http://schemas.microsoft.com/office/drawing/2014/main" id="{69EA52AB-6C24-433D-A32E-B4D987768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429" name="BExU3EX5JJCXCII4YKUJBFBGIJR2" descr="OF5ZI9PI5WH36VPANJ2DYLNMI" hidden="1">
          <a:extLst>
            <a:ext uri="{FF2B5EF4-FFF2-40B4-BE49-F238E27FC236}">
              <a16:creationId xmlns:a16="http://schemas.microsoft.com/office/drawing/2014/main" id="{49137F62-2EC5-4B1F-9C75-FEF98D854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430" name="BEx1I152WN2D3A85O2XN0DGXCWHN" descr="KHBZFMANRA4UMJR1AB4M5NJNT" hidden="1">
          <a:extLst>
            <a:ext uri="{FF2B5EF4-FFF2-40B4-BE49-F238E27FC236}">
              <a16:creationId xmlns:a16="http://schemas.microsoft.com/office/drawing/2014/main" id="{44745E7E-A346-455B-9C70-98D84A726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431" name="BExW9676P0SKCVKK25QCGHPA3PAD" descr="9A4PWZ20RMSRF0PNECCDM75CA" hidden="1">
          <a:extLst>
            <a:ext uri="{FF2B5EF4-FFF2-40B4-BE49-F238E27FC236}">
              <a16:creationId xmlns:a16="http://schemas.microsoft.com/office/drawing/2014/main" id="{F9F916E8-2DC7-4F02-9C62-AACDB315A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432" name="BExS5CPQ8P8JOQPK7ANNKHLSGOKU" hidden="1">
          <a:extLst>
            <a:ext uri="{FF2B5EF4-FFF2-40B4-BE49-F238E27FC236}">
              <a16:creationId xmlns:a16="http://schemas.microsoft.com/office/drawing/2014/main" id="{BEE4CF1D-34B3-479E-A1B8-61B11A4F7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433" name="BExMM0AVUAIRNJLXB1FW8R0YB4ZZ" hidden="1">
          <a:extLst>
            <a:ext uri="{FF2B5EF4-FFF2-40B4-BE49-F238E27FC236}">
              <a16:creationId xmlns:a16="http://schemas.microsoft.com/office/drawing/2014/main" id="{0A5DC10C-2E0A-48E4-971B-6D746B0CB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434" name="BExXZ7Y09CBS0XA7IPB3IRJ8RJM4" hidden="1">
          <a:extLst>
            <a:ext uri="{FF2B5EF4-FFF2-40B4-BE49-F238E27FC236}">
              <a16:creationId xmlns:a16="http://schemas.microsoft.com/office/drawing/2014/main" id="{3E4058F8-AE21-40D3-8032-3157DF06B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435" name="BExQ7SXS9VUG7P6CACU2J7R2SGIZ" hidden="1">
          <a:extLst>
            <a:ext uri="{FF2B5EF4-FFF2-40B4-BE49-F238E27FC236}">
              <a16:creationId xmlns:a16="http://schemas.microsoft.com/office/drawing/2014/main" id="{8C3E242E-5C77-48F7-99D2-7EAD97716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436" name="BExMO7VFCN4EL59982UR4AJ25JNJ" descr="XX6TINEJADZGKR0CTM7ZRT0RA" hidden="1">
          <a:extLst>
            <a:ext uri="{FF2B5EF4-FFF2-40B4-BE49-F238E27FC236}">
              <a16:creationId xmlns:a16="http://schemas.microsoft.com/office/drawing/2014/main" id="{A4894F6F-1707-4003-9552-AB911B3F1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437" name="BExU3EX5JJCXCII4YKUJBFBGIJR2" descr="OF5ZI9PI5WH36VPANJ2DYLNMI" hidden="1">
          <a:extLst>
            <a:ext uri="{FF2B5EF4-FFF2-40B4-BE49-F238E27FC236}">
              <a16:creationId xmlns:a16="http://schemas.microsoft.com/office/drawing/2014/main" id="{C63D9E27-AFA3-414F-8088-558DF424E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438" name="BEx1I152WN2D3A85O2XN0DGXCWHN" descr="KHBZFMANRA4UMJR1AB4M5NJNT" hidden="1">
          <a:extLst>
            <a:ext uri="{FF2B5EF4-FFF2-40B4-BE49-F238E27FC236}">
              <a16:creationId xmlns:a16="http://schemas.microsoft.com/office/drawing/2014/main" id="{39DF8E7F-71BD-4A81-AE88-530EC951E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439" name="BExW9676P0SKCVKK25QCGHPA3PAD" descr="9A4PWZ20RMSRF0PNECCDM75CA" hidden="1">
          <a:extLst>
            <a:ext uri="{FF2B5EF4-FFF2-40B4-BE49-F238E27FC236}">
              <a16:creationId xmlns:a16="http://schemas.microsoft.com/office/drawing/2014/main" id="{A9B9A8D0-93BA-4AC1-99A8-E7B56A98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440" name="BExS5CPQ8P8JOQPK7ANNKHLSGOKU" hidden="1">
          <a:extLst>
            <a:ext uri="{FF2B5EF4-FFF2-40B4-BE49-F238E27FC236}">
              <a16:creationId xmlns:a16="http://schemas.microsoft.com/office/drawing/2014/main" id="{A3C8C9C0-57B3-4DB8-B7E3-D0C48C567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441" name="BExMM0AVUAIRNJLXB1FW8R0YB4ZZ" hidden="1">
          <a:extLst>
            <a:ext uri="{FF2B5EF4-FFF2-40B4-BE49-F238E27FC236}">
              <a16:creationId xmlns:a16="http://schemas.microsoft.com/office/drawing/2014/main" id="{C6D60513-B3F7-48DB-B5F7-74F328738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442" name="BExXZ7Y09CBS0XA7IPB3IRJ8RJM4" hidden="1">
          <a:extLst>
            <a:ext uri="{FF2B5EF4-FFF2-40B4-BE49-F238E27FC236}">
              <a16:creationId xmlns:a16="http://schemas.microsoft.com/office/drawing/2014/main" id="{FC8A1399-EA45-47EB-9C15-4039DCD78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443" name="BExQ7SXS9VUG7P6CACU2J7R2SGIZ" hidden="1">
          <a:extLst>
            <a:ext uri="{FF2B5EF4-FFF2-40B4-BE49-F238E27FC236}">
              <a16:creationId xmlns:a16="http://schemas.microsoft.com/office/drawing/2014/main" id="{2CF8A7A2-59A6-45ED-9972-CDF1AAA7C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44" name="BEx1KD7H6UB1VYCJ7O61P562EIUY" descr="IQGV9140X0K0UPBL8OGU3I44J" hidden="1">
          <a:extLst>
            <a:ext uri="{FF2B5EF4-FFF2-40B4-BE49-F238E27FC236}">
              <a16:creationId xmlns:a16="http://schemas.microsoft.com/office/drawing/2014/main" id="{9E6BB24B-02DD-4003-BCD1-3359E3915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45" name="BEx5AQZ4ETQ9LMY5EBWVH20Z7VXQ" hidden="1">
          <a:extLst>
            <a:ext uri="{FF2B5EF4-FFF2-40B4-BE49-F238E27FC236}">
              <a16:creationId xmlns:a16="http://schemas.microsoft.com/office/drawing/2014/main" id="{5CD6F3FB-8624-4586-97A5-D9D41E4BA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446" name="BExMO7VFCN4EL59982UR4AJ25JNJ" descr="XX6TINEJADZGKR0CTM7ZRT0RA" hidden="1">
          <a:extLst>
            <a:ext uri="{FF2B5EF4-FFF2-40B4-BE49-F238E27FC236}">
              <a16:creationId xmlns:a16="http://schemas.microsoft.com/office/drawing/2014/main" id="{F2A45E90-0A89-4F3E-8D6B-7EAEA841F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447" name="BEx1I152WN2D3A85O2XN0DGXCWHN" descr="KHBZFMANRA4UMJR1AB4M5NJNT" hidden="1">
          <a:extLst>
            <a:ext uri="{FF2B5EF4-FFF2-40B4-BE49-F238E27FC236}">
              <a16:creationId xmlns:a16="http://schemas.microsoft.com/office/drawing/2014/main" id="{A08357A6-0CAF-41B8-81BB-727EC6806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448" name="BExS5CPQ8P8JOQPK7ANNKHLSGOKU" hidden="1">
          <a:extLst>
            <a:ext uri="{FF2B5EF4-FFF2-40B4-BE49-F238E27FC236}">
              <a16:creationId xmlns:a16="http://schemas.microsoft.com/office/drawing/2014/main" id="{A184B04E-3C28-49DC-A69A-3F59071D4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449" name="BExXZ7Y09CBS0XA7IPB3IRJ8RJM4" hidden="1">
          <a:extLst>
            <a:ext uri="{FF2B5EF4-FFF2-40B4-BE49-F238E27FC236}">
              <a16:creationId xmlns:a16="http://schemas.microsoft.com/office/drawing/2014/main" id="{6ACF8A95-EA7B-4CD5-AD1D-941F6934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50" name="BEx1KD7H6UB1VYCJ7O61P562EIUY" descr="IQGV9140X0K0UPBL8OGU3I44J" hidden="1">
          <a:extLst>
            <a:ext uri="{FF2B5EF4-FFF2-40B4-BE49-F238E27FC236}">
              <a16:creationId xmlns:a16="http://schemas.microsoft.com/office/drawing/2014/main" id="{F5D6A436-A584-4F71-9181-E7C7E0E68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51" name="BEx5AQZ4ETQ9LMY5EBWVH20Z7VXQ" hidden="1">
          <a:extLst>
            <a:ext uri="{FF2B5EF4-FFF2-40B4-BE49-F238E27FC236}">
              <a16:creationId xmlns:a16="http://schemas.microsoft.com/office/drawing/2014/main" id="{224E6D44-9ECD-4901-BF11-D0AB33914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52" name="BEx1KD7H6UB1VYCJ7O61P562EIUY" descr="IQGV9140X0K0UPBL8OGU3I44J" hidden="1">
          <a:extLst>
            <a:ext uri="{FF2B5EF4-FFF2-40B4-BE49-F238E27FC236}">
              <a16:creationId xmlns:a16="http://schemas.microsoft.com/office/drawing/2014/main" id="{0C6C9A6B-817E-4E81-A57F-EEECDD4D8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53" name="BEx5AQZ4ETQ9LMY5EBWVH20Z7VXQ" hidden="1">
          <a:extLst>
            <a:ext uri="{FF2B5EF4-FFF2-40B4-BE49-F238E27FC236}">
              <a16:creationId xmlns:a16="http://schemas.microsoft.com/office/drawing/2014/main" id="{32903143-36D6-4B01-AD21-D8C1CC0E8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54" name="BEx1KD7H6UB1VYCJ7O61P562EIUY" descr="IQGV9140X0K0UPBL8OGU3I44J" hidden="1">
          <a:extLst>
            <a:ext uri="{FF2B5EF4-FFF2-40B4-BE49-F238E27FC236}">
              <a16:creationId xmlns:a16="http://schemas.microsoft.com/office/drawing/2014/main" id="{FB407F03-68FE-44A9-82B0-EE15D6B35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55" name="BEx5AQZ4ETQ9LMY5EBWVH20Z7VXQ" hidden="1">
          <a:extLst>
            <a:ext uri="{FF2B5EF4-FFF2-40B4-BE49-F238E27FC236}">
              <a16:creationId xmlns:a16="http://schemas.microsoft.com/office/drawing/2014/main" id="{E414C338-C320-4A35-A776-3B88713CE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456" name="BExMO7VFCN4EL59982UR4AJ25JNJ" descr="XX6TINEJADZGKR0CTM7ZRT0RA" hidden="1">
          <a:extLst>
            <a:ext uri="{FF2B5EF4-FFF2-40B4-BE49-F238E27FC236}">
              <a16:creationId xmlns:a16="http://schemas.microsoft.com/office/drawing/2014/main" id="{AA912965-A545-4872-8AB4-EF03D0242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457" name="BEx1I152WN2D3A85O2XN0DGXCWHN" descr="KHBZFMANRA4UMJR1AB4M5NJNT" hidden="1">
          <a:extLst>
            <a:ext uri="{FF2B5EF4-FFF2-40B4-BE49-F238E27FC236}">
              <a16:creationId xmlns:a16="http://schemas.microsoft.com/office/drawing/2014/main" id="{F8CFD29A-A12A-4963-94CD-21142537A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458" name="BExS5CPQ8P8JOQPK7ANNKHLSGOKU" hidden="1">
          <a:extLst>
            <a:ext uri="{FF2B5EF4-FFF2-40B4-BE49-F238E27FC236}">
              <a16:creationId xmlns:a16="http://schemas.microsoft.com/office/drawing/2014/main" id="{5223A628-0950-49A8-AB7A-28EAE7DF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459" name="BExXZ7Y09CBS0XA7IPB3IRJ8RJM4" hidden="1">
          <a:extLst>
            <a:ext uri="{FF2B5EF4-FFF2-40B4-BE49-F238E27FC236}">
              <a16:creationId xmlns:a16="http://schemas.microsoft.com/office/drawing/2014/main" id="{3D9E41AD-E468-44CE-82C2-84055B1E8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60" name="BEx1KD7H6UB1VYCJ7O61P562EIUY" descr="IQGV9140X0K0UPBL8OGU3I44J" hidden="1">
          <a:extLst>
            <a:ext uri="{FF2B5EF4-FFF2-40B4-BE49-F238E27FC236}">
              <a16:creationId xmlns:a16="http://schemas.microsoft.com/office/drawing/2014/main" id="{882BA61B-F5F9-4CA8-A4CE-280067571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61" name="BEx5BJQWS6YWHH4ZMSUAMD641V6Y" descr="ZTMFMXCIQSECDX38ALEFHUB00" hidden="1">
          <a:extLst>
            <a:ext uri="{FF2B5EF4-FFF2-40B4-BE49-F238E27FC236}">
              <a16:creationId xmlns:a16="http://schemas.microsoft.com/office/drawing/2014/main" id="{257C0134-C4C6-4890-A15E-D26B44308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62" name="BEx5AQZ4ETQ9LMY5EBWVH20Z7VXQ" hidden="1">
          <a:extLst>
            <a:ext uri="{FF2B5EF4-FFF2-40B4-BE49-F238E27FC236}">
              <a16:creationId xmlns:a16="http://schemas.microsoft.com/office/drawing/2014/main" id="{4C6DB620-890E-4C23-8DA8-E60DA89D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63" name="BExUBK0YZ5VYFY8TTITJGJU9S06A" hidden="1">
          <a:extLst>
            <a:ext uri="{FF2B5EF4-FFF2-40B4-BE49-F238E27FC236}">
              <a16:creationId xmlns:a16="http://schemas.microsoft.com/office/drawing/2014/main" id="{42C2663B-6D06-4B67-9F35-392CE3D1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64" name="BEx1KD7H6UB1VYCJ7O61P562EIUY" descr="IQGV9140X0K0UPBL8OGU3I44J" hidden="1">
          <a:extLst>
            <a:ext uri="{FF2B5EF4-FFF2-40B4-BE49-F238E27FC236}">
              <a16:creationId xmlns:a16="http://schemas.microsoft.com/office/drawing/2014/main" id="{3ABFC65B-14E5-4F58-BE27-4EAD5CC6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65" name="BEx5BJQWS6YWHH4ZMSUAMD641V6Y" descr="ZTMFMXCIQSECDX38ALEFHUB00" hidden="1">
          <a:extLst>
            <a:ext uri="{FF2B5EF4-FFF2-40B4-BE49-F238E27FC236}">
              <a16:creationId xmlns:a16="http://schemas.microsoft.com/office/drawing/2014/main" id="{28D8D6DF-CA8D-488E-8D9B-1EC91ED6D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66" name="BEx5AQZ4ETQ9LMY5EBWVH20Z7VXQ" hidden="1">
          <a:extLst>
            <a:ext uri="{FF2B5EF4-FFF2-40B4-BE49-F238E27FC236}">
              <a16:creationId xmlns:a16="http://schemas.microsoft.com/office/drawing/2014/main" id="{3505BAB1-9035-4631-BDA5-922E57AD1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67" name="BExUBK0YZ5VYFY8TTITJGJU9S06A" hidden="1">
          <a:extLst>
            <a:ext uri="{FF2B5EF4-FFF2-40B4-BE49-F238E27FC236}">
              <a16:creationId xmlns:a16="http://schemas.microsoft.com/office/drawing/2014/main" id="{12BBAB85-7300-4A17-8EF0-F7C8BC26E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68" name="BEx1KD7H6UB1VYCJ7O61P562EIUY" descr="IQGV9140X0K0UPBL8OGU3I44J" hidden="1">
          <a:extLst>
            <a:ext uri="{FF2B5EF4-FFF2-40B4-BE49-F238E27FC236}">
              <a16:creationId xmlns:a16="http://schemas.microsoft.com/office/drawing/2014/main" id="{668A8CBC-0A0E-468C-9D91-86A1EDD45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69" name="BEx5BJQWS6YWHH4ZMSUAMD641V6Y" descr="ZTMFMXCIQSECDX38ALEFHUB00" hidden="1">
          <a:extLst>
            <a:ext uri="{FF2B5EF4-FFF2-40B4-BE49-F238E27FC236}">
              <a16:creationId xmlns:a16="http://schemas.microsoft.com/office/drawing/2014/main" id="{95EF4249-6DA7-4BAF-8913-94E7A8039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70" name="BEx5AQZ4ETQ9LMY5EBWVH20Z7VXQ" hidden="1">
          <a:extLst>
            <a:ext uri="{FF2B5EF4-FFF2-40B4-BE49-F238E27FC236}">
              <a16:creationId xmlns:a16="http://schemas.microsoft.com/office/drawing/2014/main" id="{518C3C58-A31B-4F15-8957-E742BBBA6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71" name="BExUBK0YZ5VYFY8TTITJGJU9S06A" hidden="1">
          <a:extLst>
            <a:ext uri="{FF2B5EF4-FFF2-40B4-BE49-F238E27FC236}">
              <a16:creationId xmlns:a16="http://schemas.microsoft.com/office/drawing/2014/main" id="{04E2D4CC-B49C-4FD8-9CCB-8044A9FA0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72" name="BEx1KD7H6UB1VYCJ7O61P562EIUY" descr="IQGV9140X0K0UPBL8OGU3I44J" hidden="1">
          <a:extLst>
            <a:ext uri="{FF2B5EF4-FFF2-40B4-BE49-F238E27FC236}">
              <a16:creationId xmlns:a16="http://schemas.microsoft.com/office/drawing/2014/main" id="{E5DDED3C-426E-485C-9DBC-47301623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73" name="BEx5BJQWS6YWHH4ZMSUAMD641V6Y" descr="ZTMFMXCIQSECDX38ALEFHUB00" hidden="1">
          <a:extLst>
            <a:ext uri="{FF2B5EF4-FFF2-40B4-BE49-F238E27FC236}">
              <a16:creationId xmlns:a16="http://schemas.microsoft.com/office/drawing/2014/main" id="{629B4392-D216-4221-9AA3-C76034A1E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74" name="BEx5AQZ4ETQ9LMY5EBWVH20Z7VXQ" hidden="1">
          <a:extLst>
            <a:ext uri="{FF2B5EF4-FFF2-40B4-BE49-F238E27FC236}">
              <a16:creationId xmlns:a16="http://schemas.microsoft.com/office/drawing/2014/main" id="{9E2A4DE3-38D5-4AFB-BA7C-16ED75CF0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75" name="BExUBK0YZ5VYFY8TTITJGJU9S06A" hidden="1">
          <a:extLst>
            <a:ext uri="{FF2B5EF4-FFF2-40B4-BE49-F238E27FC236}">
              <a16:creationId xmlns:a16="http://schemas.microsoft.com/office/drawing/2014/main" id="{3461E1F2-FF82-49ED-9F99-EA75C9565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76" name="BEx1KD7H6UB1VYCJ7O61P562EIUY" descr="IQGV9140X0K0UPBL8OGU3I44J" hidden="1">
          <a:extLst>
            <a:ext uri="{FF2B5EF4-FFF2-40B4-BE49-F238E27FC236}">
              <a16:creationId xmlns:a16="http://schemas.microsoft.com/office/drawing/2014/main" id="{0D81B679-7775-4678-9AAE-D19E6BB8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77" name="BEx5BJQWS6YWHH4ZMSUAMD641V6Y" descr="ZTMFMXCIQSECDX38ALEFHUB00" hidden="1">
          <a:extLst>
            <a:ext uri="{FF2B5EF4-FFF2-40B4-BE49-F238E27FC236}">
              <a16:creationId xmlns:a16="http://schemas.microsoft.com/office/drawing/2014/main" id="{9B55C78A-BE03-49DC-876F-7E7AD7CCD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78" name="BEx5AQZ4ETQ9LMY5EBWVH20Z7VXQ" hidden="1">
          <a:extLst>
            <a:ext uri="{FF2B5EF4-FFF2-40B4-BE49-F238E27FC236}">
              <a16:creationId xmlns:a16="http://schemas.microsoft.com/office/drawing/2014/main" id="{436F655E-5828-4301-A238-DC933ADD9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79" name="BExUBK0YZ5VYFY8TTITJGJU9S06A" hidden="1">
          <a:extLst>
            <a:ext uri="{FF2B5EF4-FFF2-40B4-BE49-F238E27FC236}">
              <a16:creationId xmlns:a16="http://schemas.microsoft.com/office/drawing/2014/main" id="{771EC8CD-2D96-4761-829A-B46842A15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480" name="BExMO7VFCN4EL59982UR4AJ25JNJ" descr="XX6TINEJADZGKR0CTM7ZRT0RA" hidden="1">
          <a:extLst>
            <a:ext uri="{FF2B5EF4-FFF2-40B4-BE49-F238E27FC236}">
              <a16:creationId xmlns:a16="http://schemas.microsoft.com/office/drawing/2014/main" id="{BF1E9C11-57C7-467A-B673-BD0FA10A4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481" name="BExU3EX5JJCXCII4YKUJBFBGIJR2" descr="OF5ZI9PI5WH36VPANJ2DYLNMI" hidden="1">
          <a:extLst>
            <a:ext uri="{FF2B5EF4-FFF2-40B4-BE49-F238E27FC236}">
              <a16:creationId xmlns:a16="http://schemas.microsoft.com/office/drawing/2014/main" id="{119BA888-D90D-452E-AB79-3F7408015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82" name="BEx1KD7H6UB1VYCJ7O61P562EIUY" descr="IQGV9140X0K0UPBL8OGU3I44J" hidden="1">
          <a:extLst>
            <a:ext uri="{FF2B5EF4-FFF2-40B4-BE49-F238E27FC236}">
              <a16:creationId xmlns:a16="http://schemas.microsoft.com/office/drawing/2014/main" id="{7EABF524-5668-494F-93DC-7EC5C0EFC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83" name="BEx5BJQWS6YWHH4ZMSUAMD641V6Y" descr="ZTMFMXCIQSECDX38ALEFHUB00" hidden="1">
          <a:extLst>
            <a:ext uri="{FF2B5EF4-FFF2-40B4-BE49-F238E27FC236}">
              <a16:creationId xmlns:a16="http://schemas.microsoft.com/office/drawing/2014/main" id="{E77E3911-BF8D-4F6A-9EB2-4E4137815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4484" name="BExVTO5Q8G2M7BPL4B2584LQS0R0" descr="OB6Q8NA4LZFE4GM9Y3V56BPMQ" hidden="1">
          <a:extLst>
            <a:ext uri="{FF2B5EF4-FFF2-40B4-BE49-F238E27FC236}">
              <a16:creationId xmlns:a16="http://schemas.microsoft.com/office/drawing/2014/main" id="{F5E84B53-92A9-4F21-95DF-4AFD503B3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4485" name="BExIFSCLN1G86X78PFLTSMRP0US5" descr="9JK4SPV4DG7VTCZIILWHXQU5J" hidden="1">
          <a:extLst>
            <a:ext uri="{FF2B5EF4-FFF2-40B4-BE49-F238E27FC236}">
              <a16:creationId xmlns:a16="http://schemas.microsoft.com/office/drawing/2014/main" id="{A1E045FF-2F3D-4C58-BE3C-2B89765D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486" name="BEx1I152WN2D3A85O2XN0DGXCWHN" descr="KHBZFMANRA4UMJR1AB4M5NJNT" hidden="1">
          <a:extLst>
            <a:ext uri="{FF2B5EF4-FFF2-40B4-BE49-F238E27FC236}">
              <a16:creationId xmlns:a16="http://schemas.microsoft.com/office/drawing/2014/main" id="{26A85FF9-9091-45F0-B989-B2AE3AD82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487" name="BExW9676P0SKCVKK25QCGHPA3PAD" descr="9A4PWZ20RMSRF0PNECCDM75CA" hidden="1">
          <a:extLst>
            <a:ext uri="{FF2B5EF4-FFF2-40B4-BE49-F238E27FC236}">
              <a16:creationId xmlns:a16="http://schemas.microsoft.com/office/drawing/2014/main" id="{BDB369AF-6B78-4C94-BAEF-7B33FE9B4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488" name="BExS5CPQ8P8JOQPK7ANNKHLSGOKU" hidden="1">
          <a:extLst>
            <a:ext uri="{FF2B5EF4-FFF2-40B4-BE49-F238E27FC236}">
              <a16:creationId xmlns:a16="http://schemas.microsoft.com/office/drawing/2014/main" id="{070E768D-09D4-4DD7-9F9F-B7D5EE4F6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489" name="BExMM0AVUAIRNJLXB1FW8R0YB4ZZ" hidden="1">
          <a:extLst>
            <a:ext uri="{FF2B5EF4-FFF2-40B4-BE49-F238E27FC236}">
              <a16:creationId xmlns:a16="http://schemas.microsoft.com/office/drawing/2014/main" id="{CA6E9572-5D8A-4F99-B273-C6E44153A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490" name="BExXZ7Y09CBS0XA7IPB3IRJ8RJM4" hidden="1">
          <a:extLst>
            <a:ext uri="{FF2B5EF4-FFF2-40B4-BE49-F238E27FC236}">
              <a16:creationId xmlns:a16="http://schemas.microsoft.com/office/drawing/2014/main" id="{4301E9A7-CC51-4C80-910D-FA7A70035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491" name="BExQ7SXS9VUG7P6CACU2J7R2SGIZ" hidden="1">
          <a:extLst>
            <a:ext uri="{FF2B5EF4-FFF2-40B4-BE49-F238E27FC236}">
              <a16:creationId xmlns:a16="http://schemas.microsoft.com/office/drawing/2014/main" id="{D52F4123-3F28-4C5C-8C0D-1B8B294D8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92" name="BEx5AQZ4ETQ9LMY5EBWVH20Z7VXQ" hidden="1">
          <a:extLst>
            <a:ext uri="{FF2B5EF4-FFF2-40B4-BE49-F238E27FC236}">
              <a16:creationId xmlns:a16="http://schemas.microsoft.com/office/drawing/2014/main" id="{D87CF2FA-0BEB-411E-B1D7-A6CCAF5D1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493" name="BExUBK0YZ5VYFY8TTITJGJU9S06A" hidden="1">
          <a:extLst>
            <a:ext uri="{FF2B5EF4-FFF2-40B4-BE49-F238E27FC236}">
              <a16:creationId xmlns:a16="http://schemas.microsoft.com/office/drawing/2014/main" id="{A1DA1560-393C-43CD-B136-272EFDCC6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4494" name="BExUEZCSSJ7RN4J18I2NUIQR2FZS" hidden="1">
          <a:extLst>
            <a:ext uri="{FF2B5EF4-FFF2-40B4-BE49-F238E27FC236}">
              <a16:creationId xmlns:a16="http://schemas.microsoft.com/office/drawing/2014/main" id="{2E406123-0635-40B7-AF7D-05429E7A4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354705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4495" name="BExS3JDQWF7U3F5JTEVOE16ASIYK" hidden="1">
          <a:extLst>
            <a:ext uri="{FF2B5EF4-FFF2-40B4-BE49-F238E27FC236}">
              <a16:creationId xmlns:a16="http://schemas.microsoft.com/office/drawing/2014/main" id="{8F343184-A831-4A97-AB73-17E0D9878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3528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96" name="BEx1KD7H6UB1VYCJ7O61P562EIUY" descr="IQGV9140X0K0UPBL8OGU3I44J" hidden="1">
          <a:extLst>
            <a:ext uri="{FF2B5EF4-FFF2-40B4-BE49-F238E27FC236}">
              <a16:creationId xmlns:a16="http://schemas.microsoft.com/office/drawing/2014/main" id="{E0E1D668-21DD-4F34-BF5F-C877B0612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97" name="BEx5AQZ4ETQ9LMY5EBWVH20Z7VXQ" hidden="1">
          <a:extLst>
            <a:ext uri="{FF2B5EF4-FFF2-40B4-BE49-F238E27FC236}">
              <a16:creationId xmlns:a16="http://schemas.microsoft.com/office/drawing/2014/main" id="{7A2E0CEF-16EA-4AA5-89D0-2280D61BC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98" name="BEx1KD7H6UB1VYCJ7O61P562EIUY" descr="IQGV9140X0K0UPBL8OGU3I44J" hidden="1">
          <a:extLst>
            <a:ext uri="{FF2B5EF4-FFF2-40B4-BE49-F238E27FC236}">
              <a16:creationId xmlns:a16="http://schemas.microsoft.com/office/drawing/2014/main" id="{F4E636A0-229D-401D-879D-0A843BC41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499" name="BEx5AQZ4ETQ9LMY5EBWVH20Z7VXQ" hidden="1">
          <a:extLst>
            <a:ext uri="{FF2B5EF4-FFF2-40B4-BE49-F238E27FC236}">
              <a16:creationId xmlns:a16="http://schemas.microsoft.com/office/drawing/2014/main" id="{5C8BE538-93CE-48C6-801E-12EC32FB6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00" name="BEx1KD7H6UB1VYCJ7O61P562EIUY" descr="IQGV9140X0K0UPBL8OGU3I44J" hidden="1">
          <a:extLst>
            <a:ext uri="{FF2B5EF4-FFF2-40B4-BE49-F238E27FC236}">
              <a16:creationId xmlns:a16="http://schemas.microsoft.com/office/drawing/2014/main" id="{69BC4308-77AF-4A14-9841-39D6C5128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01" name="BEx5BJQWS6YWHH4ZMSUAMD641V6Y" descr="ZTMFMXCIQSECDX38ALEFHUB00" hidden="1">
          <a:extLst>
            <a:ext uri="{FF2B5EF4-FFF2-40B4-BE49-F238E27FC236}">
              <a16:creationId xmlns:a16="http://schemas.microsoft.com/office/drawing/2014/main" id="{1D2E842E-5AF3-42E3-96BB-DF716905B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02" name="BEx5AQZ4ETQ9LMY5EBWVH20Z7VXQ" hidden="1">
          <a:extLst>
            <a:ext uri="{FF2B5EF4-FFF2-40B4-BE49-F238E27FC236}">
              <a16:creationId xmlns:a16="http://schemas.microsoft.com/office/drawing/2014/main" id="{4768AE9A-6BCC-4975-BE25-9209BD2DD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03" name="BExUBK0YZ5VYFY8TTITJGJU9S06A" hidden="1">
          <a:extLst>
            <a:ext uri="{FF2B5EF4-FFF2-40B4-BE49-F238E27FC236}">
              <a16:creationId xmlns:a16="http://schemas.microsoft.com/office/drawing/2014/main" id="{0C453C50-6CAC-452B-9F76-BB15B92ED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04" name="BEx1KD7H6UB1VYCJ7O61P562EIUY" descr="IQGV9140X0K0UPBL8OGU3I44J" hidden="1">
          <a:extLst>
            <a:ext uri="{FF2B5EF4-FFF2-40B4-BE49-F238E27FC236}">
              <a16:creationId xmlns:a16="http://schemas.microsoft.com/office/drawing/2014/main" id="{ADCD6FBA-EDA3-4C02-B6B8-A6B5A3649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05" name="BEx5AQZ4ETQ9LMY5EBWVH20Z7VXQ" hidden="1">
          <a:extLst>
            <a:ext uri="{FF2B5EF4-FFF2-40B4-BE49-F238E27FC236}">
              <a16:creationId xmlns:a16="http://schemas.microsoft.com/office/drawing/2014/main" id="{EE2BC385-42CC-4E42-B7E3-20E8B0CAF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06" name="BEx1KD7H6UB1VYCJ7O61P562EIUY" descr="IQGV9140X0K0UPBL8OGU3I44J" hidden="1">
          <a:extLst>
            <a:ext uri="{FF2B5EF4-FFF2-40B4-BE49-F238E27FC236}">
              <a16:creationId xmlns:a16="http://schemas.microsoft.com/office/drawing/2014/main" id="{D809B484-59D0-4A39-B554-CF938F0D6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07" name="BEx5BJQWS6YWHH4ZMSUAMD641V6Y" descr="ZTMFMXCIQSECDX38ALEFHUB00" hidden="1">
          <a:extLst>
            <a:ext uri="{FF2B5EF4-FFF2-40B4-BE49-F238E27FC236}">
              <a16:creationId xmlns:a16="http://schemas.microsoft.com/office/drawing/2014/main" id="{B2911D24-592E-4D79-87C8-31F4C79D2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08" name="BEx5AQZ4ETQ9LMY5EBWVH20Z7VXQ" hidden="1">
          <a:extLst>
            <a:ext uri="{FF2B5EF4-FFF2-40B4-BE49-F238E27FC236}">
              <a16:creationId xmlns:a16="http://schemas.microsoft.com/office/drawing/2014/main" id="{B51132FA-EB4C-488F-B2F9-FBBB7E220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09" name="BExUBK0YZ5VYFY8TTITJGJU9S06A" hidden="1">
          <a:extLst>
            <a:ext uri="{FF2B5EF4-FFF2-40B4-BE49-F238E27FC236}">
              <a16:creationId xmlns:a16="http://schemas.microsoft.com/office/drawing/2014/main" id="{0400E4A6-53AF-4281-AAE6-96A1FE8DD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10" name="BEx1KD7H6UB1VYCJ7O61P562EIUY" descr="IQGV9140X0K0UPBL8OGU3I44J" hidden="1">
          <a:extLst>
            <a:ext uri="{FF2B5EF4-FFF2-40B4-BE49-F238E27FC236}">
              <a16:creationId xmlns:a16="http://schemas.microsoft.com/office/drawing/2014/main" id="{B87A7ADF-F54B-4E06-89DB-E9797EE7B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11" name="BEx5BJQWS6YWHH4ZMSUAMD641V6Y" descr="ZTMFMXCIQSECDX38ALEFHUB00" hidden="1">
          <a:extLst>
            <a:ext uri="{FF2B5EF4-FFF2-40B4-BE49-F238E27FC236}">
              <a16:creationId xmlns:a16="http://schemas.microsoft.com/office/drawing/2014/main" id="{10F814A2-BD56-461C-BE26-39BD1BFB3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12" name="BEx5AQZ4ETQ9LMY5EBWVH20Z7VXQ" hidden="1">
          <a:extLst>
            <a:ext uri="{FF2B5EF4-FFF2-40B4-BE49-F238E27FC236}">
              <a16:creationId xmlns:a16="http://schemas.microsoft.com/office/drawing/2014/main" id="{6868B4E5-984E-4B0D-AD64-E7A01D6CD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13" name="BExUBK0YZ5VYFY8TTITJGJU9S06A" hidden="1">
          <a:extLst>
            <a:ext uri="{FF2B5EF4-FFF2-40B4-BE49-F238E27FC236}">
              <a16:creationId xmlns:a16="http://schemas.microsoft.com/office/drawing/2014/main" id="{8EF7E13F-FA30-445F-B874-EEA410B5C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14" name="BEx1KD7H6UB1VYCJ7O61P562EIUY" descr="IQGV9140X0K0UPBL8OGU3I44J" hidden="1">
          <a:extLst>
            <a:ext uri="{FF2B5EF4-FFF2-40B4-BE49-F238E27FC236}">
              <a16:creationId xmlns:a16="http://schemas.microsoft.com/office/drawing/2014/main" id="{C3A9AEA8-E53B-4EEA-8CD4-931D93A53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15" name="BEx5AQZ4ETQ9LMY5EBWVH20Z7VXQ" hidden="1">
          <a:extLst>
            <a:ext uri="{FF2B5EF4-FFF2-40B4-BE49-F238E27FC236}">
              <a16:creationId xmlns:a16="http://schemas.microsoft.com/office/drawing/2014/main" id="{2832DE13-D3BA-4566-AFF5-FBB273D56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16" name="BEx1KD7H6UB1VYCJ7O61P562EIUY" descr="IQGV9140X0K0UPBL8OGU3I44J" hidden="1">
          <a:extLst>
            <a:ext uri="{FF2B5EF4-FFF2-40B4-BE49-F238E27FC236}">
              <a16:creationId xmlns:a16="http://schemas.microsoft.com/office/drawing/2014/main" id="{825CA4E4-7675-4E8C-80BB-B1A51F52C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17" name="BEx5BJQWS6YWHH4ZMSUAMD641V6Y" descr="ZTMFMXCIQSECDX38ALEFHUB00" hidden="1">
          <a:extLst>
            <a:ext uri="{FF2B5EF4-FFF2-40B4-BE49-F238E27FC236}">
              <a16:creationId xmlns:a16="http://schemas.microsoft.com/office/drawing/2014/main" id="{31D23D42-3A6E-41D1-ACB7-CE70116C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18" name="BEx5AQZ4ETQ9LMY5EBWVH20Z7VXQ" hidden="1">
          <a:extLst>
            <a:ext uri="{FF2B5EF4-FFF2-40B4-BE49-F238E27FC236}">
              <a16:creationId xmlns:a16="http://schemas.microsoft.com/office/drawing/2014/main" id="{84273C76-3111-4B83-8ED8-95C94C070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19" name="BExUBK0YZ5VYFY8TTITJGJU9S06A" hidden="1">
          <a:extLst>
            <a:ext uri="{FF2B5EF4-FFF2-40B4-BE49-F238E27FC236}">
              <a16:creationId xmlns:a16="http://schemas.microsoft.com/office/drawing/2014/main" id="{2E1744A5-BF35-48BC-9751-A9E23A486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20" name="BEx1KD7H6UB1VYCJ7O61P562EIUY" descr="IQGV9140X0K0UPBL8OGU3I44J" hidden="1">
          <a:extLst>
            <a:ext uri="{FF2B5EF4-FFF2-40B4-BE49-F238E27FC236}">
              <a16:creationId xmlns:a16="http://schemas.microsoft.com/office/drawing/2014/main" id="{42B37E2E-7454-49CC-A7FC-C9BD11F95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21" name="BEx5BJQWS6YWHH4ZMSUAMD641V6Y" descr="ZTMFMXCIQSECDX38ALEFHUB00" hidden="1">
          <a:extLst>
            <a:ext uri="{FF2B5EF4-FFF2-40B4-BE49-F238E27FC236}">
              <a16:creationId xmlns:a16="http://schemas.microsoft.com/office/drawing/2014/main" id="{62ABEB0C-8C19-4991-A39D-2B373575F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22" name="BEx5AQZ4ETQ9LMY5EBWVH20Z7VXQ" hidden="1">
          <a:extLst>
            <a:ext uri="{FF2B5EF4-FFF2-40B4-BE49-F238E27FC236}">
              <a16:creationId xmlns:a16="http://schemas.microsoft.com/office/drawing/2014/main" id="{AE0DBFBB-5BA7-4B61-A419-4E5175437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23" name="BExUBK0YZ5VYFY8TTITJGJU9S06A" hidden="1">
          <a:extLst>
            <a:ext uri="{FF2B5EF4-FFF2-40B4-BE49-F238E27FC236}">
              <a16:creationId xmlns:a16="http://schemas.microsoft.com/office/drawing/2014/main" id="{58F6B82B-611A-46D1-ADD5-9923FFB6D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24" name="BEx1KD7H6UB1VYCJ7O61P562EIUY" descr="IQGV9140X0K0UPBL8OGU3I44J" hidden="1">
          <a:extLst>
            <a:ext uri="{FF2B5EF4-FFF2-40B4-BE49-F238E27FC236}">
              <a16:creationId xmlns:a16="http://schemas.microsoft.com/office/drawing/2014/main" id="{0CDD1A5A-11E6-491D-991A-E6859D51A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25" name="BEx5BJQWS6YWHH4ZMSUAMD641V6Y" descr="ZTMFMXCIQSECDX38ALEFHUB00" hidden="1">
          <a:extLst>
            <a:ext uri="{FF2B5EF4-FFF2-40B4-BE49-F238E27FC236}">
              <a16:creationId xmlns:a16="http://schemas.microsoft.com/office/drawing/2014/main" id="{27155DD3-F4F6-4627-994C-71D478555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26" name="BEx5AQZ4ETQ9LMY5EBWVH20Z7VXQ" hidden="1">
          <a:extLst>
            <a:ext uri="{FF2B5EF4-FFF2-40B4-BE49-F238E27FC236}">
              <a16:creationId xmlns:a16="http://schemas.microsoft.com/office/drawing/2014/main" id="{51D3F77A-680B-44D8-AA6B-A7315E911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27" name="BExUBK0YZ5VYFY8TTITJGJU9S06A" hidden="1">
          <a:extLst>
            <a:ext uri="{FF2B5EF4-FFF2-40B4-BE49-F238E27FC236}">
              <a16:creationId xmlns:a16="http://schemas.microsoft.com/office/drawing/2014/main" id="{11AB55C0-341D-47B8-8275-C958AA1ED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28" name="BEx1KD7H6UB1VYCJ7O61P562EIUY" descr="IQGV9140X0K0UPBL8OGU3I44J" hidden="1">
          <a:extLst>
            <a:ext uri="{FF2B5EF4-FFF2-40B4-BE49-F238E27FC236}">
              <a16:creationId xmlns:a16="http://schemas.microsoft.com/office/drawing/2014/main" id="{DF158F9E-8FAA-4D68-B54D-BAB735300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29" name="BEx5AQZ4ETQ9LMY5EBWVH20Z7VXQ" hidden="1">
          <a:extLst>
            <a:ext uri="{FF2B5EF4-FFF2-40B4-BE49-F238E27FC236}">
              <a16:creationId xmlns:a16="http://schemas.microsoft.com/office/drawing/2014/main" id="{F948390F-BBEF-4F4D-8462-52327E8B8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30" name="BEx1KD7H6UB1VYCJ7O61P562EIUY" descr="IQGV9140X0K0UPBL8OGU3I44J" hidden="1">
          <a:extLst>
            <a:ext uri="{FF2B5EF4-FFF2-40B4-BE49-F238E27FC236}">
              <a16:creationId xmlns:a16="http://schemas.microsoft.com/office/drawing/2014/main" id="{6A8BE7BB-937D-41B9-B1F6-EB447A49A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31" name="BEx5AQZ4ETQ9LMY5EBWVH20Z7VXQ" hidden="1">
          <a:extLst>
            <a:ext uri="{FF2B5EF4-FFF2-40B4-BE49-F238E27FC236}">
              <a16:creationId xmlns:a16="http://schemas.microsoft.com/office/drawing/2014/main" id="{42E12727-6A42-4B3C-9D3C-EFFEE350B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32" name="BEx1KD7H6UB1VYCJ7O61P562EIUY" descr="IQGV9140X0K0UPBL8OGU3I44J" hidden="1">
          <a:extLst>
            <a:ext uri="{FF2B5EF4-FFF2-40B4-BE49-F238E27FC236}">
              <a16:creationId xmlns:a16="http://schemas.microsoft.com/office/drawing/2014/main" id="{19C65F3A-F239-4441-9F8F-4A0BE71CD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33" name="BEx5AQZ4ETQ9LMY5EBWVH20Z7VXQ" hidden="1">
          <a:extLst>
            <a:ext uri="{FF2B5EF4-FFF2-40B4-BE49-F238E27FC236}">
              <a16:creationId xmlns:a16="http://schemas.microsoft.com/office/drawing/2014/main" id="{EEBF11D6-24FE-492D-8B5F-0AF6BEE7C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34" name="BEx1KD7H6UB1VYCJ7O61P562EIUY" descr="IQGV9140X0K0UPBL8OGU3I44J" hidden="1">
          <a:extLst>
            <a:ext uri="{FF2B5EF4-FFF2-40B4-BE49-F238E27FC236}">
              <a16:creationId xmlns:a16="http://schemas.microsoft.com/office/drawing/2014/main" id="{D31BDAE1-95EE-42E0-98FA-5C3B0BF60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35" name="BEx5AQZ4ETQ9LMY5EBWVH20Z7VXQ" hidden="1">
          <a:extLst>
            <a:ext uri="{FF2B5EF4-FFF2-40B4-BE49-F238E27FC236}">
              <a16:creationId xmlns:a16="http://schemas.microsoft.com/office/drawing/2014/main" id="{DD41CDA0-24DF-4979-B725-D6A584CD5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36" name="BEx1KD7H6UB1VYCJ7O61P562EIUY" descr="IQGV9140X0K0UPBL8OGU3I44J" hidden="1">
          <a:extLst>
            <a:ext uri="{FF2B5EF4-FFF2-40B4-BE49-F238E27FC236}">
              <a16:creationId xmlns:a16="http://schemas.microsoft.com/office/drawing/2014/main" id="{EB6360B8-E782-40B1-A6EC-65A006832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37" name="BEx5AQZ4ETQ9LMY5EBWVH20Z7VXQ" hidden="1">
          <a:extLst>
            <a:ext uri="{FF2B5EF4-FFF2-40B4-BE49-F238E27FC236}">
              <a16:creationId xmlns:a16="http://schemas.microsoft.com/office/drawing/2014/main" id="{EC176D89-698A-4031-803C-9B7245A39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2973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38" name="BEx1KD7H6UB1VYCJ7O61P562EIUY" descr="IQGV9140X0K0UPBL8OGU3I44J" hidden="1">
          <a:extLst>
            <a:ext uri="{FF2B5EF4-FFF2-40B4-BE49-F238E27FC236}">
              <a16:creationId xmlns:a16="http://schemas.microsoft.com/office/drawing/2014/main" id="{16644AAC-E4A2-4719-A5F7-E0F526A21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39" name="BEx5BJQWS6YWHH4ZMSUAMD641V6Y" descr="ZTMFMXCIQSECDX38ALEFHUB00" hidden="1">
          <a:extLst>
            <a:ext uri="{FF2B5EF4-FFF2-40B4-BE49-F238E27FC236}">
              <a16:creationId xmlns:a16="http://schemas.microsoft.com/office/drawing/2014/main" id="{AFBFD614-57EB-42CB-AF5B-0C3EFC5F3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40" name="BEx5AQZ4ETQ9LMY5EBWVH20Z7VXQ" hidden="1">
          <a:extLst>
            <a:ext uri="{FF2B5EF4-FFF2-40B4-BE49-F238E27FC236}">
              <a16:creationId xmlns:a16="http://schemas.microsoft.com/office/drawing/2014/main" id="{9BC4BF2A-E017-42AD-B4B2-E6AADA4CC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41" name="BExUBK0YZ5VYFY8TTITJGJU9S06A" hidden="1">
          <a:extLst>
            <a:ext uri="{FF2B5EF4-FFF2-40B4-BE49-F238E27FC236}">
              <a16:creationId xmlns:a16="http://schemas.microsoft.com/office/drawing/2014/main" id="{4CC5855F-D4EA-4CE3-ACB1-D0FE8DC5D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42" name="BEx1KD7H6UB1VYCJ7O61P562EIUY" descr="IQGV9140X0K0UPBL8OGU3I44J" hidden="1">
          <a:extLst>
            <a:ext uri="{FF2B5EF4-FFF2-40B4-BE49-F238E27FC236}">
              <a16:creationId xmlns:a16="http://schemas.microsoft.com/office/drawing/2014/main" id="{A8804AB8-322C-4BD8-B7A6-3D84E8482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43" name="BEx5BJQWS6YWHH4ZMSUAMD641V6Y" descr="ZTMFMXCIQSECDX38ALEFHUB00" hidden="1">
          <a:extLst>
            <a:ext uri="{FF2B5EF4-FFF2-40B4-BE49-F238E27FC236}">
              <a16:creationId xmlns:a16="http://schemas.microsoft.com/office/drawing/2014/main" id="{27C502B2-1264-42C1-B500-0EC3E99D2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44" name="BEx5AQZ4ETQ9LMY5EBWVH20Z7VXQ" hidden="1">
          <a:extLst>
            <a:ext uri="{FF2B5EF4-FFF2-40B4-BE49-F238E27FC236}">
              <a16:creationId xmlns:a16="http://schemas.microsoft.com/office/drawing/2014/main" id="{03AC1DC4-8E11-4D43-B0E7-64D1A89C2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45" name="BExUBK0YZ5VYFY8TTITJGJU9S06A" hidden="1">
          <a:extLst>
            <a:ext uri="{FF2B5EF4-FFF2-40B4-BE49-F238E27FC236}">
              <a16:creationId xmlns:a16="http://schemas.microsoft.com/office/drawing/2014/main" id="{B80F333F-7431-4D95-93E2-8E8CDEDB0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46" name="BEx1KD7H6UB1VYCJ7O61P562EIUY" descr="IQGV9140X0K0UPBL8OGU3I44J" hidden="1">
          <a:extLst>
            <a:ext uri="{FF2B5EF4-FFF2-40B4-BE49-F238E27FC236}">
              <a16:creationId xmlns:a16="http://schemas.microsoft.com/office/drawing/2014/main" id="{F4BBC219-C687-4837-82E1-40911DC17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47" name="BEx5BJQWS6YWHH4ZMSUAMD641V6Y" descr="ZTMFMXCIQSECDX38ALEFHUB00" hidden="1">
          <a:extLst>
            <a:ext uri="{FF2B5EF4-FFF2-40B4-BE49-F238E27FC236}">
              <a16:creationId xmlns:a16="http://schemas.microsoft.com/office/drawing/2014/main" id="{6A3BF639-957F-4DF3-8782-A5D3D364E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48" name="BEx5AQZ4ETQ9LMY5EBWVH20Z7VXQ" hidden="1">
          <a:extLst>
            <a:ext uri="{FF2B5EF4-FFF2-40B4-BE49-F238E27FC236}">
              <a16:creationId xmlns:a16="http://schemas.microsoft.com/office/drawing/2014/main" id="{E5CC00F9-EC81-49F4-BAE0-424BFA0A3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49" name="BExUBK0YZ5VYFY8TTITJGJU9S06A" hidden="1">
          <a:extLst>
            <a:ext uri="{FF2B5EF4-FFF2-40B4-BE49-F238E27FC236}">
              <a16:creationId xmlns:a16="http://schemas.microsoft.com/office/drawing/2014/main" id="{D63B5D15-ACE0-4F36-84C5-9D1952C7B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50" name="BEx1KD7H6UB1VYCJ7O61P562EIUY" descr="IQGV9140X0K0UPBL8OGU3I44J" hidden="1">
          <a:extLst>
            <a:ext uri="{FF2B5EF4-FFF2-40B4-BE49-F238E27FC236}">
              <a16:creationId xmlns:a16="http://schemas.microsoft.com/office/drawing/2014/main" id="{928A31A0-0450-4D5C-BBF9-CE07F01F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51" name="BEx5BJQWS6YWHH4ZMSUAMD641V6Y" descr="ZTMFMXCIQSECDX38ALEFHUB00" hidden="1">
          <a:extLst>
            <a:ext uri="{FF2B5EF4-FFF2-40B4-BE49-F238E27FC236}">
              <a16:creationId xmlns:a16="http://schemas.microsoft.com/office/drawing/2014/main" id="{7AA75124-077A-4797-9C3C-C71CB4579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52" name="BEx5AQZ4ETQ9LMY5EBWVH20Z7VXQ" hidden="1">
          <a:extLst>
            <a:ext uri="{FF2B5EF4-FFF2-40B4-BE49-F238E27FC236}">
              <a16:creationId xmlns:a16="http://schemas.microsoft.com/office/drawing/2014/main" id="{A93F9989-E82E-4AAB-8440-7EF5A3D5E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53" name="BExUBK0YZ5VYFY8TTITJGJU9S06A" hidden="1">
          <a:extLst>
            <a:ext uri="{FF2B5EF4-FFF2-40B4-BE49-F238E27FC236}">
              <a16:creationId xmlns:a16="http://schemas.microsoft.com/office/drawing/2014/main" id="{589E7476-22C3-4809-9885-68B46EC19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54" name="BEx1KD7H6UB1VYCJ7O61P562EIUY" descr="IQGV9140X0K0UPBL8OGU3I44J" hidden="1">
          <a:extLst>
            <a:ext uri="{FF2B5EF4-FFF2-40B4-BE49-F238E27FC236}">
              <a16:creationId xmlns:a16="http://schemas.microsoft.com/office/drawing/2014/main" id="{8D6EEE95-C18B-4A08-945B-FE1338669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55" name="BEx5BJQWS6YWHH4ZMSUAMD641V6Y" descr="ZTMFMXCIQSECDX38ALEFHUB00" hidden="1">
          <a:extLst>
            <a:ext uri="{FF2B5EF4-FFF2-40B4-BE49-F238E27FC236}">
              <a16:creationId xmlns:a16="http://schemas.microsoft.com/office/drawing/2014/main" id="{350FEC07-77F6-4AEB-9233-63B20BC43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56" name="BEx5AQZ4ETQ9LMY5EBWVH20Z7VXQ" hidden="1">
          <a:extLst>
            <a:ext uri="{FF2B5EF4-FFF2-40B4-BE49-F238E27FC236}">
              <a16:creationId xmlns:a16="http://schemas.microsoft.com/office/drawing/2014/main" id="{1578536E-DC83-43E8-8105-7ACCD88C6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57" name="BExUBK0YZ5VYFY8TTITJGJU9S06A" hidden="1">
          <a:extLst>
            <a:ext uri="{FF2B5EF4-FFF2-40B4-BE49-F238E27FC236}">
              <a16:creationId xmlns:a16="http://schemas.microsoft.com/office/drawing/2014/main" id="{423CE709-D32F-4A73-808E-E8F92A802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58" name="BEx1KD7H6UB1VYCJ7O61P562EIUY" descr="IQGV9140X0K0UPBL8OGU3I44J" hidden="1">
          <a:extLst>
            <a:ext uri="{FF2B5EF4-FFF2-40B4-BE49-F238E27FC236}">
              <a16:creationId xmlns:a16="http://schemas.microsoft.com/office/drawing/2014/main" id="{B407EEF9-4E09-47BC-85CB-2745B3E3B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59" name="BEx5AQZ4ETQ9LMY5EBWVH20Z7VXQ" hidden="1">
          <a:extLst>
            <a:ext uri="{FF2B5EF4-FFF2-40B4-BE49-F238E27FC236}">
              <a16:creationId xmlns:a16="http://schemas.microsoft.com/office/drawing/2014/main" id="{3D1E322F-3CE5-4F3D-B6A3-7EA9A6362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60" name="BEx1KD7H6UB1VYCJ7O61P562EIUY" descr="IQGV9140X0K0UPBL8OGU3I44J" hidden="1">
          <a:extLst>
            <a:ext uri="{FF2B5EF4-FFF2-40B4-BE49-F238E27FC236}">
              <a16:creationId xmlns:a16="http://schemas.microsoft.com/office/drawing/2014/main" id="{E9E83A4D-9FD5-4BBC-ADD4-DA2873670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61" name="BEx5AQZ4ETQ9LMY5EBWVH20Z7VXQ" hidden="1">
          <a:extLst>
            <a:ext uri="{FF2B5EF4-FFF2-40B4-BE49-F238E27FC236}">
              <a16:creationId xmlns:a16="http://schemas.microsoft.com/office/drawing/2014/main" id="{66E4F25D-B26C-4755-9208-A063AABB8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62" name="BEx1KD7H6UB1VYCJ7O61P562EIUY" descr="IQGV9140X0K0UPBL8OGU3I44J" hidden="1">
          <a:extLst>
            <a:ext uri="{FF2B5EF4-FFF2-40B4-BE49-F238E27FC236}">
              <a16:creationId xmlns:a16="http://schemas.microsoft.com/office/drawing/2014/main" id="{09B42ACF-0AB3-457A-B245-371348F2F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63" name="BEx5AQZ4ETQ9LMY5EBWVH20Z7VXQ" hidden="1">
          <a:extLst>
            <a:ext uri="{FF2B5EF4-FFF2-40B4-BE49-F238E27FC236}">
              <a16:creationId xmlns:a16="http://schemas.microsoft.com/office/drawing/2014/main" id="{A41E115D-CA98-4F14-B08D-DE37316A0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64" name="BEx1KD7H6UB1VYCJ7O61P562EIUY" descr="IQGV9140X0K0UPBL8OGU3I44J" hidden="1">
          <a:extLst>
            <a:ext uri="{FF2B5EF4-FFF2-40B4-BE49-F238E27FC236}">
              <a16:creationId xmlns:a16="http://schemas.microsoft.com/office/drawing/2014/main" id="{D301DB3C-AD20-4A80-BD89-158DF14E0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65" name="BEx5AQZ4ETQ9LMY5EBWVH20Z7VXQ" hidden="1">
          <a:extLst>
            <a:ext uri="{FF2B5EF4-FFF2-40B4-BE49-F238E27FC236}">
              <a16:creationId xmlns:a16="http://schemas.microsoft.com/office/drawing/2014/main" id="{A1C1127E-35C4-4C84-A971-CCFE36D4D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66" name="BEx1KD7H6UB1VYCJ7O61P562EIUY" descr="IQGV9140X0K0UPBL8OGU3I44J" hidden="1">
          <a:extLst>
            <a:ext uri="{FF2B5EF4-FFF2-40B4-BE49-F238E27FC236}">
              <a16:creationId xmlns:a16="http://schemas.microsoft.com/office/drawing/2014/main" id="{021AAC48-2D48-42F5-9A45-76AD8F23F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67" name="BEx5AQZ4ETQ9LMY5EBWVH20Z7VXQ" hidden="1">
          <a:extLst>
            <a:ext uri="{FF2B5EF4-FFF2-40B4-BE49-F238E27FC236}">
              <a16:creationId xmlns:a16="http://schemas.microsoft.com/office/drawing/2014/main" id="{6745F1CD-DCBB-44B3-9909-2E9157F29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68" name="BEx1KD7H6UB1VYCJ7O61P562EIUY" descr="IQGV9140X0K0UPBL8OGU3I44J" hidden="1">
          <a:extLst>
            <a:ext uri="{FF2B5EF4-FFF2-40B4-BE49-F238E27FC236}">
              <a16:creationId xmlns:a16="http://schemas.microsoft.com/office/drawing/2014/main" id="{4C8375AB-7D20-448E-B61A-2294BCDA0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69" name="BEx5AQZ4ETQ9LMY5EBWVH20Z7VXQ" hidden="1">
          <a:extLst>
            <a:ext uri="{FF2B5EF4-FFF2-40B4-BE49-F238E27FC236}">
              <a16:creationId xmlns:a16="http://schemas.microsoft.com/office/drawing/2014/main" id="{FE2C6A96-1254-461F-8C62-C7BF0790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70" name="BEx1KD7H6UB1VYCJ7O61P562EIUY" descr="IQGV9140X0K0UPBL8OGU3I44J" hidden="1">
          <a:extLst>
            <a:ext uri="{FF2B5EF4-FFF2-40B4-BE49-F238E27FC236}">
              <a16:creationId xmlns:a16="http://schemas.microsoft.com/office/drawing/2014/main" id="{AAB1940E-E1A8-4BBE-A799-73F9F69E6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71" name="BEx5AQZ4ETQ9LMY5EBWVH20Z7VXQ" hidden="1">
          <a:extLst>
            <a:ext uri="{FF2B5EF4-FFF2-40B4-BE49-F238E27FC236}">
              <a16:creationId xmlns:a16="http://schemas.microsoft.com/office/drawing/2014/main" id="{ABD79602-6071-487C-9A3C-7A0D0EC6A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72" name="BEx1KD7H6UB1VYCJ7O61P562EIUY" descr="IQGV9140X0K0UPBL8OGU3I44J" hidden="1">
          <a:extLst>
            <a:ext uri="{FF2B5EF4-FFF2-40B4-BE49-F238E27FC236}">
              <a16:creationId xmlns:a16="http://schemas.microsoft.com/office/drawing/2014/main" id="{7A66B5E6-D6C7-4A75-82C2-0C7A0B60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73" name="BEx5AQZ4ETQ9LMY5EBWVH20Z7VXQ" hidden="1">
          <a:extLst>
            <a:ext uri="{FF2B5EF4-FFF2-40B4-BE49-F238E27FC236}">
              <a16:creationId xmlns:a16="http://schemas.microsoft.com/office/drawing/2014/main" id="{26B8615C-F191-492A-8EC8-5C16C7409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74" name="BEx1KD7H6UB1VYCJ7O61P562EIUY" descr="IQGV9140X0K0UPBL8OGU3I44J" hidden="1">
          <a:extLst>
            <a:ext uri="{FF2B5EF4-FFF2-40B4-BE49-F238E27FC236}">
              <a16:creationId xmlns:a16="http://schemas.microsoft.com/office/drawing/2014/main" id="{20CEE587-B154-41ED-9F35-E7C744B33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75" name="BEx5AQZ4ETQ9LMY5EBWVH20Z7VXQ" hidden="1">
          <a:extLst>
            <a:ext uri="{FF2B5EF4-FFF2-40B4-BE49-F238E27FC236}">
              <a16:creationId xmlns:a16="http://schemas.microsoft.com/office/drawing/2014/main" id="{0A0B19C5-AB25-4E23-948C-45B1DD492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76" name="BEx1KD7H6UB1VYCJ7O61P562EIUY" descr="IQGV9140X0K0UPBL8OGU3I44J" hidden="1">
          <a:extLst>
            <a:ext uri="{FF2B5EF4-FFF2-40B4-BE49-F238E27FC236}">
              <a16:creationId xmlns:a16="http://schemas.microsoft.com/office/drawing/2014/main" id="{84297B36-5854-4343-8288-F8414E04A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77" name="BEx5AQZ4ETQ9LMY5EBWVH20Z7VXQ" hidden="1">
          <a:extLst>
            <a:ext uri="{FF2B5EF4-FFF2-40B4-BE49-F238E27FC236}">
              <a16:creationId xmlns:a16="http://schemas.microsoft.com/office/drawing/2014/main" id="{7BF2FAB5-B989-44EA-A738-4FDEC7AE4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78" name="BEx1KD7H6UB1VYCJ7O61P562EIUY" descr="IQGV9140X0K0UPBL8OGU3I44J" hidden="1">
          <a:extLst>
            <a:ext uri="{FF2B5EF4-FFF2-40B4-BE49-F238E27FC236}">
              <a16:creationId xmlns:a16="http://schemas.microsoft.com/office/drawing/2014/main" id="{D635ADF4-2207-4CB2-837B-453D3A011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79" name="BEx5AQZ4ETQ9LMY5EBWVH20Z7VXQ" hidden="1">
          <a:extLst>
            <a:ext uri="{FF2B5EF4-FFF2-40B4-BE49-F238E27FC236}">
              <a16:creationId xmlns:a16="http://schemas.microsoft.com/office/drawing/2014/main" id="{1895F10B-A712-473D-A7F8-0301E9E05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80" name="BEx1KD7H6UB1VYCJ7O61P562EIUY" descr="IQGV9140X0K0UPBL8OGU3I44J" hidden="1">
          <a:extLst>
            <a:ext uri="{FF2B5EF4-FFF2-40B4-BE49-F238E27FC236}">
              <a16:creationId xmlns:a16="http://schemas.microsoft.com/office/drawing/2014/main" id="{3D731CAC-8C19-4419-952D-4D0A2651A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81" name="BEx5AQZ4ETQ9LMY5EBWVH20Z7VXQ" hidden="1">
          <a:extLst>
            <a:ext uri="{FF2B5EF4-FFF2-40B4-BE49-F238E27FC236}">
              <a16:creationId xmlns:a16="http://schemas.microsoft.com/office/drawing/2014/main" id="{814274FE-58D4-4ECF-BBB6-6F52EE89B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82" name="BEx1KD7H6UB1VYCJ7O61P562EIUY" descr="IQGV9140X0K0UPBL8OGU3I44J" hidden="1">
          <a:extLst>
            <a:ext uri="{FF2B5EF4-FFF2-40B4-BE49-F238E27FC236}">
              <a16:creationId xmlns:a16="http://schemas.microsoft.com/office/drawing/2014/main" id="{40BA2C7B-A3CC-4EA8-A092-66104490D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83" name="BEx5AQZ4ETQ9LMY5EBWVH20Z7VXQ" hidden="1">
          <a:extLst>
            <a:ext uri="{FF2B5EF4-FFF2-40B4-BE49-F238E27FC236}">
              <a16:creationId xmlns:a16="http://schemas.microsoft.com/office/drawing/2014/main" id="{DF4E12E7-8A9F-4B66-8783-C5D6217FE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84" name="BEx1KD7H6UB1VYCJ7O61P562EIUY" descr="IQGV9140X0K0UPBL8OGU3I44J" hidden="1">
          <a:extLst>
            <a:ext uri="{FF2B5EF4-FFF2-40B4-BE49-F238E27FC236}">
              <a16:creationId xmlns:a16="http://schemas.microsoft.com/office/drawing/2014/main" id="{C736917F-3579-439F-8C45-F3172D066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85" name="BEx5AQZ4ETQ9LMY5EBWVH20Z7VXQ" hidden="1">
          <a:extLst>
            <a:ext uri="{FF2B5EF4-FFF2-40B4-BE49-F238E27FC236}">
              <a16:creationId xmlns:a16="http://schemas.microsoft.com/office/drawing/2014/main" id="{ED2B23CC-36D7-454B-AACB-37A873118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86" name="BEx1KD7H6UB1VYCJ7O61P562EIUY" descr="IQGV9140X0K0UPBL8OGU3I44J" hidden="1">
          <a:extLst>
            <a:ext uri="{FF2B5EF4-FFF2-40B4-BE49-F238E27FC236}">
              <a16:creationId xmlns:a16="http://schemas.microsoft.com/office/drawing/2014/main" id="{1DBF0FCD-510C-47EF-9838-C20D25E3A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87" name="BEx5AQZ4ETQ9LMY5EBWVH20Z7VXQ" hidden="1">
          <a:extLst>
            <a:ext uri="{FF2B5EF4-FFF2-40B4-BE49-F238E27FC236}">
              <a16:creationId xmlns:a16="http://schemas.microsoft.com/office/drawing/2014/main" id="{E2DB88C9-97F6-4F58-AC2A-95F55D2C8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88" name="BEx1KD7H6UB1VYCJ7O61P562EIUY" descr="IQGV9140X0K0UPBL8OGU3I44J" hidden="1">
          <a:extLst>
            <a:ext uri="{FF2B5EF4-FFF2-40B4-BE49-F238E27FC236}">
              <a16:creationId xmlns:a16="http://schemas.microsoft.com/office/drawing/2014/main" id="{78BEE65F-865A-473B-A172-158C0E201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89" name="BEx5AQZ4ETQ9LMY5EBWVH20Z7VXQ" hidden="1">
          <a:extLst>
            <a:ext uri="{FF2B5EF4-FFF2-40B4-BE49-F238E27FC236}">
              <a16:creationId xmlns:a16="http://schemas.microsoft.com/office/drawing/2014/main" id="{47F2F38E-4D8A-462E-B2D4-BDA4CB4FB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90" name="BEx1KD7H6UB1VYCJ7O61P562EIUY" descr="IQGV9140X0K0UPBL8OGU3I44J" hidden="1">
          <a:extLst>
            <a:ext uri="{FF2B5EF4-FFF2-40B4-BE49-F238E27FC236}">
              <a16:creationId xmlns:a16="http://schemas.microsoft.com/office/drawing/2014/main" id="{6DB4394D-C68D-44DC-9CD3-B3ADCDF03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91" name="BEx5AQZ4ETQ9LMY5EBWVH20Z7VXQ" hidden="1">
          <a:extLst>
            <a:ext uri="{FF2B5EF4-FFF2-40B4-BE49-F238E27FC236}">
              <a16:creationId xmlns:a16="http://schemas.microsoft.com/office/drawing/2014/main" id="{752933E7-5A35-45F8-B12B-5FCA5E2DA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92" name="BEx1KD7H6UB1VYCJ7O61P562EIUY" descr="IQGV9140X0K0UPBL8OGU3I44J" hidden="1">
          <a:extLst>
            <a:ext uri="{FF2B5EF4-FFF2-40B4-BE49-F238E27FC236}">
              <a16:creationId xmlns:a16="http://schemas.microsoft.com/office/drawing/2014/main" id="{B4F7B085-316A-49EC-9E70-A0D2042D8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93" name="BEx5AQZ4ETQ9LMY5EBWVH20Z7VXQ" hidden="1">
          <a:extLst>
            <a:ext uri="{FF2B5EF4-FFF2-40B4-BE49-F238E27FC236}">
              <a16:creationId xmlns:a16="http://schemas.microsoft.com/office/drawing/2014/main" id="{793B7896-7762-4F17-B892-E4FD3A018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94" name="BEx1KD7H6UB1VYCJ7O61P562EIUY" descr="IQGV9140X0K0UPBL8OGU3I44J" hidden="1">
          <a:extLst>
            <a:ext uri="{FF2B5EF4-FFF2-40B4-BE49-F238E27FC236}">
              <a16:creationId xmlns:a16="http://schemas.microsoft.com/office/drawing/2014/main" id="{C29F0FD5-DAA4-4E0A-85AD-AFF019A94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95" name="BEx5AQZ4ETQ9LMY5EBWVH20Z7VXQ" hidden="1">
          <a:extLst>
            <a:ext uri="{FF2B5EF4-FFF2-40B4-BE49-F238E27FC236}">
              <a16:creationId xmlns:a16="http://schemas.microsoft.com/office/drawing/2014/main" id="{4D19FDA6-439E-4D6F-B329-63D0E1C89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96" name="BEx1KD7H6UB1VYCJ7O61P562EIUY" descr="IQGV9140X0K0UPBL8OGU3I44J" hidden="1">
          <a:extLst>
            <a:ext uri="{FF2B5EF4-FFF2-40B4-BE49-F238E27FC236}">
              <a16:creationId xmlns:a16="http://schemas.microsoft.com/office/drawing/2014/main" id="{9BA1BF09-B8A0-437E-A972-2B2597047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97" name="BEx5AQZ4ETQ9LMY5EBWVH20Z7VXQ" hidden="1">
          <a:extLst>
            <a:ext uri="{FF2B5EF4-FFF2-40B4-BE49-F238E27FC236}">
              <a16:creationId xmlns:a16="http://schemas.microsoft.com/office/drawing/2014/main" id="{E2A58F45-5181-44C6-AE55-C4752EA70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598" name="BEx1KD7H6UB1VYCJ7O61P562EIUY" descr="IQGV9140X0K0UPBL8OGU3I44J" hidden="1">
          <a:extLst>
            <a:ext uri="{FF2B5EF4-FFF2-40B4-BE49-F238E27FC236}">
              <a16:creationId xmlns:a16="http://schemas.microsoft.com/office/drawing/2014/main" id="{56251BDF-7ABA-42DC-AACA-ED4FF4091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599" name="BEx5BJQWS6YWHH4ZMSUAMD641V6Y" descr="ZTMFMXCIQSECDX38ALEFHUB00" hidden="1">
          <a:extLst>
            <a:ext uri="{FF2B5EF4-FFF2-40B4-BE49-F238E27FC236}">
              <a16:creationId xmlns:a16="http://schemas.microsoft.com/office/drawing/2014/main" id="{E9A6C057-6C25-4227-870C-57BEFB2ED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00" name="BEx5AQZ4ETQ9LMY5EBWVH20Z7VXQ" hidden="1">
          <a:extLst>
            <a:ext uri="{FF2B5EF4-FFF2-40B4-BE49-F238E27FC236}">
              <a16:creationId xmlns:a16="http://schemas.microsoft.com/office/drawing/2014/main" id="{5BA2831A-475E-4B2A-B411-73821A936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01" name="BExUBK0YZ5VYFY8TTITJGJU9S06A" hidden="1">
          <a:extLst>
            <a:ext uri="{FF2B5EF4-FFF2-40B4-BE49-F238E27FC236}">
              <a16:creationId xmlns:a16="http://schemas.microsoft.com/office/drawing/2014/main" id="{10A900D1-9153-432C-AF30-0C84ED0A8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02" name="BEx5BJQWS6YWHH4ZMSUAMD641V6Y" descr="ZTMFMXCIQSECDX38ALEFHUB00" hidden="1">
          <a:extLst>
            <a:ext uri="{FF2B5EF4-FFF2-40B4-BE49-F238E27FC236}">
              <a16:creationId xmlns:a16="http://schemas.microsoft.com/office/drawing/2014/main" id="{518F8BF7-DAB0-4121-878E-C243B8A76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03" name="BExUBK0YZ5VYFY8TTITJGJU9S06A" hidden="1">
          <a:extLst>
            <a:ext uri="{FF2B5EF4-FFF2-40B4-BE49-F238E27FC236}">
              <a16:creationId xmlns:a16="http://schemas.microsoft.com/office/drawing/2014/main" id="{58206B48-90EF-4961-A2E4-56CB7AB35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04" name="BEx5BJQWS6YWHH4ZMSUAMD641V6Y" descr="ZTMFMXCIQSECDX38ALEFHUB00" hidden="1">
          <a:extLst>
            <a:ext uri="{FF2B5EF4-FFF2-40B4-BE49-F238E27FC236}">
              <a16:creationId xmlns:a16="http://schemas.microsoft.com/office/drawing/2014/main" id="{ECCBC82B-CFB1-417E-AB22-09A6E476A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05" name="BExUBK0YZ5VYFY8TTITJGJU9S06A" hidden="1">
          <a:extLst>
            <a:ext uri="{FF2B5EF4-FFF2-40B4-BE49-F238E27FC236}">
              <a16:creationId xmlns:a16="http://schemas.microsoft.com/office/drawing/2014/main" id="{9E7F02AB-5B94-4D84-A528-BD59E5612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06" name="BEx5BJQWS6YWHH4ZMSUAMD641V6Y" descr="ZTMFMXCIQSECDX38ALEFHUB00" hidden="1">
          <a:extLst>
            <a:ext uri="{FF2B5EF4-FFF2-40B4-BE49-F238E27FC236}">
              <a16:creationId xmlns:a16="http://schemas.microsoft.com/office/drawing/2014/main" id="{6B7F95A9-DC8F-4776-9182-F0DD304E1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07" name="BExUBK0YZ5VYFY8TTITJGJU9S06A" hidden="1">
          <a:extLst>
            <a:ext uri="{FF2B5EF4-FFF2-40B4-BE49-F238E27FC236}">
              <a16:creationId xmlns:a16="http://schemas.microsoft.com/office/drawing/2014/main" id="{B6FE5C1A-5F91-47CE-A406-88EC6D6CA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08" name="BEx5BJQWS6YWHH4ZMSUAMD641V6Y" descr="ZTMFMXCIQSECDX38ALEFHUB00" hidden="1">
          <a:extLst>
            <a:ext uri="{FF2B5EF4-FFF2-40B4-BE49-F238E27FC236}">
              <a16:creationId xmlns:a16="http://schemas.microsoft.com/office/drawing/2014/main" id="{D256124C-765D-4657-B8FC-27FDF8C98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09" name="BExUBK0YZ5VYFY8TTITJGJU9S06A" hidden="1">
          <a:extLst>
            <a:ext uri="{FF2B5EF4-FFF2-40B4-BE49-F238E27FC236}">
              <a16:creationId xmlns:a16="http://schemas.microsoft.com/office/drawing/2014/main" id="{A1B5CEA4-E390-409B-8716-054CA9635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10" name="BEx5BJQWS6YWHH4ZMSUAMD641V6Y" descr="ZTMFMXCIQSECDX38ALEFHUB00" hidden="1">
          <a:extLst>
            <a:ext uri="{FF2B5EF4-FFF2-40B4-BE49-F238E27FC236}">
              <a16:creationId xmlns:a16="http://schemas.microsoft.com/office/drawing/2014/main" id="{43DFD229-506F-49F8-BB45-700477AD2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11" name="BExUBK0YZ5VYFY8TTITJGJU9S06A" hidden="1">
          <a:extLst>
            <a:ext uri="{FF2B5EF4-FFF2-40B4-BE49-F238E27FC236}">
              <a16:creationId xmlns:a16="http://schemas.microsoft.com/office/drawing/2014/main" id="{EC6237CB-B8B8-4B6F-8B9A-B302866F9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12" name="BEx1KD7H6UB1VYCJ7O61P562EIUY" descr="IQGV9140X0K0UPBL8OGU3I44J" hidden="1">
          <a:extLst>
            <a:ext uri="{FF2B5EF4-FFF2-40B4-BE49-F238E27FC236}">
              <a16:creationId xmlns:a16="http://schemas.microsoft.com/office/drawing/2014/main" id="{EA6D80FE-2ADE-49B0-955B-D5FAE8D75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13" name="BEx5AQZ4ETQ9LMY5EBWVH20Z7VXQ" hidden="1">
          <a:extLst>
            <a:ext uri="{FF2B5EF4-FFF2-40B4-BE49-F238E27FC236}">
              <a16:creationId xmlns:a16="http://schemas.microsoft.com/office/drawing/2014/main" id="{9FF97EAC-508B-4049-A4E3-3834DD173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14" name="BEx1KD7H6UB1VYCJ7O61P562EIUY" descr="IQGV9140X0K0UPBL8OGU3I44J" hidden="1">
          <a:extLst>
            <a:ext uri="{FF2B5EF4-FFF2-40B4-BE49-F238E27FC236}">
              <a16:creationId xmlns:a16="http://schemas.microsoft.com/office/drawing/2014/main" id="{9626FF92-0EAA-4F69-9D1A-047016CD4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15" name="BEx5AQZ4ETQ9LMY5EBWVH20Z7VXQ" hidden="1">
          <a:extLst>
            <a:ext uri="{FF2B5EF4-FFF2-40B4-BE49-F238E27FC236}">
              <a16:creationId xmlns:a16="http://schemas.microsoft.com/office/drawing/2014/main" id="{B80E4E7D-42E0-4DBB-B9CF-4918BEFE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16" name="BEx5BJQWS6YWHH4ZMSUAMD641V6Y" descr="ZTMFMXCIQSECDX38ALEFHUB00" hidden="1">
          <a:extLst>
            <a:ext uri="{FF2B5EF4-FFF2-40B4-BE49-F238E27FC236}">
              <a16:creationId xmlns:a16="http://schemas.microsoft.com/office/drawing/2014/main" id="{E51CF8ED-A09C-463A-803A-D3FDC7CE5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17" name="BExUBK0YZ5VYFY8TTITJGJU9S06A" hidden="1">
          <a:extLst>
            <a:ext uri="{FF2B5EF4-FFF2-40B4-BE49-F238E27FC236}">
              <a16:creationId xmlns:a16="http://schemas.microsoft.com/office/drawing/2014/main" id="{E01CE7FD-C1E9-47DB-A1C4-B6946B348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18" name="BEx1KD7H6UB1VYCJ7O61P562EIUY" descr="IQGV9140X0K0UPBL8OGU3I44J" hidden="1">
          <a:extLst>
            <a:ext uri="{FF2B5EF4-FFF2-40B4-BE49-F238E27FC236}">
              <a16:creationId xmlns:a16="http://schemas.microsoft.com/office/drawing/2014/main" id="{CD6A00FD-D9F2-46FA-9B32-AE29DB01A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19" name="BEx5AQZ4ETQ9LMY5EBWVH20Z7VXQ" hidden="1">
          <a:extLst>
            <a:ext uri="{FF2B5EF4-FFF2-40B4-BE49-F238E27FC236}">
              <a16:creationId xmlns:a16="http://schemas.microsoft.com/office/drawing/2014/main" id="{7D26444B-190D-496A-9161-4083F1B6C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20" name="BEx5BJQWS6YWHH4ZMSUAMD641V6Y" descr="ZTMFMXCIQSECDX38ALEFHUB00" hidden="1">
          <a:extLst>
            <a:ext uri="{FF2B5EF4-FFF2-40B4-BE49-F238E27FC236}">
              <a16:creationId xmlns:a16="http://schemas.microsoft.com/office/drawing/2014/main" id="{5A9546E9-8B70-4C5B-801B-02BC90015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21" name="BExUBK0YZ5VYFY8TTITJGJU9S06A" hidden="1">
          <a:extLst>
            <a:ext uri="{FF2B5EF4-FFF2-40B4-BE49-F238E27FC236}">
              <a16:creationId xmlns:a16="http://schemas.microsoft.com/office/drawing/2014/main" id="{B1F383B0-DA0F-43EF-9AF8-2F5977569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22" name="BEx5BJQWS6YWHH4ZMSUAMD641V6Y" descr="ZTMFMXCIQSECDX38ALEFHUB00" hidden="1">
          <a:extLst>
            <a:ext uri="{FF2B5EF4-FFF2-40B4-BE49-F238E27FC236}">
              <a16:creationId xmlns:a16="http://schemas.microsoft.com/office/drawing/2014/main" id="{79F1EB8F-7075-4FA0-A6B2-C7EFD4609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23" name="BExUBK0YZ5VYFY8TTITJGJU9S06A" hidden="1">
          <a:extLst>
            <a:ext uri="{FF2B5EF4-FFF2-40B4-BE49-F238E27FC236}">
              <a16:creationId xmlns:a16="http://schemas.microsoft.com/office/drawing/2014/main" id="{0BFE1CAB-EEF9-4012-83E4-D2B710B80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24" name="BEx1KD7H6UB1VYCJ7O61P562EIUY" descr="IQGV9140X0K0UPBL8OGU3I44J" hidden="1">
          <a:extLst>
            <a:ext uri="{FF2B5EF4-FFF2-40B4-BE49-F238E27FC236}">
              <a16:creationId xmlns:a16="http://schemas.microsoft.com/office/drawing/2014/main" id="{F84067AA-702D-41C5-97B0-A152B1149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25" name="BEx5AQZ4ETQ9LMY5EBWVH20Z7VXQ" hidden="1">
          <a:extLst>
            <a:ext uri="{FF2B5EF4-FFF2-40B4-BE49-F238E27FC236}">
              <a16:creationId xmlns:a16="http://schemas.microsoft.com/office/drawing/2014/main" id="{90789916-227D-48C2-B6AD-D70100E4F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26" name="BEx5BJQWS6YWHH4ZMSUAMD641V6Y" descr="ZTMFMXCIQSECDX38ALEFHUB00" hidden="1">
          <a:extLst>
            <a:ext uri="{FF2B5EF4-FFF2-40B4-BE49-F238E27FC236}">
              <a16:creationId xmlns:a16="http://schemas.microsoft.com/office/drawing/2014/main" id="{EEA93B8A-A32D-4B01-B374-AFC6F9472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27" name="BExUBK0YZ5VYFY8TTITJGJU9S06A" hidden="1">
          <a:extLst>
            <a:ext uri="{FF2B5EF4-FFF2-40B4-BE49-F238E27FC236}">
              <a16:creationId xmlns:a16="http://schemas.microsoft.com/office/drawing/2014/main" id="{5EA64627-B9B8-4675-BD2C-FD7472BD6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28" name="BEx5BJQWS6YWHH4ZMSUAMD641V6Y" descr="ZTMFMXCIQSECDX38ALEFHUB00" hidden="1">
          <a:extLst>
            <a:ext uri="{FF2B5EF4-FFF2-40B4-BE49-F238E27FC236}">
              <a16:creationId xmlns:a16="http://schemas.microsoft.com/office/drawing/2014/main" id="{C6C98F00-A309-41B0-AB7E-3CF8E6383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29" name="BExUBK0YZ5VYFY8TTITJGJU9S06A" hidden="1">
          <a:extLst>
            <a:ext uri="{FF2B5EF4-FFF2-40B4-BE49-F238E27FC236}">
              <a16:creationId xmlns:a16="http://schemas.microsoft.com/office/drawing/2014/main" id="{6909900B-8B6A-4E2C-BA0A-F305C6E94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30" name="BEx5BJQWS6YWHH4ZMSUAMD641V6Y" descr="ZTMFMXCIQSECDX38ALEFHUB00" hidden="1">
          <a:extLst>
            <a:ext uri="{FF2B5EF4-FFF2-40B4-BE49-F238E27FC236}">
              <a16:creationId xmlns:a16="http://schemas.microsoft.com/office/drawing/2014/main" id="{1274B7B0-505F-4F4C-8631-1B226DDF7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31" name="BExUBK0YZ5VYFY8TTITJGJU9S06A" hidden="1">
          <a:extLst>
            <a:ext uri="{FF2B5EF4-FFF2-40B4-BE49-F238E27FC236}">
              <a16:creationId xmlns:a16="http://schemas.microsoft.com/office/drawing/2014/main" id="{354ECA71-8BFB-48A1-9E10-3963B6D7D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32" name="BEx1KD7H6UB1VYCJ7O61P562EIUY" descr="IQGV9140X0K0UPBL8OGU3I44J" hidden="1">
          <a:extLst>
            <a:ext uri="{FF2B5EF4-FFF2-40B4-BE49-F238E27FC236}">
              <a16:creationId xmlns:a16="http://schemas.microsoft.com/office/drawing/2014/main" id="{040C63E4-091E-4924-A66F-37457DA18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33" name="BEx5AQZ4ETQ9LMY5EBWVH20Z7VXQ" hidden="1">
          <a:extLst>
            <a:ext uri="{FF2B5EF4-FFF2-40B4-BE49-F238E27FC236}">
              <a16:creationId xmlns:a16="http://schemas.microsoft.com/office/drawing/2014/main" id="{358113F1-E60B-4FC6-B89A-8F1DD7931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34" name="BEx5BJQWS6YWHH4ZMSUAMD641V6Y" descr="ZTMFMXCIQSECDX38ALEFHUB00" hidden="1">
          <a:extLst>
            <a:ext uri="{FF2B5EF4-FFF2-40B4-BE49-F238E27FC236}">
              <a16:creationId xmlns:a16="http://schemas.microsoft.com/office/drawing/2014/main" id="{8D62C16B-1340-407F-A7B0-5BB6225A1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35" name="BExUBK0YZ5VYFY8TTITJGJU9S06A" hidden="1">
          <a:extLst>
            <a:ext uri="{FF2B5EF4-FFF2-40B4-BE49-F238E27FC236}">
              <a16:creationId xmlns:a16="http://schemas.microsoft.com/office/drawing/2014/main" id="{1E0BB6A4-D2C6-4C57-9979-5381D71AF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36" name="BEx5BJQWS6YWHH4ZMSUAMD641V6Y" descr="ZTMFMXCIQSECDX38ALEFHUB00" hidden="1">
          <a:extLst>
            <a:ext uri="{FF2B5EF4-FFF2-40B4-BE49-F238E27FC236}">
              <a16:creationId xmlns:a16="http://schemas.microsoft.com/office/drawing/2014/main" id="{590D12DE-C383-475B-9B4E-B1FFDF86D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37" name="BExUBK0YZ5VYFY8TTITJGJU9S06A" hidden="1">
          <a:extLst>
            <a:ext uri="{FF2B5EF4-FFF2-40B4-BE49-F238E27FC236}">
              <a16:creationId xmlns:a16="http://schemas.microsoft.com/office/drawing/2014/main" id="{1F2269DE-EFFA-4E74-A265-2DD6D790C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38" name="BEx5BJQWS6YWHH4ZMSUAMD641V6Y" descr="ZTMFMXCIQSECDX38ALEFHUB00" hidden="1">
          <a:extLst>
            <a:ext uri="{FF2B5EF4-FFF2-40B4-BE49-F238E27FC236}">
              <a16:creationId xmlns:a16="http://schemas.microsoft.com/office/drawing/2014/main" id="{5FAA15AB-C7D8-4005-BEA5-24B18A949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39" name="BExUBK0YZ5VYFY8TTITJGJU9S06A" hidden="1">
          <a:extLst>
            <a:ext uri="{FF2B5EF4-FFF2-40B4-BE49-F238E27FC236}">
              <a16:creationId xmlns:a16="http://schemas.microsoft.com/office/drawing/2014/main" id="{20C8CB44-3FEB-41BD-BE8E-DB4C42AA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40" name="BEx5BJQWS6YWHH4ZMSUAMD641V6Y" descr="ZTMFMXCIQSECDX38ALEFHUB00" hidden="1">
          <a:extLst>
            <a:ext uri="{FF2B5EF4-FFF2-40B4-BE49-F238E27FC236}">
              <a16:creationId xmlns:a16="http://schemas.microsoft.com/office/drawing/2014/main" id="{F6FC6391-D0AD-4BCF-A4C7-4FC4B1EEC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41" name="BExUBK0YZ5VYFY8TTITJGJU9S06A" hidden="1">
          <a:extLst>
            <a:ext uri="{FF2B5EF4-FFF2-40B4-BE49-F238E27FC236}">
              <a16:creationId xmlns:a16="http://schemas.microsoft.com/office/drawing/2014/main" id="{62FB63E6-4C81-4EC0-B6F9-A0D3F710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42" name="BEx5BJQWS6YWHH4ZMSUAMD641V6Y" descr="ZTMFMXCIQSECDX38ALEFHUB00" hidden="1">
          <a:extLst>
            <a:ext uri="{FF2B5EF4-FFF2-40B4-BE49-F238E27FC236}">
              <a16:creationId xmlns:a16="http://schemas.microsoft.com/office/drawing/2014/main" id="{9BFA8CAE-3F3E-44DE-8ABA-3947E8849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43" name="BExUBK0YZ5VYFY8TTITJGJU9S06A" hidden="1">
          <a:extLst>
            <a:ext uri="{FF2B5EF4-FFF2-40B4-BE49-F238E27FC236}">
              <a16:creationId xmlns:a16="http://schemas.microsoft.com/office/drawing/2014/main" id="{DC6CC4E5-095D-4997-ADFF-BB5577692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44" name="BEx1KD7H6UB1VYCJ7O61P562EIUY" descr="IQGV9140X0K0UPBL8OGU3I44J" hidden="1">
          <a:extLst>
            <a:ext uri="{FF2B5EF4-FFF2-40B4-BE49-F238E27FC236}">
              <a16:creationId xmlns:a16="http://schemas.microsoft.com/office/drawing/2014/main" id="{F80355B8-92BA-42AC-9A73-EE1A886F1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45" name="BEx5BJQWS6YWHH4ZMSUAMD641V6Y" descr="ZTMFMXCIQSECDX38ALEFHUB00" hidden="1">
          <a:extLst>
            <a:ext uri="{FF2B5EF4-FFF2-40B4-BE49-F238E27FC236}">
              <a16:creationId xmlns:a16="http://schemas.microsoft.com/office/drawing/2014/main" id="{6A6CFEF4-7E9F-40D7-A262-00F6E787D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46" name="BEx5AQZ4ETQ9LMY5EBWVH20Z7VXQ" hidden="1">
          <a:extLst>
            <a:ext uri="{FF2B5EF4-FFF2-40B4-BE49-F238E27FC236}">
              <a16:creationId xmlns:a16="http://schemas.microsoft.com/office/drawing/2014/main" id="{73B1CD98-E02D-4670-8BC8-94EB5905D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47" name="BExUBK0YZ5VYFY8TTITJGJU9S06A" hidden="1">
          <a:extLst>
            <a:ext uri="{FF2B5EF4-FFF2-40B4-BE49-F238E27FC236}">
              <a16:creationId xmlns:a16="http://schemas.microsoft.com/office/drawing/2014/main" id="{FDC8C416-9009-46E7-9C26-343C3C366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162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48" name="BEx5BJQWS6YWHH4ZMSUAMD641V6Y" descr="ZTMFMXCIQSECDX38ALEFHUB00" hidden="1">
          <a:extLst>
            <a:ext uri="{FF2B5EF4-FFF2-40B4-BE49-F238E27FC236}">
              <a16:creationId xmlns:a16="http://schemas.microsoft.com/office/drawing/2014/main" id="{3232A794-E051-43AC-AF86-08AC5F7B9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49" name="BExUBK0YZ5VYFY8TTITJGJU9S06A" hidden="1">
          <a:extLst>
            <a:ext uri="{FF2B5EF4-FFF2-40B4-BE49-F238E27FC236}">
              <a16:creationId xmlns:a16="http://schemas.microsoft.com/office/drawing/2014/main" id="{A48E5CF5-A90A-4FC7-9BF1-00EA5535F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50" name="BEx5BJQWS6YWHH4ZMSUAMD641V6Y" descr="ZTMFMXCIQSECDX38ALEFHUB00" hidden="1">
          <a:extLst>
            <a:ext uri="{FF2B5EF4-FFF2-40B4-BE49-F238E27FC236}">
              <a16:creationId xmlns:a16="http://schemas.microsoft.com/office/drawing/2014/main" id="{2CC40CDB-EAE9-4E25-8258-AA91D6E8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51" name="BExUBK0YZ5VYFY8TTITJGJU9S06A" hidden="1">
          <a:extLst>
            <a:ext uri="{FF2B5EF4-FFF2-40B4-BE49-F238E27FC236}">
              <a16:creationId xmlns:a16="http://schemas.microsoft.com/office/drawing/2014/main" id="{93313036-DD07-4400-9B78-7A3645D33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52" name="BEx5BJQWS6YWHH4ZMSUAMD641V6Y" descr="ZTMFMXCIQSECDX38ALEFHUB00" hidden="1">
          <a:extLst>
            <a:ext uri="{FF2B5EF4-FFF2-40B4-BE49-F238E27FC236}">
              <a16:creationId xmlns:a16="http://schemas.microsoft.com/office/drawing/2014/main" id="{5AB86BE1-E92F-4F2C-B118-62BBABD9A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53" name="BExUBK0YZ5VYFY8TTITJGJU9S06A" hidden="1">
          <a:extLst>
            <a:ext uri="{FF2B5EF4-FFF2-40B4-BE49-F238E27FC236}">
              <a16:creationId xmlns:a16="http://schemas.microsoft.com/office/drawing/2014/main" id="{BC88ABBA-AB78-4386-A56C-D7F6D0D89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54" name="BEx5BJQWS6YWHH4ZMSUAMD641V6Y" descr="ZTMFMXCIQSECDX38ALEFHUB00" hidden="1">
          <a:extLst>
            <a:ext uri="{FF2B5EF4-FFF2-40B4-BE49-F238E27FC236}">
              <a16:creationId xmlns:a16="http://schemas.microsoft.com/office/drawing/2014/main" id="{B8509F80-1B54-41DB-B08F-DF42F21C5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55" name="BExUBK0YZ5VYFY8TTITJGJU9S06A" hidden="1">
          <a:extLst>
            <a:ext uri="{FF2B5EF4-FFF2-40B4-BE49-F238E27FC236}">
              <a16:creationId xmlns:a16="http://schemas.microsoft.com/office/drawing/2014/main" id="{5178771D-00C2-4140-B7E2-15384FCDA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56" name="BEx5BJQWS6YWHH4ZMSUAMD641V6Y" descr="ZTMFMXCIQSECDX38ALEFHUB00" hidden="1">
          <a:extLst>
            <a:ext uri="{FF2B5EF4-FFF2-40B4-BE49-F238E27FC236}">
              <a16:creationId xmlns:a16="http://schemas.microsoft.com/office/drawing/2014/main" id="{1BB6A78D-8A85-40D5-801A-76243FE78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57" name="BExUBK0YZ5VYFY8TTITJGJU9S06A" hidden="1">
          <a:extLst>
            <a:ext uri="{FF2B5EF4-FFF2-40B4-BE49-F238E27FC236}">
              <a16:creationId xmlns:a16="http://schemas.microsoft.com/office/drawing/2014/main" id="{48F93BC8-46BB-4B87-923C-C3BD639C3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58" name="BEx1KD7H6UB1VYCJ7O61P562EIUY" descr="IQGV9140X0K0UPBL8OGU3I44J" hidden="1">
          <a:extLst>
            <a:ext uri="{FF2B5EF4-FFF2-40B4-BE49-F238E27FC236}">
              <a16:creationId xmlns:a16="http://schemas.microsoft.com/office/drawing/2014/main" id="{407EE916-6D49-4A0D-B4A4-FB417D818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59" name="BEx5AQZ4ETQ9LMY5EBWVH20Z7VXQ" hidden="1">
          <a:extLst>
            <a:ext uri="{FF2B5EF4-FFF2-40B4-BE49-F238E27FC236}">
              <a16:creationId xmlns:a16="http://schemas.microsoft.com/office/drawing/2014/main" id="{E15C17EB-5A6A-413F-BF43-A3790EC4A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60" name="BEx1KD7H6UB1VYCJ7O61P562EIUY" descr="IQGV9140X0K0UPBL8OGU3I44J" hidden="1">
          <a:extLst>
            <a:ext uri="{FF2B5EF4-FFF2-40B4-BE49-F238E27FC236}">
              <a16:creationId xmlns:a16="http://schemas.microsoft.com/office/drawing/2014/main" id="{F08B3B3F-9AF2-4265-ADB3-950CD25A9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61" name="BEx5AQZ4ETQ9LMY5EBWVH20Z7VXQ" hidden="1">
          <a:extLst>
            <a:ext uri="{FF2B5EF4-FFF2-40B4-BE49-F238E27FC236}">
              <a16:creationId xmlns:a16="http://schemas.microsoft.com/office/drawing/2014/main" id="{00F48465-C51D-4390-818A-262E99A28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62" name="BEx5BJQWS6YWHH4ZMSUAMD641V6Y" descr="ZTMFMXCIQSECDX38ALEFHUB00" hidden="1">
          <a:extLst>
            <a:ext uri="{FF2B5EF4-FFF2-40B4-BE49-F238E27FC236}">
              <a16:creationId xmlns:a16="http://schemas.microsoft.com/office/drawing/2014/main" id="{B87BC168-0A13-4750-9D9B-4AF39E973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63" name="BExUBK0YZ5VYFY8TTITJGJU9S06A" hidden="1">
          <a:extLst>
            <a:ext uri="{FF2B5EF4-FFF2-40B4-BE49-F238E27FC236}">
              <a16:creationId xmlns:a16="http://schemas.microsoft.com/office/drawing/2014/main" id="{D3C9D2B8-1A72-4A31-8D93-990B68767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64" name="BEx1KD7H6UB1VYCJ7O61P562EIUY" descr="IQGV9140X0K0UPBL8OGU3I44J" hidden="1">
          <a:extLst>
            <a:ext uri="{FF2B5EF4-FFF2-40B4-BE49-F238E27FC236}">
              <a16:creationId xmlns:a16="http://schemas.microsoft.com/office/drawing/2014/main" id="{7A3D251D-0DF9-41C1-8623-7C732020F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65" name="BEx5AQZ4ETQ9LMY5EBWVH20Z7VXQ" hidden="1">
          <a:extLst>
            <a:ext uri="{FF2B5EF4-FFF2-40B4-BE49-F238E27FC236}">
              <a16:creationId xmlns:a16="http://schemas.microsoft.com/office/drawing/2014/main" id="{D99623D1-17F4-49EE-ABC5-30D2B9940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66" name="BEx5BJQWS6YWHH4ZMSUAMD641V6Y" descr="ZTMFMXCIQSECDX38ALEFHUB00" hidden="1">
          <a:extLst>
            <a:ext uri="{FF2B5EF4-FFF2-40B4-BE49-F238E27FC236}">
              <a16:creationId xmlns:a16="http://schemas.microsoft.com/office/drawing/2014/main" id="{057C2AD1-AEB9-4F9B-83BA-9824BDD00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67" name="BExUBK0YZ5VYFY8TTITJGJU9S06A" hidden="1">
          <a:extLst>
            <a:ext uri="{FF2B5EF4-FFF2-40B4-BE49-F238E27FC236}">
              <a16:creationId xmlns:a16="http://schemas.microsoft.com/office/drawing/2014/main" id="{4BC427D3-BA05-4651-A8BE-61F7241DB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68" name="BEx5BJQWS6YWHH4ZMSUAMD641V6Y" descr="ZTMFMXCIQSECDX38ALEFHUB00" hidden="1">
          <a:extLst>
            <a:ext uri="{FF2B5EF4-FFF2-40B4-BE49-F238E27FC236}">
              <a16:creationId xmlns:a16="http://schemas.microsoft.com/office/drawing/2014/main" id="{E0066111-8C44-4FAA-ADFB-ABBCF2381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69" name="BExUBK0YZ5VYFY8TTITJGJU9S06A" hidden="1">
          <a:extLst>
            <a:ext uri="{FF2B5EF4-FFF2-40B4-BE49-F238E27FC236}">
              <a16:creationId xmlns:a16="http://schemas.microsoft.com/office/drawing/2014/main" id="{C28BBFC2-E888-4305-A01F-FC69C9D20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70" name="BEx1KD7H6UB1VYCJ7O61P562EIUY" descr="IQGV9140X0K0UPBL8OGU3I44J" hidden="1">
          <a:extLst>
            <a:ext uri="{FF2B5EF4-FFF2-40B4-BE49-F238E27FC236}">
              <a16:creationId xmlns:a16="http://schemas.microsoft.com/office/drawing/2014/main" id="{D292196B-2DA0-4B00-859B-00DD6D8E4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71" name="BEx5AQZ4ETQ9LMY5EBWVH20Z7VXQ" hidden="1">
          <a:extLst>
            <a:ext uri="{FF2B5EF4-FFF2-40B4-BE49-F238E27FC236}">
              <a16:creationId xmlns:a16="http://schemas.microsoft.com/office/drawing/2014/main" id="{714C6F7B-9426-4883-B5D1-560CCDEE8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72" name="BEx5BJQWS6YWHH4ZMSUAMD641V6Y" descr="ZTMFMXCIQSECDX38ALEFHUB00" hidden="1">
          <a:extLst>
            <a:ext uri="{FF2B5EF4-FFF2-40B4-BE49-F238E27FC236}">
              <a16:creationId xmlns:a16="http://schemas.microsoft.com/office/drawing/2014/main" id="{5514A6D3-C833-42F1-8321-1E9CB6BFA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73" name="BExUBK0YZ5VYFY8TTITJGJU9S06A" hidden="1">
          <a:extLst>
            <a:ext uri="{FF2B5EF4-FFF2-40B4-BE49-F238E27FC236}">
              <a16:creationId xmlns:a16="http://schemas.microsoft.com/office/drawing/2014/main" id="{F0737BCA-DC62-4D95-9F10-16C440F0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74" name="BEx5BJQWS6YWHH4ZMSUAMD641V6Y" descr="ZTMFMXCIQSECDX38ALEFHUB00" hidden="1">
          <a:extLst>
            <a:ext uri="{FF2B5EF4-FFF2-40B4-BE49-F238E27FC236}">
              <a16:creationId xmlns:a16="http://schemas.microsoft.com/office/drawing/2014/main" id="{1A0174B3-393B-477D-9A91-687A9F2DC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75" name="BExUBK0YZ5VYFY8TTITJGJU9S06A" hidden="1">
          <a:extLst>
            <a:ext uri="{FF2B5EF4-FFF2-40B4-BE49-F238E27FC236}">
              <a16:creationId xmlns:a16="http://schemas.microsoft.com/office/drawing/2014/main" id="{2AB9245E-ADB5-4295-91B0-728741202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76" name="BEx5BJQWS6YWHH4ZMSUAMD641V6Y" descr="ZTMFMXCIQSECDX38ALEFHUB00" hidden="1">
          <a:extLst>
            <a:ext uri="{FF2B5EF4-FFF2-40B4-BE49-F238E27FC236}">
              <a16:creationId xmlns:a16="http://schemas.microsoft.com/office/drawing/2014/main" id="{E1C5A65B-D383-40A9-ACD3-662566533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77" name="BExUBK0YZ5VYFY8TTITJGJU9S06A" hidden="1">
          <a:extLst>
            <a:ext uri="{FF2B5EF4-FFF2-40B4-BE49-F238E27FC236}">
              <a16:creationId xmlns:a16="http://schemas.microsoft.com/office/drawing/2014/main" id="{640FFF4E-8006-4371-B2FD-A4C54211C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78" name="BEx1KD7H6UB1VYCJ7O61P562EIUY" descr="IQGV9140X0K0UPBL8OGU3I44J" hidden="1">
          <a:extLst>
            <a:ext uri="{FF2B5EF4-FFF2-40B4-BE49-F238E27FC236}">
              <a16:creationId xmlns:a16="http://schemas.microsoft.com/office/drawing/2014/main" id="{0BFC86A2-88BE-49E8-B88B-55E83AEE1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79" name="BEx5AQZ4ETQ9LMY5EBWVH20Z7VXQ" hidden="1">
          <a:extLst>
            <a:ext uri="{FF2B5EF4-FFF2-40B4-BE49-F238E27FC236}">
              <a16:creationId xmlns:a16="http://schemas.microsoft.com/office/drawing/2014/main" id="{E601330B-F120-4CA2-9E9A-6204D1201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164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80" name="BEx5BJQWS6YWHH4ZMSUAMD641V6Y" descr="ZTMFMXCIQSECDX38ALEFHUB00" hidden="1">
          <a:extLst>
            <a:ext uri="{FF2B5EF4-FFF2-40B4-BE49-F238E27FC236}">
              <a16:creationId xmlns:a16="http://schemas.microsoft.com/office/drawing/2014/main" id="{4AE2E6C3-03D4-45DC-B6E7-F7CC43584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81" name="BExUBK0YZ5VYFY8TTITJGJU9S06A" hidden="1">
          <a:extLst>
            <a:ext uri="{FF2B5EF4-FFF2-40B4-BE49-F238E27FC236}">
              <a16:creationId xmlns:a16="http://schemas.microsoft.com/office/drawing/2014/main" id="{952E06A2-CCFF-4842-BFE2-D600C6FCC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82" name="BEx5BJQWS6YWHH4ZMSUAMD641V6Y" descr="ZTMFMXCIQSECDX38ALEFHUB00" hidden="1">
          <a:extLst>
            <a:ext uri="{FF2B5EF4-FFF2-40B4-BE49-F238E27FC236}">
              <a16:creationId xmlns:a16="http://schemas.microsoft.com/office/drawing/2014/main" id="{C0015EEA-AEB2-4070-8760-60B86C307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83" name="BExUBK0YZ5VYFY8TTITJGJU9S06A" hidden="1">
          <a:extLst>
            <a:ext uri="{FF2B5EF4-FFF2-40B4-BE49-F238E27FC236}">
              <a16:creationId xmlns:a16="http://schemas.microsoft.com/office/drawing/2014/main" id="{73AA0A6E-EC24-4427-B3B8-ACB7C5B98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84" name="BEx5BJQWS6YWHH4ZMSUAMD641V6Y" descr="ZTMFMXCIQSECDX38ALEFHUB00" hidden="1">
          <a:extLst>
            <a:ext uri="{FF2B5EF4-FFF2-40B4-BE49-F238E27FC236}">
              <a16:creationId xmlns:a16="http://schemas.microsoft.com/office/drawing/2014/main" id="{CF4B16F2-4DAC-444E-ABEF-54A3E4234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85" name="BExUBK0YZ5VYFY8TTITJGJU9S06A" hidden="1">
          <a:extLst>
            <a:ext uri="{FF2B5EF4-FFF2-40B4-BE49-F238E27FC236}">
              <a16:creationId xmlns:a16="http://schemas.microsoft.com/office/drawing/2014/main" id="{542808AC-85D4-4D07-96F6-29F6598C4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86" name="BEx5BJQWS6YWHH4ZMSUAMD641V6Y" descr="ZTMFMXCIQSECDX38ALEFHUB00" hidden="1">
          <a:extLst>
            <a:ext uri="{FF2B5EF4-FFF2-40B4-BE49-F238E27FC236}">
              <a16:creationId xmlns:a16="http://schemas.microsoft.com/office/drawing/2014/main" id="{1EE5EB65-29A2-4274-B7F1-8D2A3DAF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87" name="BExUBK0YZ5VYFY8TTITJGJU9S06A" hidden="1">
          <a:extLst>
            <a:ext uri="{FF2B5EF4-FFF2-40B4-BE49-F238E27FC236}">
              <a16:creationId xmlns:a16="http://schemas.microsoft.com/office/drawing/2014/main" id="{127E9FD9-9327-413D-BAE9-B800CB01C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88" name="BEx5BJQWS6YWHH4ZMSUAMD641V6Y" descr="ZTMFMXCIQSECDX38ALEFHUB00" hidden="1">
          <a:extLst>
            <a:ext uri="{FF2B5EF4-FFF2-40B4-BE49-F238E27FC236}">
              <a16:creationId xmlns:a16="http://schemas.microsoft.com/office/drawing/2014/main" id="{45E757A3-76DC-48E2-A434-6DAE36191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89" name="BExUBK0YZ5VYFY8TTITJGJU9S06A" hidden="1">
          <a:extLst>
            <a:ext uri="{FF2B5EF4-FFF2-40B4-BE49-F238E27FC236}">
              <a16:creationId xmlns:a16="http://schemas.microsoft.com/office/drawing/2014/main" id="{C46E28F5-D8F8-4787-B8B4-56DED99BD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90" name="BEx5BJQWS6YWHH4ZMSUAMD641V6Y" descr="ZTMFMXCIQSECDX38ALEFHUB00" hidden="1">
          <a:extLst>
            <a:ext uri="{FF2B5EF4-FFF2-40B4-BE49-F238E27FC236}">
              <a16:creationId xmlns:a16="http://schemas.microsoft.com/office/drawing/2014/main" id="{976B2A58-EC42-4606-ABA4-65D7A63B3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91" name="BExUBK0YZ5VYFY8TTITJGJU9S06A" hidden="1">
          <a:extLst>
            <a:ext uri="{FF2B5EF4-FFF2-40B4-BE49-F238E27FC236}">
              <a16:creationId xmlns:a16="http://schemas.microsoft.com/office/drawing/2014/main" id="{37D91746-D57F-4A0D-98CC-A4EBBE211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692" name="BExMO7VFCN4EL59982UR4AJ25JNJ" descr="XX6TINEJADZGKR0CTM7ZRT0RA" hidden="1">
          <a:extLst>
            <a:ext uri="{FF2B5EF4-FFF2-40B4-BE49-F238E27FC236}">
              <a16:creationId xmlns:a16="http://schemas.microsoft.com/office/drawing/2014/main" id="{48458CAE-4868-4865-BA1F-F324F4DBC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693" name="BExU3EX5JJCXCII4YKUJBFBGIJR2" descr="OF5ZI9PI5WH36VPANJ2DYLNMI" hidden="1">
          <a:extLst>
            <a:ext uri="{FF2B5EF4-FFF2-40B4-BE49-F238E27FC236}">
              <a16:creationId xmlns:a16="http://schemas.microsoft.com/office/drawing/2014/main" id="{52FD0E0E-7C4E-49B3-90C6-AF3AED822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694" name="BEx1KD7H6UB1VYCJ7O61P562EIUY" descr="IQGV9140X0K0UPBL8OGU3I44J" hidden="1">
          <a:extLst>
            <a:ext uri="{FF2B5EF4-FFF2-40B4-BE49-F238E27FC236}">
              <a16:creationId xmlns:a16="http://schemas.microsoft.com/office/drawing/2014/main" id="{24EBD1B8-2215-4751-9AEE-281C1EB1F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695" name="BEx5BJQWS6YWHH4ZMSUAMD641V6Y" descr="ZTMFMXCIQSECDX38ALEFHUB00" hidden="1">
          <a:extLst>
            <a:ext uri="{FF2B5EF4-FFF2-40B4-BE49-F238E27FC236}">
              <a16:creationId xmlns:a16="http://schemas.microsoft.com/office/drawing/2014/main" id="{4594163C-1549-4C18-AB1F-F570DB41C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4696" name="BExVTO5Q8G2M7BPL4B2584LQS0R0" descr="OB6Q8NA4LZFE4GM9Y3V56BPMQ" hidden="1">
          <a:extLst>
            <a:ext uri="{FF2B5EF4-FFF2-40B4-BE49-F238E27FC236}">
              <a16:creationId xmlns:a16="http://schemas.microsoft.com/office/drawing/2014/main" id="{688F3DF9-3638-4EB0-866C-5E086BBC3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4697" name="BExIFSCLN1G86X78PFLTSMRP0US5" descr="9JK4SPV4DG7VTCZIILWHXQU5J" hidden="1">
          <a:extLst>
            <a:ext uri="{FF2B5EF4-FFF2-40B4-BE49-F238E27FC236}">
              <a16:creationId xmlns:a16="http://schemas.microsoft.com/office/drawing/2014/main" id="{7C954B59-3D5A-4AA6-A65E-47B3878ED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698" name="BEx1I152WN2D3A85O2XN0DGXCWHN" descr="KHBZFMANRA4UMJR1AB4M5NJNT" hidden="1">
          <a:extLst>
            <a:ext uri="{FF2B5EF4-FFF2-40B4-BE49-F238E27FC236}">
              <a16:creationId xmlns:a16="http://schemas.microsoft.com/office/drawing/2014/main" id="{4BC2A10D-99E5-4956-9C32-68CEEC7F3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699" name="BExW9676P0SKCVKK25QCGHPA3PAD" descr="9A4PWZ20RMSRF0PNECCDM75CA" hidden="1">
          <a:extLst>
            <a:ext uri="{FF2B5EF4-FFF2-40B4-BE49-F238E27FC236}">
              <a16:creationId xmlns:a16="http://schemas.microsoft.com/office/drawing/2014/main" id="{3F9BBEDB-F9EA-41D5-8CF8-03EC6789E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700" name="BExS5CPQ8P8JOQPK7ANNKHLSGOKU" hidden="1">
          <a:extLst>
            <a:ext uri="{FF2B5EF4-FFF2-40B4-BE49-F238E27FC236}">
              <a16:creationId xmlns:a16="http://schemas.microsoft.com/office/drawing/2014/main" id="{707939D0-8E5B-4353-9318-8C0BE6C8F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701" name="BExMM0AVUAIRNJLXB1FW8R0YB4ZZ" hidden="1">
          <a:extLst>
            <a:ext uri="{FF2B5EF4-FFF2-40B4-BE49-F238E27FC236}">
              <a16:creationId xmlns:a16="http://schemas.microsoft.com/office/drawing/2014/main" id="{A99C7880-E471-42C7-AFDD-598D60453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702" name="BExXZ7Y09CBS0XA7IPB3IRJ8RJM4" hidden="1">
          <a:extLst>
            <a:ext uri="{FF2B5EF4-FFF2-40B4-BE49-F238E27FC236}">
              <a16:creationId xmlns:a16="http://schemas.microsoft.com/office/drawing/2014/main" id="{C0CF75B9-A2C8-4226-AA59-D5BDA8ADE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703" name="BExQ7SXS9VUG7P6CACU2J7R2SGIZ" hidden="1">
          <a:extLst>
            <a:ext uri="{FF2B5EF4-FFF2-40B4-BE49-F238E27FC236}">
              <a16:creationId xmlns:a16="http://schemas.microsoft.com/office/drawing/2014/main" id="{211EEBAE-B1E1-4AB4-85A0-B89A4906E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04" name="BEx5AQZ4ETQ9LMY5EBWVH20Z7VXQ" hidden="1">
          <a:extLst>
            <a:ext uri="{FF2B5EF4-FFF2-40B4-BE49-F238E27FC236}">
              <a16:creationId xmlns:a16="http://schemas.microsoft.com/office/drawing/2014/main" id="{5C8BB5AA-257C-4B58-935D-54E66F192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05" name="BExUBK0YZ5VYFY8TTITJGJU9S06A" hidden="1">
          <a:extLst>
            <a:ext uri="{FF2B5EF4-FFF2-40B4-BE49-F238E27FC236}">
              <a16:creationId xmlns:a16="http://schemas.microsoft.com/office/drawing/2014/main" id="{F92A6DA9-BAA8-418F-84FD-825DA9F9E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3528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4706" name="BExUEZCSSJ7RN4J18I2NUIQR2FZS" hidden="1">
          <a:extLst>
            <a:ext uri="{FF2B5EF4-FFF2-40B4-BE49-F238E27FC236}">
              <a16:creationId xmlns:a16="http://schemas.microsoft.com/office/drawing/2014/main" id="{03094E2F-90C9-48EB-9B8E-7EDA6806C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354705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4707" name="BExS3JDQWF7U3F5JTEVOE16ASIYK" hidden="1">
          <a:extLst>
            <a:ext uri="{FF2B5EF4-FFF2-40B4-BE49-F238E27FC236}">
              <a16:creationId xmlns:a16="http://schemas.microsoft.com/office/drawing/2014/main" id="{BBB94151-A00F-44E1-99DD-E8A99E856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3528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08" name="BEx1KD7H6UB1VYCJ7O61P562EIUY" descr="IQGV9140X0K0UPBL8OGU3I44J" hidden="1">
          <a:extLst>
            <a:ext uri="{FF2B5EF4-FFF2-40B4-BE49-F238E27FC236}">
              <a16:creationId xmlns:a16="http://schemas.microsoft.com/office/drawing/2014/main" id="{CF919058-827F-4171-B608-CAAD49CA1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09" name="BEx5BJQWS6YWHH4ZMSUAMD641V6Y" descr="ZTMFMXCIQSECDX38ALEFHUB00" hidden="1">
          <a:extLst>
            <a:ext uri="{FF2B5EF4-FFF2-40B4-BE49-F238E27FC236}">
              <a16:creationId xmlns:a16="http://schemas.microsoft.com/office/drawing/2014/main" id="{D454736B-0FD7-44A7-9F46-78669AE69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10" name="BEx5AQZ4ETQ9LMY5EBWVH20Z7VXQ" hidden="1">
          <a:extLst>
            <a:ext uri="{FF2B5EF4-FFF2-40B4-BE49-F238E27FC236}">
              <a16:creationId xmlns:a16="http://schemas.microsoft.com/office/drawing/2014/main" id="{AFF10342-83A7-4DCC-8F42-C96CA0218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11" name="BExUBK0YZ5VYFY8TTITJGJU9S06A" hidden="1">
          <a:extLst>
            <a:ext uri="{FF2B5EF4-FFF2-40B4-BE49-F238E27FC236}">
              <a16:creationId xmlns:a16="http://schemas.microsoft.com/office/drawing/2014/main" id="{94120AB7-CA67-45FC-BC2D-1E7BFDE22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712" name="BExMO7VFCN4EL59982UR4AJ25JNJ" descr="XX6TINEJADZGKR0CTM7ZRT0RA" hidden="1">
          <a:extLst>
            <a:ext uri="{FF2B5EF4-FFF2-40B4-BE49-F238E27FC236}">
              <a16:creationId xmlns:a16="http://schemas.microsoft.com/office/drawing/2014/main" id="{93F7ABCD-6404-49F1-B267-AA1F1A1C0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713" name="BExU3EX5JJCXCII4YKUJBFBGIJR2" descr="OF5ZI9PI5WH36VPANJ2DYLNMI" hidden="1">
          <a:extLst>
            <a:ext uri="{FF2B5EF4-FFF2-40B4-BE49-F238E27FC236}">
              <a16:creationId xmlns:a16="http://schemas.microsoft.com/office/drawing/2014/main" id="{CD901BE7-71B0-45C8-AA1A-982365F53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714" name="BEx1I152WN2D3A85O2XN0DGXCWHN" descr="KHBZFMANRA4UMJR1AB4M5NJNT" hidden="1">
          <a:extLst>
            <a:ext uri="{FF2B5EF4-FFF2-40B4-BE49-F238E27FC236}">
              <a16:creationId xmlns:a16="http://schemas.microsoft.com/office/drawing/2014/main" id="{F0A1122D-2E07-44FE-9526-305899F66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715" name="BExW9676P0SKCVKK25QCGHPA3PAD" descr="9A4PWZ20RMSRF0PNECCDM75CA" hidden="1">
          <a:extLst>
            <a:ext uri="{FF2B5EF4-FFF2-40B4-BE49-F238E27FC236}">
              <a16:creationId xmlns:a16="http://schemas.microsoft.com/office/drawing/2014/main" id="{646CFBFC-D405-466D-B841-E31A1809C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716" name="BExS5CPQ8P8JOQPK7ANNKHLSGOKU" hidden="1">
          <a:extLst>
            <a:ext uri="{FF2B5EF4-FFF2-40B4-BE49-F238E27FC236}">
              <a16:creationId xmlns:a16="http://schemas.microsoft.com/office/drawing/2014/main" id="{D2EA4076-C8BE-4585-9C64-889E1436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717" name="BExMM0AVUAIRNJLXB1FW8R0YB4ZZ" hidden="1">
          <a:extLst>
            <a:ext uri="{FF2B5EF4-FFF2-40B4-BE49-F238E27FC236}">
              <a16:creationId xmlns:a16="http://schemas.microsoft.com/office/drawing/2014/main" id="{8BF01D21-BE1E-4BED-BBEF-62B35587F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718" name="BExXZ7Y09CBS0XA7IPB3IRJ8RJM4" hidden="1">
          <a:extLst>
            <a:ext uri="{FF2B5EF4-FFF2-40B4-BE49-F238E27FC236}">
              <a16:creationId xmlns:a16="http://schemas.microsoft.com/office/drawing/2014/main" id="{839AC26B-A2D3-4C7D-BF5F-8FD65EE37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719" name="BExQ7SXS9VUG7P6CACU2J7R2SGIZ" hidden="1">
          <a:extLst>
            <a:ext uri="{FF2B5EF4-FFF2-40B4-BE49-F238E27FC236}">
              <a16:creationId xmlns:a16="http://schemas.microsoft.com/office/drawing/2014/main" id="{7D775D6B-2B61-49B3-BA10-D80A9D462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720" name="BExU3EX5JJCXCII4YKUJBFBGIJR2" descr="OF5ZI9PI5WH36VPANJ2DYLNMI" hidden="1">
          <a:extLst>
            <a:ext uri="{FF2B5EF4-FFF2-40B4-BE49-F238E27FC236}">
              <a16:creationId xmlns:a16="http://schemas.microsoft.com/office/drawing/2014/main" id="{1AD401B2-CC8F-43FB-91B8-95254669B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721" name="BExW9676P0SKCVKK25QCGHPA3PAD" descr="9A4PWZ20RMSRF0PNECCDM75CA" hidden="1">
          <a:extLst>
            <a:ext uri="{FF2B5EF4-FFF2-40B4-BE49-F238E27FC236}">
              <a16:creationId xmlns:a16="http://schemas.microsoft.com/office/drawing/2014/main" id="{55A9A990-CE4A-4F21-9269-1982521A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722" name="BExMM0AVUAIRNJLXB1FW8R0YB4ZZ" hidden="1">
          <a:extLst>
            <a:ext uri="{FF2B5EF4-FFF2-40B4-BE49-F238E27FC236}">
              <a16:creationId xmlns:a16="http://schemas.microsoft.com/office/drawing/2014/main" id="{F79AE9B5-8A5B-4735-8735-A4DDBF974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723" name="BExQ7SXS9VUG7P6CACU2J7R2SGIZ" hidden="1">
          <a:extLst>
            <a:ext uri="{FF2B5EF4-FFF2-40B4-BE49-F238E27FC236}">
              <a16:creationId xmlns:a16="http://schemas.microsoft.com/office/drawing/2014/main" id="{372BFE53-BE62-4091-AC19-794E07784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24" name="BEx1KD7H6UB1VYCJ7O61P562EIUY" descr="IQGV9140X0K0UPBL8OGU3I44J" hidden="1">
          <a:extLst>
            <a:ext uri="{FF2B5EF4-FFF2-40B4-BE49-F238E27FC236}">
              <a16:creationId xmlns:a16="http://schemas.microsoft.com/office/drawing/2014/main" id="{218B2B15-6D4A-4670-B3B5-A4A198FC9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25" name="BEx5BJQWS6YWHH4ZMSUAMD641V6Y" descr="ZTMFMXCIQSECDX38ALEFHUB00" hidden="1">
          <a:extLst>
            <a:ext uri="{FF2B5EF4-FFF2-40B4-BE49-F238E27FC236}">
              <a16:creationId xmlns:a16="http://schemas.microsoft.com/office/drawing/2014/main" id="{87BABD3F-B0C0-4B2A-B9D5-B72CA5DAF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26" name="BEx5AQZ4ETQ9LMY5EBWVH20Z7VXQ" hidden="1">
          <a:extLst>
            <a:ext uri="{FF2B5EF4-FFF2-40B4-BE49-F238E27FC236}">
              <a16:creationId xmlns:a16="http://schemas.microsoft.com/office/drawing/2014/main" id="{40A24024-951E-44C7-979C-B62B25F92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27" name="BExUBK0YZ5VYFY8TTITJGJU9S06A" hidden="1">
          <a:extLst>
            <a:ext uri="{FF2B5EF4-FFF2-40B4-BE49-F238E27FC236}">
              <a16:creationId xmlns:a16="http://schemas.microsoft.com/office/drawing/2014/main" id="{699757EA-BD27-4564-9344-8269E7C8E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28" name="BEx5BJQWS6YWHH4ZMSUAMD641V6Y" descr="ZTMFMXCIQSECDX38ALEFHUB00" hidden="1">
          <a:extLst>
            <a:ext uri="{FF2B5EF4-FFF2-40B4-BE49-F238E27FC236}">
              <a16:creationId xmlns:a16="http://schemas.microsoft.com/office/drawing/2014/main" id="{3C394519-FEAD-4542-BC8E-51687DF95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29" name="BExUBK0YZ5VYFY8TTITJGJU9S06A" hidden="1">
          <a:extLst>
            <a:ext uri="{FF2B5EF4-FFF2-40B4-BE49-F238E27FC236}">
              <a16:creationId xmlns:a16="http://schemas.microsoft.com/office/drawing/2014/main" id="{4BA436DA-3869-4D39-961A-02092474A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30" name="BEx1KD7H6UB1VYCJ7O61P562EIUY" descr="IQGV9140X0K0UPBL8OGU3I44J" hidden="1">
          <a:extLst>
            <a:ext uri="{FF2B5EF4-FFF2-40B4-BE49-F238E27FC236}">
              <a16:creationId xmlns:a16="http://schemas.microsoft.com/office/drawing/2014/main" id="{BBDEEC04-BEBC-4849-9920-B7B51BD6A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31" name="BEx5BJQWS6YWHH4ZMSUAMD641V6Y" descr="ZTMFMXCIQSECDX38ALEFHUB00" hidden="1">
          <a:extLst>
            <a:ext uri="{FF2B5EF4-FFF2-40B4-BE49-F238E27FC236}">
              <a16:creationId xmlns:a16="http://schemas.microsoft.com/office/drawing/2014/main" id="{F9770E48-2D5F-450F-8B43-5766CB4AE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32" name="BEx5AQZ4ETQ9LMY5EBWVH20Z7VXQ" hidden="1">
          <a:extLst>
            <a:ext uri="{FF2B5EF4-FFF2-40B4-BE49-F238E27FC236}">
              <a16:creationId xmlns:a16="http://schemas.microsoft.com/office/drawing/2014/main" id="{1898DE9E-E755-4ADB-9A22-27C671A8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33" name="BExUBK0YZ5VYFY8TTITJGJU9S06A" hidden="1">
          <a:extLst>
            <a:ext uri="{FF2B5EF4-FFF2-40B4-BE49-F238E27FC236}">
              <a16:creationId xmlns:a16="http://schemas.microsoft.com/office/drawing/2014/main" id="{61C6CBF3-8B6A-47E9-A6FD-764FE2062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34" name="BEx5BJQWS6YWHH4ZMSUAMD641V6Y" descr="ZTMFMXCIQSECDX38ALEFHUB00" hidden="1">
          <a:extLst>
            <a:ext uri="{FF2B5EF4-FFF2-40B4-BE49-F238E27FC236}">
              <a16:creationId xmlns:a16="http://schemas.microsoft.com/office/drawing/2014/main" id="{02D70F3A-336F-415E-AEE3-5BB7E68D0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35" name="BExUBK0YZ5VYFY8TTITJGJU9S06A" hidden="1">
          <a:extLst>
            <a:ext uri="{FF2B5EF4-FFF2-40B4-BE49-F238E27FC236}">
              <a16:creationId xmlns:a16="http://schemas.microsoft.com/office/drawing/2014/main" id="{A46D00C6-8E2B-495C-98B8-2FED43F7F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36" name="BEx5BJQWS6YWHH4ZMSUAMD641V6Y" descr="ZTMFMXCIQSECDX38ALEFHUB00" hidden="1">
          <a:extLst>
            <a:ext uri="{FF2B5EF4-FFF2-40B4-BE49-F238E27FC236}">
              <a16:creationId xmlns:a16="http://schemas.microsoft.com/office/drawing/2014/main" id="{27950C0A-651A-4DAA-AE11-9C45DE772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37" name="BExUBK0YZ5VYFY8TTITJGJU9S06A" hidden="1">
          <a:extLst>
            <a:ext uri="{FF2B5EF4-FFF2-40B4-BE49-F238E27FC236}">
              <a16:creationId xmlns:a16="http://schemas.microsoft.com/office/drawing/2014/main" id="{9100B053-9273-4A35-88B4-5B73EC407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38" name="BEx1KD7H6UB1VYCJ7O61P562EIUY" descr="IQGV9140X0K0UPBL8OGU3I44J" hidden="1">
          <a:extLst>
            <a:ext uri="{FF2B5EF4-FFF2-40B4-BE49-F238E27FC236}">
              <a16:creationId xmlns:a16="http://schemas.microsoft.com/office/drawing/2014/main" id="{0572B9DA-809C-4D49-88F1-EB4EC8735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39" name="BEx5BJQWS6YWHH4ZMSUAMD641V6Y" descr="ZTMFMXCIQSECDX38ALEFHUB00" hidden="1">
          <a:extLst>
            <a:ext uri="{FF2B5EF4-FFF2-40B4-BE49-F238E27FC236}">
              <a16:creationId xmlns:a16="http://schemas.microsoft.com/office/drawing/2014/main" id="{ACF1E478-311F-4598-9724-221791F38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40" name="BEx5AQZ4ETQ9LMY5EBWVH20Z7VXQ" hidden="1">
          <a:extLst>
            <a:ext uri="{FF2B5EF4-FFF2-40B4-BE49-F238E27FC236}">
              <a16:creationId xmlns:a16="http://schemas.microsoft.com/office/drawing/2014/main" id="{BAD9F197-8E76-4E4A-BB96-1721E26DA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41" name="BExUBK0YZ5VYFY8TTITJGJU9S06A" hidden="1">
          <a:extLst>
            <a:ext uri="{FF2B5EF4-FFF2-40B4-BE49-F238E27FC236}">
              <a16:creationId xmlns:a16="http://schemas.microsoft.com/office/drawing/2014/main" id="{F73804F0-3DED-47FA-B542-0ED8DBE75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42" name="BEx5BJQWS6YWHH4ZMSUAMD641V6Y" descr="ZTMFMXCIQSECDX38ALEFHUB00" hidden="1">
          <a:extLst>
            <a:ext uri="{FF2B5EF4-FFF2-40B4-BE49-F238E27FC236}">
              <a16:creationId xmlns:a16="http://schemas.microsoft.com/office/drawing/2014/main" id="{B8FAA715-529E-41F8-BA81-5BDF75311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43" name="BExUBK0YZ5VYFY8TTITJGJU9S06A" hidden="1">
          <a:extLst>
            <a:ext uri="{FF2B5EF4-FFF2-40B4-BE49-F238E27FC236}">
              <a16:creationId xmlns:a16="http://schemas.microsoft.com/office/drawing/2014/main" id="{3795F015-3CD9-4D8C-B662-4F29B5B76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44" name="BEx5BJQWS6YWHH4ZMSUAMD641V6Y" descr="ZTMFMXCIQSECDX38ALEFHUB00" hidden="1">
          <a:extLst>
            <a:ext uri="{FF2B5EF4-FFF2-40B4-BE49-F238E27FC236}">
              <a16:creationId xmlns:a16="http://schemas.microsoft.com/office/drawing/2014/main" id="{74258841-3224-4BF7-8015-E3D6A3B14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45" name="BExUBK0YZ5VYFY8TTITJGJU9S06A" hidden="1">
          <a:extLst>
            <a:ext uri="{FF2B5EF4-FFF2-40B4-BE49-F238E27FC236}">
              <a16:creationId xmlns:a16="http://schemas.microsoft.com/office/drawing/2014/main" id="{AC3F6D9A-FF12-4194-9325-D6E831BFE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46" name="BEx5BJQWS6YWHH4ZMSUAMD641V6Y" descr="ZTMFMXCIQSECDX38ALEFHUB00" hidden="1">
          <a:extLst>
            <a:ext uri="{FF2B5EF4-FFF2-40B4-BE49-F238E27FC236}">
              <a16:creationId xmlns:a16="http://schemas.microsoft.com/office/drawing/2014/main" id="{EE74EABF-9648-421B-BB6A-F7B81227F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47" name="BExUBK0YZ5VYFY8TTITJGJU9S06A" hidden="1">
          <a:extLst>
            <a:ext uri="{FF2B5EF4-FFF2-40B4-BE49-F238E27FC236}">
              <a16:creationId xmlns:a16="http://schemas.microsoft.com/office/drawing/2014/main" id="{7077BF21-7714-4388-B08B-3C8805E7F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748" name="BExMO7VFCN4EL59982UR4AJ25JNJ" descr="XX6TINEJADZGKR0CTM7ZRT0RA" hidden="1">
          <a:extLst>
            <a:ext uri="{FF2B5EF4-FFF2-40B4-BE49-F238E27FC236}">
              <a16:creationId xmlns:a16="http://schemas.microsoft.com/office/drawing/2014/main" id="{ADEF18FB-A19C-4A08-8046-E99D47F93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749" name="BExU3EX5JJCXCII4YKUJBFBGIJR2" descr="OF5ZI9PI5WH36VPANJ2DYLNMI" hidden="1">
          <a:extLst>
            <a:ext uri="{FF2B5EF4-FFF2-40B4-BE49-F238E27FC236}">
              <a16:creationId xmlns:a16="http://schemas.microsoft.com/office/drawing/2014/main" id="{3B8FD704-3DA2-4CA0-8AC6-91135E70E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750" name="BEx1I152WN2D3A85O2XN0DGXCWHN" descr="KHBZFMANRA4UMJR1AB4M5NJNT" hidden="1">
          <a:extLst>
            <a:ext uri="{FF2B5EF4-FFF2-40B4-BE49-F238E27FC236}">
              <a16:creationId xmlns:a16="http://schemas.microsoft.com/office/drawing/2014/main" id="{5857A878-0E2B-4A20-BFE2-DEC999E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751" name="BExW9676P0SKCVKK25QCGHPA3PAD" descr="9A4PWZ20RMSRF0PNECCDM75CA" hidden="1">
          <a:extLst>
            <a:ext uri="{FF2B5EF4-FFF2-40B4-BE49-F238E27FC236}">
              <a16:creationId xmlns:a16="http://schemas.microsoft.com/office/drawing/2014/main" id="{CA16B123-3547-4AE5-B8C5-D116A1FFF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752" name="BExS5CPQ8P8JOQPK7ANNKHLSGOKU" hidden="1">
          <a:extLst>
            <a:ext uri="{FF2B5EF4-FFF2-40B4-BE49-F238E27FC236}">
              <a16:creationId xmlns:a16="http://schemas.microsoft.com/office/drawing/2014/main" id="{B1C7C941-90B2-4089-8469-C206201DD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753" name="BExMM0AVUAIRNJLXB1FW8R0YB4ZZ" hidden="1">
          <a:extLst>
            <a:ext uri="{FF2B5EF4-FFF2-40B4-BE49-F238E27FC236}">
              <a16:creationId xmlns:a16="http://schemas.microsoft.com/office/drawing/2014/main" id="{869F72A9-2E55-43E6-826E-EEC092051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754" name="BExXZ7Y09CBS0XA7IPB3IRJ8RJM4" hidden="1">
          <a:extLst>
            <a:ext uri="{FF2B5EF4-FFF2-40B4-BE49-F238E27FC236}">
              <a16:creationId xmlns:a16="http://schemas.microsoft.com/office/drawing/2014/main" id="{1EF8ED02-1A1C-455D-8323-16A4CA4EB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755" name="BExQ7SXS9VUG7P6CACU2J7R2SGIZ" hidden="1">
          <a:extLst>
            <a:ext uri="{FF2B5EF4-FFF2-40B4-BE49-F238E27FC236}">
              <a16:creationId xmlns:a16="http://schemas.microsoft.com/office/drawing/2014/main" id="{113CA467-80E5-4982-AEC0-2BFD8CBE2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756" name="BExU3EX5JJCXCII4YKUJBFBGIJR2" descr="OF5ZI9PI5WH36VPANJ2DYLNMI" hidden="1">
          <a:extLst>
            <a:ext uri="{FF2B5EF4-FFF2-40B4-BE49-F238E27FC236}">
              <a16:creationId xmlns:a16="http://schemas.microsoft.com/office/drawing/2014/main" id="{134AB2BD-CBB4-4D1B-85CD-8233189DA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757" name="BExW9676P0SKCVKK25QCGHPA3PAD" descr="9A4PWZ20RMSRF0PNECCDM75CA" hidden="1">
          <a:extLst>
            <a:ext uri="{FF2B5EF4-FFF2-40B4-BE49-F238E27FC236}">
              <a16:creationId xmlns:a16="http://schemas.microsoft.com/office/drawing/2014/main" id="{D3B759A1-7A12-45CD-8A87-DEFC7A564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758" name="BExMM0AVUAIRNJLXB1FW8R0YB4ZZ" hidden="1">
          <a:extLst>
            <a:ext uri="{FF2B5EF4-FFF2-40B4-BE49-F238E27FC236}">
              <a16:creationId xmlns:a16="http://schemas.microsoft.com/office/drawing/2014/main" id="{9CD23713-34CE-4F62-8B78-2A0DB49A6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759" name="BExQ7SXS9VUG7P6CACU2J7R2SGIZ" hidden="1">
          <a:extLst>
            <a:ext uri="{FF2B5EF4-FFF2-40B4-BE49-F238E27FC236}">
              <a16:creationId xmlns:a16="http://schemas.microsoft.com/office/drawing/2014/main" id="{5E455F74-E8EE-4516-AA6C-0992A45B4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60" name="BEx1KD7H6UB1VYCJ7O61P562EIUY" descr="IQGV9140X0K0UPBL8OGU3I44J" hidden="1">
          <a:extLst>
            <a:ext uri="{FF2B5EF4-FFF2-40B4-BE49-F238E27FC236}">
              <a16:creationId xmlns:a16="http://schemas.microsoft.com/office/drawing/2014/main" id="{5BB53625-77EC-4F13-BB4D-80EF7AE53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61" name="BEx5BJQWS6YWHH4ZMSUAMD641V6Y" descr="ZTMFMXCIQSECDX38ALEFHUB00" hidden="1">
          <a:extLst>
            <a:ext uri="{FF2B5EF4-FFF2-40B4-BE49-F238E27FC236}">
              <a16:creationId xmlns:a16="http://schemas.microsoft.com/office/drawing/2014/main" id="{ACF9552C-01AA-4DE2-9B6F-033EB32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62" name="BEx5AQZ4ETQ9LMY5EBWVH20Z7VXQ" hidden="1">
          <a:extLst>
            <a:ext uri="{FF2B5EF4-FFF2-40B4-BE49-F238E27FC236}">
              <a16:creationId xmlns:a16="http://schemas.microsoft.com/office/drawing/2014/main" id="{238B443E-A0FA-48F3-BE39-343780382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63" name="BExUBK0YZ5VYFY8TTITJGJU9S06A" hidden="1">
          <a:extLst>
            <a:ext uri="{FF2B5EF4-FFF2-40B4-BE49-F238E27FC236}">
              <a16:creationId xmlns:a16="http://schemas.microsoft.com/office/drawing/2014/main" id="{F932556D-5E12-4E10-B71E-F1BB52C97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64" name="BEx5BJQWS6YWHH4ZMSUAMD641V6Y" descr="ZTMFMXCIQSECDX38ALEFHUB00" hidden="1">
          <a:extLst>
            <a:ext uri="{FF2B5EF4-FFF2-40B4-BE49-F238E27FC236}">
              <a16:creationId xmlns:a16="http://schemas.microsoft.com/office/drawing/2014/main" id="{1DF47309-CDC1-4730-9254-C038D91B2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65" name="BExUBK0YZ5VYFY8TTITJGJU9S06A" hidden="1">
          <a:extLst>
            <a:ext uri="{FF2B5EF4-FFF2-40B4-BE49-F238E27FC236}">
              <a16:creationId xmlns:a16="http://schemas.microsoft.com/office/drawing/2014/main" id="{C6B45D4F-852A-4DA5-BD2B-AEFBE06FD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66" name="BEx5BJQWS6YWHH4ZMSUAMD641V6Y" descr="ZTMFMXCIQSECDX38ALEFHUB00" hidden="1">
          <a:extLst>
            <a:ext uri="{FF2B5EF4-FFF2-40B4-BE49-F238E27FC236}">
              <a16:creationId xmlns:a16="http://schemas.microsoft.com/office/drawing/2014/main" id="{EA5C4529-2422-4FA4-833A-FA2889799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67" name="BExUBK0YZ5VYFY8TTITJGJU9S06A" hidden="1">
          <a:extLst>
            <a:ext uri="{FF2B5EF4-FFF2-40B4-BE49-F238E27FC236}">
              <a16:creationId xmlns:a16="http://schemas.microsoft.com/office/drawing/2014/main" id="{95B8D18C-7039-4FC5-973D-208830BA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68" name="BEx5BJQWS6YWHH4ZMSUAMD641V6Y" descr="ZTMFMXCIQSECDX38ALEFHUB00" hidden="1">
          <a:extLst>
            <a:ext uri="{FF2B5EF4-FFF2-40B4-BE49-F238E27FC236}">
              <a16:creationId xmlns:a16="http://schemas.microsoft.com/office/drawing/2014/main" id="{F25A49E3-8757-42E2-8715-5028FC06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69" name="BExUBK0YZ5VYFY8TTITJGJU9S06A" hidden="1">
          <a:extLst>
            <a:ext uri="{FF2B5EF4-FFF2-40B4-BE49-F238E27FC236}">
              <a16:creationId xmlns:a16="http://schemas.microsoft.com/office/drawing/2014/main" id="{B7CAFB3E-983D-4C56-8F74-3B80B122B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70" name="BEx5BJQWS6YWHH4ZMSUAMD641V6Y" descr="ZTMFMXCIQSECDX38ALEFHUB00" hidden="1">
          <a:extLst>
            <a:ext uri="{FF2B5EF4-FFF2-40B4-BE49-F238E27FC236}">
              <a16:creationId xmlns:a16="http://schemas.microsoft.com/office/drawing/2014/main" id="{DD55701F-866F-4CC2-B11E-7C3C92872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71" name="BExUBK0YZ5VYFY8TTITJGJU9S06A" hidden="1">
          <a:extLst>
            <a:ext uri="{FF2B5EF4-FFF2-40B4-BE49-F238E27FC236}">
              <a16:creationId xmlns:a16="http://schemas.microsoft.com/office/drawing/2014/main" id="{B5ABA252-FF7F-422F-A9E7-D85C522D6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772" name="BExU3EX5JJCXCII4YKUJBFBGIJR2" descr="OF5ZI9PI5WH36VPANJ2DYLNMI" hidden="1">
          <a:extLst>
            <a:ext uri="{FF2B5EF4-FFF2-40B4-BE49-F238E27FC236}">
              <a16:creationId xmlns:a16="http://schemas.microsoft.com/office/drawing/2014/main" id="{D91518F5-101F-42F2-8CEE-09EB3E52F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73" name="BEx5BJQWS6YWHH4ZMSUAMD641V6Y" descr="ZTMFMXCIQSECDX38ALEFHUB00" hidden="1">
          <a:extLst>
            <a:ext uri="{FF2B5EF4-FFF2-40B4-BE49-F238E27FC236}">
              <a16:creationId xmlns:a16="http://schemas.microsoft.com/office/drawing/2014/main" id="{C2B2E5B4-F67C-4DBC-84E8-79CEC3FC7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4774" name="BExIFSCLN1G86X78PFLTSMRP0US5" descr="9JK4SPV4DG7VTCZIILWHXQU5J" hidden="1">
          <a:extLst>
            <a:ext uri="{FF2B5EF4-FFF2-40B4-BE49-F238E27FC236}">
              <a16:creationId xmlns:a16="http://schemas.microsoft.com/office/drawing/2014/main" id="{0EEA3F0E-5FE6-4C2F-9C26-6C6941552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775" name="BExW9676P0SKCVKK25QCGHPA3PAD" descr="9A4PWZ20RMSRF0PNECCDM75CA" hidden="1">
          <a:extLst>
            <a:ext uri="{FF2B5EF4-FFF2-40B4-BE49-F238E27FC236}">
              <a16:creationId xmlns:a16="http://schemas.microsoft.com/office/drawing/2014/main" id="{21B3F305-0CB2-4618-9843-184C91E40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776" name="BExMM0AVUAIRNJLXB1FW8R0YB4ZZ" hidden="1">
          <a:extLst>
            <a:ext uri="{FF2B5EF4-FFF2-40B4-BE49-F238E27FC236}">
              <a16:creationId xmlns:a16="http://schemas.microsoft.com/office/drawing/2014/main" id="{5742A8B6-B15B-4EBD-AFF7-FBDE1D6C4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777" name="BExQ7SXS9VUG7P6CACU2J7R2SGIZ" hidden="1">
          <a:extLst>
            <a:ext uri="{FF2B5EF4-FFF2-40B4-BE49-F238E27FC236}">
              <a16:creationId xmlns:a16="http://schemas.microsoft.com/office/drawing/2014/main" id="{FACC71F2-4CDD-44D7-B392-79452C2E2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78" name="BExUBK0YZ5VYFY8TTITJGJU9S06A" hidden="1">
          <a:extLst>
            <a:ext uri="{FF2B5EF4-FFF2-40B4-BE49-F238E27FC236}">
              <a16:creationId xmlns:a16="http://schemas.microsoft.com/office/drawing/2014/main" id="{53269836-CB12-47B5-97AF-8AA358503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4779" name="BExS3JDQWF7U3F5JTEVOE16ASIYK" hidden="1">
          <a:extLst>
            <a:ext uri="{FF2B5EF4-FFF2-40B4-BE49-F238E27FC236}">
              <a16:creationId xmlns:a16="http://schemas.microsoft.com/office/drawing/2014/main" id="{ED8B9ECA-190A-409E-A2B0-12C5F0493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5433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80" name="BEx1KD7H6UB1VYCJ7O61P562EIUY" descr="IQGV9140X0K0UPBL8OGU3I44J" hidden="1">
          <a:extLst>
            <a:ext uri="{FF2B5EF4-FFF2-40B4-BE49-F238E27FC236}">
              <a16:creationId xmlns:a16="http://schemas.microsoft.com/office/drawing/2014/main" id="{33ECF3C7-41E0-453F-A4B2-267A5FCDB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81" name="BEx5AQZ4ETQ9LMY5EBWVH20Z7VXQ" hidden="1">
          <a:extLst>
            <a:ext uri="{FF2B5EF4-FFF2-40B4-BE49-F238E27FC236}">
              <a16:creationId xmlns:a16="http://schemas.microsoft.com/office/drawing/2014/main" id="{1B913A68-F8B4-4157-81CC-3DEBF4C30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82" name="BEx1KD7H6UB1VYCJ7O61P562EIUY" descr="IQGV9140X0K0UPBL8OGU3I44J" hidden="1">
          <a:extLst>
            <a:ext uri="{FF2B5EF4-FFF2-40B4-BE49-F238E27FC236}">
              <a16:creationId xmlns:a16="http://schemas.microsoft.com/office/drawing/2014/main" id="{0732981B-0292-499D-AE1E-70F171102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83" name="BEx5AQZ4ETQ9LMY5EBWVH20Z7VXQ" hidden="1">
          <a:extLst>
            <a:ext uri="{FF2B5EF4-FFF2-40B4-BE49-F238E27FC236}">
              <a16:creationId xmlns:a16="http://schemas.microsoft.com/office/drawing/2014/main" id="{0B9D5F43-B4D1-4363-9B65-97FFB1AD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84" name="BEx1KD7H6UB1VYCJ7O61P562EIUY" descr="IQGV9140X0K0UPBL8OGU3I44J" hidden="1">
          <a:extLst>
            <a:ext uri="{FF2B5EF4-FFF2-40B4-BE49-F238E27FC236}">
              <a16:creationId xmlns:a16="http://schemas.microsoft.com/office/drawing/2014/main" id="{A816CBDE-94C1-4C46-A7CB-6F4BC0686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85" name="BEx5BJQWS6YWHH4ZMSUAMD641V6Y" descr="ZTMFMXCIQSECDX38ALEFHUB00" hidden="1">
          <a:extLst>
            <a:ext uri="{FF2B5EF4-FFF2-40B4-BE49-F238E27FC236}">
              <a16:creationId xmlns:a16="http://schemas.microsoft.com/office/drawing/2014/main" id="{40BC39E8-995C-49EA-B058-C45B821EF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86" name="BEx5AQZ4ETQ9LMY5EBWVH20Z7VXQ" hidden="1">
          <a:extLst>
            <a:ext uri="{FF2B5EF4-FFF2-40B4-BE49-F238E27FC236}">
              <a16:creationId xmlns:a16="http://schemas.microsoft.com/office/drawing/2014/main" id="{BFE76B5E-C1AA-4715-862E-D3DC09A26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87" name="BExUBK0YZ5VYFY8TTITJGJU9S06A" hidden="1">
          <a:extLst>
            <a:ext uri="{FF2B5EF4-FFF2-40B4-BE49-F238E27FC236}">
              <a16:creationId xmlns:a16="http://schemas.microsoft.com/office/drawing/2014/main" id="{157856C3-119B-4CB1-8619-B44A03FD6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88" name="BEx1KD7H6UB1VYCJ7O61P562EIUY" descr="IQGV9140X0K0UPBL8OGU3I44J" hidden="1">
          <a:extLst>
            <a:ext uri="{FF2B5EF4-FFF2-40B4-BE49-F238E27FC236}">
              <a16:creationId xmlns:a16="http://schemas.microsoft.com/office/drawing/2014/main" id="{54B041DA-65D0-453B-95BE-7B79F8F73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89" name="BEx5AQZ4ETQ9LMY5EBWVH20Z7VXQ" hidden="1">
          <a:extLst>
            <a:ext uri="{FF2B5EF4-FFF2-40B4-BE49-F238E27FC236}">
              <a16:creationId xmlns:a16="http://schemas.microsoft.com/office/drawing/2014/main" id="{92B3647A-FB3E-49A5-9B37-1C3551478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90" name="BEx1KD7H6UB1VYCJ7O61P562EIUY" descr="IQGV9140X0K0UPBL8OGU3I44J" hidden="1">
          <a:extLst>
            <a:ext uri="{FF2B5EF4-FFF2-40B4-BE49-F238E27FC236}">
              <a16:creationId xmlns:a16="http://schemas.microsoft.com/office/drawing/2014/main" id="{97D083D1-FEB9-48AA-825E-F0FFCAD75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91" name="BEx5BJQWS6YWHH4ZMSUAMD641V6Y" descr="ZTMFMXCIQSECDX38ALEFHUB00" hidden="1">
          <a:extLst>
            <a:ext uri="{FF2B5EF4-FFF2-40B4-BE49-F238E27FC236}">
              <a16:creationId xmlns:a16="http://schemas.microsoft.com/office/drawing/2014/main" id="{3F3B7F90-459D-4FFD-BA6F-E2C7C9E44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92" name="BEx5AQZ4ETQ9LMY5EBWVH20Z7VXQ" hidden="1">
          <a:extLst>
            <a:ext uri="{FF2B5EF4-FFF2-40B4-BE49-F238E27FC236}">
              <a16:creationId xmlns:a16="http://schemas.microsoft.com/office/drawing/2014/main" id="{9C0A4A62-103F-4CD4-946D-F2508A2D5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93" name="BExUBK0YZ5VYFY8TTITJGJU9S06A" hidden="1">
          <a:extLst>
            <a:ext uri="{FF2B5EF4-FFF2-40B4-BE49-F238E27FC236}">
              <a16:creationId xmlns:a16="http://schemas.microsoft.com/office/drawing/2014/main" id="{6B87B2F6-149D-43D4-8C95-7EE3940EB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94" name="BEx1KD7H6UB1VYCJ7O61P562EIUY" descr="IQGV9140X0K0UPBL8OGU3I44J" hidden="1">
          <a:extLst>
            <a:ext uri="{FF2B5EF4-FFF2-40B4-BE49-F238E27FC236}">
              <a16:creationId xmlns:a16="http://schemas.microsoft.com/office/drawing/2014/main" id="{0DA8532A-74E5-4B11-A8B0-691BB2ED7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95" name="BEx5BJQWS6YWHH4ZMSUAMD641V6Y" descr="ZTMFMXCIQSECDX38ALEFHUB00" hidden="1">
          <a:extLst>
            <a:ext uri="{FF2B5EF4-FFF2-40B4-BE49-F238E27FC236}">
              <a16:creationId xmlns:a16="http://schemas.microsoft.com/office/drawing/2014/main" id="{0A817EA2-BFC0-40D2-BFA5-E825A621E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96" name="BEx5AQZ4ETQ9LMY5EBWVH20Z7VXQ" hidden="1">
          <a:extLst>
            <a:ext uri="{FF2B5EF4-FFF2-40B4-BE49-F238E27FC236}">
              <a16:creationId xmlns:a16="http://schemas.microsoft.com/office/drawing/2014/main" id="{78EFBEE9-AB37-473A-8226-BC6BC02CE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797" name="BExUBK0YZ5VYFY8TTITJGJU9S06A" hidden="1">
          <a:extLst>
            <a:ext uri="{FF2B5EF4-FFF2-40B4-BE49-F238E27FC236}">
              <a16:creationId xmlns:a16="http://schemas.microsoft.com/office/drawing/2014/main" id="{A7CDE851-2EE9-49E9-82E7-0D5423D7A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98" name="BEx1KD7H6UB1VYCJ7O61P562EIUY" descr="IQGV9140X0K0UPBL8OGU3I44J" hidden="1">
          <a:extLst>
            <a:ext uri="{FF2B5EF4-FFF2-40B4-BE49-F238E27FC236}">
              <a16:creationId xmlns:a16="http://schemas.microsoft.com/office/drawing/2014/main" id="{B5CE7237-801A-4CA1-8E92-67C4BE464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799" name="BEx5AQZ4ETQ9LMY5EBWVH20Z7VXQ" hidden="1">
          <a:extLst>
            <a:ext uri="{FF2B5EF4-FFF2-40B4-BE49-F238E27FC236}">
              <a16:creationId xmlns:a16="http://schemas.microsoft.com/office/drawing/2014/main" id="{5B089B9D-07DA-46B7-A316-05FA268C5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00" name="BEx1KD7H6UB1VYCJ7O61P562EIUY" descr="IQGV9140X0K0UPBL8OGU3I44J" hidden="1">
          <a:extLst>
            <a:ext uri="{FF2B5EF4-FFF2-40B4-BE49-F238E27FC236}">
              <a16:creationId xmlns:a16="http://schemas.microsoft.com/office/drawing/2014/main" id="{99D5D70B-FDF1-42C3-9E5D-2EEE1D649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01" name="BEx5BJQWS6YWHH4ZMSUAMD641V6Y" descr="ZTMFMXCIQSECDX38ALEFHUB00" hidden="1">
          <a:extLst>
            <a:ext uri="{FF2B5EF4-FFF2-40B4-BE49-F238E27FC236}">
              <a16:creationId xmlns:a16="http://schemas.microsoft.com/office/drawing/2014/main" id="{4107B538-B912-49F8-AEEB-DA302625B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02" name="BEx5AQZ4ETQ9LMY5EBWVH20Z7VXQ" hidden="1">
          <a:extLst>
            <a:ext uri="{FF2B5EF4-FFF2-40B4-BE49-F238E27FC236}">
              <a16:creationId xmlns:a16="http://schemas.microsoft.com/office/drawing/2014/main" id="{C57B9CE8-0DF2-498A-B444-6CDEAE7EA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03" name="BExUBK0YZ5VYFY8TTITJGJU9S06A" hidden="1">
          <a:extLst>
            <a:ext uri="{FF2B5EF4-FFF2-40B4-BE49-F238E27FC236}">
              <a16:creationId xmlns:a16="http://schemas.microsoft.com/office/drawing/2014/main" id="{F9EC92F0-EE2C-4A5F-9FE7-E91538F74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04" name="BEx1KD7H6UB1VYCJ7O61P562EIUY" descr="IQGV9140X0K0UPBL8OGU3I44J" hidden="1">
          <a:extLst>
            <a:ext uri="{FF2B5EF4-FFF2-40B4-BE49-F238E27FC236}">
              <a16:creationId xmlns:a16="http://schemas.microsoft.com/office/drawing/2014/main" id="{D60B0BF2-5E96-4032-8FD7-F356047A0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05" name="BEx5BJQWS6YWHH4ZMSUAMD641V6Y" descr="ZTMFMXCIQSECDX38ALEFHUB00" hidden="1">
          <a:extLst>
            <a:ext uri="{FF2B5EF4-FFF2-40B4-BE49-F238E27FC236}">
              <a16:creationId xmlns:a16="http://schemas.microsoft.com/office/drawing/2014/main" id="{334C2EA9-45EC-40D5-B3BA-7A77EF140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06" name="BEx5AQZ4ETQ9LMY5EBWVH20Z7VXQ" hidden="1">
          <a:extLst>
            <a:ext uri="{FF2B5EF4-FFF2-40B4-BE49-F238E27FC236}">
              <a16:creationId xmlns:a16="http://schemas.microsoft.com/office/drawing/2014/main" id="{49B90281-2816-4A9D-BC42-052584187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07" name="BExUBK0YZ5VYFY8TTITJGJU9S06A" hidden="1">
          <a:extLst>
            <a:ext uri="{FF2B5EF4-FFF2-40B4-BE49-F238E27FC236}">
              <a16:creationId xmlns:a16="http://schemas.microsoft.com/office/drawing/2014/main" id="{BE394B73-E53C-4237-8F7B-D576C017E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08" name="BEx1KD7H6UB1VYCJ7O61P562EIUY" descr="IQGV9140X0K0UPBL8OGU3I44J" hidden="1">
          <a:extLst>
            <a:ext uri="{FF2B5EF4-FFF2-40B4-BE49-F238E27FC236}">
              <a16:creationId xmlns:a16="http://schemas.microsoft.com/office/drawing/2014/main" id="{09A41911-9FEC-4DC4-B480-F05398D66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09" name="BEx5BJQWS6YWHH4ZMSUAMD641V6Y" descr="ZTMFMXCIQSECDX38ALEFHUB00" hidden="1">
          <a:extLst>
            <a:ext uri="{FF2B5EF4-FFF2-40B4-BE49-F238E27FC236}">
              <a16:creationId xmlns:a16="http://schemas.microsoft.com/office/drawing/2014/main" id="{F75CCF60-3DEE-4184-B379-CF6475366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10" name="BEx5AQZ4ETQ9LMY5EBWVH20Z7VXQ" hidden="1">
          <a:extLst>
            <a:ext uri="{FF2B5EF4-FFF2-40B4-BE49-F238E27FC236}">
              <a16:creationId xmlns:a16="http://schemas.microsoft.com/office/drawing/2014/main" id="{22429A1C-A05B-4C48-BD21-56B4B7EB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11" name="BExUBK0YZ5VYFY8TTITJGJU9S06A" hidden="1">
          <a:extLst>
            <a:ext uri="{FF2B5EF4-FFF2-40B4-BE49-F238E27FC236}">
              <a16:creationId xmlns:a16="http://schemas.microsoft.com/office/drawing/2014/main" id="{3289D3B0-9BB8-4F1B-9E7A-936212B8D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12" name="BEx1KD7H6UB1VYCJ7O61P562EIUY" descr="IQGV9140X0K0UPBL8OGU3I44J" hidden="1">
          <a:extLst>
            <a:ext uri="{FF2B5EF4-FFF2-40B4-BE49-F238E27FC236}">
              <a16:creationId xmlns:a16="http://schemas.microsoft.com/office/drawing/2014/main" id="{137FC3D4-26D9-4A53-B443-AD42145B9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13" name="BEx5AQZ4ETQ9LMY5EBWVH20Z7VXQ" hidden="1">
          <a:extLst>
            <a:ext uri="{FF2B5EF4-FFF2-40B4-BE49-F238E27FC236}">
              <a16:creationId xmlns:a16="http://schemas.microsoft.com/office/drawing/2014/main" id="{6FD5EC70-D628-4BBA-82B7-F81B5C033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14" name="BEx1KD7H6UB1VYCJ7O61P562EIUY" descr="IQGV9140X0K0UPBL8OGU3I44J" hidden="1">
          <a:extLst>
            <a:ext uri="{FF2B5EF4-FFF2-40B4-BE49-F238E27FC236}">
              <a16:creationId xmlns:a16="http://schemas.microsoft.com/office/drawing/2014/main" id="{1E034413-5FF3-4175-AB98-DB5EB86FF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15" name="BEx5AQZ4ETQ9LMY5EBWVH20Z7VXQ" hidden="1">
          <a:extLst>
            <a:ext uri="{FF2B5EF4-FFF2-40B4-BE49-F238E27FC236}">
              <a16:creationId xmlns:a16="http://schemas.microsoft.com/office/drawing/2014/main" id="{3CA10A7B-71F3-4A37-ADFD-40D3FB8FD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16" name="BEx1KD7H6UB1VYCJ7O61P562EIUY" descr="IQGV9140X0K0UPBL8OGU3I44J" hidden="1">
          <a:extLst>
            <a:ext uri="{FF2B5EF4-FFF2-40B4-BE49-F238E27FC236}">
              <a16:creationId xmlns:a16="http://schemas.microsoft.com/office/drawing/2014/main" id="{2D6C0A37-2B76-40AD-9838-211736A8A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17" name="BEx5AQZ4ETQ9LMY5EBWVH20Z7VXQ" hidden="1">
          <a:extLst>
            <a:ext uri="{FF2B5EF4-FFF2-40B4-BE49-F238E27FC236}">
              <a16:creationId xmlns:a16="http://schemas.microsoft.com/office/drawing/2014/main" id="{0639E051-D341-4542-B420-CEC282DC6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18" name="BEx1KD7H6UB1VYCJ7O61P562EIUY" descr="IQGV9140X0K0UPBL8OGU3I44J" hidden="1">
          <a:extLst>
            <a:ext uri="{FF2B5EF4-FFF2-40B4-BE49-F238E27FC236}">
              <a16:creationId xmlns:a16="http://schemas.microsoft.com/office/drawing/2014/main" id="{4912AFF5-91AF-4095-8EB8-3DD436761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19" name="BEx5AQZ4ETQ9LMY5EBWVH20Z7VXQ" hidden="1">
          <a:extLst>
            <a:ext uri="{FF2B5EF4-FFF2-40B4-BE49-F238E27FC236}">
              <a16:creationId xmlns:a16="http://schemas.microsoft.com/office/drawing/2014/main" id="{657D9F88-A41D-412C-816C-0635F4288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20" name="BEx1KD7H6UB1VYCJ7O61P562EIUY" descr="IQGV9140X0K0UPBL8OGU3I44J" hidden="1">
          <a:extLst>
            <a:ext uri="{FF2B5EF4-FFF2-40B4-BE49-F238E27FC236}">
              <a16:creationId xmlns:a16="http://schemas.microsoft.com/office/drawing/2014/main" id="{01272795-6338-4B76-8887-835C520FC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21" name="BEx5AQZ4ETQ9LMY5EBWVH20Z7VXQ" hidden="1">
          <a:extLst>
            <a:ext uri="{FF2B5EF4-FFF2-40B4-BE49-F238E27FC236}">
              <a16:creationId xmlns:a16="http://schemas.microsoft.com/office/drawing/2014/main" id="{1E1F410D-A082-402B-B545-CA0D0B250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3547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22" name="BEx1KD7H6UB1VYCJ7O61P562EIUY" descr="IQGV9140X0K0UPBL8OGU3I44J" hidden="1">
          <a:extLst>
            <a:ext uri="{FF2B5EF4-FFF2-40B4-BE49-F238E27FC236}">
              <a16:creationId xmlns:a16="http://schemas.microsoft.com/office/drawing/2014/main" id="{0F6C079F-DEDD-4920-BB8B-AFB7B9BAF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23" name="BEx5BJQWS6YWHH4ZMSUAMD641V6Y" descr="ZTMFMXCIQSECDX38ALEFHUB00" hidden="1">
          <a:extLst>
            <a:ext uri="{FF2B5EF4-FFF2-40B4-BE49-F238E27FC236}">
              <a16:creationId xmlns:a16="http://schemas.microsoft.com/office/drawing/2014/main" id="{54F4BBB0-D999-4FD6-BBEA-941E05C86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24" name="BEx5AQZ4ETQ9LMY5EBWVH20Z7VXQ" hidden="1">
          <a:extLst>
            <a:ext uri="{FF2B5EF4-FFF2-40B4-BE49-F238E27FC236}">
              <a16:creationId xmlns:a16="http://schemas.microsoft.com/office/drawing/2014/main" id="{DA55A22D-0E85-4852-A0A7-A826E3F71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25" name="BExUBK0YZ5VYFY8TTITJGJU9S06A" hidden="1">
          <a:extLst>
            <a:ext uri="{FF2B5EF4-FFF2-40B4-BE49-F238E27FC236}">
              <a16:creationId xmlns:a16="http://schemas.microsoft.com/office/drawing/2014/main" id="{5A80B5BC-3A77-4A99-8F10-66D76D3B2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26" name="BEx1KD7H6UB1VYCJ7O61P562EIUY" descr="IQGV9140X0K0UPBL8OGU3I44J" hidden="1">
          <a:extLst>
            <a:ext uri="{FF2B5EF4-FFF2-40B4-BE49-F238E27FC236}">
              <a16:creationId xmlns:a16="http://schemas.microsoft.com/office/drawing/2014/main" id="{45D3C96F-427E-405A-9759-C856D9312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27" name="BEx5BJQWS6YWHH4ZMSUAMD641V6Y" descr="ZTMFMXCIQSECDX38ALEFHUB00" hidden="1">
          <a:extLst>
            <a:ext uri="{FF2B5EF4-FFF2-40B4-BE49-F238E27FC236}">
              <a16:creationId xmlns:a16="http://schemas.microsoft.com/office/drawing/2014/main" id="{D0736F7A-B18A-49A1-8BB3-874C8BB09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28" name="BEx5AQZ4ETQ9LMY5EBWVH20Z7VXQ" hidden="1">
          <a:extLst>
            <a:ext uri="{FF2B5EF4-FFF2-40B4-BE49-F238E27FC236}">
              <a16:creationId xmlns:a16="http://schemas.microsoft.com/office/drawing/2014/main" id="{40DC0ADA-D51A-4353-BC1B-8FDC5B05E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29" name="BExUBK0YZ5VYFY8TTITJGJU9S06A" hidden="1">
          <a:extLst>
            <a:ext uri="{FF2B5EF4-FFF2-40B4-BE49-F238E27FC236}">
              <a16:creationId xmlns:a16="http://schemas.microsoft.com/office/drawing/2014/main" id="{F2AB50EE-81FD-4296-B02A-031BA8084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30" name="BEx1KD7H6UB1VYCJ7O61P562EIUY" descr="IQGV9140X0K0UPBL8OGU3I44J" hidden="1">
          <a:extLst>
            <a:ext uri="{FF2B5EF4-FFF2-40B4-BE49-F238E27FC236}">
              <a16:creationId xmlns:a16="http://schemas.microsoft.com/office/drawing/2014/main" id="{43516199-0A77-42B5-ACDA-4BCEF03EA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31" name="BEx5BJQWS6YWHH4ZMSUAMD641V6Y" descr="ZTMFMXCIQSECDX38ALEFHUB00" hidden="1">
          <a:extLst>
            <a:ext uri="{FF2B5EF4-FFF2-40B4-BE49-F238E27FC236}">
              <a16:creationId xmlns:a16="http://schemas.microsoft.com/office/drawing/2014/main" id="{2BDC4D07-E96A-477E-93CB-E8375FBD1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32" name="BEx5AQZ4ETQ9LMY5EBWVH20Z7VXQ" hidden="1">
          <a:extLst>
            <a:ext uri="{FF2B5EF4-FFF2-40B4-BE49-F238E27FC236}">
              <a16:creationId xmlns:a16="http://schemas.microsoft.com/office/drawing/2014/main" id="{C21EB3FE-6F7A-448C-8AC9-CF643AAE2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33" name="BExUBK0YZ5VYFY8TTITJGJU9S06A" hidden="1">
          <a:extLst>
            <a:ext uri="{FF2B5EF4-FFF2-40B4-BE49-F238E27FC236}">
              <a16:creationId xmlns:a16="http://schemas.microsoft.com/office/drawing/2014/main" id="{40E1DB07-D0CB-4055-BC63-16047D0C0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34" name="BEx1KD7H6UB1VYCJ7O61P562EIUY" descr="IQGV9140X0K0UPBL8OGU3I44J" hidden="1">
          <a:extLst>
            <a:ext uri="{FF2B5EF4-FFF2-40B4-BE49-F238E27FC236}">
              <a16:creationId xmlns:a16="http://schemas.microsoft.com/office/drawing/2014/main" id="{DA158B0A-162E-4103-85B6-6E8626B62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35" name="BEx5BJQWS6YWHH4ZMSUAMD641V6Y" descr="ZTMFMXCIQSECDX38ALEFHUB00" hidden="1">
          <a:extLst>
            <a:ext uri="{FF2B5EF4-FFF2-40B4-BE49-F238E27FC236}">
              <a16:creationId xmlns:a16="http://schemas.microsoft.com/office/drawing/2014/main" id="{282FD408-D593-4249-84BE-BF0A6652B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36" name="BEx5AQZ4ETQ9LMY5EBWVH20Z7VXQ" hidden="1">
          <a:extLst>
            <a:ext uri="{FF2B5EF4-FFF2-40B4-BE49-F238E27FC236}">
              <a16:creationId xmlns:a16="http://schemas.microsoft.com/office/drawing/2014/main" id="{76AF3176-14FD-4338-B5FD-9A9E124A6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37" name="BExUBK0YZ5VYFY8TTITJGJU9S06A" hidden="1">
          <a:extLst>
            <a:ext uri="{FF2B5EF4-FFF2-40B4-BE49-F238E27FC236}">
              <a16:creationId xmlns:a16="http://schemas.microsoft.com/office/drawing/2014/main" id="{8B67BE66-AF59-4840-893B-60028B06F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38" name="BEx1KD7H6UB1VYCJ7O61P562EIUY" descr="IQGV9140X0K0UPBL8OGU3I44J" hidden="1">
          <a:extLst>
            <a:ext uri="{FF2B5EF4-FFF2-40B4-BE49-F238E27FC236}">
              <a16:creationId xmlns:a16="http://schemas.microsoft.com/office/drawing/2014/main" id="{CD60FE2C-AABF-4B37-A990-0F807D45F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39" name="BEx5BJQWS6YWHH4ZMSUAMD641V6Y" descr="ZTMFMXCIQSECDX38ALEFHUB00" hidden="1">
          <a:extLst>
            <a:ext uri="{FF2B5EF4-FFF2-40B4-BE49-F238E27FC236}">
              <a16:creationId xmlns:a16="http://schemas.microsoft.com/office/drawing/2014/main" id="{9C4CB019-D473-46AD-B449-81455F385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40" name="BEx5AQZ4ETQ9LMY5EBWVH20Z7VXQ" hidden="1">
          <a:extLst>
            <a:ext uri="{FF2B5EF4-FFF2-40B4-BE49-F238E27FC236}">
              <a16:creationId xmlns:a16="http://schemas.microsoft.com/office/drawing/2014/main" id="{63629B3C-26F3-42E0-9C03-262717CDE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41" name="BExUBK0YZ5VYFY8TTITJGJU9S06A" hidden="1">
          <a:extLst>
            <a:ext uri="{FF2B5EF4-FFF2-40B4-BE49-F238E27FC236}">
              <a16:creationId xmlns:a16="http://schemas.microsoft.com/office/drawing/2014/main" id="{88524F7C-C634-4BE1-B4FB-F88F60E73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42" name="BEx1KD7H6UB1VYCJ7O61P562EIUY" descr="IQGV9140X0K0UPBL8OGU3I44J" hidden="1">
          <a:extLst>
            <a:ext uri="{FF2B5EF4-FFF2-40B4-BE49-F238E27FC236}">
              <a16:creationId xmlns:a16="http://schemas.microsoft.com/office/drawing/2014/main" id="{662E6702-59CD-4955-A3D1-568E863D2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43" name="BEx5BJQWS6YWHH4ZMSUAMD641V6Y" descr="ZTMFMXCIQSECDX38ALEFHUB00" hidden="1">
          <a:extLst>
            <a:ext uri="{FF2B5EF4-FFF2-40B4-BE49-F238E27FC236}">
              <a16:creationId xmlns:a16="http://schemas.microsoft.com/office/drawing/2014/main" id="{9A4FD495-DC40-4167-8CF8-67AC0DAFD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44" name="BEx5AQZ4ETQ9LMY5EBWVH20Z7VXQ" hidden="1">
          <a:extLst>
            <a:ext uri="{FF2B5EF4-FFF2-40B4-BE49-F238E27FC236}">
              <a16:creationId xmlns:a16="http://schemas.microsoft.com/office/drawing/2014/main" id="{B1C8A35A-1236-4B45-A1B1-E06A78792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45" name="BExUBK0YZ5VYFY8TTITJGJU9S06A" hidden="1">
          <a:extLst>
            <a:ext uri="{FF2B5EF4-FFF2-40B4-BE49-F238E27FC236}">
              <a16:creationId xmlns:a16="http://schemas.microsoft.com/office/drawing/2014/main" id="{E8A887F0-F233-4AAB-AEBD-318BA2E13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46" name="BEx5BJQWS6YWHH4ZMSUAMD641V6Y" descr="ZTMFMXCIQSECDX38ALEFHUB00" hidden="1">
          <a:extLst>
            <a:ext uri="{FF2B5EF4-FFF2-40B4-BE49-F238E27FC236}">
              <a16:creationId xmlns:a16="http://schemas.microsoft.com/office/drawing/2014/main" id="{38A680D4-7ECC-400A-8445-51BCA28BF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47" name="BExUBK0YZ5VYFY8TTITJGJU9S06A" hidden="1">
          <a:extLst>
            <a:ext uri="{FF2B5EF4-FFF2-40B4-BE49-F238E27FC236}">
              <a16:creationId xmlns:a16="http://schemas.microsoft.com/office/drawing/2014/main" id="{261457DB-E596-49D3-9D28-888710D34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48" name="BEx5BJQWS6YWHH4ZMSUAMD641V6Y" descr="ZTMFMXCIQSECDX38ALEFHUB00" hidden="1">
          <a:extLst>
            <a:ext uri="{FF2B5EF4-FFF2-40B4-BE49-F238E27FC236}">
              <a16:creationId xmlns:a16="http://schemas.microsoft.com/office/drawing/2014/main" id="{B000DC4A-FEDE-4BC6-BD49-6DF1EBFA0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49" name="BExUBK0YZ5VYFY8TTITJGJU9S06A" hidden="1">
          <a:extLst>
            <a:ext uri="{FF2B5EF4-FFF2-40B4-BE49-F238E27FC236}">
              <a16:creationId xmlns:a16="http://schemas.microsoft.com/office/drawing/2014/main" id="{73EBFE66-9F20-492D-B449-41FD083A3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50" name="BEx5BJQWS6YWHH4ZMSUAMD641V6Y" descr="ZTMFMXCIQSECDX38ALEFHUB00" hidden="1">
          <a:extLst>
            <a:ext uri="{FF2B5EF4-FFF2-40B4-BE49-F238E27FC236}">
              <a16:creationId xmlns:a16="http://schemas.microsoft.com/office/drawing/2014/main" id="{E8EAACCD-E485-48F4-ABBD-C36AB8E25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51" name="BExUBK0YZ5VYFY8TTITJGJU9S06A" hidden="1">
          <a:extLst>
            <a:ext uri="{FF2B5EF4-FFF2-40B4-BE49-F238E27FC236}">
              <a16:creationId xmlns:a16="http://schemas.microsoft.com/office/drawing/2014/main" id="{0D333DC5-C319-40D7-9525-0E91F9C14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52" name="BEx5BJQWS6YWHH4ZMSUAMD641V6Y" descr="ZTMFMXCIQSECDX38ALEFHUB00" hidden="1">
          <a:extLst>
            <a:ext uri="{FF2B5EF4-FFF2-40B4-BE49-F238E27FC236}">
              <a16:creationId xmlns:a16="http://schemas.microsoft.com/office/drawing/2014/main" id="{D2F35962-322C-4F77-8A48-0EF3657E3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53" name="BExUBK0YZ5VYFY8TTITJGJU9S06A" hidden="1">
          <a:extLst>
            <a:ext uri="{FF2B5EF4-FFF2-40B4-BE49-F238E27FC236}">
              <a16:creationId xmlns:a16="http://schemas.microsoft.com/office/drawing/2014/main" id="{B65800B4-1B2D-41A9-B425-941F7B85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54" name="BEx5BJQWS6YWHH4ZMSUAMD641V6Y" descr="ZTMFMXCIQSECDX38ALEFHUB00" hidden="1">
          <a:extLst>
            <a:ext uri="{FF2B5EF4-FFF2-40B4-BE49-F238E27FC236}">
              <a16:creationId xmlns:a16="http://schemas.microsoft.com/office/drawing/2014/main" id="{5EF0C150-C3EC-4C6A-980B-5A01FC2B8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55" name="BExUBK0YZ5VYFY8TTITJGJU9S06A" hidden="1">
          <a:extLst>
            <a:ext uri="{FF2B5EF4-FFF2-40B4-BE49-F238E27FC236}">
              <a16:creationId xmlns:a16="http://schemas.microsoft.com/office/drawing/2014/main" id="{AAB0BE3A-C84F-4234-AA50-14222917B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56" name="BEx1KD7H6UB1VYCJ7O61P562EIUY" descr="IQGV9140X0K0UPBL8OGU3I44J" hidden="1">
          <a:extLst>
            <a:ext uri="{FF2B5EF4-FFF2-40B4-BE49-F238E27FC236}">
              <a16:creationId xmlns:a16="http://schemas.microsoft.com/office/drawing/2014/main" id="{2026A678-B4DD-4C31-9D78-56BA92387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57" name="BEx5AQZ4ETQ9LMY5EBWVH20Z7VXQ" hidden="1">
          <a:extLst>
            <a:ext uri="{FF2B5EF4-FFF2-40B4-BE49-F238E27FC236}">
              <a16:creationId xmlns:a16="http://schemas.microsoft.com/office/drawing/2014/main" id="{342272D5-2CCA-4F65-B456-FC8CB4D3C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58" name="BEx1KD7H6UB1VYCJ7O61P562EIUY" descr="IQGV9140X0K0UPBL8OGU3I44J" hidden="1">
          <a:extLst>
            <a:ext uri="{FF2B5EF4-FFF2-40B4-BE49-F238E27FC236}">
              <a16:creationId xmlns:a16="http://schemas.microsoft.com/office/drawing/2014/main" id="{3238ADE5-57EF-4D5E-AA81-22C2E0031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59" name="BEx5AQZ4ETQ9LMY5EBWVH20Z7VXQ" hidden="1">
          <a:extLst>
            <a:ext uri="{FF2B5EF4-FFF2-40B4-BE49-F238E27FC236}">
              <a16:creationId xmlns:a16="http://schemas.microsoft.com/office/drawing/2014/main" id="{96E9F4C6-40B7-4C42-9213-5EBF85F9D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60" name="BEx5BJQWS6YWHH4ZMSUAMD641V6Y" descr="ZTMFMXCIQSECDX38ALEFHUB00" hidden="1">
          <a:extLst>
            <a:ext uri="{FF2B5EF4-FFF2-40B4-BE49-F238E27FC236}">
              <a16:creationId xmlns:a16="http://schemas.microsoft.com/office/drawing/2014/main" id="{728E7F52-22C7-4EA3-9382-72B997F0D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61" name="BExUBK0YZ5VYFY8TTITJGJU9S06A" hidden="1">
          <a:extLst>
            <a:ext uri="{FF2B5EF4-FFF2-40B4-BE49-F238E27FC236}">
              <a16:creationId xmlns:a16="http://schemas.microsoft.com/office/drawing/2014/main" id="{2522C6D9-7169-4A65-B905-7D4CF0CC0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62" name="BEx1KD7H6UB1VYCJ7O61P562EIUY" descr="IQGV9140X0K0UPBL8OGU3I44J" hidden="1">
          <a:extLst>
            <a:ext uri="{FF2B5EF4-FFF2-40B4-BE49-F238E27FC236}">
              <a16:creationId xmlns:a16="http://schemas.microsoft.com/office/drawing/2014/main" id="{578202FE-6A6D-4386-B0AE-E3A596454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63" name="BEx5AQZ4ETQ9LMY5EBWVH20Z7VXQ" hidden="1">
          <a:extLst>
            <a:ext uri="{FF2B5EF4-FFF2-40B4-BE49-F238E27FC236}">
              <a16:creationId xmlns:a16="http://schemas.microsoft.com/office/drawing/2014/main" id="{D38B1106-7A49-4C78-8F06-EE869A2A7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64" name="BEx5BJQWS6YWHH4ZMSUAMD641V6Y" descr="ZTMFMXCIQSECDX38ALEFHUB00" hidden="1">
          <a:extLst>
            <a:ext uri="{FF2B5EF4-FFF2-40B4-BE49-F238E27FC236}">
              <a16:creationId xmlns:a16="http://schemas.microsoft.com/office/drawing/2014/main" id="{9BAB67F3-C1AF-45B2-9679-459680786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65" name="BExUBK0YZ5VYFY8TTITJGJU9S06A" hidden="1">
          <a:extLst>
            <a:ext uri="{FF2B5EF4-FFF2-40B4-BE49-F238E27FC236}">
              <a16:creationId xmlns:a16="http://schemas.microsoft.com/office/drawing/2014/main" id="{2909A257-E12D-4C21-B8A7-D940F61F8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66" name="BEx5BJQWS6YWHH4ZMSUAMD641V6Y" descr="ZTMFMXCIQSECDX38ALEFHUB00" hidden="1">
          <a:extLst>
            <a:ext uri="{FF2B5EF4-FFF2-40B4-BE49-F238E27FC236}">
              <a16:creationId xmlns:a16="http://schemas.microsoft.com/office/drawing/2014/main" id="{D88CF823-6C52-4389-9789-755BA525D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67" name="BExUBK0YZ5VYFY8TTITJGJU9S06A" hidden="1">
          <a:extLst>
            <a:ext uri="{FF2B5EF4-FFF2-40B4-BE49-F238E27FC236}">
              <a16:creationId xmlns:a16="http://schemas.microsoft.com/office/drawing/2014/main" id="{6CA07638-6628-47C4-A2C8-CDEA63C3A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68" name="BEx1KD7H6UB1VYCJ7O61P562EIUY" descr="IQGV9140X0K0UPBL8OGU3I44J" hidden="1">
          <a:extLst>
            <a:ext uri="{FF2B5EF4-FFF2-40B4-BE49-F238E27FC236}">
              <a16:creationId xmlns:a16="http://schemas.microsoft.com/office/drawing/2014/main" id="{1B903144-6F99-44A6-81D7-1218AB956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69" name="BEx5AQZ4ETQ9LMY5EBWVH20Z7VXQ" hidden="1">
          <a:extLst>
            <a:ext uri="{FF2B5EF4-FFF2-40B4-BE49-F238E27FC236}">
              <a16:creationId xmlns:a16="http://schemas.microsoft.com/office/drawing/2014/main" id="{430CD135-DAB5-4667-AEEA-B56426F47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70" name="BEx5BJQWS6YWHH4ZMSUAMD641V6Y" descr="ZTMFMXCIQSECDX38ALEFHUB00" hidden="1">
          <a:extLst>
            <a:ext uri="{FF2B5EF4-FFF2-40B4-BE49-F238E27FC236}">
              <a16:creationId xmlns:a16="http://schemas.microsoft.com/office/drawing/2014/main" id="{CFF92AE7-714A-4B80-A6DC-065BE7FBC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71" name="BExUBK0YZ5VYFY8TTITJGJU9S06A" hidden="1">
          <a:extLst>
            <a:ext uri="{FF2B5EF4-FFF2-40B4-BE49-F238E27FC236}">
              <a16:creationId xmlns:a16="http://schemas.microsoft.com/office/drawing/2014/main" id="{ECC6FEFF-2AEA-47EA-A12D-48BD2ABC7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72" name="BEx5BJQWS6YWHH4ZMSUAMD641V6Y" descr="ZTMFMXCIQSECDX38ALEFHUB00" hidden="1">
          <a:extLst>
            <a:ext uri="{FF2B5EF4-FFF2-40B4-BE49-F238E27FC236}">
              <a16:creationId xmlns:a16="http://schemas.microsoft.com/office/drawing/2014/main" id="{D6C6CE8E-AC7C-4CB9-8ED7-71035B4F7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73" name="BExUBK0YZ5VYFY8TTITJGJU9S06A" hidden="1">
          <a:extLst>
            <a:ext uri="{FF2B5EF4-FFF2-40B4-BE49-F238E27FC236}">
              <a16:creationId xmlns:a16="http://schemas.microsoft.com/office/drawing/2014/main" id="{BF62E776-F64A-4145-92B3-1B05866F4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74" name="BEx5BJQWS6YWHH4ZMSUAMD641V6Y" descr="ZTMFMXCIQSECDX38ALEFHUB00" hidden="1">
          <a:extLst>
            <a:ext uri="{FF2B5EF4-FFF2-40B4-BE49-F238E27FC236}">
              <a16:creationId xmlns:a16="http://schemas.microsoft.com/office/drawing/2014/main" id="{6890EAFF-352E-4548-B43D-EC491B05D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75" name="BExUBK0YZ5VYFY8TTITJGJU9S06A" hidden="1">
          <a:extLst>
            <a:ext uri="{FF2B5EF4-FFF2-40B4-BE49-F238E27FC236}">
              <a16:creationId xmlns:a16="http://schemas.microsoft.com/office/drawing/2014/main" id="{4D5E250C-FF21-4DDF-B702-2B21B28CD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76" name="BEx1KD7H6UB1VYCJ7O61P562EIUY" descr="IQGV9140X0K0UPBL8OGU3I44J" hidden="1">
          <a:extLst>
            <a:ext uri="{FF2B5EF4-FFF2-40B4-BE49-F238E27FC236}">
              <a16:creationId xmlns:a16="http://schemas.microsoft.com/office/drawing/2014/main" id="{3E1246E7-722F-4D46-A45D-E100FAF55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77" name="BEx5AQZ4ETQ9LMY5EBWVH20Z7VXQ" hidden="1">
          <a:extLst>
            <a:ext uri="{FF2B5EF4-FFF2-40B4-BE49-F238E27FC236}">
              <a16:creationId xmlns:a16="http://schemas.microsoft.com/office/drawing/2014/main" id="{22A095B5-75F4-4A11-BD29-EA995AC9D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78" name="BEx5BJQWS6YWHH4ZMSUAMD641V6Y" descr="ZTMFMXCIQSECDX38ALEFHUB00" hidden="1">
          <a:extLst>
            <a:ext uri="{FF2B5EF4-FFF2-40B4-BE49-F238E27FC236}">
              <a16:creationId xmlns:a16="http://schemas.microsoft.com/office/drawing/2014/main" id="{954A5E47-65EA-4B30-86E4-8E6F5A3FE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79" name="BExUBK0YZ5VYFY8TTITJGJU9S06A" hidden="1">
          <a:extLst>
            <a:ext uri="{FF2B5EF4-FFF2-40B4-BE49-F238E27FC236}">
              <a16:creationId xmlns:a16="http://schemas.microsoft.com/office/drawing/2014/main" id="{74361AE9-A651-4D4F-A0F3-E902BD9D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80" name="BEx5BJQWS6YWHH4ZMSUAMD641V6Y" descr="ZTMFMXCIQSECDX38ALEFHUB00" hidden="1">
          <a:extLst>
            <a:ext uri="{FF2B5EF4-FFF2-40B4-BE49-F238E27FC236}">
              <a16:creationId xmlns:a16="http://schemas.microsoft.com/office/drawing/2014/main" id="{6AB8B7E0-7A9B-4554-8F3A-7EBCA2658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81" name="BExUBK0YZ5VYFY8TTITJGJU9S06A" hidden="1">
          <a:extLst>
            <a:ext uri="{FF2B5EF4-FFF2-40B4-BE49-F238E27FC236}">
              <a16:creationId xmlns:a16="http://schemas.microsoft.com/office/drawing/2014/main" id="{F752253C-6235-4648-BF03-631A3184A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82" name="BEx5BJQWS6YWHH4ZMSUAMD641V6Y" descr="ZTMFMXCIQSECDX38ALEFHUB00" hidden="1">
          <a:extLst>
            <a:ext uri="{FF2B5EF4-FFF2-40B4-BE49-F238E27FC236}">
              <a16:creationId xmlns:a16="http://schemas.microsoft.com/office/drawing/2014/main" id="{2C04362D-80C4-49C4-BF04-CB86A4207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83" name="BExUBK0YZ5VYFY8TTITJGJU9S06A" hidden="1">
          <a:extLst>
            <a:ext uri="{FF2B5EF4-FFF2-40B4-BE49-F238E27FC236}">
              <a16:creationId xmlns:a16="http://schemas.microsoft.com/office/drawing/2014/main" id="{AA6175D9-4258-4E9D-9821-063EA61B7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84" name="BEx5BJQWS6YWHH4ZMSUAMD641V6Y" descr="ZTMFMXCIQSECDX38ALEFHUB00" hidden="1">
          <a:extLst>
            <a:ext uri="{FF2B5EF4-FFF2-40B4-BE49-F238E27FC236}">
              <a16:creationId xmlns:a16="http://schemas.microsoft.com/office/drawing/2014/main" id="{0024BBDE-2C88-4C28-BC21-37738775C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85" name="BExUBK0YZ5VYFY8TTITJGJU9S06A" hidden="1">
          <a:extLst>
            <a:ext uri="{FF2B5EF4-FFF2-40B4-BE49-F238E27FC236}">
              <a16:creationId xmlns:a16="http://schemas.microsoft.com/office/drawing/2014/main" id="{1AA27EB8-955B-476A-9755-1FFF4FE3B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86" name="BEx5BJQWS6YWHH4ZMSUAMD641V6Y" descr="ZTMFMXCIQSECDX38ALEFHUB00" hidden="1">
          <a:extLst>
            <a:ext uri="{FF2B5EF4-FFF2-40B4-BE49-F238E27FC236}">
              <a16:creationId xmlns:a16="http://schemas.microsoft.com/office/drawing/2014/main" id="{5265C67C-4AEE-4C43-80E5-5D1812E8D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87" name="BExUBK0YZ5VYFY8TTITJGJU9S06A" hidden="1">
          <a:extLst>
            <a:ext uri="{FF2B5EF4-FFF2-40B4-BE49-F238E27FC236}">
              <a16:creationId xmlns:a16="http://schemas.microsoft.com/office/drawing/2014/main" id="{421943AF-B99E-49A1-8E49-9D3B39ABC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88" name="BEx1KD7H6UB1VYCJ7O61P562EIUY" descr="IQGV9140X0K0UPBL8OGU3I44J" hidden="1">
          <a:extLst>
            <a:ext uri="{FF2B5EF4-FFF2-40B4-BE49-F238E27FC236}">
              <a16:creationId xmlns:a16="http://schemas.microsoft.com/office/drawing/2014/main" id="{E5803C0E-4962-42DC-89AF-82E49C7DC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89" name="BEx5BJQWS6YWHH4ZMSUAMD641V6Y" descr="ZTMFMXCIQSECDX38ALEFHUB00" hidden="1">
          <a:extLst>
            <a:ext uri="{FF2B5EF4-FFF2-40B4-BE49-F238E27FC236}">
              <a16:creationId xmlns:a16="http://schemas.microsoft.com/office/drawing/2014/main" id="{E24880FD-5E08-43D4-8E4A-83A1F9E83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890" name="BEx5AQZ4ETQ9LMY5EBWVH20Z7VXQ" hidden="1">
          <a:extLst>
            <a:ext uri="{FF2B5EF4-FFF2-40B4-BE49-F238E27FC236}">
              <a16:creationId xmlns:a16="http://schemas.microsoft.com/office/drawing/2014/main" id="{60ED6BA9-7F04-44CE-938C-5FEEB41B6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91" name="BExUBK0YZ5VYFY8TTITJGJU9S06A" hidden="1">
          <a:extLst>
            <a:ext uri="{FF2B5EF4-FFF2-40B4-BE49-F238E27FC236}">
              <a16:creationId xmlns:a16="http://schemas.microsoft.com/office/drawing/2014/main" id="{6BEFB325-B90D-47BB-B7AD-1F4BAF614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92" name="BEx5BJQWS6YWHH4ZMSUAMD641V6Y" descr="ZTMFMXCIQSECDX38ALEFHUB00" hidden="1">
          <a:extLst>
            <a:ext uri="{FF2B5EF4-FFF2-40B4-BE49-F238E27FC236}">
              <a16:creationId xmlns:a16="http://schemas.microsoft.com/office/drawing/2014/main" id="{2E26D18F-90AF-4E44-A19E-230AEBAFC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93" name="BExUBK0YZ5VYFY8TTITJGJU9S06A" hidden="1">
          <a:extLst>
            <a:ext uri="{FF2B5EF4-FFF2-40B4-BE49-F238E27FC236}">
              <a16:creationId xmlns:a16="http://schemas.microsoft.com/office/drawing/2014/main" id="{973FE29F-0BAC-4409-85C9-E29F9C4EB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94" name="BEx5BJQWS6YWHH4ZMSUAMD641V6Y" descr="ZTMFMXCIQSECDX38ALEFHUB00" hidden="1">
          <a:extLst>
            <a:ext uri="{FF2B5EF4-FFF2-40B4-BE49-F238E27FC236}">
              <a16:creationId xmlns:a16="http://schemas.microsoft.com/office/drawing/2014/main" id="{6E3AFD62-0C81-4AD8-8D7D-A0110E9CC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95" name="BExUBK0YZ5VYFY8TTITJGJU9S06A" hidden="1">
          <a:extLst>
            <a:ext uri="{FF2B5EF4-FFF2-40B4-BE49-F238E27FC236}">
              <a16:creationId xmlns:a16="http://schemas.microsoft.com/office/drawing/2014/main" id="{9CAC8DAB-B869-407B-8C3A-96DE00ED0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96" name="BEx5BJQWS6YWHH4ZMSUAMD641V6Y" descr="ZTMFMXCIQSECDX38ALEFHUB00" hidden="1">
          <a:extLst>
            <a:ext uri="{FF2B5EF4-FFF2-40B4-BE49-F238E27FC236}">
              <a16:creationId xmlns:a16="http://schemas.microsoft.com/office/drawing/2014/main" id="{9FDC4122-3998-41B7-9E99-634F3CB20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97" name="BExUBK0YZ5VYFY8TTITJGJU9S06A" hidden="1">
          <a:extLst>
            <a:ext uri="{FF2B5EF4-FFF2-40B4-BE49-F238E27FC236}">
              <a16:creationId xmlns:a16="http://schemas.microsoft.com/office/drawing/2014/main" id="{187D9D55-FFF3-448D-8720-D629A8C8E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98" name="BEx5BJQWS6YWHH4ZMSUAMD641V6Y" descr="ZTMFMXCIQSECDX38ALEFHUB00" hidden="1">
          <a:extLst>
            <a:ext uri="{FF2B5EF4-FFF2-40B4-BE49-F238E27FC236}">
              <a16:creationId xmlns:a16="http://schemas.microsoft.com/office/drawing/2014/main" id="{3CB5B325-9201-4FB6-AFA5-4292B896A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899" name="BExUBK0YZ5VYFY8TTITJGJU9S06A" hidden="1">
          <a:extLst>
            <a:ext uri="{FF2B5EF4-FFF2-40B4-BE49-F238E27FC236}">
              <a16:creationId xmlns:a16="http://schemas.microsoft.com/office/drawing/2014/main" id="{8EBEC011-9C59-4318-B0FA-C791FD105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00" name="BEx5BJQWS6YWHH4ZMSUAMD641V6Y" descr="ZTMFMXCIQSECDX38ALEFHUB00" hidden="1">
          <a:extLst>
            <a:ext uri="{FF2B5EF4-FFF2-40B4-BE49-F238E27FC236}">
              <a16:creationId xmlns:a16="http://schemas.microsoft.com/office/drawing/2014/main" id="{87AADCBD-3A55-4DA1-B245-5BFE8F259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01" name="BExUBK0YZ5VYFY8TTITJGJU9S06A" hidden="1">
          <a:extLst>
            <a:ext uri="{FF2B5EF4-FFF2-40B4-BE49-F238E27FC236}">
              <a16:creationId xmlns:a16="http://schemas.microsoft.com/office/drawing/2014/main" id="{05458534-ABFB-47CF-A504-B1E8CF0ED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02" name="BEx1KD7H6UB1VYCJ7O61P562EIUY" descr="IQGV9140X0K0UPBL8OGU3I44J" hidden="1">
          <a:extLst>
            <a:ext uri="{FF2B5EF4-FFF2-40B4-BE49-F238E27FC236}">
              <a16:creationId xmlns:a16="http://schemas.microsoft.com/office/drawing/2014/main" id="{846ECB25-3BFC-4CDF-976F-2CD8F864D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03" name="BEx5AQZ4ETQ9LMY5EBWVH20Z7VXQ" hidden="1">
          <a:extLst>
            <a:ext uri="{FF2B5EF4-FFF2-40B4-BE49-F238E27FC236}">
              <a16:creationId xmlns:a16="http://schemas.microsoft.com/office/drawing/2014/main" id="{F341EC7E-414B-44F9-B7E5-53911F012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04" name="BEx1KD7H6UB1VYCJ7O61P562EIUY" descr="IQGV9140X0K0UPBL8OGU3I44J" hidden="1">
          <a:extLst>
            <a:ext uri="{FF2B5EF4-FFF2-40B4-BE49-F238E27FC236}">
              <a16:creationId xmlns:a16="http://schemas.microsoft.com/office/drawing/2014/main" id="{B71549CA-7D3B-40DC-B80A-6C3F1E685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05" name="BEx5AQZ4ETQ9LMY5EBWVH20Z7VXQ" hidden="1">
          <a:extLst>
            <a:ext uri="{FF2B5EF4-FFF2-40B4-BE49-F238E27FC236}">
              <a16:creationId xmlns:a16="http://schemas.microsoft.com/office/drawing/2014/main" id="{14F5EECE-F23C-4313-A75D-873C48A72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06" name="BEx5BJQWS6YWHH4ZMSUAMD641V6Y" descr="ZTMFMXCIQSECDX38ALEFHUB00" hidden="1">
          <a:extLst>
            <a:ext uri="{FF2B5EF4-FFF2-40B4-BE49-F238E27FC236}">
              <a16:creationId xmlns:a16="http://schemas.microsoft.com/office/drawing/2014/main" id="{636CB982-9BAB-423D-BCBF-C4CBA871C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07" name="BExUBK0YZ5VYFY8TTITJGJU9S06A" hidden="1">
          <a:extLst>
            <a:ext uri="{FF2B5EF4-FFF2-40B4-BE49-F238E27FC236}">
              <a16:creationId xmlns:a16="http://schemas.microsoft.com/office/drawing/2014/main" id="{C074791E-E12E-4250-B517-5023A020A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08" name="BEx1KD7H6UB1VYCJ7O61P562EIUY" descr="IQGV9140X0K0UPBL8OGU3I44J" hidden="1">
          <a:extLst>
            <a:ext uri="{FF2B5EF4-FFF2-40B4-BE49-F238E27FC236}">
              <a16:creationId xmlns:a16="http://schemas.microsoft.com/office/drawing/2014/main" id="{CC874994-C306-4FD1-B5F2-2280CCE36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09" name="BEx5AQZ4ETQ9LMY5EBWVH20Z7VXQ" hidden="1">
          <a:extLst>
            <a:ext uri="{FF2B5EF4-FFF2-40B4-BE49-F238E27FC236}">
              <a16:creationId xmlns:a16="http://schemas.microsoft.com/office/drawing/2014/main" id="{6243AC55-FCC5-46CB-8EC5-FFFB66AEA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10" name="BEx5BJQWS6YWHH4ZMSUAMD641V6Y" descr="ZTMFMXCIQSECDX38ALEFHUB00" hidden="1">
          <a:extLst>
            <a:ext uri="{FF2B5EF4-FFF2-40B4-BE49-F238E27FC236}">
              <a16:creationId xmlns:a16="http://schemas.microsoft.com/office/drawing/2014/main" id="{A74638F1-1E3D-4F4E-B7BA-3D0EDADF6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11" name="BExUBK0YZ5VYFY8TTITJGJU9S06A" hidden="1">
          <a:extLst>
            <a:ext uri="{FF2B5EF4-FFF2-40B4-BE49-F238E27FC236}">
              <a16:creationId xmlns:a16="http://schemas.microsoft.com/office/drawing/2014/main" id="{9900805E-B298-4E09-8EF0-2AC3E6327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12" name="BEx5BJQWS6YWHH4ZMSUAMD641V6Y" descr="ZTMFMXCIQSECDX38ALEFHUB00" hidden="1">
          <a:extLst>
            <a:ext uri="{FF2B5EF4-FFF2-40B4-BE49-F238E27FC236}">
              <a16:creationId xmlns:a16="http://schemas.microsoft.com/office/drawing/2014/main" id="{8EE3B732-1C1D-4AD8-B932-C37729FAF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13" name="BExUBK0YZ5VYFY8TTITJGJU9S06A" hidden="1">
          <a:extLst>
            <a:ext uri="{FF2B5EF4-FFF2-40B4-BE49-F238E27FC236}">
              <a16:creationId xmlns:a16="http://schemas.microsoft.com/office/drawing/2014/main" id="{913F9A53-BD62-40C2-BB1D-DCAC1A43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14" name="BEx1KD7H6UB1VYCJ7O61P562EIUY" descr="IQGV9140X0K0UPBL8OGU3I44J" hidden="1">
          <a:extLst>
            <a:ext uri="{FF2B5EF4-FFF2-40B4-BE49-F238E27FC236}">
              <a16:creationId xmlns:a16="http://schemas.microsoft.com/office/drawing/2014/main" id="{9DB333CD-8AB3-4CB2-87FA-92AD2271D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15" name="BEx5AQZ4ETQ9LMY5EBWVH20Z7VXQ" hidden="1">
          <a:extLst>
            <a:ext uri="{FF2B5EF4-FFF2-40B4-BE49-F238E27FC236}">
              <a16:creationId xmlns:a16="http://schemas.microsoft.com/office/drawing/2014/main" id="{DEA63658-BC2A-418A-9B3A-A9CFE685A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16" name="BEx5BJQWS6YWHH4ZMSUAMD641V6Y" descr="ZTMFMXCIQSECDX38ALEFHUB00" hidden="1">
          <a:extLst>
            <a:ext uri="{FF2B5EF4-FFF2-40B4-BE49-F238E27FC236}">
              <a16:creationId xmlns:a16="http://schemas.microsoft.com/office/drawing/2014/main" id="{F9DC2DA4-9DC3-4A28-B461-8AB4CA25C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17" name="BExUBK0YZ5VYFY8TTITJGJU9S06A" hidden="1">
          <a:extLst>
            <a:ext uri="{FF2B5EF4-FFF2-40B4-BE49-F238E27FC236}">
              <a16:creationId xmlns:a16="http://schemas.microsoft.com/office/drawing/2014/main" id="{14745426-BA86-417E-BEE2-63E6FDA9A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18" name="BEx5BJQWS6YWHH4ZMSUAMD641V6Y" descr="ZTMFMXCIQSECDX38ALEFHUB00" hidden="1">
          <a:extLst>
            <a:ext uri="{FF2B5EF4-FFF2-40B4-BE49-F238E27FC236}">
              <a16:creationId xmlns:a16="http://schemas.microsoft.com/office/drawing/2014/main" id="{5A76DE72-928D-48E1-BA0B-C77E8FC18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19" name="BExUBK0YZ5VYFY8TTITJGJU9S06A" hidden="1">
          <a:extLst>
            <a:ext uri="{FF2B5EF4-FFF2-40B4-BE49-F238E27FC236}">
              <a16:creationId xmlns:a16="http://schemas.microsoft.com/office/drawing/2014/main" id="{4DB7444B-5EBE-43B5-B215-99E333C6A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20" name="BEx5BJQWS6YWHH4ZMSUAMD641V6Y" descr="ZTMFMXCIQSECDX38ALEFHUB00" hidden="1">
          <a:extLst>
            <a:ext uri="{FF2B5EF4-FFF2-40B4-BE49-F238E27FC236}">
              <a16:creationId xmlns:a16="http://schemas.microsoft.com/office/drawing/2014/main" id="{014DBA99-B2E3-4892-ADF3-4A9573C9C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21" name="BExUBK0YZ5VYFY8TTITJGJU9S06A" hidden="1">
          <a:extLst>
            <a:ext uri="{FF2B5EF4-FFF2-40B4-BE49-F238E27FC236}">
              <a16:creationId xmlns:a16="http://schemas.microsoft.com/office/drawing/2014/main" id="{857FB830-CFE8-4161-8CBD-55D85D038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22" name="BEx1KD7H6UB1VYCJ7O61P562EIUY" descr="IQGV9140X0K0UPBL8OGU3I44J" hidden="1">
          <a:extLst>
            <a:ext uri="{FF2B5EF4-FFF2-40B4-BE49-F238E27FC236}">
              <a16:creationId xmlns:a16="http://schemas.microsoft.com/office/drawing/2014/main" id="{71A73584-7E92-4B47-828B-8A6997C62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23" name="BEx5AQZ4ETQ9LMY5EBWVH20Z7VXQ" hidden="1">
          <a:extLst>
            <a:ext uri="{FF2B5EF4-FFF2-40B4-BE49-F238E27FC236}">
              <a16:creationId xmlns:a16="http://schemas.microsoft.com/office/drawing/2014/main" id="{78C54841-59B4-43FD-9841-DC21632E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24" name="BEx5BJQWS6YWHH4ZMSUAMD641V6Y" descr="ZTMFMXCIQSECDX38ALEFHUB00" hidden="1">
          <a:extLst>
            <a:ext uri="{FF2B5EF4-FFF2-40B4-BE49-F238E27FC236}">
              <a16:creationId xmlns:a16="http://schemas.microsoft.com/office/drawing/2014/main" id="{8FA16423-762C-4A3E-A3C5-0FCF5770A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25" name="BExUBK0YZ5VYFY8TTITJGJU9S06A" hidden="1">
          <a:extLst>
            <a:ext uri="{FF2B5EF4-FFF2-40B4-BE49-F238E27FC236}">
              <a16:creationId xmlns:a16="http://schemas.microsoft.com/office/drawing/2014/main" id="{D99CA836-03F5-4AD0-947C-83EB04B8F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26" name="BEx5BJQWS6YWHH4ZMSUAMD641V6Y" descr="ZTMFMXCIQSECDX38ALEFHUB00" hidden="1">
          <a:extLst>
            <a:ext uri="{FF2B5EF4-FFF2-40B4-BE49-F238E27FC236}">
              <a16:creationId xmlns:a16="http://schemas.microsoft.com/office/drawing/2014/main" id="{F6F22151-2FB9-4E2E-B9C9-95DCFDDA4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27" name="BExUBK0YZ5VYFY8TTITJGJU9S06A" hidden="1">
          <a:extLst>
            <a:ext uri="{FF2B5EF4-FFF2-40B4-BE49-F238E27FC236}">
              <a16:creationId xmlns:a16="http://schemas.microsoft.com/office/drawing/2014/main" id="{F6220582-617F-467A-A572-DA6CAEB8C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28" name="BEx5BJQWS6YWHH4ZMSUAMD641V6Y" descr="ZTMFMXCIQSECDX38ALEFHUB00" hidden="1">
          <a:extLst>
            <a:ext uri="{FF2B5EF4-FFF2-40B4-BE49-F238E27FC236}">
              <a16:creationId xmlns:a16="http://schemas.microsoft.com/office/drawing/2014/main" id="{0EA9C6C3-B769-4909-9F35-CF3CBF5A9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29" name="BExUBK0YZ5VYFY8TTITJGJU9S06A" hidden="1">
          <a:extLst>
            <a:ext uri="{FF2B5EF4-FFF2-40B4-BE49-F238E27FC236}">
              <a16:creationId xmlns:a16="http://schemas.microsoft.com/office/drawing/2014/main" id="{7C1FEA86-E291-421B-B06B-CF72578D1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30" name="BEx5BJQWS6YWHH4ZMSUAMD641V6Y" descr="ZTMFMXCIQSECDX38ALEFHUB00" hidden="1">
          <a:extLst>
            <a:ext uri="{FF2B5EF4-FFF2-40B4-BE49-F238E27FC236}">
              <a16:creationId xmlns:a16="http://schemas.microsoft.com/office/drawing/2014/main" id="{25A8C74C-1B78-4EF4-84D1-A776B4302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31" name="BExUBK0YZ5VYFY8TTITJGJU9S06A" hidden="1">
          <a:extLst>
            <a:ext uri="{FF2B5EF4-FFF2-40B4-BE49-F238E27FC236}">
              <a16:creationId xmlns:a16="http://schemas.microsoft.com/office/drawing/2014/main" id="{1607BDA3-6B0F-40FA-8357-2382994F2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32" name="BEx5BJQWS6YWHH4ZMSUAMD641V6Y" descr="ZTMFMXCIQSECDX38ALEFHUB00" hidden="1">
          <a:extLst>
            <a:ext uri="{FF2B5EF4-FFF2-40B4-BE49-F238E27FC236}">
              <a16:creationId xmlns:a16="http://schemas.microsoft.com/office/drawing/2014/main" id="{90797D6B-80C4-4D80-BB33-A363CC92B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33" name="BExUBK0YZ5VYFY8TTITJGJU9S06A" hidden="1">
          <a:extLst>
            <a:ext uri="{FF2B5EF4-FFF2-40B4-BE49-F238E27FC236}">
              <a16:creationId xmlns:a16="http://schemas.microsoft.com/office/drawing/2014/main" id="{F49D454C-FC3B-40F4-B99B-F0839026D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34" name="BEx5BJQWS6YWHH4ZMSUAMD641V6Y" descr="ZTMFMXCIQSECDX38ALEFHUB00" hidden="1">
          <a:extLst>
            <a:ext uri="{FF2B5EF4-FFF2-40B4-BE49-F238E27FC236}">
              <a16:creationId xmlns:a16="http://schemas.microsoft.com/office/drawing/2014/main" id="{967BAB66-D8D0-47E9-A206-C6FA24A01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35" name="BExUBK0YZ5VYFY8TTITJGJU9S06A" hidden="1">
          <a:extLst>
            <a:ext uri="{FF2B5EF4-FFF2-40B4-BE49-F238E27FC236}">
              <a16:creationId xmlns:a16="http://schemas.microsoft.com/office/drawing/2014/main" id="{CF472AD6-279B-4035-B220-44D36109B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936" name="BExMO7VFCN4EL59982UR4AJ25JNJ" descr="XX6TINEJADZGKR0CTM7ZRT0RA" hidden="1">
          <a:extLst>
            <a:ext uri="{FF2B5EF4-FFF2-40B4-BE49-F238E27FC236}">
              <a16:creationId xmlns:a16="http://schemas.microsoft.com/office/drawing/2014/main" id="{43CF0126-8BE7-4836-9478-8D8E3672D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937" name="BExU3EX5JJCXCII4YKUJBFBGIJR2" descr="OF5ZI9PI5WH36VPANJ2DYLNMI" hidden="1">
          <a:extLst>
            <a:ext uri="{FF2B5EF4-FFF2-40B4-BE49-F238E27FC236}">
              <a16:creationId xmlns:a16="http://schemas.microsoft.com/office/drawing/2014/main" id="{B55E8392-1F9A-45F6-9A9F-591658582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38" name="BEx1KD7H6UB1VYCJ7O61P562EIUY" descr="IQGV9140X0K0UPBL8OGU3I44J" hidden="1">
          <a:extLst>
            <a:ext uri="{FF2B5EF4-FFF2-40B4-BE49-F238E27FC236}">
              <a16:creationId xmlns:a16="http://schemas.microsoft.com/office/drawing/2014/main" id="{DC8547E9-4D41-4411-97C1-453835427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39" name="BEx5BJQWS6YWHH4ZMSUAMD641V6Y" descr="ZTMFMXCIQSECDX38ALEFHUB00" hidden="1">
          <a:extLst>
            <a:ext uri="{FF2B5EF4-FFF2-40B4-BE49-F238E27FC236}">
              <a16:creationId xmlns:a16="http://schemas.microsoft.com/office/drawing/2014/main" id="{F431A8E1-B2D0-4D60-ACE5-B6D254FB1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4940" name="BExVTO5Q8G2M7BPL4B2584LQS0R0" descr="OB6Q8NA4LZFE4GM9Y3V56BPMQ" hidden="1">
          <a:extLst>
            <a:ext uri="{FF2B5EF4-FFF2-40B4-BE49-F238E27FC236}">
              <a16:creationId xmlns:a16="http://schemas.microsoft.com/office/drawing/2014/main" id="{41283000-BE02-4059-A2B5-A6D85F6E5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4941" name="BExIFSCLN1G86X78PFLTSMRP0US5" descr="9JK4SPV4DG7VTCZIILWHXQU5J" hidden="1">
          <a:extLst>
            <a:ext uri="{FF2B5EF4-FFF2-40B4-BE49-F238E27FC236}">
              <a16:creationId xmlns:a16="http://schemas.microsoft.com/office/drawing/2014/main" id="{04CDA61B-707B-4FDE-AF61-6280F796D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942" name="BEx1I152WN2D3A85O2XN0DGXCWHN" descr="KHBZFMANRA4UMJR1AB4M5NJNT" hidden="1">
          <a:extLst>
            <a:ext uri="{FF2B5EF4-FFF2-40B4-BE49-F238E27FC236}">
              <a16:creationId xmlns:a16="http://schemas.microsoft.com/office/drawing/2014/main" id="{0B3BE088-DF35-4BB8-B0F3-62DB4E1AE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943" name="BExW9676P0SKCVKK25QCGHPA3PAD" descr="9A4PWZ20RMSRF0PNECCDM75CA" hidden="1">
          <a:extLst>
            <a:ext uri="{FF2B5EF4-FFF2-40B4-BE49-F238E27FC236}">
              <a16:creationId xmlns:a16="http://schemas.microsoft.com/office/drawing/2014/main" id="{CC2E3060-CF26-44AF-B752-8F2E28F8D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944" name="BExS5CPQ8P8JOQPK7ANNKHLSGOKU" hidden="1">
          <a:extLst>
            <a:ext uri="{FF2B5EF4-FFF2-40B4-BE49-F238E27FC236}">
              <a16:creationId xmlns:a16="http://schemas.microsoft.com/office/drawing/2014/main" id="{07CF6D08-EEDE-42D1-9F3A-437F52D9E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945" name="BExMM0AVUAIRNJLXB1FW8R0YB4ZZ" hidden="1">
          <a:extLst>
            <a:ext uri="{FF2B5EF4-FFF2-40B4-BE49-F238E27FC236}">
              <a16:creationId xmlns:a16="http://schemas.microsoft.com/office/drawing/2014/main" id="{E143C5AF-8802-4EA0-B610-C78E483C0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946" name="BExXZ7Y09CBS0XA7IPB3IRJ8RJM4" hidden="1">
          <a:extLst>
            <a:ext uri="{FF2B5EF4-FFF2-40B4-BE49-F238E27FC236}">
              <a16:creationId xmlns:a16="http://schemas.microsoft.com/office/drawing/2014/main" id="{D2EBD696-AA7F-4EB7-BFE1-5F94BE78D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947" name="BExQ7SXS9VUG7P6CACU2J7R2SGIZ" hidden="1">
          <a:extLst>
            <a:ext uri="{FF2B5EF4-FFF2-40B4-BE49-F238E27FC236}">
              <a16:creationId xmlns:a16="http://schemas.microsoft.com/office/drawing/2014/main" id="{02D80408-2F90-4CFB-B5E2-A28B42FF9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48" name="BEx5AQZ4ETQ9LMY5EBWVH20Z7VXQ" hidden="1">
          <a:extLst>
            <a:ext uri="{FF2B5EF4-FFF2-40B4-BE49-F238E27FC236}">
              <a16:creationId xmlns:a16="http://schemas.microsoft.com/office/drawing/2014/main" id="{62DCA97B-5777-4A39-8D1F-34862FDCB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49" name="BExUBK0YZ5VYFY8TTITJGJU9S06A" hidden="1">
          <a:extLst>
            <a:ext uri="{FF2B5EF4-FFF2-40B4-BE49-F238E27FC236}">
              <a16:creationId xmlns:a16="http://schemas.microsoft.com/office/drawing/2014/main" id="{00654464-F01D-4082-9465-526824AB6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4950" name="BExUEZCSSJ7RN4J18I2NUIQR2FZS" hidden="1">
          <a:extLst>
            <a:ext uri="{FF2B5EF4-FFF2-40B4-BE49-F238E27FC236}">
              <a16:creationId xmlns:a16="http://schemas.microsoft.com/office/drawing/2014/main" id="{99E634DD-E075-4E98-A9D6-DE653E775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543300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4951" name="BExS3JDQWF7U3F5JTEVOE16ASIYK" hidden="1">
          <a:extLst>
            <a:ext uri="{FF2B5EF4-FFF2-40B4-BE49-F238E27FC236}">
              <a16:creationId xmlns:a16="http://schemas.microsoft.com/office/drawing/2014/main" id="{FAADEB83-2F18-43D1-8500-AE0CBE44A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5433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52" name="BEx1KD7H6UB1VYCJ7O61P562EIUY" descr="IQGV9140X0K0UPBL8OGU3I44J" hidden="1">
          <a:extLst>
            <a:ext uri="{FF2B5EF4-FFF2-40B4-BE49-F238E27FC236}">
              <a16:creationId xmlns:a16="http://schemas.microsoft.com/office/drawing/2014/main" id="{572815D8-FE86-4BD7-B5EA-FE61B2C80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53" name="BEx5BJQWS6YWHH4ZMSUAMD641V6Y" descr="ZTMFMXCIQSECDX38ALEFHUB00" hidden="1">
          <a:extLst>
            <a:ext uri="{FF2B5EF4-FFF2-40B4-BE49-F238E27FC236}">
              <a16:creationId xmlns:a16="http://schemas.microsoft.com/office/drawing/2014/main" id="{DACAE7EE-C87C-48A6-8961-C3D7A9B4B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54" name="BEx5AQZ4ETQ9LMY5EBWVH20Z7VXQ" hidden="1">
          <a:extLst>
            <a:ext uri="{FF2B5EF4-FFF2-40B4-BE49-F238E27FC236}">
              <a16:creationId xmlns:a16="http://schemas.microsoft.com/office/drawing/2014/main" id="{387F5C57-BF5D-436C-8AA3-487E849DF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55" name="BExUBK0YZ5VYFY8TTITJGJU9S06A" hidden="1">
          <a:extLst>
            <a:ext uri="{FF2B5EF4-FFF2-40B4-BE49-F238E27FC236}">
              <a16:creationId xmlns:a16="http://schemas.microsoft.com/office/drawing/2014/main" id="{D3AD127B-228B-43DC-93B3-E3C776848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956" name="BExMO7VFCN4EL59982UR4AJ25JNJ" descr="XX6TINEJADZGKR0CTM7ZRT0RA" hidden="1">
          <a:extLst>
            <a:ext uri="{FF2B5EF4-FFF2-40B4-BE49-F238E27FC236}">
              <a16:creationId xmlns:a16="http://schemas.microsoft.com/office/drawing/2014/main" id="{A9231350-8040-4AC9-AC48-0D88FB9DB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957" name="BExU3EX5JJCXCII4YKUJBFBGIJR2" descr="OF5ZI9PI5WH36VPANJ2DYLNMI" hidden="1">
          <a:extLst>
            <a:ext uri="{FF2B5EF4-FFF2-40B4-BE49-F238E27FC236}">
              <a16:creationId xmlns:a16="http://schemas.microsoft.com/office/drawing/2014/main" id="{A5AE54CA-387C-4477-8763-9E1ED9311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958" name="BEx1I152WN2D3A85O2XN0DGXCWHN" descr="KHBZFMANRA4UMJR1AB4M5NJNT" hidden="1">
          <a:extLst>
            <a:ext uri="{FF2B5EF4-FFF2-40B4-BE49-F238E27FC236}">
              <a16:creationId xmlns:a16="http://schemas.microsoft.com/office/drawing/2014/main" id="{546D8877-A763-4DB7-A051-8F1059B44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959" name="BExW9676P0SKCVKK25QCGHPA3PAD" descr="9A4PWZ20RMSRF0PNECCDM75CA" hidden="1">
          <a:extLst>
            <a:ext uri="{FF2B5EF4-FFF2-40B4-BE49-F238E27FC236}">
              <a16:creationId xmlns:a16="http://schemas.microsoft.com/office/drawing/2014/main" id="{8757CBBD-EC6A-48C7-BEA8-37EAACF0A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960" name="BExS5CPQ8P8JOQPK7ANNKHLSGOKU" hidden="1">
          <a:extLst>
            <a:ext uri="{FF2B5EF4-FFF2-40B4-BE49-F238E27FC236}">
              <a16:creationId xmlns:a16="http://schemas.microsoft.com/office/drawing/2014/main" id="{86C42689-8442-48B8-AE49-6AB947763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961" name="BExMM0AVUAIRNJLXB1FW8R0YB4ZZ" hidden="1">
          <a:extLst>
            <a:ext uri="{FF2B5EF4-FFF2-40B4-BE49-F238E27FC236}">
              <a16:creationId xmlns:a16="http://schemas.microsoft.com/office/drawing/2014/main" id="{986B06AC-63DA-4DEA-8FB2-46F546818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962" name="BExXZ7Y09CBS0XA7IPB3IRJ8RJM4" hidden="1">
          <a:extLst>
            <a:ext uri="{FF2B5EF4-FFF2-40B4-BE49-F238E27FC236}">
              <a16:creationId xmlns:a16="http://schemas.microsoft.com/office/drawing/2014/main" id="{9AEA4A10-831C-4093-9B09-8890BE0F3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963" name="BExQ7SXS9VUG7P6CACU2J7R2SGIZ" hidden="1">
          <a:extLst>
            <a:ext uri="{FF2B5EF4-FFF2-40B4-BE49-F238E27FC236}">
              <a16:creationId xmlns:a16="http://schemas.microsoft.com/office/drawing/2014/main" id="{3CA002BB-A92B-4917-A873-B8392B80D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964" name="BExMO7VFCN4EL59982UR4AJ25JNJ" descr="XX6TINEJADZGKR0CTM7ZRT0RA" hidden="1">
          <a:extLst>
            <a:ext uri="{FF2B5EF4-FFF2-40B4-BE49-F238E27FC236}">
              <a16:creationId xmlns:a16="http://schemas.microsoft.com/office/drawing/2014/main" id="{377C8416-AFC3-4F11-87AA-C15288F3E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965" name="BExU3EX5JJCXCII4YKUJBFBGIJR2" descr="OF5ZI9PI5WH36VPANJ2DYLNMI" hidden="1">
          <a:extLst>
            <a:ext uri="{FF2B5EF4-FFF2-40B4-BE49-F238E27FC236}">
              <a16:creationId xmlns:a16="http://schemas.microsoft.com/office/drawing/2014/main" id="{E18A3A5F-D42B-4C76-9E28-CC8A27975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966" name="BEx1I152WN2D3A85O2XN0DGXCWHN" descr="KHBZFMANRA4UMJR1AB4M5NJNT" hidden="1">
          <a:extLst>
            <a:ext uri="{FF2B5EF4-FFF2-40B4-BE49-F238E27FC236}">
              <a16:creationId xmlns:a16="http://schemas.microsoft.com/office/drawing/2014/main" id="{4311AF6A-1D94-4B6C-84C5-1381EDD5A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967" name="BExW9676P0SKCVKK25QCGHPA3PAD" descr="9A4PWZ20RMSRF0PNECCDM75CA" hidden="1">
          <a:extLst>
            <a:ext uri="{FF2B5EF4-FFF2-40B4-BE49-F238E27FC236}">
              <a16:creationId xmlns:a16="http://schemas.microsoft.com/office/drawing/2014/main" id="{4346D3B5-FD29-4BFD-A8ED-E15D154D1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968" name="BExS5CPQ8P8JOQPK7ANNKHLSGOKU" hidden="1">
          <a:extLst>
            <a:ext uri="{FF2B5EF4-FFF2-40B4-BE49-F238E27FC236}">
              <a16:creationId xmlns:a16="http://schemas.microsoft.com/office/drawing/2014/main" id="{F1662339-F52B-4504-A7EF-FDE439143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969" name="BExMM0AVUAIRNJLXB1FW8R0YB4ZZ" hidden="1">
          <a:extLst>
            <a:ext uri="{FF2B5EF4-FFF2-40B4-BE49-F238E27FC236}">
              <a16:creationId xmlns:a16="http://schemas.microsoft.com/office/drawing/2014/main" id="{9739BFAA-560E-4E64-8F3C-48F64E792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4970" name="BExXZ7Y09CBS0XA7IPB3IRJ8RJM4" hidden="1">
          <a:extLst>
            <a:ext uri="{FF2B5EF4-FFF2-40B4-BE49-F238E27FC236}">
              <a16:creationId xmlns:a16="http://schemas.microsoft.com/office/drawing/2014/main" id="{9D16AF7A-C39E-4ED6-8965-A84D76622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4971" name="BExQ7SXS9VUG7P6CACU2J7R2SGIZ" hidden="1">
          <a:extLst>
            <a:ext uri="{FF2B5EF4-FFF2-40B4-BE49-F238E27FC236}">
              <a16:creationId xmlns:a16="http://schemas.microsoft.com/office/drawing/2014/main" id="{9A1D8D1E-4585-4802-904C-28B2E6B08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72" name="BEx1KD7H6UB1VYCJ7O61P562EIUY" descr="IQGV9140X0K0UPBL8OGU3I44J" hidden="1">
          <a:extLst>
            <a:ext uri="{FF2B5EF4-FFF2-40B4-BE49-F238E27FC236}">
              <a16:creationId xmlns:a16="http://schemas.microsoft.com/office/drawing/2014/main" id="{A69224C6-931F-44E2-9858-38DBA6FBD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73" name="BEx5BJQWS6YWHH4ZMSUAMD641V6Y" descr="ZTMFMXCIQSECDX38ALEFHUB00" hidden="1">
          <a:extLst>
            <a:ext uri="{FF2B5EF4-FFF2-40B4-BE49-F238E27FC236}">
              <a16:creationId xmlns:a16="http://schemas.microsoft.com/office/drawing/2014/main" id="{291E80B6-51C1-4EC3-A80A-AA7C2CD88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74" name="BEx5AQZ4ETQ9LMY5EBWVH20Z7VXQ" hidden="1">
          <a:extLst>
            <a:ext uri="{FF2B5EF4-FFF2-40B4-BE49-F238E27FC236}">
              <a16:creationId xmlns:a16="http://schemas.microsoft.com/office/drawing/2014/main" id="{58E6300F-C31C-45F6-9DFF-DE3E0FC47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75" name="BExUBK0YZ5VYFY8TTITJGJU9S06A" hidden="1">
          <a:extLst>
            <a:ext uri="{FF2B5EF4-FFF2-40B4-BE49-F238E27FC236}">
              <a16:creationId xmlns:a16="http://schemas.microsoft.com/office/drawing/2014/main" id="{68BC721D-1FA9-4219-93E5-72547B872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76" name="BEx1KD7H6UB1VYCJ7O61P562EIUY" descr="IQGV9140X0K0UPBL8OGU3I44J" hidden="1">
          <a:extLst>
            <a:ext uri="{FF2B5EF4-FFF2-40B4-BE49-F238E27FC236}">
              <a16:creationId xmlns:a16="http://schemas.microsoft.com/office/drawing/2014/main" id="{C3681F6B-3A68-49D6-85F1-FDED393BD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77" name="BEx5BJQWS6YWHH4ZMSUAMD641V6Y" descr="ZTMFMXCIQSECDX38ALEFHUB00" hidden="1">
          <a:extLst>
            <a:ext uri="{FF2B5EF4-FFF2-40B4-BE49-F238E27FC236}">
              <a16:creationId xmlns:a16="http://schemas.microsoft.com/office/drawing/2014/main" id="{C2CE79AD-ACCB-4803-BD1E-42E9F4160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78" name="BEx5AQZ4ETQ9LMY5EBWVH20Z7VXQ" hidden="1">
          <a:extLst>
            <a:ext uri="{FF2B5EF4-FFF2-40B4-BE49-F238E27FC236}">
              <a16:creationId xmlns:a16="http://schemas.microsoft.com/office/drawing/2014/main" id="{1F5980FA-B9D1-4FE8-A8C4-C8BEBA625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79" name="BExUBK0YZ5VYFY8TTITJGJU9S06A" hidden="1">
          <a:extLst>
            <a:ext uri="{FF2B5EF4-FFF2-40B4-BE49-F238E27FC236}">
              <a16:creationId xmlns:a16="http://schemas.microsoft.com/office/drawing/2014/main" id="{0F273D7D-1792-4792-B107-98B12C29F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80" name="BEx1KD7H6UB1VYCJ7O61P562EIUY" descr="IQGV9140X0K0UPBL8OGU3I44J" hidden="1">
          <a:extLst>
            <a:ext uri="{FF2B5EF4-FFF2-40B4-BE49-F238E27FC236}">
              <a16:creationId xmlns:a16="http://schemas.microsoft.com/office/drawing/2014/main" id="{4B2B3F07-49B1-43DF-A2F9-DA982F71F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81" name="BEx5BJQWS6YWHH4ZMSUAMD641V6Y" descr="ZTMFMXCIQSECDX38ALEFHUB00" hidden="1">
          <a:extLst>
            <a:ext uri="{FF2B5EF4-FFF2-40B4-BE49-F238E27FC236}">
              <a16:creationId xmlns:a16="http://schemas.microsoft.com/office/drawing/2014/main" id="{2141FEF9-B453-4CF5-ACC1-E74200527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82" name="BEx5AQZ4ETQ9LMY5EBWVH20Z7VXQ" hidden="1">
          <a:extLst>
            <a:ext uri="{FF2B5EF4-FFF2-40B4-BE49-F238E27FC236}">
              <a16:creationId xmlns:a16="http://schemas.microsoft.com/office/drawing/2014/main" id="{017F51DD-B167-48AA-81CA-1573B675A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83" name="BExUBK0YZ5VYFY8TTITJGJU9S06A" hidden="1">
          <a:extLst>
            <a:ext uri="{FF2B5EF4-FFF2-40B4-BE49-F238E27FC236}">
              <a16:creationId xmlns:a16="http://schemas.microsoft.com/office/drawing/2014/main" id="{D4FA2285-E526-4F1E-BBAD-9C867C558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84" name="BEx1KD7H6UB1VYCJ7O61P562EIUY" descr="IQGV9140X0K0UPBL8OGU3I44J" hidden="1">
          <a:extLst>
            <a:ext uri="{FF2B5EF4-FFF2-40B4-BE49-F238E27FC236}">
              <a16:creationId xmlns:a16="http://schemas.microsoft.com/office/drawing/2014/main" id="{A8252566-CEE5-45CB-A891-6827CBAFD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85" name="BEx5BJQWS6YWHH4ZMSUAMD641V6Y" descr="ZTMFMXCIQSECDX38ALEFHUB00" hidden="1">
          <a:extLst>
            <a:ext uri="{FF2B5EF4-FFF2-40B4-BE49-F238E27FC236}">
              <a16:creationId xmlns:a16="http://schemas.microsoft.com/office/drawing/2014/main" id="{74762EA4-AD56-4658-B017-B8B16B9B4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86" name="BEx5AQZ4ETQ9LMY5EBWVH20Z7VXQ" hidden="1">
          <a:extLst>
            <a:ext uri="{FF2B5EF4-FFF2-40B4-BE49-F238E27FC236}">
              <a16:creationId xmlns:a16="http://schemas.microsoft.com/office/drawing/2014/main" id="{A5EF438D-77CA-446F-AE2A-E48A533A2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87" name="BExUBK0YZ5VYFY8TTITJGJU9S06A" hidden="1">
          <a:extLst>
            <a:ext uri="{FF2B5EF4-FFF2-40B4-BE49-F238E27FC236}">
              <a16:creationId xmlns:a16="http://schemas.microsoft.com/office/drawing/2014/main" id="{31B0DD4D-FACE-4984-BD33-0E485C749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88" name="BEx1KD7H6UB1VYCJ7O61P562EIUY" descr="IQGV9140X0K0UPBL8OGU3I44J" hidden="1">
          <a:extLst>
            <a:ext uri="{FF2B5EF4-FFF2-40B4-BE49-F238E27FC236}">
              <a16:creationId xmlns:a16="http://schemas.microsoft.com/office/drawing/2014/main" id="{2ED23FC2-455C-48C1-820A-FF70C3EBA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89" name="BEx5BJQWS6YWHH4ZMSUAMD641V6Y" descr="ZTMFMXCIQSECDX38ALEFHUB00" hidden="1">
          <a:extLst>
            <a:ext uri="{FF2B5EF4-FFF2-40B4-BE49-F238E27FC236}">
              <a16:creationId xmlns:a16="http://schemas.microsoft.com/office/drawing/2014/main" id="{A1557F71-E81C-4F06-8F55-4ECCEB4D9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90" name="BEx5AQZ4ETQ9LMY5EBWVH20Z7VXQ" hidden="1">
          <a:extLst>
            <a:ext uri="{FF2B5EF4-FFF2-40B4-BE49-F238E27FC236}">
              <a16:creationId xmlns:a16="http://schemas.microsoft.com/office/drawing/2014/main" id="{CBCCA43C-7015-4AB1-A289-873C7EC14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91" name="BExUBK0YZ5VYFY8TTITJGJU9S06A" hidden="1">
          <a:extLst>
            <a:ext uri="{FF2B5EF4-FFF2-40B4-BE49-F238E27FC236}">
              <a16:creationId xmlns:a16="http://schemas.microsoft.com/office/drawing/2014/main" id="{B0DD1933-9EB7-4442-8225-68E780ACC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92" name="BEx1KD7H6UB1VYCJ7O61P562EIUY" descr="IQGV9140X0K0UPBL8OGU3I44J" hidden="1">
          <a:extLst>
            <a:ext uri="{FF2B5EF4-FFF2-40B4-BE49-F238E27FC236}">
              <a16:creationId xmlns:a16="http://schemas.microsoft.com/office/drawing/2014/main" id="{69C98212-CCFE-43F1-AA58-97D4DCF65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93" name="BEx5BJQWS6YWHH4ZMSUAMD641V6Y" descr="ZTMFMXCIQSECDX38ALEFHUB00" hidden="1">
          <a:extLst>
            <a:ext uri="{FF2B5EF4-FFF2-40B4-BE49-F238E27FC236}">
              <a16:creationId xmlns:a16="http://schemas.microsoft.com/office/drawing/2014/main" id="{0B27C475-0AF8-4030-8060-62AAAC5AB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94" name="BEx5AQZ4ETQ9LMY5EBWVH20Z7VXQ" hidden="1">
          <a:extLst>
            <a:ext uri="{FF2B5EF4-FFF2-40B4-BE49-F238E27FC236}">
              <a16:creationId xmlns:a16="http://schemas.microsoft.com/office/drawing/2014/main" id="{E7FFCE68-BE33-4095-B8ED-E265C87AB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95" name="BExUBK0YZ5VYFY8TTITJGJU9S06A" hidden="1">
          <a:extLst>
            <a:ext uri="{FF2B5EF4-FFF2-40B4-BE49-F238E27FC236}">
              <a16:creationId xmlns:a16="http://schemas.microsoft.com/office/drawing/2014/main" id="{53ADAD69-E556-4325-87AE-10CC0C841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96" name="BEx1KD7H6UB1VYCJ7O61P562EIUY" descr="IQGV9140X0K0UPBL8OGU3I44J" hidden="1">
          <a:extLst>
            <a:ext uri="{FF2B5EF4-FFF2-40B4-BE49-F238E27FC236}">
              <a16:creationId xmlns:a16="http://schemas.microsoft.com/office/drawing/2014/main" id="{530CB56A-E6CB-45C7-9BA5-25A65FB1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97" name="BEx5BJQWS6YWHH4ZMSUAMD641V6Y" descr="ZTMFMXCIQSECDX38ALEFHUB00" hidden="1">
          <a:extLst>
            <a:ext uri="{FF2B5EF4-FFF2-40B4-BE49-F238E27FC236}">
              <a16:creationId xmlns:a16="http://schemas.microsoft.com/office/drawing/2014/main" id="{1EDE5C68-0366-4299-A201-64F59897A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4998" name="BEx5AQZ4ETQ9LMY5EBWVH20Z7VXQ" hidden="1">
          <a:extLst>
            <a:ext uri="{FF2B5EF4-FFF2-40B4-BE49-F238E27FC236}">
              <a16:creationId xmlns:a16="http://schemas.microsoft.com/office/drawing/2014/main" id="{05B5C28B-A7CA-4917-A4E9-35E95C431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4999" name="BExUBK0YZ5VYFY8TTITJGJU9S06A" hidden="1">
          <a:extLst>
            <a:ext uri="{FF2B5EF4-FFF2-40B4-BE49-F238E27FC236}">
              <a16:creationId xmlns:a16="http://schemas.microsoft.com/office/drawing/2014/main" id="{67248675-62BD-46A5-8E9E-029AE216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00" name="BEx1KD7H6UB1VYCJ7O61P562EIUY" descr="IQGV9140X0K0UPBL8OGU3I44J" hidden="1">
          <a:extLst>
            <a:ext uri="{FF2B5EF4-FFF2-40B4-BE49-F238E27FC236}">
              <a16:creationId xmlns:a16="http://schemas.microsoft.com/office/drawing/2014/main" id="{B157305E-0EF5-4771-A33A-8F2A147DD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01" name="BEx5BJQWS6YWHH4ZMSUAMD641V6Y" descr="ZTMFMXCIQSECDX38ALEFHUB00" hidden="1">
          <a:extLst>
            <a:ext uri="{FF2B5EF4-FFF2-40B4-BE49-F238E27FC236}">
              <a16:creationId xmlns:a16="http://schemas.microsoft.com/office/drawing/2014/main" id="{4FE25C71-1F29-4C25-81FF-C90810DAD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02" name="BEx5AQZ4ETQ9LMY5EBWVH20Z7VXQ" hidden="1">
          <a:extLst>
            <a:ext uri="{FF2B5EF4-FFF2-40B4-BE49-F238E27FC236}">
              <a16:creationId xmlns:a16="http://schemas.microsoft.com/office/drawing/2014/main" id="{37788FA4-A463-4B35-89E9-01ACAE6D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03" name="BExUBK0YZ5VYFY8TTITJGJU9S06A" hidden="1">
          <a:extLst>
            <a:ext uri="{FF2B5EF4-FFF2-40B4-BE49-F238E27FC236}">
              <a16:creationId xmlns:a16="http://schemas.microsoft.com/office/drawing/2014/main" id="{2DB7DCD1-AB71-4192-88E4-6B88DAF6A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04" name="BEx1KD7H6UB1VYCJ7O61P562EIUY" descr="IQGV9140X0K0UPBL8OGU3I44J" hidden="1">
          <a:extLst>
            <a:ext uri="{FF2B5EF4-FFF2-40B4-BE49-F238E27FC236}">
              <a16:creationId xmlns:a16="http://schemas.microsoft.com/office/drawing/2014/main" id="{C820A39A-13B2-4B0A-A32C-229C3FA9E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05" name="BEx5BJQWS6YWHH4ZMSUAMD641V6Y" descr="ZTMFMXCIQSECDX38ALEFHUB00" hidden="1">
          <a:extLst>
            <a:ext uri="{FF2B5EF4-FFF2-40B4-BE49-F238E27FC236}">
              <a16:creationId xmlns:a16="http://schemas.microsoft.com/office/drawing/2014/main" id="{F601DAD8-A943-48A3-B88A-5D0B2DD07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06" name="BEx5AQZ4ETQ9LMY5EBWVH20Z7VXQ" hidden="1">
          <a:extLst>
            <a:ext uri="{FF2B5EF4-FFF2-40B4-BE49-F238E27FC236}">
              <a16:creationId xmlns:a16="http://schemas.microsoft.com/office/drawing/2014/main" id="{44F487C5-46CD-4203-A9F4-651FC7D7F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07" name="BExUBK0YZ5VYFY8TTITJGJU9S06A" hidden="1">
          <a:extLst>
            <a:ext uri="{FF2B5EF4-FFF2-40B4-BE49-F238E27FC236}">
              <a16:creationId xmlns:a16="http://schemas.microsoft.com/office/drawing/2014/main" id="{810966C6-6886-4CF3-B7CA-A7EA19E86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008" name="BExMO7VFCN4EL59982UR4AJ25JNJ" descr="XX6TINEJADZGKR0CTM7ZRT0RA" hidden="1">
          <a:extLst>
            <a:ext uri="{FF2B5EF4-FFF2-40B4-BE49-F238E27FC236}">
              <a16:creationId xmlns:a16="http://schemas.microsoft.com/office/drawing/2014/main" id="{C521C427-D332-4299-8CDE-4AC72C3A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009" name="BExU3EX5JJCXCII4YKUJBFBGIJR2" descr="OF5ZI9PI5WH36VPANJ2DYLNMI" hidden="1">
          <a:extLst>
            <a:ext uri="{FF2B5EF4-FFF2-40B4-BE49-F238E27FC236}">
              <a16:creationId xmlns:a16="http://schemas.microsoft.com/office/drawing/2014/main" id="{CE970B6F-A0BF-471F-8ED2-C8ECC81C3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010" name="BEx1I152WN2D3A85O2XN0DGXCWHN" descr="KHBZFMANRA4UMJR1AB4M5NJNT" hidden="1">
          <a:extLst>
            <a:ext uri="{FF2B5EF4-FFF2-40B4-BE49-F238E27FC236}">
              <a16:creationId xmlns:a16="http://schemas.microsoft.com/office/drawing/2014/main" id="{223DF367-1EF3-4FDD-86BB-5A2EE94F1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011" name="BExW9676P0SKCVKK25QCGHPA3PAD" descr="9A4PWZ20RMSRF0PNECCDM75CA" hidden="1">
          <a:extLst>
            <a:ext uri="{FF2B5EF4-FFF2-40B4-BE49-F238E27FC236}">
              <a16:creationId xmlns:a16="http://schemas.microsoft.com/office/drawing/2014/main" id="{7B3172C7-3437-4847-9313-0D56A5373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012" name="BExS5CPQ8P8JOQPK7ANNKHLSGOKU" hidden="1">
          <a:extLst>
            <a:ext uri="{FF2B5EF4-FFF2-40B4-BE49-F238E27FC236}">
              <a16:creationId xmlns:a16="http://schemas.microsoft.com/office/drawing/2014/main" id="{67D7D6A4-690F-4A5A-9AF9-C6E6C647B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013" name="BExMM0AVUAIRNJLXB1FW8R0YB4ZZ" hidden="1">
          <a:extLst>
            <a:ext uri="{FF2B5EF4-FFF2-40B4-BE49-F238E27FC236}">
              <a16:creationId xmlns:a16="http://schemas.microsoft.com/office/drawing/2014/main" id="{E137F38B-58B9-4CC9-B237-B22099E77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014" name="BExXZ7Y09CBS0XA7IPB3IRJ8RJM4" hidden="1">
          <a:extLst>
            <a:ext uri="{FF2B5EF4-FFF2-40B4-BE49-F238E27FC236}">
              <a16:creationId xmlns:a16="http://schemas.microsoft.com/office/drawing/2014/main" id="{3A252067-3309-4164-BEFC-DC4EAE615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015" name="BExQ7SXS9VUG7P6CACU2J7R2SGIZ" hidden="1">
          <a:extLst>
            <a:ext uri="{FF2B5EF4-FFF2-40B4-BE49-F238E27FC236}">
              <a16:creationId xmlns:a16="http://schemas.microsoft.com/office/drawing/2014/main" id="{652B1C30-7399-418B-8600-20EC8E5FD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016" name="BExMO7VFCN4EL59982UR4AJ25JNJ" descr="XX6TINEJADZGKR0CTM7ZRT0RA" hidden="1">
          <a:extLst>
            <a:ext uri="{FF2B5EF4-FFF2-40B4-BE49-F238E27FC236}">
              <a16:creationId xmlns:a16="http://schemas.microsoft.com/office/drawing/2014/main" id="{E1314950-6C0C-49C9-B3C8-2BC1F1E0C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017" name="BExU3EX5JJCXCII4YKUJBFBGIJR2" descr="OF5ZI9PI5WH36VPANJ2DYLNMI" hidden="1">
          <a:extLst>
            <a:ext uri="{FF2B5EF4-FFF2-40B4-BE49-F238E27FC236}">
              <a16:creationId xmlns:a16="http://schemas.microsoft.com/office/drawing/2014/main" id="{3D92A3E8-5F4C-4145-A2D2-1E3FD1687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018" name="BEx1I152WN2D3A85O2XN0DGXCWHN" descr="KHBZFMANRA4UMJR1AB4M5NJNT" hidden="1">
          <a:extLst>
            <a:ext uri="{FF2B5EF4-FFF2-40B4-BE49-F238E27FC236}">
              <a16:creationId xmlns:a16="http://schemas.microsoft.com/office/drawing/2014/main" id="{15C5B73B-43A3-4C17-ACCD-04AABF682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019" name="BExW9676P0SKCVKK25QCGHPA3PAD" descr="9A4PWZ20RMSRF0PNECCDM75CA" hidden="1">
          <a:extLst>
            <a:ext uri="{FF2B5EF4-FFF2-40B4-BE49-F238E27FC236}">
              <a16:creationId xmlns:a16="http://schemas.microsoft.com/office/drawing/2014/main" id="{6877646C-8BD6-4B5D-AFD5-569BBEBAC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020" name="BExS5CPQ8P8JOQPK7ANNKHLSGOKU" hidden="1">
          <a:extLst>
            <a:ext uri="{FF2B5EF4-FFF2-40B4-BE49-F238E27FC236}">
              <a16:creationId xmlns:a16="http://schemas.microsoft.com/office/drawing/2014/main" id="{53230A18-838A-4450-9536-8160DD109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021" name="BExMM0AVUAIRNJLXB1FW8R0YB4ZZ" hidden="1">
          <a:extLst>
            <a:ext uri="{FF2B5EF4-FFF2-40B4-BE49-F238E27FC236}">
              <a16:creationId xmlns:a16="http://schemas.microsoft.com/office/drawing/2014/main" id="{220C2737-A4B2-45B2-8C60-820AA09DB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022" name="BExXZ7Y09CBS0XA7IPB3IRJ8RJM4" hidden="1">
          <a:extLst>
            <a:ext uri="{FF2B5EF4-FFF2-40B4-BE49-F238E27FC236}">
              <a16:creationId xmlns:a16="http://schemas.microsoft.com/office/drawing/2014/main" id="{BBBA3FFC-1FE8-4C7F-BF25-1AC4280A3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023" name="BExQ7SXS9VUG7P6CACU2J7R2SGIZ" hidden="1">
          <a:extLst>
            <a:ext uri="{FF2B5EF4-FFF2-40B4-BE49-F238E27FC236}">
              <a16:creationId xmlns:a16="http://schemas.microsoft.com/office/drawing/2014/main" id="{99310C1E-126B-4D87-8EB9-36D42C3AB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24" name="BEx1KD7H6UB1VYCJ7O61P562EIUY" descr="IQGV9140X0K0UPBL8OGU3I44J" hidden="1">
          <a:extLst>
            <a:ext uri="{FF2B5EF4-FFF2-40B4-BE49-F238E27FC236}">
              <a16:creationId xmlns:a16="http://schemas.microsoft.com/office/drawing/2014/main" id="{8EE2341A-C9A1-46F5-BAE2-BEA9707FC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25" name="BEx5AQZ4ETQ9LMY5EBWVH20Z7VXQ" hidden="1">
          <a:extLst>
            <a:ext uri="{FF2B5EF4-FFF2-40B4-BE49-F238E27FC236}">
              <a16:creationId xmlns:a16="http://schemas.microsoft.com/office/drawing/2014/main" id="{4A555696-231D-4B74-ADC3-9DCFF2E1D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026" name="BExMO7VFCN4EL59982UR4AJ25JNJ" descr="XX6TINEJADZGKR0CTM7ZRT0RA" hidden="1">
          <a:extLst>
            <a:ext uri="{FF2B5EF4-FFF2-40B4-BE49-F238E27FC236}">
              <a16:creationId xmlns:a16="http://schemas.microsoft.com/office/drawing/2014/main" id="{C1D29DC8-FFB1-4091-82C6-F05C8ADC4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027" name="BEx1I152WN2D3A85O2XN0DGXCWHN" descr="KHBZFMANRA4UMJR1AB4M5NJNT" hidden="1">
          <a:extLst>
            <a:ext uri="{FF2B5EF4-FFF2-40B4-BE49-F238E27FC236}">
              <a16:creationId xmlns:a16="http://schemas.microsoft.com/office/drawing/2014/main" id="{C2A39EAD-7450-40C8-A741-17D835ABF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028" name="BExS5CPQ8P8JOQPK7ANNKHLSGOKU" hidden="1">
          <a:extLst>
            <a:ext uri="{FF2B5EF4-FFF2-40B4-BE49-F238E27FC236}">
              <a16:creationId xmlns:a16="http://schemas.microsoft.com/office/drawing/2014/main" id="{836E6B81-9655-4355-8B28-AD5F2C324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029" name="BExXZ7Y09CBS0XA7IPB3IRJ8RJM4" hidden="1">
          <a:extLst>
            <a:ext uri="{FF2B5EF4-FFF2-40B4-BE49-F238E27FC236}">
              <a16:creationId xmlns:a16="http://schemas.microsoft.com/office/drawing/2014/main" id="{A269E908-B38C-4B90-AEE4-159EF9BB5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30" name="BEx1KD7H6UB1VYCJ7O61P562EIUY" descr="IQGV9140X0K0UPBL8OGU3I44J" hidden="1">
          <a:extLst>
            <a:ext uri="{FF2B5EF4-FFF2-40B4-BE49-F238E27FC236}">
              <a16:creationId xmlns:a16="http://schemas.microsoft.com/office/drawing/2014/main" id="{5FCA152E-3B12-4D86-85D3-5931D141F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31" name="BEx5AQZ4ETQ9LMY5EBWVH20Z7VXQ" hidden="1">
          <a:extLst>
            <a:ext uri="{FF2B5EF4-FFF2-40B4-BE49-F238E27FC236}">
              <a16:creationId xmlns:a16="http://schemas.microsoft.com/office/drawing/2014/main" id="{F28CB815-14D7-408E-AD85-04005F77D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32" name="BEx1KD7H6UB1VYCJ7O61P562EIUY" descr="IQGV9140X0K0UPBL8OGU3I44J" hidden="1">
          <a:extLst>
            <a:ext uri="{FF2B5EF4-FFF2-40B4-BE49-F238E27FC236}">
              <a16:creationId xmlns:a16="http://schemas.microsoft.com/office/drawing/2014/main" id="{DF412F50-35D4-4687-BD20-1D8975644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33" name="BEx5AQZ4ETQ9LMY5EBWVH20Z7VXQ" hidden="1">
          <a:extLst>
            <a:ext uri="{FF2B5EF4-FFF2-40B4-BE49-F238E27FC236}">
              <a16:creationId xmlns:a16="http://schemas.microsoft.com/office/drawing/2014/main" id="{6D5D5883-062C-4BC4-98CB-1F84F0557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34" name="BEx1KD7H6UB1VYCJ7O61P562EIUY" descr="IQGV9140X0K0UPBL8OGU3I44J" hidden="1">
          <a:extLst>
            <a:ext uri="{FF2B5EF4-FFF2-40B4-BE49-F238E27FC236}">
              <a16:creationId xmlns:a16="http://schemas.microsoft.com/office/drawing/2014/main" id="{0B4A3EAB-343E-46FF-B42F-C130A8A8F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35" name="BEx5AQZ4ETQ9LMY5EBWVH20Z7VXQ" hidden="1">
          <a:extLst>
            <a:ext uri="{FF2B5EF4-FFF2-40B4-BE49-F238E27FC236}">
              <a16:creationId xmlns:a16="http://schemas.microsoft.com/office/drawing/2014/main" id="{A52F7347-8FC3-4C97-827A-5E97D74D5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036" name="BExMO7VFCN4EL59982UR4AJ25JNJ" descr="XX6TINEJADZGKR0CTM7ZRT0RA" hidden="1">
          <a:extLst>
            <a:ext uri="{FF2B5EF4-FFF2-40B4-BE49-F238E27FC236}">
              <a16:creationId xmlns:a16="http://schemas.microsoft.com/office/drawing/2014/main" id="{8C705808-AD46-4D5A-9229-DD1F40A2C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037" name="BEx1I152WN2D3A85O2XN0DGXCWHN" descr="KHBZFMANRA4UMJR1AB4M5NJNT" hidden="1">
          <a:extLst>
            <a:ext uri="{FF2B5EF4-FFF2-40B4-BE49-F238E27FC236}">
              <a16:creationId xmlns:a16="http://schemas.microsoft.com/office/drawing/2014/main" id="{84CC8547-A296-4A7F-BB72-F04264B7A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038" name="BExS5CPQ8P8JOQPK7ANNKHLSGOKU" hidden="1">
          <a:extLst>
            <a:ext uri="{FF2B5EF4-FFF2-40B4-BE49-F238E27FC236}">
              <a16:creationId xmlns:a16="http://schemas.microsoft.com/office/drawing/2014/main" id="{022DD615-7550-4CC5-868C-BD22A71B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039" name="BExXZ7Y09CBS0XA7IPB3IRJ8RJM4" hidden="1">
          <a:extLst>
            <a:ext uri="{FF2B5EF4-FFF2-40B4-BE49-F238E27FC236}">
              <a16:creationId xmlns:a16="http://schemas.microsoft.com/office/drawing/2014/main" id="{1D3B350A-934F-4CFD-8035-FC2A23CFF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40" name="BEx1KD7H6UB1VYCJ7O61P562EIUY" descr="IQGV9140X0K0UPBL8OGU3I44J" hidden="1">
          <a:extLst>
            <a:ext uri="{FF2B5EF4-FFF2-40B4-BE49-F238E27FC236}">
              <a16:creationId xmlns:a16="http://schemas.microsoft.com/office/drawing/2014/main" id="{74B71490-903F-495C-A66F-4B95FC3AB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41" name="BEx5BJQWS6YWHH4ZMSUAMD641V6Y" descr="ZTMFMXCIQSECDX38ALEFHUB00" hidden="1">
          <a:extLst>
            <a:ext uri="{FF2B5EF4-FFF2-40B4-BE49-F238E27FC236}">
              <a16:creationId xmlns:a16="http://schemas.microsoft.com/office/drawing/2014/main" id="{F617A945-5E70-47E9-8882-32B8ED6FC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42" name="BEx5AQZ4ETQ9LMY5EBWVH20Z7VXQ" hidden="1">
          <a:extLst>
            <a:ext uri="{FF2B5EF4-FFF2-40B4-BE49-F238E27FC236}">
              <a16:creationId xmlns:a16="http://schemas.microsoft.com/office/drawing/2014/main" id="{592943D3-49DB-4484-9893-7FF0907F3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43" name="BExUBK0YZ5VYFY8TTITJGJU9S06A" hidden="1">
          <a:extLst>
            <a:ext uri="{FF2B5EF4-FFF2-40B4-BE49-F238E27FC236}">
              <a16:creationId xmlns:a16="http://schemas.microsoft.com/office/drawing/2014/main" id="{745860B3-D6C4-4E6C-8E85-CD46AE2B9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44" name="BEx1KD7H6UB1VYCJ7O61P562EIUY" descr="IQGV9140X0K0UPBL8OGU3I44J" hidden="1">
          <a:extLst>
            <a:ext uri="{FF2B5EF4-FFF2-40B4-BE49-F238E27FC236}">
              <a16:creationId xmlns:a16="http://schemas.microsoft.com/office/drawing/2014/main" id="{EB16F6B4-0906-4A49-9E1D-38BEA8FEE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45" name="BEx5BJQWS6YWHH4ZMSUAMD641V6Y" descr="ZTMFMXCIQSECDX38ALEFHUB00" hidden="1">
          <a:extLst>
            <a:ext uri="{FF2B5EF4-FFF2-40B4-BE49-F238E27FC236}">
              <a16:creationId xmlns:a16="http://schemas.microsoft.com/office/drawing/2014/main" id="{F8EB914A-C1AF-4195-9E0F-CFE43CC69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46" name="BEx5AQZ4ETQ9LMY5EBWVH20Z7VXQ" hidden="1">
          <a:extLst>
            <a:ext uri="{FF2B5EF4-FFF2-40B4-BE49-F238E27FC236}">
              <a16:creationId xmlns:a16="http://schemas.microsoft.com/office/drawing/2014/main" id="{C151C99A-834C-4402-BB18-9A6131CE0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47" name="BExUBK0YZ5VYFY8TTITJGJU9S06A" hidden="1">
          <a:extLst>
            <a:ext uri="{FF2B5EF4-FFF2-40B4-BE49-F238E27FC236}">
              <a16:creationId xmlns:a16="http://schemas.microsoft.com/office/drawing/2014/main" id="{D3D56375-0364-4E8B-ADEC-7A769D896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48" name="BEx1KD7H6UB1VYCJ7O61P562EIUY" descr="IQGV9140X0K0UPBL8OGU3I44J" hidden="1">
          <a:extLst>
            <a:ext uri="{FF2B5EF4-FFF2-40B4-BE49-F238E27FC236}">
              <a16:creationId xmlns:a16="http://schemas.microsoft.com/office/drawing/2014/main" id="{69620601-A707-41CB-BFA0-CA32B6CF1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49" name="BEx5BJQWS6YWHH4ZMSUAMD641V6Y" descr="ZTMFMXCIQSECDX38ALEFHUB00" hidden="1">
          <a:extLst>
            <a:ext uri="{FF2B5EF4-FFF2-40B4-BE49-F238E27FC236}">
              <a16:creationId xmlns:a16="http://schemas.microsoft.com/office/drawing/2014/main" id="{C679BCA4-BCC2-4814-945A-F4DEFC1B0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50" name="BEx5AQZ4ETQ9LMY5EBWVH20Z7VXQ" hidden="1">
          <a:extLst>
            <a:ext uri="{FF2B5EF4-FFF2-40B4-BE49-F238E27FC236}">
              <a16:creationId xmlns:a16="http://schemas.microsoft.com/office/drawing/2014/main" id="{48387A18-4774-4822-A087-17F5F1A21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51" name="BExUBK0YZ5VYFY8TTITJGJU9S06A" hidden="1">
          <a:extLst>
            <a:ext uri="{FF2B5EF4-FFF2-40B4-BE49-F238E27FC236}">
              <a16:creationId xmlns:a16="http://schemas.microsoft.com/office/drawing/2014/main" id="{C8B461CE-209D-4F40-80BF-9D150519F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52" name="BEx1KD7H6UB1VYCJ7O61P562EIUY" descr="IQGV9140X0K0UPBL8OGU3I44J" hidden="1">
          <a:extLst>
            <a:ext uri="{FF2B5EF4-FFF2-40B4-BE49-F238E27FC236}">
              <a16:creationId xmlns:a16="http://schemas.microsoft.com/office/drawing/2014/main" id="{B4B87226-17FF-4DCE-927A-2CCAF2913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53" name="BEx5BJQWS6YWHH4ZMSUAMD641V6Y" descr="ZTMFMXCIQSECDX38ALEFHUB00" hidden="1">
          <a:extLst>
            <a:ext uri="{FF2B5EF4-FFF2-40B4-BE49-F238E27FC236}">
              <a16:creationId xmlns:a16="http://schemas.microsoft.com/office/drawing/2014/main" id="{150FD0AD-A588-4CB5-8640-F8E783608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54" name="BEx5AQZ4ETQ9LMY5EBWVH20Z7VXQ" hidden="1">
          <a:extLst>
            <a:ext uri="{FF2B5EF4-FFF2-40B4-BE49-F238E27FC236}">
              <a16:creationId xmlns:a16="http://schemas.microsoft.com/office/drawing/2014/main" id="{3E481FA4-C5BC-4D1E-9DCB-767647142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55" name="BExUBK0YZ5VYFY8TTITJGJU9S06A" hidden="1">
          <a:extLst>
            <a:ext uri="{FF2B5EF4-FFF2-40B4-BE49-F238E27FC236}">
              <a16:creationId xmlns:a16="http://schemas.microsoft.com/office/drawing/2014/main" id="{B3E4214A-B1BF-4688-A3CD-BC8341C05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56" name="BEx1KD7H6UB1VYCJ7O61P562EIUY" descr="IQGV9140X0K0UPBL8OGU3I44J" hidden="1">
          <a:extLst>
            <a:ext uri="{FF2B5EF4-FFF2-40B4-BE49-F238E27FC236}">
              <a16:creationId xmlns:a16="http://schemas.microsoft.com/office/drawing/2014/main" id="{85B4A700-48F8-4701-8160-55A03987C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57" name="BEx5BJQWS6YWHH4ZMSUAMD641V6Y" descr="ZTMFMXCIQSECDX38ALEFHUB00" hidden="1">
          <a:extLst>
            <a:ext uri="{FF2B5EF4-FFF2-40B4-BE49-F238E27FC236}">
              <a16:creationId xmlns:a16="http://schemas.microsoft.com/office/drawing/2014/main" id="{18FF3C91-8854-48AA-817A-1BFB3E0EE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58" name="BEx5AQZ4ETQ9LMY5EBWVH20Z7VXQ" hidden="1">
          <a:extLst>
            <a:ext uri="{FF2B5EF4-FFF2-40B4-BE49-F238E27FC236}">
              <a16:creationId xmlns:a16="http://schemas.microsoft.com/office/drawing/2014/main" id="{42052469-C5F7-407B-9C85-279AA9999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59" name="BExUBK0YZ5VYFY8TTITJGJU9S06A" hidden="1">
          <a:extLst>
            <a:ext uri="{FF2B5EF4-FFF2-40B4-BE49-F238E27FC236}">
              <a16:creationId xmlns:a16="http://schemas.microsoft.com/office/drawing/2014/main" id="{19FF7188-2951-4DE1-BADD-EEA95857D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060" name="BExMO7VFCN4EL59982UR4AJ25JNJ" descr="XX6TINEJADZGKR0CTM7ZRT0RA" hidden="1">
          <a:extLst>
            <a:ext uri="{FF2B5EF4-FFF2-40B4-BE49-F238E27FC236}">
              <a16:creationId xmlns:a16="http://schemas.microsoft.com/office/drawing/2014/main" id="{A1F824D4-6F9F-46A3-B333-800CEB8C9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061" name="BExU3EX5JJCXCII4YKUJBFBGIJR2" descr="OF5ZI9PI5WH36VPANJ2DYLNMI" hidden="1">
          <a:extLst>
            <a:ext uri="{FF2B5EF4-FFF2-40B4-BE49-F238E27FC236}">
              <a16:creationId xmlns:a16="http://schemas.microsoft.com/office/drawing/2014/main" id="{B1F9A34F-1E86-4A8D-8841-F8B5CE269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62" name="BEx1KD7H6UB1VYCJ7O61P562EIUY" descr="IQGV9140X0K0UPBL8OGU3I44J" hidden="1">
          <a:extLst>
            <a:ext uri="{FF2B5EF4-FFF2-40B4-BE49-F238E27FC236}">
              <a16:creationId xmlns:a16="http://schemas.microsoft.com/office/drawing/2014/main" id="{C4D7D39A-A8FF-428C-B4AD-F7AED85C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63" name="BEx5BJQWS6YWHH4ZMSUAMD641V6Y" descr="ZTMFMXCIQSECDX38ALEFHUB00" hidden="1">
          <a:extLst>
            <a:ext uri="{FF2B5EF4-FFF2-40B4-BE49-F238E27FC236}">
              <a16:creationId xmlns:a16="http://schemas.microsoft.com/office/drawing/2014/main" id="{F4012F26-11CD-4FB0-AF0D-6AF4D6DD0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5064" name="BExVTO5Q8G2M7BPL4B2584LQS0R0" descr="OB6Q8NA4LZFE4GM9Y3V56BPMQ" hidden="1">
          <a:extLst>
            <a:ext uri="{FF2B5EF4-FFF2-40B4-BE49-F238E27FC236}">
              <a16:creationId xmlns:a16="http://schemas.microsoft.com/office/drawing/2014/main" id="{33339962-EA4F-42ED-ADD2-DFAB49E5F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5065" name="BExIFSCLN1G86X78PFLTSMRP0US5" descr="9JK4SPV4DG7VTCZIILWHXQU5J" hidden="1">
          <a:extLst>
            <a:ext uri="{FF2B5EF4-FFF2-40B4-BE49-F238E27FC236}">
              <a16:creationId xmlns:a16="http://schemas.microsoft.com/office/drawing/2014/main" id="{66F8ECCA-155B-483E-9C9F-DCF038667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066" name="BEx1I152WN2D3A85O2XN0DGXCWHN" descr="KHBZFMANRA4UMJR1AB4M5NJNT" hidden="1">
          <a:extLst>
            <a:ext uri="{FF2B5EF4-FFF2-40B4-BE49-F238E27FC236}">
              <a16:creationId xmlns:a16="http://schemas.microsoft.com/office/drawing/2014/main" id="{1747C4B2-F8F1-4380-A2D5-D7B01FA2B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067" name="BExW9676P0SKCVKK25QCGHPA3PAD" descr="9A4PWZ20RMSRF0PNECCDM75CA" hidden="1">
          <a:extLst>
            <a:ext uri="{FF2B5EF4-FFF2-40B4-BE49-F238E27FC236}">
              <a16:creationId xmlns:a16="http://schemas.microsoft.com/office/drawing/2014/main" id="{8A5CF9E6-C33A-4240-A022-3A83FCF78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068" name="BExS5CPQ8P8JOQPK7ANNKHLSGOKU" hidden="1">
          <a:extLst>
            <a:ext uri="{FF2B5EF4-FFF2-40B4-BE49-F238E27FC236}">
              <a16:creationId xmlns:a16="http://schemas.microsoft.com/office/drawing/2014/main" id="{924A383E-151E-42E7-883F-D2B0B7169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069" name="BExMM0AVUAIRNJLXB1FW8R0YB4ZZ" hidden="1">
          <a:extLst>
            <a:ext uri="{FF2B5EF4-FFF2-40B4-BE49-F238E27FC236}">
              <a16:creationId xmlns:a16="http://schemas.microsoft.com/office/drawing/2014/main" id="{988AE6DE-9534-4E94-B9FD-CD5D264C2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070" name="BExXZ7Y09CBS0XA7IPB3IRJ8RJM4" hidden="1">
          <a:extLst>
            <a:ext uri="{FF2B5EF4-FFF2-40B4-BE49-F238E27FC236}">
              <a16:creationId xmlns:a16="http://schemas.microsoft.com/office/drawing/2014/main" id="{BB91112A-7FB8-4FF4-971C-BBCC1D541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071" name="BExQ7SXS9VUG7P6CACU2J7R2SGIZ" hidden="1">
          <a:extLst>
            <a:ext uri="{FF2B5EF4-FFF2-40B4-BE49-F238E27FC236}">
              <a16:creationId xmlns:a16="http://schemas.microsoft.com/office/drawing/2014/main" id="{B01ABE6F-7ECB-4AD3-ADE2-9AB2A2CA1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72" name="BEx5AQZ4ETQ9LMY5EBWVH20Z7VXQ" hidden="1">
          <a:extLst>
            <a:ext uri="{FF2B5EF4-FFF2-40B4-BE49-F238E27FC236}">
              <a16:creationId xmlns:a16="http://schemas.microsoft.com/office/drawing/2014/main" id="{E95DA246-FF1F-450B-9F59-10EC8A4B9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73" name="BExUBK0YZ5VYFY8TTITJGJU9S06A" hidden="1">
          <a:extLst>
            <a:ext uri="{FF2B5EF4-FFF2-40B4-BE49-F238E27FC236}">
              <a16:creationId xmlns:a16="http://schemas.microsoft.com/office/drawing/2014/main" id="{99B11785-7442-4224-813C-FDFB1C72F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5074" name="BExUEZCSSJ7RN4J18I2NUIQR2FZS" hidden="1">
          <a:extLst>
            <a:ext uri="{FF2B5EF4-FFF2-40B4-BE49-F238E27FC236}">
              <a16:creationId xmlns:a16="http://schemas.microsoft.com/office/drawing/2014/main" id="{0BD17487-F7EF-4A66-A27F-EC94E08F0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543300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5075" name="BExS3JDQWF7U3F5JTEVOE16ASIYK" hidden="1">
          <a:extLst>
            <a:ext uri="{FF2B5EF4-FFF2-40B4-BE49-F238E27FC236}">
              <a16:creationId xmlns:a16="http://schemas.microsoft.com/office/drawing/2014/main" id="{3AED6793-C08E-48F8-9341-E361D519F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5433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76" name="BEx1KD7H6UB1VYCJ7O61P562EIUY" descr="IQGV9140X0K0UPBL8OGU3I44J" hidden="1">
          <a:extLst>
            <a:ext uri="{FF2B5EF4-FFF2-40B4-BE49-F238E27FC236}">
              <a16:creationId xmlns:a16="http://schemas.microsoft.com/office/drawing/2014/main" id="{86992FA3-696A-448C-A1FD-EE1A8AB03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77" name="BEx5AQZ4ETQ9LMY5EBWVH20Z7VXQ" hidden="1">
          <a:extLst>
            <a:ext uri="{FF2B5EF4-FFF2-40B4-BE49-F238E27FC236}">
              <a16:creationId xmlns:a16="http://schemas.microsoft.com/office/drawing/2014/main" id="{74A5D36B-E11A-43FE-AB08-500350F65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78" name="BEx1KD7H6UB1VYCJ7O61P562EIUY" descr="IQGV9140X0K0UPBL8OGU3I44J" hidden="1">
          <a:extLst>
            <a:ext uri="{FF2B5EF4-FFF2-40B4-BE49-F238E27FC236}">
              <a16:creationId xmlns:a16="http://schemas.microsoft.com/office/drawing/2014/main" id="{2791A6BE-9C2B-4B17-9CD6-A8A686A2C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79" name="BEx5AQZ4ETQ9LMY5EBWVH20Z7VXQ" hidden="1">
          <a:extLst>
            <a:ext uri="{FF2B5EF4-FFF2-40B4-BE49-F238E27FC236}">
              <a16:creationId xmlns:a16="http://schemas.microsoft.com/office/drawing/2014/main" id="{E44A9A56-AE64-4C33-9E96-D7ACB2275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80" name="BEx1KD7H6UB1VYCJ7O61P562EIUY" descr="IQGV9140X0K0UPBL8OGU3I44J" hidden="1">
          <a:extLst>
            <a:ext uri="{FF2B5EF4-FFF2-40B4-BE49-F238E27FC236}">
              <a16:creationId xmlns:a16="http://schemas.microsoft.com/office/drawing/2014/main" id="{27309BA8-A0EF-476B-A56F-E59BA96C8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81" name="BEx5BJQWS6YWHH4ZMSUAMD641V6Y" descr="ZTMFMXCIQSECDX38ALEFHUB00" hidden="1">
          <a:extLst>
            <a:ext uri="{FF2B5EF4-FFF2-40B4-BE49-F238E27FC236}">
              <a16:creationId xmlns:a16="http://schemas.microsoft.com/office/drawing/2014/main" id="{978D7468-5B99-4F89-9494-D6CC7D91B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82" name="BEx5AQZ4ETQ9LMY5EBWVH20Z7VXQ" hidden="1">
          <a:extLst>
            <a:ext uri="{FF2B5EF4-FFF2-40B4-BE49-F238E27FC236}">
              <a16:creationId xmlns:a16="http://schemas.microsoft.com/office/drawing/2014/main" id="{F39C030A-F166-43C6-90E8-338613C65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83" name="BExUBK0YZ5VYFY8TTITJGJU9S06A" hidden="1">
          <a:extLst>
            <a:ext uri="{FF2B5EF4-FFF2-40B4-BE49-F238E27FC236}">
              <a16:creationId xmlns:a16="http://schemas.microsoft.com/office/drawing/2014/main" id="{805CBCB0-8936-4B99-A786-22E1CBDEC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84" name="BEx1KD7H6UB1VYCJ7O61P562EIUY" descr="IQGV9140X0K0UPBL8OGU3I44J" hidden="1">
          <a:extLst>
            <a:ext uri="{FF2B5EF4-FFF2-40B4-BE49-F238E27FC236}">
              <a16:creationId xmlns:a16="http://schemas.microsoft.com/office/drawing/2014/main" id="{110C1A3E-CD00-4464-81B8-71E639D26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85" name="BEx5AQZ4ETQ9LMY5EBWVH20Z7VXQ" hidden="1">
          <a:extLst>
            <a:ext uri="{FF2B5EF4-FFF2-40B4-BE49-F238E27FC236}">
              <a16:creationId xmlns:a16="http://schemas.microsoft.com/office/drawing/2014/main" id="{35C35515-300C-4965-A143-E203E8971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86" name="BEx1KD7H6UB1VYCJ7O61P562EIUY" descr="IQGV9140X0K0UPBL8OGU3I44J" hidden="1">
          <a:extLst>
            <a:ext uri="{FF2B5EF4-FFF2-40B4-BE49-F238E27FC236}">
              <a16:creationId xmlns:a16="http://schemas.microsoft.com/office/drawing/2014/main" id="{AE46411C-2751-4AB2-8CFA-4F50294FC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87" name="BEx5BJQWS6YWHH4ZMSUAMD641V6Y" descr="ZTMFMXCIQSECDX38ALEFHUB00" hidden="1">
          <a:extLst>
            <a:ext uri="{FF2B5EF4-FFF2-40B4-BE49-F238E27FC236}">
              <a16:creationId xmlns:a16="http://schemas.microsoft.com/office/drawing/2014/main" id="{83FCB562-21BB-4211-B0DB-57EB462B3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88" name="BEx5AQZ4ETQ9LMY5EBWVH20Z7VXQ" hidden="1">
          <a:extLst>
            <a:ext uri="{FF2B5EF4-FFF2-40B4-BE49-F238E27FC236}">
              <a16:creationId xmlns:a16="http://schemas.microsoft.com/office/drawing/2014/main" id="{6E11D0BD-FF9A-4046-A4BC-752219475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89" name="BExUBK0YZ5VYFY8TTITJGJU9S06A" hidden="1">
          <a:extLst>
            <a:ext uri="{FF2B5EF4-FFF2-40B4-BE49-F238E27FC236}">
              <a16:creationId xmlns:a16="http://schemas.microsoft.com/office/drawing/2014/main" id="{B44D1059-73BB-4DF3-86E4-400469DD0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90" name="BEx1KD7H6UB1VYCJ7O61P562EIUY" descr="IQGV9140X0K0UPBL8OGU3I44J" hidden="1">
          <a:extLst>
            <a:ext uri="{FF2B5EF4-FFF2-40B4-BE49-F238E27FC236}">
              <a16:creationId xmlns:a16="http://schemas.microsoft.com/office/drawing/2014/main" id="{7CCCFEDF-3BE8-42AE-B155-C5424A345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91" name="BEx5BJQWS6YWHH4ZMSUAMD641V6Y" descr="ZTMFMXCIQSECDX38ALEFHUB00" hidden="1">
          <a:extLst>
            <a:ext uri="{FF2B5EF4-FFF2-40B4-BE49-F238E27FC236}">
              <a16:creationId xmlns:a16="http://schemas.microsoft.com/office/drawing/2014/main" id="{427BEB72-CB3C-460C-91EE-F7DDBEFB2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92" name="BEx5AQZ4ETQ9LMY5EBWVH20Z7VXQ" hidden="1">
          <a:extLst>
            <a:ext uri="{FF2B5EF4-FFF2-40B4-BE49-F238E27FC236}">
              <a16:creationId xmlns:a16="http://schemas.microsoft.com/office/drawing/2014/main" id="{4D0AEBB3-7264-4355-BC0F-E7738594D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93" name="BExUBK0YZ5VYFY8TTITJGJU9S06A" hidden="1">
          <a:extLst>
            <a:ext uri="{FF2B5EF4-FFF2-40B4-BE49-F238E27FC236}">
              <a16:creationId xmlns:a16="http://schemas.microsoft.com/office/drawing/2014/main" id="{DE4DD4F6-2548-4800-9635-7B010ED36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94" name="BEx1KD7H6UB1VYCJ7O61P562EIUY" descr="IQGV9140X0K0UPBL8OGU3I44J" hidden="1">
          <a:extLst>
            <a:ext uri="{FF2B5EF4-FFF2-40B4-BE49-F238E27FC236}">
              <a16:creationId xmlns:a16="http://schemas.microsoft.com/office/drawing/2014/main" id="{56DE9FF3-6D08-4EE9-A08D-8C6B83613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95" name="BEx5AQZ4ETQ9LMY5EBWVH20Z7VXQ" hidden="1">
          <a:extLst>
            <a:ext uri="{FF2B5EF4-FFF2-40B4-BE49-F238E27FC236}">
              <a16:creationId xmlns:a16="http://schemas.microsoft.com/office/drawing/2014/main" id="{3207D3CA-D16C-494E-9B89-0F62DC43C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96" name="BEx1KD7H6UB1VYCJ7O61P562EIUY" descr="IQGV9140X0K0UPBL8OGU3I44J" hidden="1">
          <a:extLst>
            <a:ext uri="{FF2B5EF4-FFF2-40B4-BE49-F238E27FC236}">
              <a16:creationId xmlns:a16="http://schemas.microsoft.com/office/drawing/2014/main" id="{A78B0432-AF3C-4702-94B1-2198A79E2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97" name="BEx5BJQWS6YWHH4ZMSUAMD641V6Y" descr="ZTMFMXCIQSECDX38ALEFHUB00" hidden="1">
          <a:extLst>
            <a:ext uri="{FF2B5EF4-FFF2-40B4-BE49-F238E27FC236}">
              <a16:creationId xmlns:a16="http://schemas.microsoft.com/office/drawing/2014/main" id="{235727EB-12C9-4FD3-8B5C-A25ABB7B0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098" name="BEx5AQZ4ETQ9LMY5EBWVH20Z7VXQ" hidden="1">
          <a:extLst>
            <a:ext uri="{FF2B5EF4-FFF2-40B4-BE49-F238E27FC236}">
              <a16:creationId xmlns:a16="http://schemas.microsoft.com/office/drawing/2014/main" id="{50C27091-2A62-4189-9FA9-D467E2726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099" name="BExUBK0YZ5VYFY8TTITJGJU9S06A" hidden="1">
          <a:extLst>
            <a:ext uri="{FF2B5EF4-FFF2-40B4-BE49-F238E27FC236}">
              <a16:creationId xmlns:a16="http://schemas.microsoft.com/office/drawing/2014/main" id="{A206FBC9-F227-4515-BAAF-6D16E49B4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00" name="BEx1KD7H6UB1VYCJ7O61P562EIUY" descr="IQGV9140X0K0UPBL8OGU3I44J" hidden="1">
          <a:extLst>
            <a:ext uri="{FF2B5EF4-FFF2-40B4-BE49-F238E27FC236}">
              <a16:creationId xmlns:a16="http://schemas.microsoft.com/office/drawing/2014/main" id="{4C1CECA5-CA5D-4631-8811-EDE097018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01" name="BEx5BJQWS6YWHH4ZMSUAMD641V6Y" descr="ZTMFMXCIQSECDX38ALEFHUB00" hidden="1">
          <a:extLst>
            <a:ext uri="{FF2B5EF4-FFF2-40B4-BE49-F238E27FC236}">
              <a16:creationId xmlns:a16="http://schemas.microsoft.com/office/drawing/2014/main" id="{9E78CF63-D93B-47FE-9184-3B5759318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02" name="BEx5AQZ4ETQ9LMY5EBWVH20Z7VXQ" hidden="1">
          <a:extLst>
            <a:ext uri="{FF2B5EF4-FFF2-40B4-BE49-F238E27FC236}">
              <a16:creationId xmlns:a16="http://schemas.microsoft.com/office/drawing/2014/main" id="{02B37041-DC29-491F-B6F1-2C9CEAD74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03" name="BExUBK0YZ5VYFY8TTITJGJU9S06A" hidden="1">
          <a:extLst>
            <a:ext uri="{FF2B5EF4-FFF2-40B4-BE49-F238E27FC236}">
              <a16:creationId xmlns:a16="http://schemas.microsoft.com/office/drawing/2014/main" id="{DBD8E2CD-20FE-4E32-A5BB-48BDE901C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04" name="BEx1KD7H6UB1VYCJ7O61P562EIUY" descr="IQGV9140X0K0UPBL8OGU3I44J" hidden="1">
          <a:extLst>
            <a:ext uri="{FF2B5EF4-FFF2-40B4-BE49-F238E27FC236}">
              <a16:creationId xmlns:a16="http://schemas.microsoft.com/office/drawing/2014/main" id="{5087CA58-EC04-4A7D-A9B5-FC76FEEBF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05" name="BEx5BJQWS6YWHH4ZMSUAMD641V6Y" descr="ZTMFMXCIQSECDX38ALEFHUB00" hidden="1">
          <a:extLst>
            <a:ext uri="{FF2B5EF4-FFF2-40B4-BE49-F238E27FC236}">
              <a16:creationId xmlns:a16="http://schemas.microsoft.com/office/drawing/2014/main" id="{B4A851CF-4067-4C9D-AD6E-1FEE6D2B6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06" name="BEx5AQZ4ETQ9LMY5EBWVH20Z7VXQ" hidden="1">
          <a:extLst>
            <a:ext uri="{FF2B5EF4-FFF2-40B4-BE49-F238E27FC236}">
              <a16:creationId xmlns:a16="http://schemas.microsoft.com/office/drawing/2014/main" id="{AE210007-7BFC-43C3-93CD-85908C3D7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07" name="BExUBK0YZ5VYFY8TTITJGJU9S06A" hidden="1">
          <a:extLst>
            <a:ext uri="{FF2B5EF4-FFF2-40B4-BE49-F238E27FC236}">
              <a16:creationId xmlns:a16="http://schemas.microsoft.com/office/drawing/2014/main" id="{A6C45113-3AA0-4EDA-99E3-9B2E57A6D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08" name="BEx1KD7H6UB1VYCJ7O61P562EIUY" descr="IQGV9140X0K0UPBL8OGU3I44J" hidden="1">
          <a:extLst>
            <a:ext uri="{FF2B5EF4-FFF2-40B4-BE49-F238E27FC236}">
              <a16:creationId xmlns:a16="http://schemas.microsoft.com/office/drawing/2014/main" id="{EC26C457-2B7C-433C-973C-300750971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09" name="BEx5AQZ4ETQ9LMY5EBWVH20Z7VXQ" hidden="1">
          <a:extLst>
            <a:ext uri="{FF2B5EF4-FFF2-40B4-BE49-F238E27FC236}">
              <a16:creationId xmlns:a16="http://schemas.microsoft.com/office/drawing/2014/main" id="{6C73E215-E289-48F9-8D8E-20A1BC6BB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10" name="BEx1KD7H6UB1VYCJ7O61P562EIUY" descr="IQGV9140X0K0UPBL8OGU3I44J" hidden="1">
          <a:extLst>
            <a:ext uri="{FF2B5EF4-FFF2-40B4-BE49-F238E27FC236}">
              <a16:creationId xmlns:a16="http://schemas.microsoft.com/office/drawing/2014/main" id="{1E9A5A13-4A55-49BF-8FA9-4FD1B78D1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11" name="BEx5AQZ4ETQ9LMY5EBWVH20Z7VXQ" hidden="1">
          <a:extLst>
            <a:ext uri="{FF2B5EF4-FFF2-40B4-BE49-F238E27FC236}">
              <a16:creationId xmlns:a16="http://schemas.microsoft.com/office/drawing/2014/main" id="{FAC02C12-4F00-4819-BB49-55F312691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12" name="BEx1KD7H6UB1VYCJ7O61P562EIUY" descr="IQGV9140X0K0UPBL8OGU3I44J" hidden="1">
          <a:extLst>
            <a:ext uri="{FF2B5EF4-FFF2-40B4-BE49-F238E27FC236}">
              <a16:creationId xmlns:a16="http://schemas.microsoft.com/office/drawing/2014/main" id="{FF317636-25C5-477E-8530-F72559CB0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13" name="BEx5AQZ4ETQ9LMY5EBWVH20Z7VXQ" hidden="1">
          <a:extLst>
            <a:ext uri="{FF2B5EF4-FFF2-40B4-BE49-F238E27FC236}">
              <a16:creationId xmlns:a16="http://schemas.microsoft.com/office/drawing/2014/main" id="{230D65A3-AD5E-4BEF-80DC-C5466F30F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14" name="BEx1KD7H6UB1VYCJ7O61P562EIUY" descr="IQGV9140X0K0UPBL8OGU3I44J" hidden="1">
          <a:extLst>
            <a:ext uri="{FF2B5EF4-FFF2-40B4-BE49-F238E27FC236}">
              <a16:creationId xmlns:a16="http://schemas.microsoft.com/office/drawing/2014/main" id="{182086BD-ADFB-49E0-B0C6-2A5689E6C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15" name="BEx5AQZ4ETQ9LMY5EBWVH20Z7VXQ" hidden="1">
          <a:extLst>
            <a:ext uri="{FF2B5EF4-FFF2-40B4-BE49-F238E27FC236}">
              <a16:creationId xmlns:a16="http://schemas.microsoft.com/office/drawing/2014/main" id="{CCA34063-69C9-467E-A9A0-690C33AD7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16" name="BEx1KD7H6UB1VYCJ7O61P562EIUY" descr="IQGV9140X0K0UPBL8OGU3I44J" hidden="1">
          <a:extLst>
            <a:ext uri="{FF2B5EF4-FFF2-40B4-BE49-F238E27FC236}">
              <a16:creationId xmlns:a16="http://schemas.microsoft.com/office/drawing/2014/main" id="{5F283CEF-419D-4DA1-A622-23D06C562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17" name="BEx5AQZ4ETQ9LMY5EBWVH20Z7VXQ" hidden="1">
          <a:extLst>
            <a:ext uri="{FF2B5EF4-FFF2-40B4-BE49-F238E27FC236}">
              <a16:creationId xmlns:a16="http://schemas.microsoft.com/office/drawing/2014/main" id="{4F2DBC62-C12C-4F27-BD89-834376AC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18" name="BEx1KD7H6UB1VYCJ7O61P562EIUY" descr="IQGV9140X0K0UPBL8OGU3I44J" hidden="1">
          <a:extLst>
            <a:ext uri="{FF2B5EF4-FFF2-40B4-BE49-F238E27FC236}">
              <a16:creationId xmlns:a16="http://schemas.microsoft.com/office/drawing/2014/main" id="{42955C39-8153-4FF6-949D-3C4C30270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19" name="BEx5BJQWS6YWHH4ZMSUAMD641V6Y" descr="ZTMFMXCIQSECDX38ALEFHUB00" hidden="1">
          <a:extLst>
            <a:ext uri="{FF2B5EF4-FFF2-40B4-BE49-F238E27FC236}">
              <a16:creationId xmlns:a16="http://schemas.microsoft.com/office/drawing/2014/main" id="{0B5FEA47-58E3-4FBB-AF44-C73D5124E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20" name="BEx5AQZ4ETQ9LMY5EBWVH20Z7VXQ" hidden="1">
          <a:extLst>
            <a:ext uri="{FF2B5EF4-FFF2-40B4-BE49-F238E27FC236}">
              <a16:creationId xmlns:a16="http://schemas.microsoft.com/office/drawing/2014/main" id="{F3E63D9A-FAFB-4325-A12C-1C9731126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21" name="BExUBK0YZ5VYFY8TTITJGJU9S06A" hidden="1">
          <a:extLst>
            <a:ext uri="{FF2B5EF4-FFF2-40B4-BE49-F238E27FC236}">
              <a16:creationId xmlns:a16="http://schemas.microsoft.com/office/drawing/2014/main" id="{CFA06C44-B17B-44A3-BD48-8D63452E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22" name="BEx1KD7H6UB1VYCJ7O61P562EIUY" descr="IQGV9140X0K0UPBL8OGU3I44J" hidden="1">
          <a:extLst>
            <a:ext uri="{FF2B5EF4-FFF2-40B4-BE49-F238E27FC236}">
              <a16:creationId xmlns:a16="http://schemas.microsoft.com/office/drawing/2014/main" id="{C43C7D45-C479-418A-B1C0-97106EE8E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23" name="BEx5BJQWS6YWHH4ZMSUAMD641V6Y" descr="ZTMFMXCIQSECDX38ALEFHUB00" hidden="1">
          <a:extLst>
            <a:ext uri="{FF2B5EF4-FFF2-40B4-BE49-F238E27FC236}">
              <a16:creationId xmlns:a16="http://schemas.microsoft.com/office/drawing/2014/main" id="{ABFA88EB-5973-4782-9764-474215C26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24" name="BEx5AQZ4ETQ9LMY5EBWVH20Z7VXQ" hidden="1">
          <a:extLst>
            <a:ext uri="{FF2B5EF4-FFF2-40B4-BE49-F238E27FC236}">
              <a16:creationId xmlns:a16="http://schemas.microsoft.com/office/drawing/2014/main" id="{1F8A598E-E4B2-4852-9B02-14AD1D395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25" name="BExUBK0YZ5VYFY8TTITJGJU9S06A" hidden="1">
          <a:extLst>
            <a:ext uri="{FF2B5EF4-FFF2-40B4-BE49-F238E27FC236}">
              <a16:creationId xmlns:a16="http://schemas.microsoft.com/office/drawing/2014/main" id="{06637596-252D-45B0-A9D3-49E36D2A8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26" name="BEx1KD7H6UB1VYCJ7O61P562EIUY" descr="IQGV9140X0K0UPBL8OGU3I44J" hidden="1">
          <a:extLst>
            <a:ext uri="{FF2B5EF4-FFF2-40B4-BE49-F238E27FC236}">
              <a16:creationId xmlns:a16="http://schemas.microsoft.com/office/drawing/2014/main" id="{682838A0-D7F0-4192-9705-BD73D1B5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27" name="BEx5BJQWS6YWHH4ZMSUAMD641V6Y" descr="ZTMFMXCIQSECDX38ALEFHUB00" hidden="1">
          <a:extLst>
            <a:ext uri="{FF2B5EF4-FFF2-40B4-BE49-F238E27FC236}">
              <a16:creationId xmlns:a16="http://schemas.microsoft.com/office/drawing/2014/main" id="{820A7453-09F5-4D18-826B-2839DB6B5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28" name="BEx5AQZ4ETQ9LMY5EBWVH20Z7VXQ" hidden="1">
          <a:extLst>
            <a:ext uri="{FF2B5EF4-FFF2-40B4-BE49-F238E27FC236}">
              <a16:creationId xmlns:a16="http://schemas.microsoft.com/office/drawing/2014/main" id="{D7F838CD-EAE4-41B1-B96B-5575944F6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29" name="BExUBK0YZ5VYFY8TTITJGJU9S06A" hidden="1">
          <a:extLst>
            <a:ext uri="{FF2B5EF4-FFF2-40B4-BE49-F238E27FC236}">
              <a16:creationId xmlns:a16="http://schemas.microsoft.com/office/drawing/2014/main" id="{E1104AE2-7B37-4858-ABF6-42D8F8DC5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30" name="BEx1KD7H6UB1VYCJ7O61P562EIUY" descr="IQGV9140X0K0UPBL8OGU3I44J" hidden="1">
          <a:extLst>
            <a:ext uri="{FF2B5EF4-FFF2-40B4-BE49-F238E27FC236}">
              <a16:creationId xmlns:a16="http://schemas.microsoft.com/office/drawing/2014/main" id="{F9CC8D5E-B4A2-4867-A2F0-B56280A0A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31" name="BEx5BJQWS6YWHH4ZMSUAMD641V6Y" descr="ZTMFMXCIQSECDX38ALEFHUB00" hidden="1">
          <a:extLst>
            <a:ext uri="{FF2B5EF4-FFF2-40B4-BE49-F238E27FC236}">
              <a16:creationId xmlns:a16="http://schemas.microsoft.com/office/drawing/2014/main" id="{2289F42A-0AFF-445E-B3AC-5AC688D85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32" name="BEx5AQZ4ETQ9LMY5EBWVH20Z7VXQ" hidden="1">
          <a:extLst>
            <a:ext uri="{FF2B5EF4-FFF2-40B4-BE49-F238E27FC236}">
              <a16:creationId xmlns:a16="http://schemas.microsoft.com/office/drawing/2014/main" id="{DF9EC5A5-24B5-48E1-8D34-E64BB2D47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33" name="BExUBK0YZ5VYFY8TTITJGJU9S06A" hidden="1">
          <a:extLst>
            <a:ext uri="{FF2B5EF4-FFF2-40B4-BE49-F238E27FC236}">
              <a16:creationId xmlns:a16="http://schemas.microsoft.com/office/drawing/2014/main" id="{75D07DBD-65FF-4E83-B28C-C0B724175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34" name="BEx1KD7H6UB1VYCJ7O61P562EIUY" descr="IQGV9140X0K0UPBL8OGU3I44J" hidden="1">
          <a:extLst>
            <a:ext uri="{FF2B5EF4-FFF2-40B4-BE49-F238E27FC236}">
              <a16:creationId xmlns:a16="http://schemas.microsoft.com/office/drawing/2014/main" id="{6BCEFDB6-F733-4B63-9C39-F6E4DE0DD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35" name="BEx5BJQWS6YWHH4ZMSUAMD641V6Y" descr="ZTMFMXCIQSECDX38ALEFHUB00" hidden="1">
          <a:extLst>
            <a:ext uri="{FF2B5EF4-FFF2-40B4-BE49-F238E27FC236}">
              <a16:creationId xmlns:a16="http://schemas.microsoft.com/office/drawing/2014/main" id="{FCBF6604-1366-49B4-BFAB-20D6D6EC4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36" name="BEx5AQZ4ETQ9LMY5EBWVH20Z7VXQ" hidden="1">
          <a:extLst>
            <a:ext uri="{FF2B5EF4-FFF2-40B4-BE49-F238E27FC236}">
              <a16:creationId xmlns:a16="http://schemas.microsoft.com/office/drawing/2014/main" id="{87B541FA-41EC-4ECB-ACCB-6716EF4F9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37" name="BExUBK0YZ5VYFY8TTITJGJU9S06A" hidden="1">
          <a:extLst>
            <a:ext uri="{FF2B5EF4-FFF2-40B4-BE49-F238E27FC236}">
              <a16:creationId xmlns:a16="http://schemas.microsoft.com/office/drawing/2014/main" id="{A3595188-F02D-4882-8077-5180C10F6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38" name="BEx1KD7H6UB1VYCJ7O61P562EIUY" descr="IQGV9140X0K0UPBL8OGU3I44J" hidden="1">
          <a:extLst>
            <a:ext uri="{FF2B5EF4-FFF2-40B4-BE49-F238E27FC236}">
              <a16:creationId xmlns:a16="http://schemas.microsoft.com/office/drawing/2014/main" id="{F5D7AF08-FF34-49D3-BB2B-FA1287319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39" name="BEx5AQZ4ETQ9LMY5EBWVH20Z7VXQ" hidden="1">
          <a:extLst>
            <a:ext uri="{FF2B5EF4-FFF2-40B4-BE49-F238E27FC236}">
              <a16:creationId xmlns:a16="http://schemas.microsoft.com/office/drawing/2014/main" id="{2F6774B8-01FA-49B1-BBD5-C1AEA0DE2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40" name="BEx1KD7H6UB1VYCJ7O61P562EIUY" descr="IQGV9140X0K0UPBL8OGU3I44J" hidden="1">
          <a:extLst>
            <a:ext uri="{FF2B5EF4-FFF2-40B4-BE49-F238E27FC236}">
              <a16:creationId xmlns:a16="http://schemas.microsoft.com/office/drawing/2014/main" id="{92635FA4-7B4A-46D7-8783-B7D2B5CB3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41" name="BEx5AQZ4ETQ9LMY5EBWVH20Z7VXQ" hidden="1">
          <a:extLst>
            <a:ext uri="{FF2B5EF4-FFF2-40B4-BE49-F238E27FC236}">
              <a16:creationId xmlns:a16="http://schemas.microsoft.com/office/drawing/2014/main" id="{488E542A-C360-4251-B78B-AC424E5B9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42" name="BEx1KD7H6UB1VYCJ7O61P562EIUY" descr="IQGV9140X0K0UPBL8OGU3I44J" hidden="1">
          <a:extLst>
            <a:ext uri="{FF2B5EF4-FFF2-40B4-BE49-F238E27FC236}">
              <a16:creationId xmlns:a16="http://schemas.microsoft.com/office/drawing/2014/main" id="{D5971268-404A-4F93-8F89-111313839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43" name="BEx5AQZ4ETQ9LMY5EBWVH20Z7VXQ" hidden="1">
          <a:extLst>
            <a:ext uri="{FF2B5EF4-FFF2-40B4-BE49-F238E27FC236}">
              <a16:creationId xmlns:a16="http://schemas.microsoft.com/office/drawing/2014/main" id="{2347CC59-EAAF-45DC-82C7-AE060993C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44" name="BEx1KD7H6UB1VYCJ7O61P562EIUY" descr="IQGV9140X0K0UPBL8OGU3I44J" hidden="1">
          <a:extLst>
            <a:ext uri="{FF2B5EF4-FFF2-40B4-BE49-F238E27FC236}">
              <a16:creationId xmlns:a16="http://schemas.microsoft.com/office/drawing/2014/main" id="{96958CCE-5C64-4335-9873-F17EE569D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45" name="BEx5AQZ4ETQ9LMY5EBWVH20Z7VXQ" hidden="1">
          <a:extLst>
            <a:ext uri="{FF2B5EF4-FFF2-40B4-BE49-F238E27FC236}">
              <a16:creationId xmlns:a16="http://schemas.microsoft.com/office/drawing/2014/main" id="{9E545F86-EBB2-41F0-9209-9E132C75D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46" name="BEx1KD7H6UB1VYCJ7O61P562EIUY" descr="IQGV9140X0K0UPBL8OGU3I44J" hidden="1">
          <a:extLst>
            <a:ext uri="{FF2B5EF4-FFF2-40B4-BE49-F238E27FC236}">
              <a16:creationId xmlns:a16="http://schemas.microsoft.com/office/drawing/2014/main" id="{A8B58643-BAB9-4888-A298-6D41F2F4B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47" name="BEx5AQZ4ETQ9LMY5EBWVH20Z7VXQ" hidden="1">
          <a:extLst>
            <a:ext uri="{FF2B5EF4-FFF2-40B4-BE49-F238E27FC236}">
              <a16:creationId xmlns:a16="http://schemas.microsoft.com/office/drawing/2014/main" id="{00E68ABA-ACA5-4763-A5ED-6A2B44F2B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48" name="BEx1KD7H6UB1VYCJ7O61P562EIUY" descr="IQGV9140X0K0UPBL8OGU3I44J" hidden="1">
          <a:extLst>
            <a:ext uri="{FF2B5EF4-FFF2-40B4-BE49-F238E27FC236}">
              <a16:creationId xmlns:a16="http://schemas.microsoft.com/office/drawing/2014/main" id="{8A71E04C-60DF-4592-9153-6352F3C89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49" name="BEx5AQZ4ETQ9LMY5EBWVH20Z7VXQ" hidden="1">
          <a:extLst>
            <a:ext uri="{FF2B5EF4-FFF2-40B4-BE49-F238E27FC236}">
              <a16:creationId xmlns:a16="http://schemas.microsoft.com/office/drawing/2014/main" id="{A8AB36B6-F047-4158-8EA1-2C908E5A2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50" name="BEx1KD7H6UB1VYCJ7O61P562EIUY" descr="IQGV9140X0K0UPBL8OGU3I44J" hidden="1">
          <a:extLst>
            <a:ext uri="{FF2B5EF4-FFF2-40B4-BE49-F238E27FC236}">
              <a16:creationId xmlns:a16="http://schemas.microsoft.com/office/drawing/2014/main" id="{33FB83BA-ADA6-4AEA-894D-E89A466B9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51" name="BEx5AQZ4ETQ9LMY5EBWVH20Z7VXQ" hidden="1">
          <a:extLst>
            <a:ext uri="{FF2B5EF4-FFF2-40B4-BE49-F238E27FC236}">
              <a16:creationId xmlns:a16="http://schemas.microsoft.com/office/drawing/2014/main" id="{10CC61F1-9C53-4906-9A1F-3D5FE66AB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52" name="BEx1KD7H6UB1VYCJ7O61P562EIUY" descr="IQGV9140X0K0UPBL8OGU3I44J" hidden="1">
          <a:extLst>
            <a:ext uri="{FF2B5EF4-FFF2-40B4-BE49-F238E27FC236}">
              <a16:creationId xmlns:a16="http://schemas.microsoft.com/office/drawing/2014/main" id="{57583A73-4CE3-428E-8FDA-E20E1AC85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53" name="BEx5AQZ4ETQ9LMY5EBWVH20Z7VXQ" hidden="1">
          <a:extLst>
            <a:ext uri="{FF2B5EF4-FFF2-40B4-BE49-F238E27FC236}">
              <a16:creationId xmlns:a16="http://schemas.microsoft.com/office/drawing/2014/main" id="{FED5495F-AAA4-4D29-B3CA-91ED72DB4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54" name="BEx1KD7H6UB1VYCJ7O61P562EIUY" descr="IQGV9140X0K0UPBL8OGU3I44J" hidden="1">
          <a:extLst>
            <a:ext uri="{FF2B5EF4-FFF2-40B4-BE49-F238E27FC236}">
              <a16:creationId xmlns:a16="http://schemas.microsoft.com/office/drawing/2014/main" id="{BC19A4CB-3253-4419-B368-06A0B8418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55" name="BEx5AQZ4ETQ9LMY5EBWVH20Z7VXQ" hidden="1">
          <a:extLst>
            <a:ext uri="{FF2B5EF4-FFF2-40B4-BE49-F238E27FC236}">
              <a16:creationId xmlns:a16="http://schemas.microsoft.com/office/drawing/2014/main" id="{7918A9FF-1D9F-454B-8E44-6FD575A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56" name="BEx1KD7H6UB1VYCJ7O61P562EIUY" descr="IQGV9140X0K0UPBL8OGU3I44J" hidden="1">
          <a:extLst>
            <a:ext uri="{FF2B5EF4-FFF2-40B4-BE49-F238E27FC236}">
              <a16:creationId xmlns:a16="http://schemas.microsoft.com/office/drawing/2014/main" id="{52C4CC04-5E0A-4921-AEDD-2188515D0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57" name="BEx5AQZ4ETQ9LMY5EBWVH20Z7VXQ" hidden="1">
          <a:extLst>
            <a:ext uri="{FF2B5EF4-FFF2-40B4-BE49-F238E27FC236}">
              <a16:creationId xmlns:a16="http://schemas.microsoft.com/office/drawing/2014/main" id="{2CA6747C-0633-4A24-A3AC-0F6C20717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58" name="BEx1KD7H6UB1VYCJ7O61P562EIUY" descr="IQGV9140X0K0UPBL8OGU3I44J" hidden="1">
          <a:extLst>
            <a:ext uri="{FF2B5EF4-FFF2-40B4-BE49-F238E27FC236}">
              <a16:creationId xmlns:a16="http://schemas.microsoft.com/office/drawing/2014/main" id="{CF7A429A-652B-40CC-915C-08DAB0D3A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59" name="BEx5AQZ4ETQ9LMY5EBWVH20Z7VXQ" hidden="1">
          <a:extLst>
            <a:ext uri="{FF2B5EF4-FFF2-40B4-BE49-F238E27FC236}">
              <a16:creationId xmlns:a16="http://schemas.microsoft.com/office/drawing/2014/main" id="{32BAE252-E518-4040-8621-FCEA6D5BA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60" name="BEx1KD7H6UB1VYCJ7O61P562EIUY" descr="IQGV9140X0K0UPBL8OGU3I44J" hidden="1">
          <a:extLst>
            <a:ext uri="{FF2B5EF4-FFF2-40B4-BE49-F238E27FC236}">
              <a16:creationId xmlns:a16="http://schemas.microsoft.com/office/drawing/2014/main" id="{1EA229CD-F429-40E2-8B4B-EBEFF7C35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61" name="BEx5AQZ4ETQ9LMY5EBWVH20Z7VXQ" hidden="1">
          <a:extLst>
            <a:ext uri="{FF2B5EF4-FFF2-40B4-BE49-F238E27FC236}">
              <a16:creationId xmlns:a16="http://schemas.microsoft.com/office/drawing/2014/main" id="{31BE158E-7901-4E77-93C7-A699E3B03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62" name="BEx1KD7H6UB1VYCJ7O61P562EIUY" descr="IQGV9140X0K0UPBL8OGU3I44J" hidden="1">
          <a:extLst>
            <a:ext uri="{FF2B5EF4-FFF2-40B4-BE49-F238E27FC236}">
              <a16:creationId xmlns:a16="http://schemas.microsoft.com/office/drawing/2014/main" id="{71FF2C39-8A21-45C2-8B2A-83B994457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63" name="BEx5AQZ4ETQ9LMY5EBWVH20Z7VXQ" hidden="1">
          <a:extLst>
            <a:ext uri="{FF2B5EF4-FFF2-40B4-BE49-F238E27FC236}">
              <a16:creationId xmlns:a16="http://schemas.microsoft.com/office/drawing/2014/main" id="{6FC64EDE-928B-41A3-8B15-65FDF56F2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64" name="BEx1KD7H6UB1VYCJ7O61P562EIUY" descr="IQGV9140X0K0UPBL8OGU3I44J" hidden="1">
          <a:extLst>
            <a:ext uri="{FF2B5EF4-FFF2-40B4-BE49-F238E27FC236}">
              <a16:creationId xmlns:a16="http://schemas.microsoft.com/office/drawing/2014/main" id="{BB2A034C-30B5-44C2-8AAE-3FE275227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65" name="BEx5AQZ4ETQ9LMY5EBWVH20Z7VXQ" hidden="1">
          <a:extLst>
            <a:ext uri="{FF2B5EF4-FFF2-40B4-BE49-F238E27FC236}">
              <a16:creationId xmlns:a16="http://schemas.microsoft.com/office/drawing/2014/main" id="{B9405CBA-7986-49BB-A07D-377E53D9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66" name="BEx1KD7H6UB1VYCJ7O61P562EIUY" descr="IQGV9140X0K0UPBL8OGU3I44J" hidden="1">
          <a:extLst>
            <a:ext uri="{FF2B5EF4-FFF2-40B4-BE49-F238E27FC236}">
              <a16:creationId xmlns:a16="http://schemas.microsoft.com/office/drawing/2014/main" id="{2540B400-1FFE-4C83-8D9A-7BEFCD591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67" name="BEx5AQZ4ETQ9LMY5EBWVH20Z7VXQ" hidden="1">
          <a:extLst>
            <a:ext uri="{FF2B5EF4-FFF2-40B4-BE49-F238E27FC236}">
              <a16:creationId xmlns:a16="http://schemas.microsoft.com/office/drawing/2014/main" id="{0DB85A70-4F25-4B4B-B771-9DB799304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68" name="BEx1KD7H6UB1VYCJ7O61P562EIUY" descr="IQGV9140X0K0UPBL8OGU3I44J" hidden="1">
          <a:extLst>
            <a:ext uri="{FF2B5EF4-FFF2-40B4-BE49-F238E27FC236}">
              <a16:creationId xmlns:a16="http://schemas.microsoft.com/office/drawing/2014/main" id="{A282BB7C-D824-4178-A484-CA4CAF2A3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69" name="BEx5AQZ4ETQ9LMY5EBWVH20Z7VXQ" hidden="1">
          <a:extLst>
            <a:ext uri="{FF2B5EF4-FFF2-40B4-BE49-F238E27FC236}">
              <a16:creationId xmlns:a16="http://schemas.microsoft.com/office/drawing/2014/main" id="{0FFDA87E-3DE7-4206-8ADC-8306FB276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70" name="BEx1KD7H6UB1VYCJ7O61P562EIUY" descr="IQGV9140X0K0UPBL8OGU3I44J" hidden="1">
          <a:extLst>
            <a:ext uri="{FF2B5EF4-FFF2-40B4-BE49-F238E27FC236}">
              <a16:creationId xmlns:a16="http://schemas.microsoft.com/office/drawing/2014/main" id="{17BDB52E-4DF7-46DF-B323-F9A8093FB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71" name="BEx5AQZ4ETQ9LMY5EBWVH20Z7VXQ" hidden="1">
          <a:extLst>
            <a:ext uri="{FF2B5EF4-FFF2-40B4-BE49-F238E27FC236}">
              <a16:creationId xmlns:a16="http://schemas.microsoft.com/office/drawing/2014/main" id="{FBFE14BA-BFD3-404F-A1B1-B8FCC8709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72" name="BEx1KD7H6UB1VYCJ7O61P562EIUY" descr="IQGV9140X0K0UPBL8OGU3I44J" hidden="1">
          <a:extLst>
            <a:ext uri="{FF2B5EF4-FFF2-40B4-BE49-F238E27FC236}">
              <a16:creationId xmlns:a16="http://schemas.microsoft.com/office/drawing/2014/main" id="{A6F6192B-80D2-481D-B4EA-7C8905856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73" name="BEx5AQZ4ETQ9LMY5EBWVH20Z7VXQ" hidden="1">
          <a:extLst>
            <a:ext uri="{FF2B5EF4-FFF2-40B4-BE49-F238E27FC236}">
              <a16:creationId xmlns:a16="http://schemas.microsoft.com/office/drawing/2014/main" id="{5AE36284-184B-42AC-88D6-3FD65735D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74" name="BEx1KD7H6UB1VYCJ7O61P562EIUY" descr="IQGV9140X0K0UPBL8OGU3I44J" hidden="1">
          <a:extLst>
            <a:ext uri="{FF2B5EF4-FFF2-40B4-BE49-F238E27FC236}">
              <a16:creationId xmlns:a16="http://schemas.microsoft.com/office/drawing/2014/main" id="{B1EEF640-8270-46DD-A386-918C450D5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75" name="BEx5AQZ4ETQ9LMY5EBWVH20Z7VXQ" hidden="1">
          <a:extLst>
            <a:ext uri="{FF2B5EF4-FFF2-40B4-BE49-F238E27FC236}">
              <a16:creationId xmlns:a16="http://schemas.microsoft.com/office/drawing/2014/main" id="{D31950B4-1316-4F7E-8F9A-D651EBB6E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76" name="BEx1KD7H6UB1VYCJ7O61P562EIUY" descr="IQGV9140X0K0UPBL8OGU3I44J" hidden="1">
          <a:extLst>
            <a:ext uri="{FF2B5EF4-FFF2-40B4-BE49-F238E27FC236}">
              <a16:creationId xmlns:a16="http://schemas.microsoft.com/office/drawing/2014/main" id="{92EC2DC2-EE73-4F58-889F-169AE27E8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77" name="BEx5AQZ4ETQ9LMY5EBWVH20Z7VXQ" hidden="1">
          <a:extLst>
            <a:ext uri="{FF2B5EF4-FFF2-40B4-BE49-F238E27FC236}">
              <a16:creationId xmlns:a16="http://schemas.microsoft.com/office/drawing/2014/main" id="{8F87BEE1-175D-481D-A9D9-9369F9553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78" name="BEx1KD7H6UB1VYCJ7O61P562EIUY" descr="IQGV9140X0K0UPBL8OGU3I44J" hidden="1">
          <a:extLst>
            <a:ext uri="{FF2B5EF4-FFF2-40B4-BE49-F238E27FC236}">
              <a16:creationId xmlns:a16="http://schemas.microsoft.com/office/drawing/2014/main" id="{D38E3C79-9E06-418F-AC79-0A5D69088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79" name="BEx5BJQWS6YWHH4ZMSUAMD641V6Y" descr="ZTMFMXCIQSECDX38ALEFHUB00" hidden="1">
          <a:extLst>
            <a:ext uri="{FF2B5EF4-FFF2-40B4-BE49-F238E27FC236}">
              <a16:creationId xmlns:a16="http://schemas.microsoft.com/office/drawing/2014/main" id="{2616F4D3-D869-457A-A0B1-995503105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80" name="BEx5AQZ4ETQ9LMY5EBWVH20Z7VXQ" hidden="1">
          <a:extLst>
            <a:ext uri="{FF2B5EF4-FFF2-40B4-BE49-F238E27FC236}">
              <a16:creationId xmlns:a16="http://schemas.microsoft.com/office/drawing/2014/main" id="{3B3FE81B-86AD-4010-9A8C-F66AD45DF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81" name="BExUBK0YZ5VYFY8TTITJGJU9S06A" hidden="1">
          <a:extLst>
            <a:ext uri="{FF2B5EF4-FFF2-40B4-BE49-F238E27FC236}">
              <a16:creationId xmlns:a16="http://schemas.microsoft.com/office/drawing/2014/main" id="{C69E05B6-F933-4828-8457-773406217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82" name="BEx5BJQWS6YWHH4ZMSUAMD641V6Y" descr="ZTMFMXCIQSECDX38ALEFHUB00" hidden="1">
          <a:extLst>
            <a:ext uri="{FF2B5EF4-FFF2-40B4-BE49-F238E27FC236}">
              <a16:creationId xmlns:a16="http://schemas.microsoft.com/office/drawing/2014/main" id="{1A6ACD78-D296-49A1-BD47-6E7F1ADB2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83" name="BExUBK0YZ5VYFY8TTITJGJU9S06A" hidden="1">
          <a:extLst>
            <a:ext uri="{FF2B5EF4-FFF2-40B4-BE49-F238E27FC236}">
              <a16:creationId xmlns:a16="http://schemas.microsoft.com/office/drawing/2014/main" id="{B34F0F6C-7AB7-4215-B14E-654C390E5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84" name="BEx5BJQWS6YWHH4ZMSUAMD641V6Y" descr="ZTMFMXCIQSECDX38ALEFHUB00" hidden="1">
          <a:extLst>
            <a:ext uri="{FF2B5EF4-FFF2-40B4-BE49-F238E27FC236}">
              <a16:creationId xmlns:a16="http://schemas.microsoft.com/office/drawing/2014/main" id="{D3F12B34-C724-4D7D-9E40-9C4E9051B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85" name="BExUBK0YZ5VYFY8TTITJGJU9S06A" hidden="1">
          <a:extLst>
            <a:ext uri="{FF2B5EF4-FFF2-40B4-BE49-F238E27FC236}">
              <a16:creationId xmlns:a16="http://schemas.microsoft.com/office/drawing/2014/main" id="{14364A05-DE53-4839-BF1F-DE7A48652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86" name="BEx5BJQWS6YWHH4ZMSUAMD641V6Y" descr="ZTMFMXCIQSECDX38ALEFHUB00" hidden="1">
          <a:extLst>
            <a:ext uri="{FF2B5EF4-FFF2-40B4-BE49-F238E27FC236}">
              <a16:creationId xmlns:a16="http://schemas.microsoft.com/office/drawing/2014/main" id="{EEC07EBD-731F-4D91-8341-3CD461430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87" name="BExUBK0YZ5VYFY8TTITJGJU9S06A" hidden="1">
          <a:extLst>
            <a:ext uri="{FF2B5EF4-FFF2-40B4-BE49-F238E27FC236}">
              <a16:creationId xmlns:a16="http://schemas.microsoft.com/office/drawing/2014/main" id="{51BBBAFC-8F89-4DB1-9AC3-9190DF930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88" name="BEx5BJQWS6YWHH4ZMSUAMD641V6Y" descr="ZTMFMXCIQSECDX38ALEFHUB00" hidden="1">
          <a:extLst>
            <a:ext uri="{FF2B5EF4-FFF2-40B4-BE49-F238E27FC236}">
              <a16:creationId xmlns:a16="http://schemas.microsoft.com/office/drawing/2014/main" id="{C981D118-659B-4B8D-9F4D-825B92E3D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89" name="BExUBK0YZ5VYFY8TTITJGJU9S06A" hidden="1">
          <a:extLst>
            <a:ext uri="{FF2B5EF4-FFF2-40B4-BE49-F238E27FC236}">
              <a16:creationId xmlns:a16="http://schemas.microsoft.com/office/drawing/2014/main" id="{08312289-65CA-4A61-82A6-DD15564D3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90" name="BEx5BJQWS6YWHH4ZMSUAMD641V6Y" descr="ZTMFMXCIQSECDX38ALEFHUB00" hidden="1">
          <a:extLst>
            <a:ext uri="{FF2B5EF4-FFF2-40B4-BE49-F238E27FC236}">
              <a16:creationId xmlns:a16="http://schemas.microsoft.com/office/drawing/2014/main" id="{0A35D174-2D9D-4FC2-86EA-8E2BD2599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91" name="BExUBK0YZ5VYFY8TTITJGJU9S06A" hidden="1">
          <a:extLst>
            <a:ext uri="{FF2B5EF4-FFF2-40B4-BE49-F238E27FC236}">
              <a16:creationId xmlns:a16="http://schemas.microsoft.com/office/drawing/2014/main" id="{52DD9A03-A444-4BAF-877C-14BA43F91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92" name="BEx1KD7H6UB1VYCJ7O61P562EIUY" descr="IQGV9140X0K0UPBL8OGU3I44J" hidden="1">
          <a:extLst>
            <a:ext uri="{FF2B5EF4-FFF2-40B4-BE49-F238E27FC236}">
              <a16:creationId xmlns:a16="http://schemas.microsoft.com/office/drawing/2014/main" id="{319C3CC1-6BEF-4D7C-A29E-4B08B0932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93" name="BEx5AQZ4ETQ9LMY5EBWVH20Z7VXQ" hidden="1">
          <a:extLst>
            <a:ext uri="{FF2B5EF4-FFF2-40B4-BE49-F238E27FC236}">
              <a16:creationId xmlns:a16="http://schemas.microsoft.com/office/drawing/2014/main" id="{9CB789FF-FF52-4631-A1CC-558FCDBF1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94" name="BEx1KD7H6UB1VYCJ7O61P562EIUY" descr="IQGV9140X0K0UPBL8OGU3I44J" hidden="1">
          <a:extLst>
            <a:ext uri="{FF2B5EF4-FFF2-40B4-BE49-F238E27FC236}">
              <a16:creationId xmlns:a16="http://schemas.microsoft.com/office/drawing/2014/main" id="{B3917875-279D-486A-943C-AB41D8B57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95" name="BEx5AQZ4ETQ9LMY5EBWVH20Z7VXQ" hidden="1">
          <a:extLst>
            <a:ext uri="{FF2B5EF4-FFF2-40B4-BE49-F238E27FC236}">
              <a16:creationId xmlns:a16="http://schemas.microsoft.com/office/drawing/2014/main" id="{D477BAED-13FB-4276-9484-6B2E4AEDC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96" name="BEx5BJQWS6YWHH4ZMSUAMD641V6Y" descr="ZTMFMXCIQSECDX38ALEFHUB00" hidden="1">
          <a:extLst>
            <a:ext uri="{FF2B5EF4-FFF2-40B4-BE49-F238E27FC236}">
              <a16:creationId xmlns:a16="http://schemas.microsoft.com/office/drawing/2014/main" id="{DF1E45FD-19DD-4A24-B89F-FDBB65BD1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197" name="BExUBK0YZ5VYFY8TTITJGJU9S06A" hidden="1">
          <a:extLst>
            <a:ext uri="{FF2B5EF4-FFF2-40B4-BE49-F238E27FC236}">
              <a16:creationId xmlns:a16="http://schemas.microsoft.com/office/drawing/2014/main" id="{DDFC3FCB-7781-4EC4-BB07-7C59A5BAC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98" name="BEx1KD7H6UB1VYCJ7O61P562EIUY" descr="IQGV9140X0K0UPBL8OGU3I44J" hidden="1">
          <a:extLst>
            <a:ext uri="{FF2B5EF4-FFF2-40B4-BE49-F238E27FC236}">
              <a16:creationId xmlns:a16="http://schemas.microsoft.com/office/drawing/2014/main" id="{7D6F048C-34CA-47F3-AB51-B081173C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199" name="BEx5AQZ4ETQ9LMY5EBWVH20Z7VXQ" hidden="1">
          <a:extLst>
            <a:ext uri="{FF2B5EF4-FFF2-40B4-BE49-F238E27FC236}">
              <a16:creationId xmlns:a16="http://schemas.microsoft.com/office/drawing/2014/main" id="{9E16B363-A0D7-46A2-AC2E-CB6393E38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00" name="BEx5BJQWS6YWHH4ZMSUAMD641V6Y" descr="ZTMFMXCIQSECDX38ALEFHUB00" hidden="1">
          <a:extLst>
            <a:ext uri="{FF2B5EF4-FFF2-40B4-BE49-F238E27FC236}">
              <a16:creationId xmlns:a16="http://schemas.microsoft.com/office/drawing/2014/main" id="{14F0021B-AA15-4B88-8547-B1E960797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01" name="BExUBK0YZ5VYFY8TTITJGJU9S06A" hidden="1">
          <a:extLst>
            <a:ext uri="{FF2B5EF4-FFF2-40B4-BE49-F238E27FC236}">
              <a16:creationId xmlns:a16="http://schemas.microsoft.com/office/drawing/2014/main" id="{E598B56B-EC9E-423C-B093-DFA934AE9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02" name="BEx5BJQWS6YWHH4ZMSUAMD641V6Y" descr="ZTMFMXCIQSECDX38ALEFHUB00" hidden="1">
          <a:extLst>
            <a:ext uri="{FF2B5EF4-FFF2-40B4-BE49-F238E27FC236}">
              <a16:creationId xmlns:a16="http://schemas.microsoft.com/office/drawing/2014/main" id="{6B3FBDCB-A6A4-4B5B-AA81-B06AFE990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03" name="BExUBK0YZ5VYFY8TTITJGJU9S06A" hidden="1">
          <a:extLst>
            <a:ext uri="{FF2B5EF4-FFF2-40B4-BE49-F238E27FC236}">
              <a16:creationId xmlns:a16="http://schemas.microsoft.com/office/drawing/2014/main" id="{143EA320-8F5F-4D14-AA68-9858C7FD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204" name="BEx1KD7H6UB1VYCJ7O61P562EIUY" descr="IQGV9140X0K0UPBL8OGU3I44J" hidden="1">
          <a:extLst>
            <a:ext uri="{FF2B5EF4-FFF2-40B4-BE49-F238E27FC236}">
              <a16:creationId xmlns:a16="http://schemas.microsoft.com/office/drawing/2014/main" id="{A99CB2DB-1C0E-4A47-81E5-238777DBF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205" name="BEx5AQZ4ETQ9LMY5EBWVH20Z7VXQ" hidden="1">
          <a:extLst>
            <a:ext uri="{FF2B5EF4-FFF2-40B4-BE49-F238E27FC236}">
              <a16:creationId xmlns:a16="http://schemas.microsoft.com/office/drawing/2014/main" id="{679EB526-9613-471A-B233-79738B0F0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06" name="BEx5BJQWS6YWHH4ZMSUAMD641V6Y" descr="ZTMFMXCIQSECDX38ALEFHUB00" hidden="1">
          <a:extLst>
            <a:ext uri="{FF2B5EF4-FFF2-40B4-BE49-F238E27FC236}">
              <a16:creationId xmlns:a16="http://schemas.microsoft.com/office/drawing/2014/main" id="{96FB5526-B3A3-4F7A-A309-F92E277D9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07" name="BExUBK0YZ5VYFY8TTITJGJU9S06A" hidden="1">
          <a:extLst>
            <a:ext uri="{FF2B5EF4-FFF2-40B4-BE49-F238E27FC236}">
              <a16:creationId xmlns:a16="http://schemas.microsoft.com/office/drawing/2014/main" id="{49A56662-230E-463A-9E64-109378548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08" name="BEx5BJQWS6YWHH4ZMSUAMD641V6Y" descr="ZTMFMXCIQSECDX38ALEFHUB00" hidden="1">
          <a:extLst>
            <a:ext uri="{FF2B5EF4-FFF2-40B4-BE49-F238E27FC236}">
              <a16:creationId xmlns:a16="http://schemas.microsoft.com/office/drawing/2014/main" id="{9C3A6974-7837-44B5-B4BF-8977E509A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09" name="BExUBK0YZ5VYFY8TTITJGJU9S06A" hidden="1">
          <a:extLst>
            <a:ext uri="{FF2B5EF4-FFF2-40B4-BE49-F238E27FC236}">
              <a16:creationId xmlns:a16="http://schemas.microsoft.com/office/drawing/2014/main" id="{6AE562E6-BA93-48A3-BF6B-4D1DBFD85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10" name="BEx5BJQWS6YWHH4ZMSUAMD641V6Y" descr="ZTMFMXCIQSECDX38ALEFHUB00" hidden="1">
          <a:extLst>
            <a:ext uri="{FF2B5EF4-FFF2-40B4-BE49-F238E27FC236}">
              <a16:creationId xmlns:a16="http://schemas.microsoft.com/office/drawing/2014/main" id="{1AAB74F4-CEC8-4303-90F1-CE7CB798D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11" name="BExUBK0YZ5VYFY8TTITJGJU9S06A" hidden="1">
          <a:extLst>
            <a:ext uri="{FF2B5EF4-FFF2-40B4-BE49-F238E27FC236}">
              <a16:creationId xmlns:a16="http://schemas.microsoft.com/office/drawing/2014/main" id="{7A83DD36-D30A-4CFE-85C5-63C13C68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212" name="BEx1KD7H6UB1VYCJ7O61P562EIUY" descr="IQGV9140X0K0UPBL8OGU3I44J" hidden="1">
          <a:extLst>
            <a:ext uri="{FF2B5EF4-FFF2-40B4-BE49-F238E27FC236}">
              <a16:creationId xmlns:a16="http://schemas.microsoft.com/office/drawing/2014/main" id="{3F1462DC-61FD-4D52-A45C-51C0B4978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213" name="BEx5AQZ4ETQ9LMY5EBWVH20Z7VXQ" hidden="1">
          <a:extLst>
            <a:ext uri="{FF2B5EF4-FFF2-40B4-BE49-F238E27FC236}">
              <a16:creationId xmlns:a16="http://schemas.microsoft.com/office/drawing/2014/main" id="{358CF929-7763-4A90-9F7F-8FB1749AD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14" name="BEx5BJQWS6YWHH4ZMSUAMD641V6Y" descr="ZTMFMXCIQSECDX38ALEFHUB00" hidden="1">
          <a:extLst>
            <a:ext uri="{FF2B5EF4-FFF2-40B4-BE49-F238E27FC236}">
              <a16:creationId xmlns:a16="http://schemas.microsoft.com/office/drawing/2014/main" id="{D19386D1-7DC2-4ED2-9263-1F73EC006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15" name="BExUBK0YZ5VYFY8TTITJGJU9S06A" hidden="1">
          <a:extLst>
            <a:ext uri="{FF2B5EF4-FFF2-40B4-BE49-F238E27FC236}">
              <a16:creationId xmlns:a16="http://schemas.microsoft.com/office/drawing/2014/main" id="{1CC44F79-DCA2-4AC9-A3DB-029D1F12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16" name="BEx5BJQWS6YWHH4ZMSUAMD641V6Y" descr="ZTMFMXCIQSECDX38ALEFHUB00" hidden="1">
          <a:extLst>
            <a:ext uri="{FF2B5EF4-FFF2-40B4-BE49-F238E27FC236}">
              <a16:creationId xmlns:a16="http://schemas.microsoft.com/office/drawing/2014/main" id="{9CCEECB7-A2FC-493F-AC58-3AC75CBE9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17" name="BExUBK0YZ5VYFY8TTITJGJU9S06A" hidden="1">
          <a:extLst>
            <a:ext uri="{FF2B5EF4-FFF2-40B4-BE49-F238E27FC236}">
              <a16:creationId xmlns:a16="http://schemas.microsoft.com/office/drawing/2014/main" id="{6F7E6BD0-0D86-43B2-B6FE-EBAE52B40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18" name="BEx5BJQWS6YWHH4ZMSUAMD641V6Y" descr="ZTMFMXCIQSECDX38ALEFHUB00" hidden="1">
          <a:extLst>
            <a:ext uri="{FF2B5EF4-FFF2-40B4-BE49-F238E27FC236}">
              <a16:creationId xmlns:a16="http://schemas.microsoft.com/office/drawing/2014/main" id="{CE6A7E23-592D-46C0-945E-7E1FDA677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19" name="BExUBK0YZ5VYFY8TTITJGJU9S06A" hidden="1">
          <a:extLst>
            <a:ext uri="{FF2B5EF4-FFF2-40B4-BE49-F238E27FC236}">
              <a16:creationId xmlns:a16="http://schemas.microsoft.com/office/drawing/2014/main" id="{CCA54EDD-10D6-471D-BD75-B3BD2D954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20" name="BEx5BJQWS6YWHH4ZMSUAMD641V6Y" descr="ZTMFMXCIQSECDX38ALEFHUB00" hidden="1">
          <a:extLst>
            <a:ext uri="{FF2B5EF4-FFF2-40B4-BE49-F238E27FC236}">
              <a16:creationId xmlns:a16="http://schemas.microsoft.com/office/drawing/2014/main" id="{D089BF35-35A3-4F51-860F-C3EB45C06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21" name="BExUBK0YZ5VYFY8TTITJGJU9S06A" hidden="1">
          <a:extLst>
            <a:ext uri="{FF2B5EF4-FFF2-40B4-BE49-F238E27FC236}">
              <a16:creationId xmlns:a16="http://schemas.microsoft.com/office/drawing/2014/main" id="{2846078F-4A57-43CA-9E29-354266C9F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22" name="BEx5BJQWS6YWHH4ZMSUAMD641V6Y" descr="ZTMFMXCIQSECDX38ALEFHUB00" hidden="1">
          <a:extLst>
            <a:ext uri="{FF2B5EF4-FFF2-40B4-BE49-F238E27FC236}">
              <a16:creationId xmlns:a16="http://schemas.microsoft.com/office/drawing/2014/main" id="{D3A3CB78-0695-4D7E-907C-EFE37386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23" name="BExUBK0YZ5VYFY8TTITJGJU9S06A" hidden="1">
          <a:extLst>
            <a:ext uri="{FF2B5EF4-FFF2-40B4-BE49-F238E27FC236}">
              <a16:creationId xmlns:a16="http://schemas.microsoft.com/office/drawing/2014/main" id="{24F6F404-36E4-4FD1-883C-350B460D6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224" name="BEx1KD7H6UB1VYCJ7O61P562EIUY" descr="IQGV9140X0K0UPBL8OGU3I44J" hidden="1">
          <a:extLst>
            <a:ext uri="{FF2B5EF4-FFF2-40B4-BE49-F238E27FC236}">
              <a16:creationId xmlns:a16="http://schemas.microsoft.com/office/drawing/2014/main" id="{C5D2555B-AFB7-466A-860F-6CE1D2124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25" name="BEx5BJQWS6YWHH4ZMSUAMD641V6Y" descr="ZTMFMXCIQSECDX38ALEFHUB00" hidden="1">
          <a:extLst>
            <a:ext uri="{FF2B5EF4-FFF2-40B4-BE49-F238E27FC236}">
              <a16:creationId xmlns:a16="http://schemas.microsoft.com/office/drawing/2014/main" id="{A3838E64-DC4C-40CE-BBE8-FB42B989A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226" name="BEx5AQZ4ETQ9LMY5EBWVH20Z7VXQ" hidden="1">
          <a:extLst>
            <a:ext uri="{FF2B5EF4-FFF2-40B4-BE49-F238E27FC236}">
              <a16:creationId xmlns:a16="http://schemas.microsoft.com/office/drawing/2014/main" id="{B9AB4316-3539-41F2-A460-4B228B4D0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27" name="BExUBK0YZ5VYFY8TTITJGJU9S06A" hidden="1">
          <a:extLst>
            <a:ext uri="{FF2B5EF4-FFF2-40B4-BE49-F238E27FC236}">
              <a16:creationId xmlns:a16="http://schemas.microsoft.com/office/drawing/2014/main" id="{F611EA59-C979-45C6-BA43-56D6CE148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28" name="BEx5BJQWS6YWHH4ZMSUAMD641V6Y" descr="ZTMFMXCIQSECDX38ALEFHUB00" hidden="1">
          <a:extLst>
            <a:ext uri="{FF2B5EF4-FFF2-40B4-BE49-F238E27FC236}">
              <a16:creationId xmlns:a16="http://schemas.microsoft.com/office/drawing/2014/main" id="{F8989439-403A-4443-9516-13BC0C397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29" name="BExUBK0YZ5VYFY8TTITJGJU9S06A" hidden="1">
          <a:extLst>
            <a:ext uri="{FF2B5EF4-FFF2-40B4-BE49-F238E27FC236}">
              <a16:creationId xmlns:a16="http://schemas.microsoft.com/office/drawing/2014/main" id="{8CF8A03D-1B89-4840-A9CA-01AD4E085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30" name="BEx5BJQWS6YWHH4ZMSUAMD641V6Y" descr="ZTMFMXCIQSECDX38ALEFHUB00" hidden="1">
          <a:extLst>
            <a:ext uri="{FF2B5EF4-FFF2-40B4-BE49-F238E27FC236}">
              <a16:creationId xmlns:a16="http://schemas.microsoft.com/office/drawing/2014/main" id="{3A62EDD1-2D19-4A2A-8F5F-01E05785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31" name="BExUBK0YZ5VYFY8TTITJGJU9S06A" hidden="1">
          <a:extLst>
            <a:ext uri="{FF2B5EF4-FFF2-40B4-BE49-F238E27FC236}">
              <a16:creationId xmlns:a16="http://schemas.microsoft.com/office/drawing/2014/main" id="{78972A9E-47A4-47E8-B709-4651FBDAF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32" name="BEx5BJQWS6YWHH4ZMSUAMD641V6Y" descr="ZTMFMXCIQSECDX38ALEFHUB00" hidden="1">
          <a:extLst>
            <a:ext uri="{FF2B5EF4-FFF2-40B4-BE49-F238E27FC236}">
              <a16:creationId xmlns:a16="http://schemas.microsoft.com/office/drawing/2014/main" id="{0C54391A-8FAD-4873-B47E-FC01DEDF0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33" name="BExUBK0YZ5VYFY8TTITJGJU9S06A" hidden="1">
          <a:extLst>
            <a:ext uri="{FF2B5EF4-FFF2-40B4-BE49-F238E27FC236}">
              <a16:creationId xmlns:a16="http://schemas.microsoft.com/office/drawing/2014/main" id="{808ADE9F-BAC7-4EC8-B68B-57D6C62F3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34" name="BEx5BJQWS6YWHH4ZMSUAMD641V6Y" descr="ZTMFMXCIQSECDX38ALEFHUB00" hidden="1">
          <a:extLst>
            <a:ext uri="{FF2B5EF4-FFF2-40B4-BE49-F238E27FC236}">
              <a16:creationId xmlns:a16="http://schemas.microsoft.com/office/drawing/2014/main" id="{9FC4E6D7-4F39-458F-B208-A6ED27EA6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35" name="BExUBK0YZ5VYFY8TTITJGJU9S06A" hidden="1">
          <a:extLst>
            <a:ext uri="{FF2B5EF4-FFF2-40B4-BE49-F238E27FC236}">
              <a16:creationId xmlns:a16="http://schemas.microsoft.com/office/drawing/2014/main" id="{A623C339-8246-4B42-92EC-E49A0E0BC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36" name="BEx5BJQWS6YWHH4ZMSUAMD641V6Y" descr="ZTMFMXCIQSECDX38ALEFHUB00" hidden="1">
          <a:extLst>
            <a:ext uri="{FF2B5EF4-FFF2-40B4-BE49-F238E27FC236}">
              <a16:creationId xmlns:a16="http://schemas.microsoft.com/office/drawing/2014/main" id="{F027BA2C-D948-4F26-931C-4F74DEF09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37" name="BExUBK0YZ5VYFY8TTITJGJU9S06A" hidden="1">
          <a:extLst>
            <a:ext uri="{FF2B5EF4-FFF2-40B4-BE49-F238E27FC236}">
              <a16:creationId xmlns:a16="http://schemas.microsoft.com/office/drawing/2014/main" id="{06151765-2927-4790-AC69-712FFF7D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238" name="BEx1KD7H6UB1VYCJ7O61P562EIUY" descr="IQGV9140X0K0UPBL8OGU3I44J" hidden="1">
          <a:extLst>
            <a:ext uri="{FF2B5EF4-FFF2-40B4-BE49-F238E27FC236}">
              <a16:creationId xmlns:a16="http://schemas.microsoft.com/office/drawing/2014/main" id="{6295480A-11B4-4F81-AA46-6B074579B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239" name="BEx5AQZ4ETQ9LMY5EBWVH20Z7VXQ" hidden="1">
          <a:extLst>
            <a:ext uri="{FF2B5EF4-FFF2-40B4-BE49-F238E27FC236}">
              <a16:creationId xmlns:a16="http://schemas.microsoft.com/office/drawing/2014/main" id="{B4D61E71-D98F-4951-BADA-F8688894F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240" name="BEx1KD7H6UB1VYCJ7O61P562EIUY" descr="IQGV9140X0K0UPBL8OGU3I44J" hidden="1">
          <a:extLst>
            <a:ext uri="{FF2B5EF4-FFF2-40B4-BE49-F238E27FC236}">
              <a16:creationId xmlns:a16="http://schemas.microsoft.com/office/drawing/2014/main" id="{E7920E69-A2D1-4776-B097-A381C4C34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241" name="BEx5AQZ4ETQ9LMY5EBWVH20Z7VXQ" hidden="1">
          <a:extLst>
            <a:ext uri="{FF2B5EF4-FFF2-40B4-BE49-F238E27FC236}">
              <a16:creationId xmlns:a16="http://schemas.microsoft.com/office/drawing/2014/main" id="{C4CAD96B-71A3-4E6C-B051-1002F4EDE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42" name="BEx5BJQWS6YWHH4ZMSUAMD641V6Y" descr="ZTMFMXCIQSECDX38ALEFHUB00" hidden="1">
          <a:extLst>
            <a:ext uri="{FF2B5EF4-FFF2-40B4-BE49-F238E27FC236}">
              <a16:creationId xmlns:a16="http://schemas.microsoft.com/office/drawing/2014/main" id="{C4EB368E-F578-47BC-B3A5-9EA5D53E5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43" name="BExUBK0YZ5VYFY8TTITJGJU9S06A" hidden="1">
          <a:extLst>
            <a:ext uri="{FF2B5EF4-FFF2-40B4-BE49-F238E27FC236}">
              <a16:creationId xmlns:a16="http://schemas.microsoft.com/office/drawing/2014/main" id="{47FA032D-6BE1-43D2-8AD6-F939F2A8D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244" name="BEx1KD7H6UB1VYCJ7O61P562EIUY" descr="IQGV9140X0K0UPBL8OGU3I44J" hidden="1">
          <a:extLst>
            <a:ext uri="{FF2B5EF4-FFF2-40B4-BE49-F238E27FC236}">
              <a16:creationId xmlns:a16="http://schemas.microsoft.com/office/drawing/2014/main" id="{C45E005C-A2EE-4693-AF61-40658F826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245" name="BEx5AQZ4ETQ9LMY5EBWVH20Z7VXQ" hidden="1">
          <a:extLst>
            <a:ext uri="{FF2B5EF4-FFF2-40B4-BE49-F238E27FC236}">
              <a16:creationId xmlns:a16="http://schemas.microsoft.com/office/drawing/2014/main" id="{1AB9251F-80DD-45B6-AB28-B543A0F25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46" name="BEx5BJQWS6YWHH4ZMSUAMD641V6Y" descr="ZTMFMXCIQSECDX38ALEFHUB00" hidden="1">
          <a:extLst>
            <a:ext uri="{FF2B5EF4-FFF2-40B4-BE49-F238E27FC236}">
              <a16:creationId xmlns:a16="http://schemas.microsoft.com/office/drawing/2014/main" id="{7B812210-3FDE-4307-9348-B1037AF4B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47" name="BExUBK0YZ5VYFY8TTITJGJU9S06A" hidden="1">
          <a:extLst>
            <a:ext uri="{FF2B5EF4-FFF2-40B4-BE49-F238E27FC236}">
              <a16:creationId xmlns:a16="http://schemas.microsoft.com/office/drawing/2014/main" id="{9865937C-80B5-4414-A14D-AD17CC0E3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48" name="BEx5BJQWS6YWHH4ZMSUAMD641V6Y" descr="ZTMFMXCIQSECDX38ALEFHUB00" hidden="1">
          <a:extLst>
            <a:ext uri="{FF2B5EF4-FFF2-40B4-BE49-F238E27FC236}">
              <a16:creationId xmlns:a16="http://schemas.microsoft.com/office/drawing/2014/main" id="{28AAD2F0-97C7-4019-A078-D4453EB0A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49" name="BExUBK0YZ5VYFY8TTITJGJU9S06A" hidden="1">
          <a:extLst>
            <a:ext uri="{FF2B5EF4-FFF2-40B4-BE49-F238E27FC236}">
              <a16:creationId xmlns:a16="http://schemas.microsoft.com/office/drawing/2014/main" id="{435EE628-955B-4720-892C-3ED0B86BE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250" name="BEx1KD7H6UB1VYCJ7O61P562EIUY" descr="IQGV9140X0K0UPBL8OGU3I44J" hidden="1">
          <a:extLst>
            <a:ext uri="{FF2B5EF4-FFF2-40B4-BE49-F238E27FC236}">
              <a16:creationId xmlns:a16="http://schemas.microsoft.com/office/drawing/2014/main" id="{D8DA1944-F6A0-4BB0-B328-A1A3CB51F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251" name="BEx5AQZ4ETQ9LMY5EBWVH20Z7VXQ" hidden="1">
          <a:extLst>
            <a:ext uri="{FF2B5EF4-FFF2-40B4-BE49-F238E27FC236}">
              <a16:creationId xmlns:a16="http://schemas.microsoft.com/office/drawing/2014/main" id="{497AE60F-6018-494C-8D0E-A888D8A78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52" name="BEx5BJQWS6YWHH4ZMSUAMD641V6Y" descr="ZTMFMXCIQSECDX38ALEFHUB00" hidden="1">
          <a:extLst>
            <a:ext uri="{FF2B5EF4-FFF2-40B4-BE49-F238E27FC236}">
              <a16:creationId xmlns:a16="http://schemas.microsoft.com/office/drawing/2014/main" id="{82009EE7-5245-4E2D-BF19-4FC0EF7B9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53" name="BExUBK0YZ5VYFY8TTITJGJU9S06A" hidden="1">
          <a:extLst>
            <a:ext uri="{FF2B5EF4-FFF2-40B4-BE49-F238E27FC236}">
              <a16:creationId xmlns:a16="http://schemas.microsoft.com/office/drawing/2014/main" id="{28BEE8F3-CAF2-406F-85A4-098B2ECED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54" name="BEx5BJQWS6YWHH4ZMSUAMD641V6Y" descr="ZTMFMXCIQSECDX38ALEFHUB00" hidden="1">
          <a:extLst>
            <a:ext uri="{FF2B5EF4-FFF2-40B4-BE49-F238E27FC236}">
              <a16:creationId xmlns:a16="http://schemas.microsoft.com/office/drawing/2014/main" id="{48A91D7C-7AF7-45B8-A1BC-7B42D2093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55" name="BExUBK0YZ5VYFY8TTITJGJU9S06A" hidden="1">
          <a:extLst>
            <a:ext uri="{FF2B5EF4-FFF2-40B4-BE49-F238E27FC236}">
              <a16:creationId xmlns:a16="http://schemas.microsoft.com/office/drawing/2014/main" id="{13F8D3DD-A88D-47D7-9511-13F8F76F2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56" name="BEx5BJQWS6YWHH4ZMSUAMD641V6Y" descr="ZTMFMXCIQSECDX38ALEFHUB00" hidden="1">
          <a:extLst>
            <a:ext uri="{FF2B5EF4-FFF2-40B4-BE49-F238E27FC236}">
              <a16:creationId xmlns:a16="http://schemas.microsoft.com/office/drawing/2014/main" id="{8A8BC272-563A-4553-9DA0-EC6E3EF98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57" name="BExUBK0YZ5VYFY8TTITJGJU9S06A" hidden="1">
          <a:extLst>
            <a:ext uri="{FF2B5EF4-FFF2-40B4-BE49-F238E27FC236}">
              <a16:creationId xmlns:a16="http://schemas.microsoft.com/office/drawing/2014/main" id="{9D4B6A02-4755-42D1-85D9-E08E78F87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258" name="BEx1KD7H6UB1VYCJ7O61P562EIUY" descr="IQGV9140X0K0UPBL8OGU3I44J" hidden="1">
          <a:extLst>
            <a:ext uri="{FF2B5EF4-FFF2-40B4-BE49-F238E27FC236}">
              <a16:creationId xmlns:a16="http://schemas.microsoft.com/office/drawing/2014/main" id="{614FE741-7401-4AA2-99FE-383007697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259" name="BEx5AQZ4ETQ9LMY5EBWVH20Z7VXQ" hidden="1">
          <a:extLst>
            <a:ext uri="{FF2B5EF4-FFF2-40B4-BE49-F238E27FC236}">
              <a16:creationId xmlns:a16="http://schemas.microsoft.com/office/drawing/2014/main" id="{D64090FF-7E38-40ED-9766-E7604F82F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60" name="BEx5BJQWS6YWHH4ZMSUAMD641V6Y" descr="ZTMFMXCIQSECDX38ALEFHUB00" hidden="1">
          <a:extLst>
            <a:ext uri="{FF2B5EF4-FFF2-40B4-BE49-F238E27FC236}">
              <a16:creationId xmlns:a16="http://schemas.microsoft.com/office/drawing/2014/main" id="{16DAAA8A-DB2F-447D-A8FB-83F70E749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61" name="BExUBK0YZ5VYFY8TTITJGJU9S06A" hidden="1">
          <a:extLst>
            <a:ext uri="{FF2B5EF4-FFF2-40B4-BE49-F238E27FC236}">
              <a16:creationId xmlns:a16="http://schemas.microsoft.com/office/drawing/2014/main" id="{8244BEA3-C809-4092-A2D0-7D3D1D7C4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62" name="BEx5BJQWS6YWHH4ZMSUAMD641V6Y" descr="ZTMFMXCIQSECDX38ALEFHUB00" hidden="1">
          <a:extLst>
            <a:ext uri="{FF2B5EF4-FFF2-40B4-BE49-F238E27FC236}">
              <a16:creationId xmlns:a16="http://schemas.microsoft.com/office/drawing/2014/main" id="{D554E5BD-698B-4647-86E7-2B7ACFD0E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63" name="BExUBK0YZ5VYFY8TTITJGJU9S06A" hidden="1">
          <a:extLst>
            <a:ext uri="{FF2B5EF4-FFF2-40B4-BE49-F238E27FC236}">
              <a16:creationId xmlns:a16="http://schemas.microsoft.com/office/drawing/2014/main" id="{AE5D91A9-D427-4522-81FE-0149FC057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64" name="BEx5BJQWS6YWHH4ZMSUAMD641V6Y" descr="ZTMFMXCIQSECDX38ALEFHUB00" hidden="1">
          <a:extLst>
            <a:ext uri="{FF2B5EF4-FFF2-40B4-BE49-F238E27FC236}">
              <a16:creationId xmlns:a16="http://schemas.microsoft.com/office/drawing/2014/main" id="{CCDCA781-714B-4D62-BD1F-1E2903E9B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65" name="BExUBK0YZ5VYFY8TTITJGJU9S06A" hidden="1">
          <a:extLst>
            <a:ext uri="{FF2B5EF4-FFF2-40B4-BE49-F238E27FC236}">
              <a16:creationId xmlns:a16="http://schemas.microsoft.com/office/drawing/2014/main" id="{2F8A035D-AF19-4360-BE1D-ADC00CE0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66" name="BEx5BJQWS6YWHH4ZMSUAMD641V6Y" descr="ZTMFMXCIQSECDX38ALEFHUB00" hidden="1">
          <a:extLst>
            <a:ext uri="{FF2B5EF4-FFF2-40B4-BE49-F238E27FC236}">
              <a16:creationId xmlns:a16="http://schemas.microsoft.com/office/drawing/2014/main" id="{58B88588-F14E-4849-8AC2-AB6CE31C8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67" name="BExUBK0YZ5VYFY8TTITJGJU9S06A" hidden="1">
          <a:extLst>
            <a:ext uri="{FF2B5EF4-FFF2-40B4-BE49-F238E27FC236}">
              <a16:creationId xmlns:a16="http://schemas.microsoft.com/office/drawing/2014/main" id="{43B1F234-4776-454F-8665-B40A43721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68" name="BEx5BJQWS6YWHH4ZMSUAMD641V6Y" descr="ZTMFMXCIQSECDX38ALEFHUB00" hidden="1">
          <a:extLst>
            <a:ext uri="{FF2B5EF4-FFF2-40B4-BE49-F238E27FC236}">
              <a16:creationId xmlns:a16="http://schemas.microsoft.com/office/drawing/2014/main" id="{401948F7-2C31-42DE-A7BD-50A5AE3C3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69" name="BExUBK0YZ5VYFY8TTITJGJU9S06A" hidden="1">
          <a:extLst>
            <a:ext uri="{FF2B5EF4-FFF2-40B4-BE49-F238E27FC236}">
              <a16:creationId xmlns:a16="http://schemas.microsoft.com/office/drawing/2014/main" id="{F14926B0-8626-4BC8-9B0C-8EF2C3145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70" name="BEx5BJQWS6YWHH4ZMSUAMD641V6Y" descr="ZTMFMXCIQSECDX38ALEFHUB00" hidden="1">
          <a:extLst>
            <a:ext uri="{FF2B5EF4-FFF2-40B4-BE49-F238E27FC236}">
              <a16:creationId xmlns:a16="http://schemas.microsoft.com/office/drawing/2014/main" id="{0EBC4C99-2B0C-47C8-8E66-C6F9C8E63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71" name="BExUBK0YZ5VYFY8TTITJGJU9S06A" hidden="1">
          <a:extLst>
            <a:ext uri="{FF2B5EF4-FFF2-40B4-BE49-F238E27FC236}">
              <a16:creationId xmlns:a16="http://schemas.microsoft.com/office/drawing/2014/main" id="{646776E2-E54A-4D7A-90BC-845A56BFD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272" name="BExMO7VFCN4EL59982UR4AJ25JNJ" descr="XX6TINEJADZGKR0CTM7ZRT0RA" hidden="1">
          <a:extLst>
            <a:ext uri="{FF2B5EF4-FFF2-40B4-BE49-F238E27FC236}">
              <a16:creationId xmlns:a16="http://schemas.microsoft.com/office/drawing/2014/main" id="{35B20DAF-7D08-4161-8671-7FF0FEDB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273" name="BExU3EX5JJCXCII4YKUJBFBGIJR2" descr="OF5ZI9PI5WH36VPANJ2DYLNMI" hidden="1">
          <a:extLst>
            <a:ext uri="{FF2B5EF4-FFF2-40B4-BE49-F238E27FC236}">
              <a16:creationId xmlns:a16="http://schemas.microsoft.com/office/drawing/2014/main" id="{D50A9F41-9A9D-4417-AA6D-63822AD12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274" name="BEx1KD7H6UB1VYCJ7O61P562EIUY" descr="IQGV9140X0K0UPBL8OGU3I44J" hidden="1">
          <a:extLst>
            <a:ext uri="{FF2B5EF4-FFF2-40B4-BE49-F238E27FC236}">
              <a16:creationId xmlns:a16="http://schemas.microsoft.com/office/drawing/2014/main" id="{84318385-05A6-4B96-9DF6-27092AFCE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75" name="BEx5BJQWS6YWHH4ZMSUAMD641V6Y" descr="ZTMFMXCIQSECDX38ALEFHUB00" hidden="1">
          <a:extLst>
            <a:ext uri="{FF2B5EF4-FFF2-40B4-BE49-F238E27FC236}">
              <a16:creationId xmlns:a16="http://schemas.microsoft.com/office/drawing/2014/main" id="{727B1836-D488-4D8E-B649-A80158318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5276" name="BExVTO5Q8G2M7BPL4B2584LQS0R0" descr="OB6Q8NA4LZFE4GM9Y3V56BPMQ" hidden="1">
          <a:extLst>
            <a:ext uri="{FF2B5EF4-FFF2-40B4-BE49-F238E27FC236}">
              <a16:creationId xmlns:a16="http://schemas.microsoft.com/office/drawing/2014/main" id="{0ECDE9BD-0745-4421-969D-E08C656D1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5277" name="BExIFSCLN1G86X78PFLTSMRP0US5" descr="9JK4SPV4DG7VTCZIILWHXQU5J" hidden="1">
          <a:extLst>
            <a:ext uri="{FF2B5EF4-FFF2-40B4-BE49-F238E27FC236}">
              <a16:creationId xmlns:a16="http://schemas.microsoft.com/office/drawing/2014/main" id="{416CCBB4-39AB-4B40-98A8-1422F078F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278" name="BEx1I152WN2D3A85O2XN0DGXCWHN" descr="KHBZFMANRA4UMJR1AB4M5NJNT" hidden="1">
          <a:extLst>
            <a:ext uri="{FF2B5EF4-FFF2-40B4-BE49-F238E27FC236}">
              <a16:creationId xmlns:a16="http://schemas.microsoft.com/office/drawing/2014/main" id="{F87D5114-DBD2-4AD7-90FE-F9FA0C8AF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279" name="BExW9676P0SKCVKK25QCGHPA3PAD" descr="9A4PWZ20RMSRF0PNECCDM75CA" hidden="1">
          <a:extLst>
            <a:ext uri="{FF2B5EF4-FFF2-40B4-BE49-F238E27FC236}">
              <a16:creationId xmlns:a16="http://schemas.microsoft.com/office/drawing/2014/main" id="{14B128B5-15F8-47DA-B9A5-A63580FAB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280" name="BExS5CPQ8P8JOQPK7ANNKHLSGOKU" hidden="1">
          <a:extLst>
            <a:ext uri="{FF2B5EF4-FFF2-40B4-BE49-F238E27FC236}">
              <a16:creationId xmlns:a16="http://schemas.microsoft.com/office/drawing/2014/main" id="{4B80B447-C59B-4AC7-A90C-34F99BB2F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281" name="BExMM0AVUAIRNJLXB1FW8R0YB4ZZ" hidden="1">
          <a:extLst>
            <a:ext uri="{FF2B5EF4-FFF2-40B4-BE49-F238E27FC236}">
              <a16:creationId xmlns:a16="http://schemas.microsoft.com/office/drawing/2014/main" id="{0419A03F-C8F2-4A6E-9DBC-82A99B865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282" name="BExXZ7Y09CBS0XA7IPB3IRJ8RJM4" hidden="1">
          <a:extLst>
            <a:ext uri="{FF2B5EF4-FFF2-40B4-BE49-F238E27FC236}">
              <a16:creationId xmlns:a16="http://schemas.microsoft.com/office/drawing/2014/main" id="{F2E4B7D5-5FD5-454E-9E52-E3713E47E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283" name="BExQ7SXS9VUG7P6CACU2J7R2SGIZ" hidden="1">
          <a:extLst>
            <a:ext uri="{FF2B5EF4-FFF2-40B4-BE49-F238E27FC236}">
              <a16:creationId xmlns:a16="http://schemas.microsoft.com/office/drawing/2014/main" id="{6F467E7B-DE89-4429-B4F9-5E7CC6073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284" name="BEx5AQZ4ETQ9LMY5EBWVH20Z7VXQ" hidden="1">
          <a:extLst>
            <a:ext uri="{FF2B5EF4-FFF2-40B4-BE49-F238E27FC236}">
              <a16:creationId xmlns:a16="http://schemas.microsoft.com/office/drawing/2014/main" id="{D46299A3-DDA0-4897-9BCD-61A97E705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85" name="BExUBK0YZ5VYFY8TTITJGJU9S06A" hidden="1">
          <a:extLst>
            <a:ext uri="{FF2B5EF4-FFF2-40B4-BE49-F238E27FC236}">
              <a16:creationId xmlns:a16="http://schemas.microsoft.com/office/drawing/2014/main" id="{BBC7DF99-A948-45B7-9D32-DBCBE63F6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5286" name="BExUEZCSSJ7RN4J18I2NUIQR2FZS" hidden="1">
          <a:extLst>
            <a:ext uri="{FF2B5EF4-FFF2-40B4-BE49-F238E27FC236}">
              <a16:creationId xmlns:a16="http://schemas.microsoft.com/office/drawing/2014/main" id="{C74A28D0-AC73-494B-B1D1-FCA902457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543300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5287" name="BExS3JDQWF7U3F5JTEVOE16ASIYK" hidden="1">
          <a:extLst>
            <a:ext uri="{FF2B5EF4-FFF2-40B4-BE49-F238E27FC236}">
              <a16:creationId xmlns:a16="http://schemas.microsoft.com/office/drawing/2014/main" id="{FE6314DA-32A9-488E-B3BD-25C90B5B7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5433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288" name="BEx1KD7H6UB1VYCJ7O61P562EIUY" descr="IQGV9140X0K0UPBL8OGU3I44J" hidden="1">
          <a:extLst>
            <a:ext uri="{FF2B5EF4-FFF2-40B4-BE49-F238E27FC236}">
              <a16:creationId xmlns:a16="http://schemas.microsoft.com/office/drawing/2014/main" id="{65E40D82-5B3B-444B-AE88-D4395299D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89" name="BEx5BJQWS6YWHH4ZMSUAMD641V6Y" descr="ZTMFMXCIQSECDX38ALEFHUB00" hidden="1">
          <a:extLst>
            <a:ext uri="{FF2B5EF4-FFF2-40B4-BE49-F238E27FC236}">
              <a16:creationId xmlns:a16="http://schemas.microsoft.com/office/drawing/2014/main" id="{F687D539-DB69-4469-A5E7-092292ECD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290" name="BEx5AQZ4ETQ9LMY5EBWVH20Z7VXQ" hidden="1">
          <a:extLst>
            <a:ext uri="{FF2B5EF4-FFF2-40B4-BE49-F238E27FC236}">
              <a16:creationId xmlns:a16="http://schemas.microsoft.com/office/drawing/2014/main" id="{3058FD55-1994-4FF1-A487-D5132AAFF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291" name="BExUBK0YZ5VYFY8TTITJGJU9S06A" hidden="1">
          <a:extLst>
            <a:ext uri="{FF2B5EF4-FFF2-40B4-BE49-F238E27FC236}">
              <a16:creationId xmlns:a16="http://schemas.microsoft.com/office/drawing/2014/main" id="{B71A0675-2AF3-4A9D-80E7-AF7F9CACA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292" name="BExMO7VFCN4EL59982UR4AJ25JNJ" descr="XX6TINEJADZGKR0CTM7ZRT0RA" hidden="1">
          <a:extLst>
            <a:ext uri="{FF2B5EF4-FFF2-40B4-BE49-F238E27FC236}">
              <a16:creationId xmlns:a16="http://schemas.microsoft.com/office/drawing/2014/main" id="{77647A03-7B7E-4CA3-9DC4-2FD68C6C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293" name="BExU3EX5JJCXCII4YKUJBFBGIJR2" descr="OF5ZI9PI5WH36VPANJ2DYLNMI" hidden="1">
          <a:extLst>
            <a:ext uri="{FF2B5EF4-FFF2-40B4-BE49-F238E27FC236}">
              <a16:creationId xmlns:a16="http://schemas.microsoft.com/office/drawing/2014/main" id="{A20F8FBA-6C02-4CEF-9097-A120B3FBF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294" name="BEx1I152WN2D3A85O2XN0DGXCWHN" descr="KHBZFMANRA4UMJR1AB4M5NJNT" hidden="1">
          <a:extLst>
            <a:ext uri="{FF2B5EF4-FFF2-40B4-BE49-F238E27FC236}">
              <a16:creationId xmlns:a16="http://schemas.microsoft.com/office/drawing/2014/main" id="{38B06956-78EF-4C33-842B-1F2403A7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295" name="BExW9676P0SKCVKK25QCGHPA3PAD" descr="9A4PWZ20RMSRF0PNECCDM75CA" hidden="1">
          <a:extLst>
            <a:ext uri="{FF2B5EF4-FFF2-40B4-BE49-F238E27FC236}">
              <a16:creationId xmlns:a16="http://schemas.microsoft.com/office/drawing/2014/main" id="{F06CCEF9-174C-4F1D-97CC-CC7A431B2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296" name="BExS5CPQ8P8JOQPK7ANNKHLSGOKU" hidden="1">
          <a:extLst>
            <a:ext uri="{FF2B5EF4-FFF2-40B4-BE49-F238E27FC236}">
              <a16:creationId xmlns:a16="http://schemas.microsoft.com/office/drawing/2014/main" id="{5E490823-A330-4BA1-B6E7-7DE16D0CC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297" name="BExMM0AVUAIRNJLXB1FW8R0YB4ZZ" hidden="1">
          <a:extLst>
            <a:ext uri="{FF2B5EF4-FFF2-40B4-BE49-F238E27FC236}">
              <a16:creationId xmlns:a16="http://schemas.microsoft.com/office/drawing/2014/main" id="{ADB2C56C-8875-4973-B07B-E0A0EB7CA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298" name="BExXZ7Y09CBS0XA7IPB3IRJ8RJM4" hidden="1">
          <a:extLst>
            <a:ext uri="{FF2B5EF4-FFF2-40B4-BE49-F238E27FC236}">
              <a16:creationId xmlns:a16="http://schemas.microsoft.com/office/drawing/2014/main" id="{5363F750-07F1-403B-A4AE-1977D48FF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299" name="BExQ7SXS9VUG7P6CACU2J7R2SGIZ" hidden="1">
          <a:extLst>
            <a:ext uri="{FF2B5EF4-FFF2-40B4-BE49-F238E27FC236}">
              <a16:creationId xmlns:a16="http://schemas.microsoft.com/office/drawing/2014/main" id="{B5B4D4CD-8A2C-4A91-B818-29354E381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300" name="BExU3EX5JJCXCII4YKUJBFBGIJR2" descr="OF5ZI9PI5WH36VPANJ2DYLNMI" hidden="1">
          <a:extLst>
            <a:ext uri="{FF2B5EF4-FFF2-40B4-BE49-F238E27FC236}">
              <a16:creationId xmlns:a16="http://schemas.microsoft.com/office/drawing/2014/main" id="{1D81DD0E-6CAF-43FC-8C72-EB87B28E4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301" name="BExW9676P0SKCVKK25QCGHPA3PAD" descr="9A4PWZ20RMSRF0PNECCDM75CA" hidden="1">
          <a:extLst>
            <a:ext uri="{FF2B5EF4-FFF2-40B4-BE49-F238E27FC236}">
              <a16:creationId xmlns:a16="http://schemas.microsoft.com/office/drawing/2014/main" id="{E4A6ECB4-BE2D-4A16-8015-3075D32FC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302" name="BExMM0AVUAIRNJLXB1FW8R0YB4ZZ" hidden="1">
          <a:extLst>
            <a:ext uri="{FF2B5EF4-FFF2-40B4-BE49-F238E27FC236}">
              <a16:creationId xmlns:a16="http://schemas.microsoft.com/office/drawing/2014/main" id="{A8805BEA-119A-4B67-9E2A-13535778D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303" name="BExQ7SXS9VUG7P6CACU2J7R2SGIZ" hidden="1">
          <a:extLst>
            <a:ext uri="{FF2B5EF4-FFF2-40B4-BE49-F238E27FC236}">
              <a16:creationId xmlns:a16="http://schemas.microsoft.com/office/drawing/2014/main" id="{3D3F685B-BD49-4C36-A8F1-BA92C1EE3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04" name="BEx1KD7H6UB1VYCJ7O61P562EIUY" descr="IQGV9140X0K0UPBL8OGU3I44J" hidden="1">
          <a:extLst>
            <a:ext uri="{FF2B5EF4-FFF2-40B4-BE49-F238E27FC236}">
              <a16:creationId xmlns:a16="http://schemas.microsoft.com/office/drawing/2014/main" id="{6C245754-54C6-4AF6-9C51-BE55D6770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05" name="BEx5BJQWS6YWHH4ZMSUAMD641V6Y" descr="ZTMFMXCIQSECDX38ALEFHUB00" hidden="1">
          <a:extLst>
            <a:ext uri="{FF2B5EF4-FFF2-40B4-BE49-F238E27FC236}">
              <a16:creationId xmlns:a16="http://schemas.microsoft.com/office/drawing/2014/main" id="{0CBD6F15-47D8-4FF8-92F9-4E9B60739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06" name="BEx5AQZ4ETQ9LMY5EBWVH20Z7VXQ" hidden="1">
          <a:extLst>
            <a:ext uri="{FF2B5EF4-FFF2-40B4-BE49-F238E27FC236}">
              <a16:creationId xmlns:a16="http://schemas.microsoft.com/office/drawing/2014/main" id="{807B4CBD-A10E-45CE-BE7F-4C6B46BC2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07" name="BExUBK0YZ5VYFY8TTITJGJU9S06A" hidden="1">
          <a:extLst>
            <a:ext uri="{FF2B5EF4-FFF2-40B4-BE49-F238E27FC236}">
              <a16:creationId xmlns:a16="http://schemas.microsoft.com/office/drawing/2014/main" id="{E762954B-F780-4F97-A946-47EDC9356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08" name="BEx5BJQWS6YWHH4ZMSUAMD641V6Y" descr="ZTMFMXCIQSECDX38ALEFHUB00" hidden="1">
          <a:extLst>
            <a:ext uri="{FF2B5EF4-FFF2-40B4-BE49-F238E27FC236}">
              <a16:creationId xmlns:a16="http://schemas.microsoft.com/office/drawing/2014/main" id="{FB4FBCFD-61BD-42C9-9767-D2453D9D4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09" name="BExUBK0YZ5VYFY8TTITJGJU9S06A" hidden="1">
          <a:extLst>
            <a:ext uri="{FF2B5EF4-FFF2-40B4-BE49-F238E27FC236}">
              <a16:creationId xmlns:a16="http://schemas.microsoft.com/office/drawing/2014/main" id="{53079DFF-B195-45A5-8596-ED1A08F24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10" name="BEx1KD7H6UB1VYCJ7O61P562EIUY" descr="IQGV9140X0K0UPBL8OGU3I44J" hidden="1">
          <a:extLst>
            <a:ext uri="{FF2B5EF4-FFF2-40B4-BE49-F238E27FC236}">
              <a16:creationId xmlns:a16="http://schemas.microsoft.com/office/drawing/2014/main" id="{FFFDC565-4DE1-4088-895E-E3EECA890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11" name="BEx5BJQWS6YWHH4ZMSUAMD641V6Y" descr="ZTMFMXCIQSECDX38ALEFHUB00" hidden="1">
          <a:extLst>
            <a:ext uri="{FF2B5EF4-FFF2-40B4-BE49-F238E27FC236}">
              <a16:creationId xmlns:a16="http://schemas.microsoft.com/office/drawing/2014/main" id="{B5076047-05FE-445E-B7F6-5C7CCFC4F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12" name="BEx5AQZ4ETQ9LMY5EBWVH20Z7VXQ" hidden="1">
          <a:extLst>
            <a:ext uri="{FF2B5EF4-FFF2-40B4-BE49-F238E27FC236}">
              <a16:creationId xmlns:a16="http://schemas.microsoft.com/office/drawing/2014/main" id="{7C637774-D13E-494C-AF11-0243A909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13" name="BExUBK0YZ5VYFY8TTITJGJU9S06A" hidden="1">
          <a:extLst>
            <a:ext uri="{FF2B5EF4-FFF2-40B4-BE49-F238E27FC236}">
              <a16:creationId xmlns:a16="http://schemas.microsoft.com/office/drawing/2014/main" id="{FC263B63-FE1D-4C82-AC6A-3A8446B8D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14" name="BEx5BJQWS6YWHH4ZMSUAMD641V6Y" descr="ZTMFMXCIQSECDX38ALEFHUB00" hidden="1">
          <a:extLst>
            <a:ext uri="{FF2B5EF4-FFF2-40B4-BE49-F238E27FC236}">
              <a16:creationId xmlns:a16="http://schemas.microsoft.com/office/drawing/2014/main" id="{279E7C9F-B27A-485C-B5E3-DBBAB4CF4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15" name="BExUBK0YZ5VYFY8TTITJGJU9S06A" hidden="1">
          <a:extLst>
            <a:ext uri="{FF2B5EF4-FFF2-40B4-BE49-F238E27FC236}">
              <a16:creationId xmlns:a16="http://schemas.microsoft.com/office/drawing/2014/main" id="{C4E324E5-9ED2-4DC9-A06D-081B52439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16" name="BEx5BJQWS6YWHH4ZMSUAMD641V6Y" descr="ZTMFMXCIQSECDX38ALEFHUB00" hidden="1">
          <a:extLst>
            <a:ext uri="{FF2B5EF4-FFF2-40B4-BE49-F238E27FC236}">
              <a16:creationId xmlns:a16="http://schemas.microsoft.com/office/drawing/2014/main" id="{E6AE9939-BF2D-400E-A78D-34D4C760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17" name="BExUBK0YZ5VYFY8TTITJGJU9S06A" hidden="1">
          <a:extLst>
            <a:ext uri="{FF2B5EF4-FFF2-40B4-BE49-F238E27FC236}">
              <a16:creationId xmlns:a16="http://schemas.microsoft.com/office/drawing/2014/main" id="{493B4F4F-DB64-4D95-B409-07FB1DEA0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18" name="BEx1KD7H6UB1VYCJ7O61P562EIUY" descr="IQGV9140X0K0UPBL8OGU3I44J" hidden="1">
          <a:extLst>
            <a:ext uri="{FF2B5EF4-FFF2-40B4-BE49-F238E27FC236}">
              <a16:creationId xmlns:a16="http://schemas.microsoft.com/office/drawing/2014/main" id="{219B0932-6DED-4D89-BE1F-52EAAABDE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19" name="BEx5BJQWS6YWHH4ZMSUAMD641V6Y" descr="ZTMFMXCIQSECDX38ALEFHUB00" hidden="1">
          <a:extLst>
            <a:ext uri="{FF2B5EF4-FFF2-40B4-BE49-F238E27FC236}">
              <a16:creationId xmlns:a16="http://schemas.microsoft.com/office/drawing/2014/main" id="{8EBE10B5-362B-47CD-B3F8-66A7D3B6C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20" name="BEx5AQZ4ETQ9LMY5EBWVH20Z7VXQ" hidden="1">
          <a:extLst>
            <a:ext uri="{FF2B5EF4-FFF2-40B4-BE49-F238E27FC236}">
              <a16:creationId xmlns:a16="http://schemas.microsoft.com/office/drawing/2014/main" id="{80BCF908-ED06-45BA-BA27-171CCF904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21" name="BExUBK0YZ5VYFY8TTITJGJU9S06A" hidden="1">
          <a:extLst>
            <a:ext uri="{FF2B5EF4-FFF2-40B4-BE49-F238E27FC236}">
              <a16:creationId xmlns:a16="http://schemas.microsoft.com/office/drawing/2014/main" id="{F5933340-1946-4971-861D-36FCBDDAB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22" name="BEx5BJQWS6YWHH4ZMSUAMD641V6Y" descr="ZTMFMXCIQSECDX38ALEFHUB00" hidden="1">
          <a:extLst>
            <a:ext uri="{FF2B5EF4-FFF2-40B4-BE49-F238E27FC236}">
              <a16:creationId xmlns:a16="http://schemas.microsoft.com/office/drawing/2014/main" id="{2AC0C8BB-DDB7-4C28-98FC-86B64BB51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23" name="BExUBK0YZ5VYFY8TTITJGJU9S06A" hidden="1">
          <a:extLst>
            <a:ext uri="{FF2B5EF4-FFF2-40B4-BE49-F238E27FC236}">
              <a16:creationId xmlns:a16="http://schemas.microsoft.com/office/drawing/2014/main" id="{E4705DC6-E665-42F8-A311-B26172C6D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24" name="BEx5BJQWS6YWHH4ZMSUAMD641V6Y" descr="ZTMFMXCIQSECDX38ALEFHUB00" hidden="1">
          <a:extLst>
            <a:ext uri="{FF2B5EF4-FFF2-40B4-BE49-F238E27FC236}">
              <a16:creationId xmlns:a16="http://schemas.microsoft.com/office/drawing/2014/main" id="{79EDF1C4-376D-4B82-B96C-8AC7C5A67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25" name="BExUBK0YZ5VYFY8TTITJGJU9S06A" hidden="1">
          <a:extLst>
            <a:ext uri="{FF2B5EF4-FFF2-40B4-BE49-F238E27FC236}">
              <a16:creationId xmlns:a16="http://schemas.microsoft.com/office/drawing/2014/main" id="{48C6657D-6368-4779-9EDC-17B2C35B6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26" name="BEx5BJQWS6YWHH4ZMSUAMD641V6Y" descr="ZTMFMXCIQSECDX38ALEFHUB00" hidden="1">
          <a:extLst>
            <a:ext uri="{FF2B5EF4-FFF2-40B4-BE49-F238E27FC236}">
              <a16:creationId xmlns:a16="http://schemas.microsoft.com/office/drawing/2014/main" id="{5C9B253C-C5EE-47AE-84AD-A584A9255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27" name="BExUBK0YZ5VYFY8TTITJGJU9S06A" hidden="1">
          <a:extLst>
            <a:ext uri="{FF2B5EF4-FFF2-40B4-BE49-F238E27FC236}">
              <a16:creationId xmlns:a16="http://schemas.microsoft.com/office/drawing/2014/main" id="{203912ED-54C1-48BD-82A7-0AAEAFE15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328" name="BExMO7VFCN4EL59982UR4AJ25JNJ" descr="XX6TINEJADZGKR0CTM7ZRT0RA" hidden="1">
          <a:extLst>
            <a:ext uri="{FF2B5EF4-FFF2-40B4-BE49-F238E27FC236}">
              <a16:creationId xmlns:a16="http://schemas.microsoft.com/office/drawing/2014/main" id="{F8CD75DE-0E0A-4486-88A9-EA20E5365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329" name="BExU3EX5JJCXCII4YKUJBFBGIJR2" descr="OF5ZI9PI5WH36VPANJ2DYLNMI" hidden="1">
          <a:extLst>
            <a:ext uri="{FF2B5EF4-FFF2-40B4-BE49-F238E27FC236}">
              <a16:creationId xmlns:a16="http://schemas.microsoft.com/office/drawing/2014/main" id="{A50DC72A-E1DC-47FB-A576-31284B9CE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330" name="BEx1I152WN2D3A85O2XN0DGXCWHN" descr="KHBZFMANRA4UMJR1AB4M5NJNT" hidden="1">
          <a:extLst>
            <a:ext uri="{FF2B5EF4-FFF2-40B4-BE49-F238E27FC236}">
              <a16:creationId xmlns:a16="http://schemas.microsoft.com/office/drawing/2014/main" id="{F91E2162-8046-436B-A8B6-B1B39718C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331" name="BExW9676P0SKCVKK25QCGHPA3PAD" descr="9A4PWZ20RMSRF0PNECCDM75CA" hidden="1">
          <a:extLst>
            <a:ext uri="{FF2B5EF4-FFF2-40B4-BE49-F238E27FC236}">
              <a16:creationId xmlns:a16="http://schemas.microsoft.com/office/drawing/2014/main" id="{EEB37385-ABAD-48EA-92D8-0543ABC44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332" name="BExS5CPQ8P8JOQPK7ANNKHLSGOKU" hidden="1">
          <a:extLst>
            <a:ext uri="{FF2B5EF4-FFF2-40B4-BE49-F238E27FC236}">
              <a16:creationId xmlns:a16="http://schemas.microsoft.com/office/drawing/2014/main" id="{71578FDE-32C0-427D-8708-1033F2EBF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333" name="BExMM0AVUAIRNJLXB1FW8R0YB4ZZ" hidden="1">
          <a:extLst>
            <a:ext uri="{FF2B5EF4-FFF2-40B4-BE49-F238E27FC236}">
              <a16:creationId xmlns:a16="http://schemas.microsoft.com/office/drawing/2014/main" id="{7E4D411D-DE1C-47E9-82F0-0E5F0203D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334" name="BExXZ7Y09CBS0XA7IPB3IRJ8RJM4" hidden="1">
          <a:extLst>
            <a:ext uri="{FF2B5EF4-FFF2-40B4-BE49-F238E27FC236}">
              <a16:creationId xmlns:a16="http://schemas.microsoft.com/office/drawing/2014/main" id="{61F7C1CF-3475-4FC5-9ED5-829F18297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335" name="BExQ7SXS9VUG7P6CACU2J7R2SGIZ" hidden="1">
          <a:extLst>
            <a:ext uri="{FF2B5EF4-FFF2-40B4-BE49-F238E27FC236}">
              <a16:creationId xmlns:a16="http://schemas.microsoft.com/office/drawing/2014/main" id="{E9144594-DF28-4132-B9E1-22D227372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336" name="BExU3EX5JJCXCII4YKUJBFBGIJR2" descr="OF5ZI9PI5WH36VPANJ2DYLNMI" hidden="1">
          <a:extLst>
            <a:ext uri="{FF2B5EF4-FFF2-40B4-BE49-F238E27FC236}">
              <a16:creationId xmlns:a16="http://schemas.microsoft.com/office/drawing/2014/main" id="{C3275C8D-0CBD-488A-90FB-E03DF9EE3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337" name="BExW9676P0SKCVKK25QCGHPA3PAD" descr="9A4PWZ20RMSRF0PNECCDM75CA" hidden="1">
          <a:extLst>
            <a:ext uri="{FF2B5EF4-FFF2-40B4-BE49-F238E27FC236}">
              <a16:creationId xmlns:a16="http://schemas.microsoft.com/office/drawing/2014/main" id="{AA6E76DC-E2EB-41BA-9BC6-9C0FB3434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338" name="BExMM0AVUAIRNJLXB1FW8R0YB4ZZ" hidden="1">
          <a:extLst>
            <a:ext uri="{FF2B5EF4-FFF2-40B4-BE49-F238E27FC236}">
              <a16:creationId xmlns:a16="http://schemas.microsoft.com/office/drawing/2014/main" id="{9FEFF1BE-246D-441A-AFF4-7097530B1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339" name="BExQ7SXS9VUG7P6CACU2J7R2SGIZ" hidden="1">
          <a:extLst>
            <a:ext uri="{FF2B5EF4-FFF2-40B4-BE49-F238E27FC236}">
              <a16:creationId xmlns:a16="http://schemas.microsoft.com/office/drawing/2014/main" id="{4E3892BF-A04B-43F6-9A44-4D89C9C0E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40" name="BEx1KD7H6UB1VYCJ7O61P562EIUY" descr="IQGV9140X0K0UPBL8OGU3I44J" hidden="1">
          <a:extLst>
            <a:ext uri="{FF2B5EF4-FFF2-40B4-BE49-F238E27FC236}">
              <a16:creationId xmlns:a16="http://schemas.microsoft.com/office/drawing/2014/main" id="{1CAAB8A8-6422-4F8E-80DA-D00FAD10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41" name="BEx5BJQWS6YWHH4ZMSUAMD641V6Y" descr="ZTMFMXCIQSECDX38ALEFHUB00" hidden="1">
          <a:extLst>
            <a:ext uri="{FF2B5EF4-FFF2-40B4-BE49-F238E27FC236}">
              <a16:creationId xmlns:a16="http://schemas.microsoft.com/office/drawing/2014/main" id="{C8770F73-F4FD-49C3-B58C-716488A50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42" name="BEx5AQZ4ETQ9LMY5EBWVH20Z7VXQ" hidden="1">
          <a:extLst>
            <a:ext uri="{FF2B5EF4-FFF2-40B4-BE49-F238E27FC236}">
              <a16:creationId xmlns:a16="http://schemas.microsoft.com/office/drawing/2014/main" id="{D83A6969-14E6-43BB-B482-8FE5948C4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43" name="BExUBK0YZ5VYFY8TTITJGJU9S06A" hidden="1">
          <a:extLst>
            <a:ext uri="{FF2B5EF4-FFF2-40B4-BE49-F238E27FC236}">
              <a16:creationId xmlns:a16="http://schemas.microsoft.com/office/drawing/2014/main" id="{A46D5288-CCBE-4358-B529-17AAB71E3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44" name="BEx5BJQWS6YWHH4ZMSUAMD641V6Y" descr="ZTMFMXCIQSECDX38ALEFHUB00" hidden="1">
          <a:extLst>
            <a:ext uri="{FF2B5EF4-FFF2-40B4-BE49-F238E27FC236}">
              <a16:creationId xmlns:a16="http://schemas.microsoft.com/office/drawing/2014/main" id="{D204105D-FF20-4CD8-958E-6A18FEF9F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45" name="BExUBK0YZ5VYFY8TTITJGJU9S06A" hidden="1">
          <a:extLst>
            <a:ext uri="{FF2B5EF4-FFF2-40B4-BE49-F238E27FC236}">
              <a16:creationId xmlns:a16="http://schemas.microsoft.com/office/drawing/2014/main" id="{F54721AC-53AF-40B2-B225-1B8DF8181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46" name="BEx5BJQWS6YWHH4ZMSUAMD641V6Y" descr="ZTMFMXCIQSECDX38ALEFHUB00" hidden="1">
          <a:extLst>
            <a:ext uri="{FF2B5EF4-FFF2-40B4-BE49-F238E27FC236}">
              <a16:creationId xmlns:a16="http://schemas.microsoft.com/office/drawing/2014/main" id="{6949DE5E-7085-4798-A75C-56F75662B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47" name="BExUBK0YZ5VYFY8TTITJGJU9S06A" hidden="1">
          <a:extLst>
            <a:ext uri="{FF2B5EF4-FFF2-40B4-BE49-F238E27FC236}">
              <a16:creationId xmlns:a16="http://schemas.microsoft.com/office/drawing/2014/main" id="{12915A1B-8D6B-4737-B0FE-6F5D2DA6D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48" name="BEx5BJQWS6YWHH4ZMSUAMD641V6Y" descr="ZTMFMXCIQSECDX38ALEFHUB00" hidden="1">
          <a:extLst>
            <a:ext uri="{FF2B5EF4-FFF2-40B4-BE49-F238E27FC236}">
              <a16:creationId xmlns:a16="http://schemas.microsoft.com/office/drawing/2014/main" id="{2DF85939-4C07-470F-A7A5-1F26F73C3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49" name="BExUBK0YZ5VYFY8TTITJGJU9S06A" hidden="1">
          <a:extLst>
            <a:ext uri="{FF2B5EF4-FFF2-40B4-BE49-F238E27FC236}">
              <a16:creationId xmlns:a16="http://schemas.microsoft.com/office/drawing/2014/main" id="{57FEF676-4E7E-42D2-9C54-FD9E89D06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50" name="BEx5BJQWS6YWHH4ZMSUAMD641V6Y" descr="ZTMFMXCIQSECDX38ALEFHUB00" hidden="1">
          <a:extLst>
            <a:ext uri="{FF2B5EF4-FFF2-40B4-BE49-F238E27FC236}">
              <a16:creationId xmlns:a16="http://schemas.microsoft.com/office/drawing/2014/main" id="{3556AE2B-F8EA-46C7-89F0-3E5EC72BF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51" name="BExUBK0YZ5VYFY8TTITJGJU9S06A" hidden="1">
          <a:extLst>
            <a:ext uri="{FF2B5EF4-FFF2-40B4-BE49-F238E27FC236}">
              <a16:creationId xmlns:a16="http://schemas.microsoft.com/office/drawing/2014/main" id="{1BB78BB1-64BF-436D-9FEE-2E1266F07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352" name="BExU3EX5JJCXCII4YKUJBFBGIJR2" descr="OF5ZI9PI5WH36VPANJ2DYLNMI" hidden="1">
          <a:extLst>
            <a:ext uri="{FF2B5EF4-FFF2-40B4-BE49-F238E27FC236}">
              <a16:creationId xmlns:a16="http://schemas.microsoft.com/office/drawing/2014/main" id="{618AC207-D219-4E25-B594-76BB2B4FB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53" name="BEx5BJQWS6YWHH4ZMSUAMD641V6Y" descr="ZTMFMXCIQSECDX38ALEFHUB00" hidden="1">
          <a:extLst>
            <a:ext uri="{FF2B5EF4-FFF2-40B4-BE49-F238E27FC236}">
              <a16:creationId xmlns:a16="http://schemas.microsoft.com/office/drawing/2014/main" id="{27D70102-2738-4C15-BF8A-A3AB6F895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5354" name="BExIFSCLN1G86X78PFLTSMRP0US5" descr="9JK4SPV4DG7VTCZIILWHXQU5J" hidden="1">
          <a:extLst>
            <a:ext uri="{FF2B5EF4-FFF2-40B4-BE49-F238E27FC236}">
              <a16:creationId xmlns:a16="http://schemas.microsoft.com/office/drawing/2014/main" id="{D8A7B1EF-6F8E-493D-B827-7189A91C6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355" name="BExW9676P0SKCVKK25QCGHPA3PAD" descr="9A4PWZ20RMSRF0PNECCDM75CA" hidden="1">
          <a:extLst>
            <a:ext uri="{FF2B5EF4-FFF2-40B4-BE49-F238E27FC236}">
              <a16:creationId xmlns:a16="http://schemas.microsoft.com/office/drawing/2014/main" id="{A3A1221D-B8C8-4313-9365-E3C2FF064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356" name="BExMM0AVUAIRNJLXB1FW8R0YB4ZZ" hidden="1">
          <a:extLst>
            <a:ext uri="{FF2B5EF4-FFF2-40B4-BE49-F238E27FC236}">
              <a16:creationId xmlns:a16="http://schemas.microsoft.com/office/drawing/2014/main" id="{B5B996D2-3E2A-4DBC-AB08-582428AB9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357" name="BExQ7SXS9VUG7P6CACU2J7R2SGIZ" hidden="1">
          <a:extLst>
            <a:ext uri="{FF2B5EF4-FFF2-40B4-BE49-F238E27FC236}">
              <a16:creationId xmlns:a16="http://schemas.microsoft.com/office/drawing/2014/main" id="{C654121D-8E1C-4856-8400-EB1916467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58" name="BExUBK0YZ5VYFY8TTITJGJU9S06A" hidden="1">
          <a:extLst>
            <a:ext uri="{FF2B5EF4-FFF2-40B4-BE49-F238E27FC236}">
              <a16:creationId xmlns:a16="http://schemas.microsoft.com/office/drawing/2014/main" id="{C35F3425-C945-428C-837A-26BD53909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5359" name="BExS3JDQWF7U3F5JTEVOE16ASIYK" hidden="1">
          <a:extLst>
            <a:ext uri="{FF2B5EF4-FFF2-40B4-BE49-F238E27FC236}">
              <a16:creationId xmlns:a16="http://schemas.microsoft.com/office/drawing/2014/main" id="{4F552F10-D9E1-456F-918A-82074ECD5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5433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60" name="BEx1KD7H6UB1VYCJ7O61P562EIUY" descr="IQGV9140X0K0UPBL8OGU3I44J" hidden="1">
          <a:extLst>
            <a:ext uri="{FF2B5EF4-FFF2-40B4-BE49-F238E27FC236}">
              <a16:creationId xmlns:a16="http://schemas.microsoft.com/office/drawing/2014/main" id="{E38163C7-2491-4CF1-8638-8F7818FEA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61" name="BEx5AQZ4ETQ9LMY5EBWVH20Z7VXQ" hidden="1">
          <a:extLst>
            <a:ext uri="{FF2B5EF4-FFF2-40B4-BE49-F238E27FC236}">
              <a16:creationId xmlns:a16="http://schemas.microsoft.com/office/drawing/2014/main" id="{F32AD5CD-567C-4CB7-A49D-E8635AA5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62" name="BEx1KD7H6UB1VYCJ7O61P562EIUY" descr="IQGV9140X0K0UPBL8OGU3I44J" hidden="1">
          <a:extLst>
            <a:ext uri="{FF2B5EF4-FFF2-40B4-BE49-F238E27FC236}">
              <a16:creationId xmlns:a16="http://schemas.microsoft.com/office/drawing/2014/main" id="{C87EAA80-8717-43CE-8991-63D676EF4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63" name="BEx5AQZ4ETQ9LMY5EBWVH20Z7VXQ" hidden="1">
          <a:extLst>
            <a:ext uri="{FF2B5EF4-FFF2-40B4-BE49-F238E27FC236}">
              <a16:creationId xmlns:a16="http://schemas.microsoft.com/office/drawing/2014/main" id="{1C35170B-CCC5-48C5-9D41-41916C023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64" name="BEx1KD7H6UB1VYCJ7O61P562EIUY" descr="IQGV9140X0K0UPBL8OGU3I44J" hidden="1">
          <a:extLst>
            <a:ext uri="{FF2B5EF4-FFF2-40B4-BE49-F238E27FC236}">
              <a16:creationId xmlns:a16="http://schemas.microsoft.com/office/drawing/2014/main" id="{6F1AB515-1967-425A-BB32-4D00B46EA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65" name="BEx5BJQWS6YWHH4ZMSUAMD641V6Y" descr="ZTMFMXCIQSECDX38ALEFHUB00" hidden="1">
          <a:extLst>
            <a:ext uri="{FF2B5EF4-FFF2-40B4-BE49-F238E27FC236}">
              <a16:creationId xmlns:a16="http://schemas.microsoft.com/office/drawing/2014/main" id="{B7E6A10A-13CC-4776-8145-E87F6FA29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66" name="BEx5AQZ4ETQ9LMY5EBWVH20Z7VXQ" hidden="1">
          <a:extLst>
            <a:ext uri="{FF2B5EF4-FFF2-40B4-BE49-F238E27FC236}">
              <a16:creationId xmlns:a16="http://schemas.microsoft.com/office/drawing/2014/main" id="{811F4D5C-3AF1-4AB1-94C3-6B66370C8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67" name="BExUBK0YZ5VYFY8TTITJGJU9S06A" hidden="1">
          <a:extLst>
            <a:ext uri="{FF2B5EF4-FFF2-40B4-BE49-F238E27FC236}">
              <a16:creationId xmlns:a16="http://schemas.microsoft.com/office/drawing/2014/main" id="{42E4AC40-FE8D-419D-8EB2-BEF01CA25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68" name="BEx1KD7H6UB1VYCJ7O61P562EIUY" descr="IQGV9140X0K0UPBL8OGU3I44J" hidden="1">
          <a:extLst>
            <a:ext uri="{FF2B5EF4-FFF2-40B4-BE49-F238E27FC236}">
              <a16:creationId xmlns:a16="http://schemas.microsoft.com/office/drawing/2014/main" id="{EC40BB5F-5B7B-43A6-A9DB-1794449F8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69" name="BEx5AQZ4ETQ9LMY5EBWVH20Z7VXQ" hidden="1">
          <a:extLst>
            <a:ext uri="{FF2B5EF4-FFF2-40B4-BE49-F238E27FC236}">
              <a16:creationId xmlns:a16="http://schemas.microsoft.com/office/drawing/2014/main" id="{3058C7E7-6B31-4B24-8CAD-64DB40F16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70" name="BEx1KD7H6UB1VYCJ7O61P562EIUY" descr="IQGV9140X0K0UPBL8OGU3I44J" hidden="1">
          <a:extLst>
            <a:ext uri="{FF2B5EF4-FFF2-40B4-BE49-F238E27FC236}">
              <a16:creationId xmlns:a16="http://schemas.microsoft.com/office/drawing/2014/main" id="{79281478-64B9-4A17-B6DB-708EBF926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71" name="BEx5BJQWS6YWHH4ZMSUAMD641V6Y" descr="ZTMFMXCIQSECDX38ALEFHUB00" hidden="1">
          <a:extLst>
            <a:ext uri="{FF2B5EF4-FFF2-40B4-BE49-F238E27FC236}">
              <a16:creationId xmlns:a16="http://schemas.microsoft.com/office/drawing/2014/main" id="{691202BA-9F39-49AB-BEFC-24E90F225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72" name="BEx5AQZ4ETQ9LMY5EBWVH20Z7VXQ" hidden="1">
          <a:extLst>
            <a:ext uri="{FF2B5EF4-FFF2-40B4-BE49-F238E27FC236}">
              <a16:creationId xmlns:a16="http://schemas.microsoft.com/office/drawing/2014/main" id="{1049CCFE-1F3C-4842-91BE-E1F3132B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73" name="BExUBK0YZ5VYFY8TTITJGJU9S06A" hidden="1">
          <a:extLst>
            <a:ext uri="{FF2B5EF4-FFF2-40B4-BE49-F238E27FC236}">
              <a16:creationId xmlns:a16="http://schemas.microsoft.com/office/drawing/2014/main" id="{24B2700F-D2D1-415E-8D8D-64C83EBB4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74" name="BEx1KD7H6UB1VYCJ7O61P562EIUY" descr="IQGV9140X0K0UPBL8OGU3I44J" hidden="1">
          <a:extLst>
            <a:ext uri="{FF2B5EF4-FFF2-40B4-BE49-F238E27FC236}">
              <a16:creationId xmlns:a16="http://schemas.microsoft.com/office/drawing/2014/main" id="{4D81D352-E393-4245-9ED8-43C622025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75" name="BEx5BJQWS6YWHH4ZMSUAMD641V6Y" descr="ZTMFMXCIQSECDX38ALEFHUB00" hidden="1">
          <a:extLst>
            <a:ext uri="{FF2B5EF4-FFF2-40B4-BE49-F238E27FC236}">
              <a16:creationId xmlns:a16="http://schemas.microsoft.com/office/drawing/2014/main" id="{8600844C-5C58-4AB9-88DC-564D146EC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76" name="BEx5AQZ4ETQ9LMY5EBWVH20Z7VXQ" hidden="1">
          <a:extLst>
            <a:ext uri="{FF2B5EF4-FFF2-40B4-BE49-F238E27FC236}">
              <a16:creationId xmlns:a16="http://schemas.microsoft.com/office/drawing/2014/main" id="{B4DD40A2-F33F-4B47-B686-B847D4C62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77" name="BExUBK0YZ5VYFY8TTITJGJU9S06A" hidden="1">
          <a:extLst>
            <a:ext uri="{FF2B5EF4-FFF2-40B4-BE49-F238E27FC236}">
              <a16:creationId xmlns:a16="http://schemas.microsoft.com/office/drawing/2014/main" id="{45310567-300A-4841-A9AB-0B9AD5792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78" name="BEx1KD7H6UB1VYCJ7O61P562EIUY" descr="IQGV9140X0K0UPBL8OGU3I44J" hidden="1">
          <a:extLst>
            <a:ext uri="{FF2B5EF4-FFF2-40B4-BE49-F238E27FC236}">
              <a16:creationId xmlns:a16="http://schemas.microsoft.com/office/drawing/2014/main" id="{B5002DAE-FFF9-4419-90DB-5096F77B3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79" name="BEx5AQZ4ETQ9LMY5EBWVH20Z7VXQ" hidden="1">
          <a:extLst>
            <a:ext uri="{FF2B5EF4-FFF2-40B4-BE49-F238E27FC236}">
              <a16:creationId xmlns:a16="http://schemas.microsoft.com/office/drawing/2014/main" id="{1E809BBD-07C9-4237-A6B9-0FBB84EDE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80" name="BEx1KD7H6UB1VYCJ7O61P562EIUY" descr="IQGV9140X0K0UPBL8OGU3I44J" hidden="1">
          <a:extLst>
            <a:ext uri="{FF2B5EF4-FFF2-40B4-BE49-F238E27FC236}">
              <a16:creationId xmlns:a16="http://schemas.microsoft.com/office/drawing/2014/main" id="{91DEC1B7-A8A8-49C7-96C0-09038D1D0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81" name="BEx5BJQWS6YWHH4ZMSUAMD641V6Y" descr="ZTMFMXCIQSECDX38ALEFHUB00" hidden="1">
          <a:extLst>
            <a:ext uri="{FF2B5EF4-FFF2-40B4-BE49-F238E27FC236}">
              <a16:creationId xmlns:a16="http://schemas.microsoft.com/office/drawing/2014/main" id="{2C5C6871-A99E-4AE8-ABC5-D5C636AE8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82" name="BEx5AQZ4ETQ9LMY5EBWVH20Z7VXQ" hidden="1">
          <a:extLst>
            <a:ext uri="{FF2B5EF4-FFF2-40B4-BE49-F238E27FC236}">
              <a16:creationId xmlns:a16="http://schemas.microsoft.com/office/drawing/2014/main" id="{1C0C3C52-07B7-425A-8ED8-BCA728832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83" name="BExUBK0YZ5VYFY8TTITJGJU9S06A" hidden="1">
          <a:extLst>
            <a:ext uri="{FF2B5EF4-FFF2-40B4-BE49-F238E27FC236}">
              <a16:creationId xmlns:a16="http://schemas.microsoft.com/office/drawing/2014/main" id="{D5663D3B-855B-4789-8E7D-1AF9CAE48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84" name="BEx1KD7H6UB1VYCJ7O61P562EIUY" descr="IQGV9140X0K0UPBL8OGU3I44J" hidden="1">
          <a:extLst>
            <a:ext uri="{FF2B5EF4-FFF2-40B4-BE49-F238E27FC236}">
              <a16:creationId xmlns:a16="http://schemas.microsoft.com/office/drawing/2014/main" id="{EA0C66E9-4437-4BAC-98CF-C9E26C2B3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85" name="BEx5BJQWS6YWHH4ZMSUAMD641V6Y" descr="ZTMFMXCIQSECDX38ALEFHUB00" hidden="1">
          <a:extLst>
            <a:ext uri="{FF2B5EF4-FFF2-40B4-BE49-F238E27FC236}">
              <a16:creationId xmlns:a16="http://schemas.microsoft.com/office/drawing/2014/main" id="{CA582624-D197-45DB-828E-FEBDF8C11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86" name="BEx5AQZ4ETQ9LMY5EBWVH20Z7VXQ" hidden="1">
          <a:extLst>
            <a:ext uri="{FF2B5EF4-FFF2-40B4-BE49-F238E27FC236}">
              <a16:creationId xmlns:a16="http://schemas.microsoft.com/office/drawing/2014/main" id="{EFAB9EA2-BB4F-4BAF-85D0-8B156946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87" name="BExUBK0YZ5VYFY8TTITJGJU9S06A" hidden="1">
          <a:extLst>
            <a:ext uri="{FF2B5EF4-FFF2-40B4-BE49-F238E27FC236}">
              <a16:creationId xmlns:a16="http://schemas.microsoft.com/office/drawing/2014/main" id="{64444F33-0458-4D1C-BC3A-EFD52C677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88" name="BEx1KD7H6UB1VYCJ7O61P562EIUY" descr="IQGV9140X0K0UPBL8OGU3I44J" hidden="1">
          <a:extLst>
            <a:ext uri="{FF2B5EF4-FFF2-40B4-BE49-F238E27FC236}">
              <a16:creationId xmlns:a16="http://schemas.microsoft.com/office/drawing/2014/main" id="{DE810560-EBFA-430D-97D0-74D16D4B3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89" name="BEx5BJQWS6YWHH4ZMSUAMD641V6Y" descr="ZTMFMXCIQSECDX38ALEFHUB00" hidden="1">
          <a:extLst>
            <a:ext uri="{FF2B5EF4-FFF2-40B4-BE49-F238E27FC236}">
              <a16:creationId xmlns:a16="http://schemas.microsoft.com/office/drawing/2014/main" id="{B5876FC0-67CF-4BDA-A0A9-21BC5DA2D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90" name="BEx5AQZ4ETQ9LMY5EBWVH20Z7VXQ" hidden="1">
          <a:extLst>
            <a:ext uri="{FF2B5EF4-FFF2-40B4-BE49-F238E27FC236}">
              <a16:creationId xmlns:a16="http://schemas.microsoft.com/office/drawing/2014/main" id="{339DDCAE-2AF6-4A6C-84B7-E031F9BEB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391" name="BExUBK0YZ5VYFY8TTITJGJU9S06A" hidden="1">
          <a:extLst>
            <a:ext uri="{FF2B5EF4-FFF2-40B4-BE49-F238E27FC236}">
              <a16:creationId xmlns:a16="http://schemas.microsoft.com/office/drawing/2014/main" id="{89E959AA-886E-4D2B-AA12-A1CCA53FB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92" name="BEx1KD7H6UB1VYCJ7O61P562EIUY" descr="IQGV9140X0K0UPBL8OGU3I44J" hidden="1">
          <a:extLst>
            <a:ext uri="{FF2B5EF4-FFF2-40B4-BE49-F238E27FC236}">
              <a16:creationId xmlns:a16="http://schemas.microsoft.com/office/drawing/2014/main" id="{8419D7D6-0BE7-4439-8268-0D284579B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93" name="BEx5AQZ4ETQ9LMY5EBWVH20Z7VXQ" hidden="1">
          <a:extLst>
            <a:ext uri="{FF2B5EF4-FFF2-40B4-BE49-F238E27FC236}">
              <a16:creationId xmlns:a16="http://schemas.microsoft.com/office/drawing/2014/main" id="{25495FF0-1D29-4F6A-AD92-989489D71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94" name="BEx1KD7H6UB1VYCJ7O61P562EIUY" descr="IQGV9140X0K0UPBL8OGU3I44J" hidden="1">
          <a:extLst>
            <a:ext uri="{FF2B5EF4-FFF2-40B4-BE49-F238E27FC236}">
              <a16:creationId xmlns:a16="http://schemas.microsoft.com/office/drawing/2014/main" id="{30705F42-4EA5-482A-8DB0-17D81C520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95" name="BEx5AQZ4ETQ9LMY5EBWVH20Z7VXQ" hidden="1">
          <a:extLst>
            <a:ext uri="{FF2B5EF4-FFF2-40B4-BE49-F238E27FC236}">
              <a16:creationId xmlns:a16="http://schemas.microsoft.com/office/drawing/2014/main" id="{A9E6779C-B55D-4070-A571-8AF4108AC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96" name="BEx1KD7H6UB1VYCJ7O61P562EIUY" descr="IQGV9140X0K0UPBL8OGU3I44J" hidden="1">
          <a:extLst>
            <a:ext uri="{FF2B5EF4-FFF2-40B4-BE49-F238E27FC236}">
              <a16:creationId xmlns:a16="http://schemas.microsoft.com/office/drawing/2014/main" id="{E8B07156-B467-41AC-B58C-6D4661B23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97" name="BEx5AQZ4ETQ9LMY5EBWVH20Z7VXQ" hidden="1">
          <a:extLst>
            <a:ext uri="{FF2B5EF4-FFF2-40B4-BE49-F238E27FC236}">
              <a16:creationId xmlns:a16="http://schemas.microsoft.com/office/drawing/2014/main" id="{53246112-7A21-49B3-9840-620F9AB2C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98" name="BEx1KD7H6UB1VYCJ7O61P562EIUY" descr="IQGV9140X0K0UPBL8OGU3I44J" hidden="1">
          <a:extLst>
            <a:ext uri="{FF2B5EF4-FFF2-40B4-BE49-F238E27FC236}">
              <a16:creationId xmlns:a16="http://schemas.microsoft.com/office/drawing/2014/main" id="{5851132F-52B6-4D7A-A90A-81B0246DE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399" name="BEx5AQZ4ETQ9LMY5EBWVH20Z7VXQ" hidden="1">
          <a:extLst>
            <a:ext uri="{FF2B5EF4-FFF2-40B4-BE49-F238E27FC236}">
              <a16:creationId xmlns:a16="http://schemas.microsoft.com/office/drawing/2014/main" id="{2F4C997C-B76B-4886-B86B-51485A28C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00" name="BEx1KD7H6UB1VYCJ7O61P562EIUY" descr="IQGV9140X0K0UPBL8OGU3I44J" hidden="1">
          <a:extLst>
            <a:ext uri="{FF2B5EF4-FFF2-40B4-BE49-F238E27FC236}">
              <a16:creationId xmlns:a16="http://schemas.microsoft.com/office/drawing/2014/main" id="{1C4DA97A-EEC4-4ECF-BD11-A13EC3671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01" name="BEx5AQZ4ETQ9LMY5EBWVH20Z7VXQ" hidden="1">
          <a:extLst>
            <a:ext uri="{FF2B5EF4-FFF2-40B4-BE49-F238E27FC236}">
              <a16:creationId xmlns:a16="http://schemas.microsoft.com/office/drawing/2014/main" id="{EF4D8E77-BA3B-406D-BC54-BD305BDF8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02" name="BEx1KD7H6UB1VYCJ7O61P562EIUY" descr="IQGV9140X0K0UPBL8OGU3I44J" hidden="1">
          <a:extLst>
            <a:ext uri="{FF2B5EF4-FFF2-40B4-BE49-F238E27FC236}">
              <a16:creationId xmlns:a16="http://schemas.microsoft.com/office/drawing/2014/main" id="{22915E81-D11A-416E-A54D-403B179E9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03" name="BEx5BJQWS6YWHH4ZMSUAMD641V6Y" descr="ZTMFMXCIQSECDX38ALEFHUB00" hidden="1">
          <a:extLst>
            <a:ext uri="{FF2B5EF4-FFF2-40B4-BE49-F238E27FC236}">
              <a16:creationId xmlns:a16="http://schemas.microsoft.com/office/drawing/2014/main" id="{C08E75C3-F94D-4AF7-9347-C211D5569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04" name="BEx5AQZ4ETQ9LMY5EBWVH20Z7VXQ" hidden="1">
          <a:extLst>
            <a:ext uri="{FF2B5EF4-FFF2-40B4-BE49-F238E27FC236}">
              <a16:creationId xmlns:a16="http://schemas.microsoft.com/office/drawing/2014/main" id="{FFEC68BD-5C88-4EF3-99CC-761EC0241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05" name="BExUBK0YZ5VYFY8TTITJGJU9S06A" hidden="1">
          <a:extLst>
            <a:ext uri="{FF2B5EF4-FFF2-40B4-BE49-F238E27FC236}">
              <a16:creationId xmlns:a16="http://schemas.microsoft.com/office/drawing/2014/main" id="{D2FD759D-0D5A-4BDA-87A4-205CE6F80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06" name="BEx1KD7H6UB1VYCJ7O61P562EIUY" descr="IQGV9140X0K0UPBL8OGU3I44J" hidden="1">
          <a:extLst>
            <a:ext uri="{FF2B5EF4-FFF2-40B4-BE49-F238E27FC236}">
              <a16:creationId xmlns:a16="http://schemas.microsoft.com/office/drawing/2014/main" id="{EEF4EB40-2D4B-4D96-A4B4-3ACB7F1F5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07" name="BEx5BJQWS6YWHH4ZMSUAMD641V6Y" descr="ZTMFMXCIQSECDX38ALEFHUB00" hidden="1">
          <a:extLst>
            <a:ext uri="{FF2B5EF4-FFF2-40B4-BE49-F238E27FC236}">
              <a16:creationId xmlns:a16="http://schemas.microsoft.com/office/drawing/2014/main" id="{DF6A46B7-80D5-4E94-BC09-1FD7F99FA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08" name="BEx5AQZ4ETQ9LMY5EBWVH20Z7VXQ" hidden="1">
          <a:extLst>
            <a:ext uri="{FF2B5EF4-FFF2-40B4-BE49-F238E27FC236}">
              <a16:creationId xmlns:a16="http://schemas.microsoft.com/office/drawing/2014/main" id="{F6C1EB73-F628-49A9-9CD8-1F61CFE3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09" name="BExUBK0YZ5VYFY8TTITJGJU9S06A" hidden="1">
          <a:extLst>
            <a:ext uri="{FF2B5EF4-FFF2-40B4-BE49-F238E27FC236}">
              <a16:creationId xmlns:a16="http://schemas.microsoft.com/office/drawing/2014/main" id="{18245E20-2904-42A3-958B-59FAA14D8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10" name="BEx1KD7H6UB1VYCJ7O61P562EIUY" descr="IQGV9140X0K0UPBL8OGU3I44J" hidden="1">
          <a:extLst>
            <a:ext uri="{FF2B5EF4-FFF2-40B4-BE49-F238E27FC236}">
              <a16:creationId xmlns:a16="http://schemas.microsoft.com/office/drawing/2014/main" id="{F21C02E4-A598-4D3A-AFA3-11C3603F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11" name="BEx5BJQWS6YWHH4ZMSUAMD641V6Y" descr="ZTMFMXCIQSECDX38ALEFHUB00" hidden="1">
          <a:extLst>
            <a:ext uri="{FF2B5EF4-FFF2-40B4-BE49-F238E27FC236}">
              <a16:creationId xmlns:a16="http://schemas.microsoft.com/office/drawing/2014/main" id="{A169221C-2460-46E5-82ED-4E32990E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12" name="BEx5AQZ4ETQ9LMY5EBWVH20Z7VXQ" hidden="1">
          <a:extLst>
            <a:ext uri="{FF2B5EF4-FFF2-40B4-BE49-F238E27FC236}">
              <a16:creationId xmlns:a16="http://schemas.microsoft.com/office/drawing/2014/main" id="{FDFEBAE4-7963-4D78-9E21-E74DAB44E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13" name="BExUBK0YZ5VYFY8TTITJGJU9S06A" hidden="1">
          <a:extLst>
            <a:ext uri="{FF2B5EF4-FFF2-40B4-BE49-F238E27FC236}">
              <a16:creationId xmlns:a16="http://schemas.microsoft.com/office/drawing/2014/main" id="{DBB18E59-B5CD-44A5-9F1D-943208794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14" name="BEx1KD7H6UB1VYCJ7O61P562EIUY" descr="IQGV9140X0K0UPBL8OGU3I44J" hidden="1">
          <a:extLst>
            <a:ext uri="{FF2B5EF4-FFF2-40B4-BE49-F238E27FC236}">
              <a16:creationId xmlns:a16="http://schemas.microsoft.com/office/drawing/2014/main" id="{E2EE56C3-D79E-44AC-BB82-7F830789C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15" name="BEx5BJQWS6YWHH4ZMSUAMD641V6Y" descr="ZTMFMXCIQSECDX38ALEFHUB00" hidden="1">
          <a:extLst>
            <a:ext uri="{FF2B5EF4-FFF2-40B4-BE49-F238E27FC236}">
              <a16:creationId xmlns:a16="http://schemas.microsoft.com/office/drawing/2014/main" id="{5A76CFD0-34D2-48E3-96A6-CBB1EE61F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16" name="BEx5AQZ4ETQ9LMY5EBWVH20Z7VXQ" hidden="1">
          <a:extLst>
            <a:ext uri="{FF2B5EF4-FFF2-40B4-BE49-F238E27FC236}">
              <a16:creationId xmlns:a16="http://schemas.microsoft.com/office/drawing/2014/main" id="{6B35587D-D2EE-4658-AB12-BBCFCC79F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17" name="BExUBK0YZ5VYFY8TTITJGJU9S06A" hidden="1">
          <a:extLst>
            <a:ext uri="{FF2B5EF4-FFF2-40B4-BE49-F238E27FC236}">
              <a16:creationId xmlns:a16="http://schemas.microsoft.com/office/drawing/2014/main" id="{FFB1F0DA-8D5E-4878-8360-A05BEE43C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18" name="BEx1KD7H6UB1VYCJ7O61P562EIUY" descr="IQGV9140X0K0UPBL8OGU3I44J" hidden="1">
          <a:extLst>
            <a:ext uri="{FF2B5EF4-FFF2-40B4-BE49-F238E27FC236}">
              <a16:creationId xmlns:a16="http://schemas.microsoft.com/office/drawing/2014/main" id="{003B55BE-DF4E-4D2A-BC18-61D7C269D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19" name="BEx5BJQWS6YWHH4ZMSUAMD641V6Y" descr="ZTMFMXCIQSECDX38ALEFHUB00" hidden="1">
          <a:extLst>
            <a:ext uri="{FF2B5EF4-FFF2-40B4-BE49-F238E27FC236}">
              <a16:creationId xmlns:a16="http://schemas.microsoft.com/office/drawing/2014/main" id="{FB1D8BB0-B57B-4C56-86D9-219423A8C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20" name="BEx5AQZ4ETQ9LMY5EBWVH20Z7VXQ" hidden="1">
          <a:extLst>
            <a:ext uri="{FF2B5EF4-FFF2-40B4-BE49-F238E27FC236}">
              <a16:creationId xmlns:a16="http://schemas.microsoft.com/office/drawing/2014/main" id="{0E9F691C-7B5B-4B34-8D82-AA730764D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21" name="BExUBK0YZ5VYFY8TTITJGJU9S06A" hidden="1">
          <a:extLst>
            <a:ext uri="{FF2B5EF4-FFF2-40B4-BE49-F238E27FC236}">
              <a16:creationId xmlns:a16="http://schemas.microsoft.com/office/drawing/2014/main" id="{C0B9E9D8-D06A-40B5-A4D7-05CEC2137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22" name="BEx1KD7H6UB1VYCJ7O61P562EIUY" descr="IQGV9140X0K0UPBL8OGU3I44J" hidden="1">
          <a:extLst>
            <a:ext uri="{FF2B5EF4-FFF2-40B4-BE49-F238E27FC236}">
              <a16:creationId xmlns:a16="http://schemas.microsoft.com/office/drawing/2014/main" id="{47484FCA-A7E2-4ED9-9E0B-CEDD701C7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23" name="BEx5BJQWS6YWHH4ZMSUAMD641V6Y" descr="ZTMFMXCIQSECDX38ALEFHUB00" hidden="1">
          <a:extLst>
            <a:ext uri="{FF2B5EF4-FFF2-40B4-BE49-F238E27FC236}">
              <a16:creationId xmlns:a16="http://schemas.microsoft.com/office/drawing/2014/main" id="{64DFBBC7-9EE8-499C-9AD3-3B66A2796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24" name="BEx5AQZ4ETQ9LMY5EBWVH20Z7VXQ" hidden="1">
          <a:extLst>
            <a:ext uri="{FF2B5EF4-FFF2-40B4-BE49-F238E27FC236}">
              <a16:creationId xmlns:a16="http://schemas.microsoft.com/office/drawing/2014/main" id="{5DDFEF86-37DC-4693-9BB2-7D97D65E5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25" name="BExUBK0YZ5VYFY8TTITJGJU9S06A" hidden="1">
          <a:extLst>
            <a:ext uri="{FF2B5EF4-FFF2-40B4-BE49-F238E27FC236}">
              <a16:creationId xmlns:a16="http://schemas.microsoft.com/office/drawing/2014/main" id="{E18D7790-2AC5-4678-B04D-28234E762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26" name="BEx5BJQWS6YWHH4ZMSUAMD641V6Y" descr="ZTMFMXCIQSECDX38ALEFHUB00" hidden="1">
          <a:extLst>
            <a:ext uri="{FF2B5EF4-FFF2-40B4-BE49-F238E27FC236}">
              <a16:creationId xmlns:a16="http://schemas.microsoft.com/office/drawing/2014/main" id="{A4497FB0-036A-42CF-9E55-99DC2EF86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27" name="BExUBK0YZ5VYFY8TTITJGJU9S06A" hidden="1">
          <a:extLst>
            <a:ext uri="{FF2B5EF4-FFF2-40B4-BE49-F238E27FC236}">
              <a16:creationId xmlns:a16="http://schemas.microsoft.com/office/drawing/2014/main" id="{C37449D1-CDA6-42BF-B1C2-2D34D8A44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28" name="BEx5BJQWS6YWHH4ZMSUAMD641V6Y" descr="ZTMFMXCIQSECDX38ALEFHUB00" hidden="1">
          <a:extLst>
            <a:ext uri="{FF2B5EF4-FFF2-40B4-BE49-F238E27FC236}">
              <a16:creationId xmlns:a16="http://schemas.microsoft.com/office/drawing/2014/main" id="{CE1AC462-3EE6-4A20-9FFD-5AD4FE09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29" name="BExUBK0YZ5VYFY8TTITJGJU9S06A" hidden="1">
          <a:extLst>
            <a:ext uri="{FF2B5EF4-FFF2-40B4-BE49-F238E27FC236}">
              <a16:creationId xmlns:a16="http://schemas.microsoft.com/office/drawing/2014/main" id="{536D07A2-B860-4D3A-8504-711280C93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30" name="BEx5BJQWS6YWHH4ZMSUAMD641V6Y" descr="ZTMFMXCIQSECDX38ALEFHUB00" hidden="1">
          <a:extLst>
            <a:ext uri="{FF2B5EF4-FFF2-40B4-BE49-F238E27FC236}">
              <a16:creationId xmlns:a16="http://schemas.microsoft.com/office/drawing/2014/main" id="{7F9C816B-9E88-45DF-8C76-8106D228A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31" name="BExUBK0YZ5VYFY8TTITJGJU9S06A" hidden="1">
          <a:extLst>
            <a:ext uri="{FF2B5EF4-FFF2-40B4-BE49-F238E27FC236}">
              <a16:creationId xmlns:a16="http://schemas.microsoft.com/office/drawing/2014/main" id="{741132E1-D752-433B-9493-4661D178B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32" name="BEx5BJQWS6YWHH4ZMSUAMD641V6Y" descr="ZTMFMXCIQSECDX38ALEFHUB00" hidden="1">
          <a:extLst>
            <a:ext uri="{FF2B5EF4-FFF2-40B4-BE49-F238E27FC236}">
              <a16:creationId xmlns:a16="http://schemas.microsoft.com/office/drawing/2014/main" id="{D5CA74B4-D7EB-42BA-AC75-7EF9264AD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33" name="BExUBK0YZ5VYFY8TTITJGJU9S06A" hidden="1">
          <a:extLst>
            <a:ext uri="{FF2B5EF4-FFF2-40B4-BE49-F238E27FC236}">
              <a16:creationId xmlns:a16="http://schemas.microsoft.com/office/drawing/2014/main" id="{21B6496C-3E64-49AF-92F6-F9531EF7C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34" name="BEx5BJQWS6YWHH4ZMSUAMD641V6Y" descr="ZTMFMXCIQSECDX38ALEFHUB00" hidden="1">
          <a:extLst>
            <a:ext uri="{FF2B5EF4-FFF2-40B4-BE49-F238E27FC236}">
              <a16:creationId xmlns:a16="http://schemas.microsoft.com/office/drawing/2014/main" id="{52A13685-2746-4FE4-B686-416ABD008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35" name="BExUBK0YZ5VYFY8TTITJGJU9S06A" hidden="1">
          <a:extLst>
            <a:ext uri="{FF2B5EF4-FFF2-40B4-BE49-F238E27FC236}">
              <a16:creationId xmlns:a16="http://schemas.microsoft.com/office/drawing/2014/main" id="{05DE2DC4-C7DD-4502-B399-9A1FF53FF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36" name="BEx1KD7H6UB1VYCJ7O61P562EIUY" descr="IQGV9140X0K0UPBL8OGU3I44J" hidden="1">
          <a:extLst>
            <a:ext uri="{FF2B5EF4-FFF2-40B4-BE49-F238E27FC236}">
              <a16:creationId xmlns:a16="http://schemas.microsoft.com/office/drawing/2014/main" id="{E0D3E65B-0678-4664-9BEE-167356A5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37" name="BEx5AQZ4ETQ9LMY5EBWVH20Z7VXQ" hidden="1">
          <a:extLst>
            <a:ext uri="{FF2B5EF4-FFF2-40B4-BE49-F238E27FC236}">
              <a16:creationId xmlns:a16="http://schemas.microsoft.com/office/drawing/2014/main" id="{DAD09EE8-4332-4688-85AB-4ED09C359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38" name="BEx1KD7H6UB1VYCJ7O61P562EIUY" descr="IQGV9140X0K0UPBL8OGU3I44J" hidden="1">
          <a:extLst>
            <a:ext uri="{FF2B5EF4-FFF2-40B4-BE49-F238E27FC236}">
              <a16:creationId xmlns:a16="http://schemas.microsoft.com/office/drawing/2014/main" id="{A52BACD2-8D6A-4456-B39E-0A8B4832A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39" name="BEx5AQZ4ETQ9LMY5EBWVH20Z7VXQ" hidden="1">
          <a:extLst>
            <a:ext uri="{FF2B5EF4-FFF2-40B4-BE49-F238E27FC236}">
              <a16:creationId xmlns:a16="http://schemas.microsoft.com/office/drawing/2014/main" id="{5DDA0FB6-02A1-421B-B49D-F9D072FD2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40" name="BEx5BJQWS6YWHH4ZMSUAMD641V6Y" descr="ZTMFMXCIQSECDX38ALEFHUB00" hidden="1">
          <a:extLst>
            <a:ext uri="{FF2B5EF4-FFF2-40B4-BE49-F238E27FC236}">
              <a16:creationId xmlns:a16="http://schemas.microsoft.com/office/drawing/2014/main" id="{E66F2223-1C14-452B-8743-A96664460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41" name="BExUBK0YZ5VYFY8TTITJGJU9S06A" hidden="1">
          <a:extLst>
            <a:ext uri="{FF2B5EF4-FFF2-40B4-BE49-F238E27FC236}">
              <a16:creationId xmlns:a16="http://schemas.microsoft.com/office/drawing/2014/main" id="{500BFC5B-4900-4640-BF2E-D92B9C6E1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42" name="BEx1KD7H6UB1VYCJ7O61P562EIUY" descr="IQGV9140X0K0UPBL8OGU3I44J" hidden="1">
          <a:extLst>
            <a:ext uri="{FF2B5EF4-FFF2-40B4-BE49-F238E27FC236}">
              <a16:creationId xmlns:a16="http://schemas.microsoft.com/office/drawing/2014/main" id="{C3724F22-F826-4B6B-8183-0ABF5A780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43" name="BEx5AQZ4ETQ9LMY5EBWVH20Z7VXQ" hidden="1">
          <a:extLst>
            <a:ext uri="{FF2B5EF4-FFF2-40B4-BE49-F238E27FC236}">
              <a16:creationId xmlns:a16="http://schemas.microsoft.com/office/drawing/2014/main" id="{F648652C-77DF-4429-9DDA-8EB211483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44" name="BEx5BJQWS6YWHH4ZMSUAMD641V6Y" descr="ZTMFMXCIQSECDX38ALEFHUB00" hidden="1">
          <a:extLst>
            <a:ext uri="{FF2B5EF4-FFF2-40B4-BE49-F238E27FC236}">
              <a16:creationId xmlns:a16="http://schemas.microsoft.com/office/drawing/2014/main" id="{61FBB0E0-D87C-4562-9ED9-3F12C11A4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45" name="BExUBK0YZ5VYFY8TTITJGJU9S06A" hidden="1">
          <a:extLst>
            <a:ext uri="{FF2B5EF4-FFF2-40B4-BE49-F238E27FC236}">
              <a16:creationId xmlns:a16="http://schemas.microsoft.com/office/drawing/2014/main" id="{AD8AF41A-CE9F-4753-8799-E6E11D8F5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46" name="BEx5BJQWS6YWHH4ZMSUAMD641V6Y" descr="ZTMFMXCIQSECDX38ALEFHUB00" hidden="1">
          <a:extLst>
            <a:ext uri="{FF2B5EF4-FFF2-40B4-BE49-F238E27FC236}">
              <a16:creationId xmlns:a16="http://schemas.microsoft.com/office/drawing/2014/main" id="{71A069CF-F324-4D07-9616-D49B6DC41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47" name="BExUBK0YZ5VYFY8TTITJGJU9S06A" hidden="1">
          <a:extLst>
            <a:ext uri="{FF2B5EF4-FFF2-40B4-BE49-F238E27FC236}">
              <a16:creationId xmlns:a16="http://schemas.microsoft.com/office/drawing/2014/main" id="{E385CEC1-3BE2-42F4-AC1F-F16F1FD8C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48" name="BEx1KD7H6UB1VYCJ7O61P562EIUY" descr="IQGV9140X0K0UPBL8OGU3I44J" hidden="1">
          <a:extLst>
            <a:ext uri="{FF2B5EF4-FFF2-40B4-BE49-F238E27FC236}">
              <a16:creationId xmlns:a16="http://schemas.microsoft.com/office/drawing/2014/main" id="{7E66EFB5-7AD9-4964-8FD3-5B14E2FA4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49" name="BEx5AQZ4ETQ9LMY5EBWVH20Z7VXQ" hidden="1">
          <a:extLst>
            <a:ext uri="{FF2B5EF4-FFF2-40B4-BE49-F238E27FC236}">
              <a16:creationId xmlns:a16="http://schemas.microsoft.com/office/drawing/2014/main" id="{28BC6A50-D355-4337-9737-097615700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50" name="BEx5BJQWS6YWHH4ZMSUAMD641V6Y" descr="ZTMFMXCIQSECDX38ALEFHUB00" hidden="1">
          <a:extLst>
            <a:ext uri="{FF2B5EF4-FFF2-40B4-BE49-F238E27FC236}">
              <a16:creationId xmlns:a16="http://schemas.microsoft.com/office/drawing/2014/main" id="{A7EC6910-35C4-4D76-B313-97A6C237E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51" name="BExUBK0YZ5VYFY8TTITJGJU9S06A" hidden="1">
          <a:extLst>
            <a:ext uri="{FF2B5EF4-FFF2-40B4-BE49-F238E27FC236}">
              <a16:creationId xmlns:a16="http://schemas.microsoft.com/office/drawing/2014/main" id="{666462B2-4C70-4566-90CD-B551CEDC1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52" name="BEx5BJQWS6YWHH4ZMSUAMD641V6Y" descr="ZTMFMXCIQSECDX38ALEFHUB00" hidden="1">
          <a:extLst>
            <a:ext uri="{FF2B5EF4-FFF2-40B4-BE49-F238E27FC236}">
              <a16:creationId xmlns:a16="http://schemas.microsoft.com/office/drawing/2014/main" id="{17568403-D81D-4155-A9CB-236424AB0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53" name="BExUBK0YZ5VYFY8TTITJGJU9S06A" hidden="1">
          <a:extLst>
            <a:ext uri="{FF2B5EF4-FFF2-40B4-BE49-F238E27FC236}">
              <a16:creationId xmlns:a16="http://schemas.microsoft.com/office/drawing/2014/main" id="{3AF5E8C3-3B16-4B2E-9CA2-E0D69F427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54" name="BEx5BJQWS6YWHH4ZMSUAMD641V6Y" descr="ZTMFMXCIQSECDX38ALEFHUB00" hidden="1">
          <a:extLst>
            <a:ext uri="{FF2B5EF4-FFF2-40B4-BE49-F238E27FC236}">
              <a16:creationId xmlns:a16="http://schemas.microsoft.com/office/drawing/2014/main" id="{CB3A04B9-8357-4EC1-9E51-A7CAE7B13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55" name="BExUBK0YZ5VYFY8TTITJGJU9S06A" hidden="1">
          <a:extLst>
            <a:ext uri="{FF2B5EF4-FFF2-40B4-BE49-F238E27FC236}">
              <a16:creationId xmlns:a16="http://schemas.microsoft.com/office/drawing/2014/main" id="{6814E89A-0B8E-4CCD-BFF6-387E25196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56" name="BEx1KD7H6UB1VYCJ7O61P562EIUY" descr="IQGV9140X0K0UPBL8OGU3I44J" hidden="1">
          <a:extLst>
            <a:ext uri="{FF2B5EF4-FFF2-40B4-BE49-F238E27FC236}">
              <a16:creationId xmlns:a16="http://schemas.microsoft.com/office/drawing/2014/main" id="{F5DD026B-1986-4300-9588-5D89B67A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57" name="BEx5AQZ4ETQ9LMY5EBWVH20Z7VXQ" hidden="1">
          <a:extLst>
            <a:ext uri="{FF2B5EF4-FFF2-40B4-BE49-F238E27FC236}">
              <a16:creationId xmlns:a16="http://schemas.microsoft.com/office/drawing/2014/main" id="{71231C37-4478-4952-B8EE-F1CB4E37E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58" name="BEx5BJQWS6YWHH4ZMSUAMD641V6Y" descr="ZTMFMXCIQSECDX38ALEFHUB00" hidden="1">
          <a:extLst>
            <a:ext uri="{FF2B5EF4-FFF2-40B4-BE49-F238E27FC236}">
              <a16:creationId xmlns:a16="http://schemas.microsoft.com/office/drawing/2014/main" id="{C552D79E-341B-4107-9A4D-B3B2142AA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59" name="BExUBK0YZ5VYFY8TTITJGJU9S06A" hidden="1">
          <a:extLst>
            <a:ext uri="{FF2B5EF4-FFF2-40B4-BE49-F238E27FC236}">
              <a16:creationId xmlns:a16="http://schemas.microsoft.com/office/drawing/2014/main" id="{27C92E26-EAF5-4599-9694-85D1C807B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60" name="BEx5BJQWS6YWHH4ZMSUAMD641V6Y" descr="ZTMFMXCIQSECDX38ALEFHUB00" hidden="1">
          <a:extLst>
            <a:ext uri="{FF2B5EF4-FFF2-40B4-BE49-F238E27FC236}">
              <a16:creationId xmlns:a16="http://schemas.microsoft.com/office/drawing/2014/main" id="{30370AC4-EF6E-48F7-AC34-129507DB3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61" name="BExUBK0YZ5VYFY8TTITJGJU9S06A" hidden="1">
          <a:extLst>
            <a:ext uri="{FF2B5EF4-FFF2-40B4-BE49-F238E27FC236}">
              <a16:creationId xmlns:a16="http://schemas.microsoft.com/office/drawing/2014/main" id="{9B467243-C007-4166-9898-D621BEF95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62" name="BEx5BJQWS6YWHH4ZMSUAMD641V6Y" descr="ZTMFMXCIQSECDX38ALEFHUB00" hidden="1">
          <a:extLst>
            <a:ext uri="{FF2B5EF4-FFF2-40B4-BE49-F238E27FC236}">
              <a16:creationId xmlns:a16="http://schemas.microsoft.com/office/drawing/2014/main" id="{0179D049-F102-4174-A651-1B4A0255C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63" name="BExUBK0YZ5VYFY8TTITJGJU9S06A" hidden="1">
          <a:extLst>
            <a:ext uri="{FF2B5EF4-FFF2-40B4-BE49-F238E27FC236}">
              <a16:creationId xmlns:a16="http://schemas.microsoft.com/office/drawing/2014/main" id="{CE1E52C5-693E-4FB4-ADCB-CD42B40DE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64" name="BEx5BJQWS6YWHH4ZMSUAMD641V6Y" descr="ZTMFMXCIQSECDX38ALEFHUB00" hidden="1">
          <a:extLst>
            <a:ext uri="{FF2B5EF4-FFF2-40B4-BE49-F238E27FC236}">
              <a16:creationId xmlns:a16="http://schemas.microsoft.com/office/drawing/2014/main" id="{7BE10BD8-D141-485C-BC29-94321D199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65" name="BExUBK0YZ5VYFY8TTITJGJU9S06A" hidden="1">
          <a:extLst>
            <a:ext uri="{FF2B5EF4-FFF2-40B4-BE49-F238E27FC236}">
              <a16:creationId xmlns:a16="http://schemas.microsoft.com/office/drawing/2014/main" id="{5A7E747B-47F6-4AA3-AF24-E3777D6C8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66" name="BEx5BJQWS6YWHH4ZMSUAMD641V6Y" descr="ZTMFMXCIQSECDX38ALEFHUB00" hidden="1">
          <a:extLst>
            <a:ext uri="{FF2B5EF4-FFF2-40B4-BE49-F238E27FC236}">
              <a16:creationId xmlns:a16="http://schemas.microsoft.com/office/drawing/2014/main" id="{3ED7B7CA-3DA6-4C1C-9695-813EFDBEE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67" name="BExUBK0YZ5VYFY8TTITJGJU9S06A" hidden="1">
          <a:extLst>
            <a:ext uri="{FF2B5EF4-FFF2-40B4-BE49-F238E27FC236}">
              <a16:creationId xmlns:a16="http://schemas.microsoft.com/office/drawing/2014/main" id="{D6B16925-46D6-4B8A-8B32-F085EC5BB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68" name="BEx1KD7H6UB1VYCJ7O61P562EIUY" descr="IQGV9140X0K0UPBL8OGU3I44J" hidden="1">
          <a:extLst>
            <a:ext uri="{FF2B5EF4-FFF2-40B4-BE49-F238E27FC236}">
              <a16:creationId xmlns:a16="http://schemas.microsoft.com/office/drawing/2014/main" id="{32F397E6-84B5-44D2-AF9C-41971B46B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69" name="BEx5BJQWS6YWHH4ZMSUAMD641V6Y" descr="ZTMFMXCIQSECDX38ALEFHUB00" hidden="1">
          <a:extLst>
            <a:ext uri="{FF2B5EF4-FFF2-40B4-BE49-F238E27FC236}">
              <a16:creationId xmlns:a16="http://schemas.microsoft.com/office/drawing/2014/main" id="{EF693A0B-C0B5-461B-B6CC-D014D46DB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70" name="BEx5AQZ4ETQ9LMY5EBWVH20Z7VXQ" hidden="1">
          <a:extLst>
            <a:ext uri="{FF2B5EF4-FFF2-40B4-BE49-F238E27FC236}">
              <a16:creationId xmlns:a16="http://schemas.microsoft.com/office/drawing/2014/main" id="{6A213623-7E32-41C5-A9B0-CE9A15D1E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71" name="BExUBK0YZ5VYFY8TTITJGJU9S06A" hidden="1">
          <a:extLst>
            <a:ext uri="{FF2B5EF4-FFF2-40B4-BE49-F238E27FC236}">
              <a16:creationId xmlns:a16="http://schemas.microsoft.com/office/drawing/2014/main" id="{9B3BF734-2E92-41D4-A8BA-07C63B8FC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72" name="BEx5BJQWS6YWHH4ZMSUAMD641V6Y" descr="ZTMFMXCIQSECDX38ALEFHUB00" hidden="1">
          <a:extLst>
            <a:ext uri="{FF2B5EF4-FFF2-40B4-BE49-F238E27FC236}">
              <a16:creationId xmlns:a16="http://schemas.microsoft.com/office/drawing/2014/main" id="{7C727194-4FDD-491E-AC2A-506D00C66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73" name="BExUBK0YZ5VYFY8TTITJGJU9S06A" hidden="1">
          <a:extLst>
            <a:ext uri="{FF2B5EF4-FFF2-40B4-BE49-F238E27FC236}">
              <a16:creationId xmlns:a16="http://schemas.microsoft.com/office/drawing/2014/main" id="{2AB77C83-9AE9-4E2E-826C-8034D6DCC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74" name="BEx5BJQWS6YWHH4ZMSUAMD641V6Y" descr="ZTMFMXCIQSECDX38ALEFHUB00" hidden="1">
          <a:extLst>
            <a:ext uri="{FF2B5EF4-FFF2-40B4-BE49-F238E27FC236}">
              <a16:creationId xmlns:a16="http://schemas.microsoft.com/office/drawing/2014/main" id="{B97A5A3D-0A37-48AD-B806-B8DEB491D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75" name="BExUBK0YZ5VYFY8TTITJGJU9S06A" hidden="1">
          <a:extLst>
            <a:ext uri="{FF2B5EF4-FFF2-40B4-BE49-F238E27FC236}">
              <a16:creationId xmlns:a16="http://schemas.microsoft.com/office/drawing/2014/main" id="{65255B01-EC30-49EF-878D-56BAE2223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76" name="BEx5BJQWS6YWHH4ZMSUAMD641V6Y" descr="ZTMFMXCIQSECDX38ALEFHUB00" hidden="1">
          <a:extLst>
            <a:ext uri="{FF2B5EF4-FFF2-40B4-BE49-F238E27FC236}">
              <a16:creationId xmlns:a16="http://schemas.microsoft.com/office/drawing/2014/main" id="{4EBA686A-8603-4709-8543-A7F2CF77C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77" name="BExUBK0YZ5VYFY8TTITJGJU9S06A" hidden="1">
          <a:extLst>
            <a:ext uri="{FF2B5EF4-FFF2-40B4-BE49-F238E27FC236}">
              <a16:creationId xmlns:a16="http://schemas.microsoft.com/office/drawing/2014/main" id="{2D2E4499-83A9-406C-B7C5-B34A4BB60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78" name="BEx5BJQWS6YWHH4ZMSUAMD641V6Y" descr="ZTMFMXCIQSECDX38ALEFHUB00" hidden="1">
          <a:extLst>
            <a:ext uri="{FF2B5EF4-FFF2-40B4-BE49-F238E27FC236}">
              <a16:creationId xmlns:a16="http://schemas.microsoft.com/office/drawing/2014/main" id="{63CB86AE-7089-424D-BA96-31FCD1CA0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79" name="BExUBK0YZ5VYFY8TTITJGJU9S06A" hidden="1">
          <a:extLst>
            <a:ext uri="{FF2B5EF4-FFF2-40B4-BE49-F238E27FC236}">
              <a16:creationId xmlns:a16="http://schemas.microsoft.com/office/drawing/2014/main" id="{740DAABF-4222-42FC-9715-5EBEF2FF5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80" name="BEx5BJQWS6YWHH4ZMSUAMD641V6Y" descr="ZTMFMXCIQSECDX38ALEFHUB00" hidden="1">
          <a:extLst>
            <a:ext uri="{FF2B5EF4-FFF2-40B4-BE49-F238E27FC236}">
              <a16:creationId xmlns:a16="http://schemas.microsoft.com/office/drawing/2014/main" id="{5234D86D-B477-458C-89CD-0D7F5E3CE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81" name="BExUBK0YZ5VYFY8TTITJGJU9S06A" hidden="1">
          <a:extLst>
            <a:ext uri="{FF2B5EF4-FFF2-40B4-BE49-F238E27FC236}">
              <a16:creationId xmlns:a16="http://schemas.microsoft.com/office/drawing/2014/main" id="{5BEF6C84-745B-43A4-88FF-44B753CD4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82" name="BEx1KD7H6UB1VYCJ7O61P562EIUY" descr="IQGV9140X0K0UPBL8OGU3I44J" hidden="1">
          <a:extLst>
            <a:ext uri="{FF2B5EF4-FFF2-40B4-BE49-F238E27FC236}">
              <a16:creationId xmlns:a16="http://schemas.microsoft.com/office/drawing/2014/main" id="{DD5C6F51-FD58-4613-85AE-D52CFCD87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83" name="BEx5AQZ4ETQ9LMY5EBWVH20Z7VXQ" hidden="1">
          <a:extLst>
            <a:ext uri="{FF2B5EF4-FFF2-40B4-BE49-F238E27FC236}">
              <a16:creationId xmlns:a16="http://schemas.microsoft.com/office/drawing/2014/main" id="{38A878CD-898A-479B-883B-B34EF9687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84" name="BEx1KD7H6UB1VYCJ7O61P562EIUY" descr="IQGV9140X0K0UPBL8OGU3I44J" hidden="1">
          <a:extLst>
            <a:ext uri="{FF2B5EF4-FFF2-40B4-BE49-F238E27FC236}">
              <a16:creationId xmlns:a16="http://schemas.microsoft.com/office/drawing/2014/main" id="{336CEA2A-6C88-415F-8010-0EFF45EB1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85" name="BEx5AQZ4ETQ9LMY5EBWVH20Z7VXQ" hidden="1">
          <a:extLst>
            <a:ext uri="{FF2B5EF4-FFF2-40B4-BE49-F238E27FC236}">
              <a16:creationId xmlns:a16="http://schemas.microsoft.com/office/drawing/2014/main" id="{3DE0161E-6EC1-43A3-86D1-09B75BEA5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86" name="BEx5BJQWS6YWHH4ZMSUAMD641V6Y" descr="ZTMFMXCIQSECDX38ALEFHUB00" hidden="1">
          <a:extLst>
            <a:ext uri="{FF2B5EF4-FFF2-40B4-BE49-F238E27FC236}">
              <a16:creationId xmlns:a16="http://schemas.microsoft.com/office/drawing/2014/main" id="{4437D3F8-D759-4CD2-9DF0-D8505199B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87" name="BExUBK0YZ5VYFY8TTITJGJU9S06A" hidden="1">
          <a:extLst>
            <a:ext uri="{FF2B5EF4-FFF2-40B4-BE49-F238E27FC236}">
              <a16:creationId xmlns:a16="http://schemas.microsoft.com/office/drawing/2014/main" id="{624A24D5-57AE-4A44-89A2-0D557240D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88" name="BEx1KD7H6UB1VYCJ7O61P562EIUY" descr="IQGV9140X0K0UPBL8OGU3I44J" hidden="1">
          <a:extLst>
            <a:ext uri="{FF2B5EF4-FFF2-40B4-BE49-F238E27FC236}">
              <a16:creationId xmlns:a16="http://schemas.microsoft.com/office/drawing/2014/main" id="{51699AC9-E4A4-4703-9CBE-A1F293FDB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89" name="BEx5AQZ4ETQ9LMY5EBWVH20Z7VXQ" hidden="1">
          <a:extLst>
            <a:ext uri="{FF2B5EF4-FFF2-40B4-BE49-F238E27FC236}">
              <a16:creationId xmlns:a16="http://schemas.microsoft.com/office/drawing/2014/main" id="{826CA8B8-9FAF-4410-B6FD-3B82C1B47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90" name="BEx5BJQWS6YWHH4ZMSUAMD641V6Y" descr="ZTMFMXCIQSECDX38ALEFHUB00" hidden="1">
          <a:extLst>
            <a:ext uri="{FF2B5EF4-FFF2-40B4-BE49-F238E27FC236}">
              <a16:creationId xmlns:a16="http://schemas.microsoft.com/office/drawing/2014/main" id="{23E08DA8-F58F-4472-80DF-D946570AF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91" name="BExUBK0YZ5VYFY8TTITJGJU9S06A" hidden="1">
          <a:extLst>
            <a:ext uri="{FF2B5EF4-FFF2-40B4-BE49-F238E27FC236}">
              <a16:creationId xmlns:a16="http://schemas.microsoft.com/office/drawing/2014/main" id="{2B6682C8-0810-4A48-AEA3-491297D56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92" name="BEx5BJQWS6YWHH4ZMSUAMD641V6Y" descr="ZTMFMXCIQSECDX38ALEFHUB00" hidden="1">
          <a:extLst>
            <a:ext uri="{FF2B5EF4-FFF2-40B4-BE49-F238E27FC236}">
              <a16:creationId xmlns:a16="http://schemas.microsoft.com/office/drawing/2014/main" id="{91293671-2FDE-4637-848F-B9BAB6283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93" name="BExUBK0YZ5VYFY8TTITJGJU9S06A" hidden="1">
          <a:extLst>
            <a:ext uri="{FF2B5EF4-FFF2-40B4-BE49-F238E27FC236}">
              <a16:creationId xmlns:a16="http://schemas.microsoft.com/office/drawing/2014/main" id="{03842EBE-C5FD-411C-B2E0-41B3BB2F3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94" name="BEx1KD7H6UB1VYCJ7O61P562EIUY" descr="IQGV9140X0K0UPBL8OGU3I44J" hidden="1">
          <a:extLst>
            <a:ext uri="{FF2B5EF4-FFF2-40B4-BE49-F238E27FC236}">
              <a16:creationId xmlns:a16="http://schemas.microsoft.com/office/drawing/2014/main" id="{757AA5C9-28F8-4146-B543-9AE54D019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495" name="BEx5AQZ4ETQ9LMY5EBWVH20Z7VXQ" hidden="1">
          <a:extLst>
            <a:ext uri="{FF2B5EF4-FFF2-40B4-BE49-F238E27FC236}">
              <a16:creationId xmlns:a16="http://schemas.microsoft.com/office/drawing/2014/main" id="{2B9A6227-740E-488F-9CA4-E44B71147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96" name="BEx5BJQWS6YWHH4ZMSUAMD641V6Y" descr="ZTMFMXCIQSECDX38ALEFHUB00" hidden="1">
          <a:extLst>
            <a:ext uri="{FF2B5EF4-FFF2-40B4-BE49-F238E27FC236}">
              <a16:creationId xmlns:a16="http://schemas.microsoft.com/office/drawing/2014/main" id="{4067B1EA-085A-49D6-8DB5-255802B2F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97" name="BExUBK0YZ5VYFY8TTITJGJU9S06A" hidden="1">
          <a:extLst>
            <a:ext uri="{FF2B5EF4-FFF2-40B4-BE49-F238E27FC236}">
              <a16:creationId xmlns:a16="http://schemas.microsoft.com/office/drawing/2014/main" id="{4CD68C80-0F75-4ACD-864F-669159540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98" name="BEx5BJQWS6YWHH4ZMSUAMD641V6Y" descr="ZTMFMXCIQSECDX38ALEFHUB00" hidden="1">
          <a:extLst>
            <a:ext uri="{FF2B5EF4-FFF2-40B4-BE49-F238E27FC236}">
              <a16:creationId xmlns:a16="http://schemas.microsoft.com/office/drawing/2014/main" id="{195BA2C1-9641-488E-850B-587568B87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499" name="BExUBK0YZ5VYFY8TTITJGJU9S06A" hidden="1">
          <a:extLst>
            <a:ext uri="{FF2B5EF4-FFF2-40B4-BE49-F238E27FC236}">
              <a16:creationId xmlns:a16="http://schemas.microsoft.com/office/drawing/2014/main" id="{7ACC8D82-AD6D-458F-8A41-C1741C9EA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00" name="BEx5BJQWS6YWHH4ZMSUAMD641V6Y" descr="ZTMFMXCIQSECDX38ALEFHUB00" hidden="1">
          <a:extLst>
            <a:ext uri="{FF2B5EF4-FFF2-40B4-BE49-F238E27FC236}">
              <a16:creationId xmlns:a16="http://schemas.microsoft.com/office/drawing/2014/main" id="{623E3A1E-CD4A-4B12-A6ED-E73897AB0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01" name="BExUBK0YZ5VYFY8TTITJGJU9S06A" hidden="1">
          <a:extLst>
            <a:ext uri="{FF2B5EF4-FFF2-40B4-BE49-F238E27FC236}">
              <a16:creationId xmlns:a16="http://schemas.microsoft.com/office/drawing/2014/main" id="{0C164BF7-CD51-4707-8767-0771245CA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502" name="BEx1KD7H6UB1VYCJ7O61P562EIUY" descr="IQGV9140X0K0UPBL8OGU3I44J" hidden="1">
          <a:extLst>
            <a:ext uri="{FF2B5EF4-FFF2-40B4-BE49-F238E27FC236}">
              <a16:creationId xmlns:a16="http://schemas.microsoft.com/office/drawing/2014/main" id="{0D40755A-1B5B-4EE2-BBDB-1943B8139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503" name="BEx5AQZ4ETQ9LMY5EBWVH20Z7VXQ" hidden="1">
          <a:extLst>
            <a:ext uri="{FF2B5EF4-FFF2-40B4-BE49-F238E27FC236}">
              <a16:creationId xmlns:a16="http://schemas.microsoft.com/office/drawing/2014/main" id="{3F48D4EB-85A5-45BD-8772-0F66F1CD0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04" name="BEx5BJQWS6YWHH4ZMSUAMD641V6Y" descr="ZTMFMXCIQSECDX38ALEFHUB00" hidden="1">
          <a:extLst>
            <a:ext uri="{FF2B5EF4-FFF2-40B4-BE49-F238E27FC236}">
              <a16:creationId xmlns:a16="http://schemas.microsoft.com/office/drawing/2014/main" id="{9D35BB11-6008-40EB-8B2B-728FA791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05" name="BExUBK0YZ5VYFY8TTITJGJU9S06A" hidden="1">
          <a:extLst>
            <a:ext uri="{FF2B5EF4-FFF2-40B4-BE49-F238E27FC236}">
              <a16:creationId xmlns:a16="http://schemas.microsoft.com/office/drawing/2014/main" id="{9F6DB222-2B50-4D26-92E1-1449DDC01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06" name="BEx5BJQWS6YWHH4ZMSUAMD641V6Y" descr="ZTMFMXCIQSECDX38ALEFHUB00" hidden="1">
          <a:extLst>
            <a:ext uri="{FF2B5EF4-FFF2-40B4-BE49-F238E27FC236}">
              <a16:creationId xmlns:a16="http://schemas.microsoft.com/office/drawing/2014/main" id="{E6B46D27-7650-4805-AFDF-5A359CE6E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07" name="BExUBK0YZ5VYFY8TTITJGJU9S06A" hidden="1">
          <a:extLst>
            <a:ext uri="{FF2B5EF4-FFF2-40B4-BE49-F238E27FC236}">
              <a16:creationId xmlns:a16="http://schemas.microsoft.com/office/drawing/2014/main" id="{158251BF-729E-45A5-8587-F3BD59F70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08" name="BEx5BJQWS6YWHH4ZMSUAMD641V6Y" descr="ZTMFMXCIQSECDX38ALEFHUB00" hidden="1">
          <a:extLst>
            <a:ext uri="{FF2B5EF4-FFF2-40B4-BE49-F238E27FC236}">
              <a16:creationId xmlns:a16="http://schemas.microsoft.com/office/drawing/2014/main" id="{E7077C3C-2A46-4F2A-A79B-A8F813855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09" name="BExUBK0YZ5VYFY8TTITJGJU9S06A" hidden="1">
          <a:extLst>
            <a:ext uri="{FF2B5EF4-FFF2-40B4-BE49-F238E27FC236}">
              <a16:creationId xmlns:a16="http://schemas.microsoft.com/office/drawing/2014/main" id="{4AF34088-C480-4A20-9888-9D4568521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10" name="BEx5BJQWS6YWHH4ZMSUAMD641V6Y" descr="ZTMFMXCIQSECDX38ALEFHUB00" hidden="1">
          <a:extLst>
            <a:ext uri="{FF2B5EF4-FFF2-40B4-BE49-F238E27FC236}">
              <a16:creationId xmlns:a16="http://schemas.microsoft.com/office/drawing/2014/main" id="{09F8A881-88E1-454C-A1A0-AC154427C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11" name="BExUBK0YZ5VYFY8TTITJGJU9S06A" hidden="1">
          <a:extLst>
            <a:ext uri="{FF2B5EF4-FFF2-40B4-BE49-F238E27FC236}">
              <a16:creationId xmlns:a16="http://schemas.microsoft.com/office/drawing/2014/main" id="{896DEEA5-0D2E-43E6-B5A0-4E50C1B35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12" name="BEx5BJQWS6YWHH4ZMSUAMD641V6Y" descr="ZTMFMXCIQSECDX38ALEFHUB00" hidden="1">
          <a:extLst>
            <a:ext uri="{FF2B5EF4-FFF2-40B4-BE49-F238E27FC236}">
              <a16:creationId xmlns:a16="http://schemas.microsoft.com/office/drawing/2014/main" id="{30BFEE40-161F-41A4-850F-74DAE525E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13" name="BExUBK0YZ5VYFY8TTITJGJU9S06A" hidden="1">
          <a:extLst>
            <a:ext uri="{FF2B5EF4-FFF2-40B4-BE49-F238E27FC236}">
              <a16:creationId xmlns:a16="http://schemas.microsoft.com/office/drawing/2014/main" id="{E2418ACF-28DF-466C-9C23-463DA54FA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14" name="BEx5BJQWS6YWHH4ZMSUAMD641V6Y" descr="ZTMFMXCIQSECDX38ALEFHUB00" hidden="1">
          <a:extLst>
            <a:ext uri="{FF2B5EF4-FFF2-40B4-BE49-F238E27FC236}">
              <a16:creationId xmlns:a16="http://schemas.microsoft.com/office/drawing/2014/main" id="{539D1D8F-0335-4923-BC1B-993D46D3F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15" name="BExUBK0YZ5VYFY8TTITJGJU9S06A" hidden="1">
          <a:extLst>
            <a:ext uri="{FF2B5EF4-FFF2-40B4-BE49-F238E27FC236}">
              <a16:creationId xmlns:a16="http://schemas.microsoft.com/office/drawing/2014/main" id="{AE5A31B2-3D59-4EB4-BC8D-BD18E3F84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516" name="BExMO7VFCN4EL59982UR4AJ25JNJ" descr="XX6TINEJADZGKR0CTM7ZRT0RA" hidden="1">
          <a:extLst>
            <a:ext uri="{FF2B5EF4-FFF2-40B4-BE49-F238E27FC236}">
              <a16:creationId xmlns:a16="http://schemas.microsoft.com/office/drawing/2014/main" id="{ED25BE2A-9D9F-4756-94F4-06E13BA05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17" name="BExU3EX5JJCXCII4YKUJBFBGIJR2" descr="OF5ZI9PI5WH36VPANJ2DYLNMI" hidden="1">
          <a:extLst>
            <a:ext uri="{FF2B5EF4-FFF2-40B4-BE49-F238E27FC236}">
              <a16:creationId xmlns:a16="http://schemas.microsoft.com/office/drawing/2014/main" id="{D1DE7D99-1E6F-478F-B804-06B761E79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518" name="BEx1KD7H6UB1VYCJ7O61P562EIUY" descr="IQGV9140X0K0UPBL8OGU3I44J" hidden="1">
          <a:extLst>
            <a:ext uri="{FF2B5EF4-FFF2-40B4-BE49-F238E27FC236}">
              <a16:creationId xmlns:a16="http://schemas.microsoft.com/office/drawing/2014/main" id="{F2145BB0-B5ED-482C-89F4-50FB5B404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19" name="BEx5BJQWS6YWHH4ZMSUAMD641V6Y" descr="ZTMFMXCIQSECDX38ALEFHUB00" hidden="1">
          <a:extLst>
            <a:ext uri="{FF2B5EF4-FFF2-40B4-BE49-F238E27FC236}">
              <a16:creationId xmlns:a16="http://schemas.microsoft.com/office/drawing/2014/main" id="{A8DEA3D0-0A25-459A-A72C-181BE8AEC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5520" name="BExVTO5Q8G2M7BPL4B2584LQS0R0" descr="OB6Q8NA4LZFE4GM9Y3V56BPMQ" hidden="1">
          <a:extLst>
            <a:ext uri="{FF2B5EF4-FFF2-40B4-BE49-F238E27FC236}">
              <a16:creationId xmlns:a16="http://schemas.microsoft.com/office/drawing/2014/main" id="{FFFCEC61-27CC-4BC3-8FBC-E12EA8A58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5521" name="BExIFSCLN1G86X78PFLTSMRP0US5" descr="9JK4SPV4DG7VTCZIILWHXQU5J" hidden="1">
          <a:extLst>
            <a:ext uri="{FF2B5EF4-FFF2-40B4-BE49-F238E27FC236}">
              <a16:creationId xmlns:a16="http://schemas.microsoft.com/office/drawing/2014/main" id="{CC444BC3-3AA8-4200-9FB5-9472F7265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522" name="BEx1I152WN2D3A85O2XN0DGXCWHN" descr="KHBZFMANRA4UMJR1AB4M5NJNT" hidden="1">
          <a:extLst>
            <a:ext uri="{FF2B5EF4-FFF2-40B4-BE49-F238E27FC236}">
              <a16:creationId xmlns:a16="http://schemas.microsoft.com/office/drawing/2014/main" id="{CC90C4A5-3421-474F-8CCA-B29DBB33F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23" name="BExW9676P0SKCVKK25QCGHPA3PAD" descr="9A4PWZ20RMSRF0PNECCDM75CA" hidden="1">
          <a:extLst>
            <a:ext uri="{FF2B5EF4-FFF2-40B4-BE49-F238E27FC236}">
              <a16:creationId xmlns:a16="http://schemas.microsoft.com/office/drawing/2014/main" id="{38DF95E0-0CB0-4897-8A2E-A81308BE8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524" name="BExS5CPQ8P8JOQPK7ANNKHLSGOKU" hidden="1">
          <a:extLst>
            <a:ext uri="{FF2B5EF4-FFF2-40B4-BE49-F238E27FC236}">
              <a16:creationId xmlns:a16="http://schemas.microsoft.com/office/drawing/2014/main" id="{5966E6C5-36F4-4CA5-A640-FD4F27D5A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25" name="BExMM0AVUAIRNJLXB1FW8R0YB4ZZ" hidden="1">
          <a:extLst>
            <a:ext uri="{FF2B5EF4-FFF2-40B4-BE49-F238E27FC236}">
              <a16:creationId xmlns:a16="http://schemas.microsoft.com/office/drawing/2014/main" id="{1D39DFED-010E-4585-AA7F-69867178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829901"/>
    <xdr:pic>
      <xdr:nvPicPr>
        <xdr:cNvPr id="5526" name="BExXZ7Y09CBS0XA7IPB3IRJ8RJM4" hidden="1">
          <a:extLst>
            <a:ext uri="{FF2B5EF4-FFF2-40B4-BE49-F238E27FC236}">
              <a16:creationId xmlns:a16="http://schemas.microsoft.com/office/drawing/2014/main" id="{CF39483D-4477-4BAD-9260-A9F06EDE7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983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27" name="BExQ7SXS9VUG7P6CACU2J7R2SGIZ" hidden="1">
          <a:extLst>
            <a:ext uri="{FF2B5EF4-FFF2-40B4-BE49-F238E27FC236}">
              <a16:creationId xmlns:a16="http://schemas.microsoft.com/office/drawing/2014/main" id="{55547387-F17E-42B5-BF6A-E24A8C8ED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528" name="BEx5AQZ4ETQ9LMY5EBWVH20Z7VXQ" hidden="1">
          <a:extLst>
            <a:ext uri="{FF2B5EF4-FFF2-40B4-BE49-F238E27FC236}">
              <a16:creationId xmlns:a16="http://schemas.microsoft.com/office/drawing/2014/main" id="{259AB177-7A91-44E3-A204-8B4BEFE77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29" name="BExUBK0YZ5VYFY8TTITJGJU9S06A" hidden="1">
          <a:extLst>
            <a:ext uri="{FF2B5EF4-FFF2-40B4-BE49-F238E27FC236}">
              <a16:creationId xmlns:a16="http://schemas.microsoft.com/office/drawing/2014/main" id="{7A24587C-3B73-44C7-8EB1-0C1B428CD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5530" name="BExUEZCSSJ7RN4J18I2NUIQR2FZS" hidden="1">
          <a:extLst>
            <a:ext uri="{FF2B5EF4-FFF2-40B4-BE49-F238E27FC236}">
              <a16:creationId xmlns:a16="http://schemas.microsoft.com/office/drawing/2014/main" id="{DA22287D-EC6A-420D-BFCE-187411D4A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543300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5531" name="BExS3JDQWF7U3F5JTEVOE16ASIYK" hidden="1">
          <a:extLst>
            <a:ext uri="{FF2B5EF4-FFF2-40B4-BE49-F238E27FC236}">
              <a16:creationId xmlns:a16="http://schemas.microsoft.com/office/drawing/2014/main" id="{937E2B09-7C19-47E6-AA24-EEA7950EB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5433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32" name="BEx5BJQWS6YWHH4ZMSUAMD641V6Y" descr="ZTMFMXCIQSECDX38ALEFHUB00" hidden="1">
          <a:extLst>
            <a:ext uri="{FF2B5EF4-FFF2-40B4-BE49-F238E27FC236}">
              <a16:creationId xmlns:a16="http://schemas.microsoft.com/office/drawing/2014/main" id="{05CA8276-0228-498F-8F96-024FB3D5D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33" name="BExUBK0YZ5VYFY8TTITJGJU9S06A" hidden="1">
          <a:extLst>
            <a:ext uri="{FF2B5EF4-FFF2-40B4-BE49-F238E27FC236}">
              <a16:creationId xmlns:a16="http://schemas.microsoft.com/office/drawing/2014/main" id="{58D12D52-E82E-4E59-9054-E369C969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34" name="BExU3EX5JJCXCII4YKUJBFBGIJR2" descr="OF5ZI9PI5WH36VPANJ2DYLNMI" hidden="1">
          <a:extLst>
            <a:ext uri="{FF2B5EF4-FFF2-40B4-BE49-F238E27FC236}">
              <a16:creationId xmlns:a16="http://schemas.microsoft.com/office/drawing/2014/main" id="{36BAFF6B-676F-4E15-A17E-E6FF8F1A8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35" name="BExW9676P0SKCVKK25QCGHPA3PAD" descr="9A4PWZ20RMSRF0PNECCDM75CA" hidden="1">
          <a:extLst>
            <a:ext uri="{FF2B5EF4-FFF2-40B4-BE49-F238E27FC236}">
              <a16:creationId xmlns:a16="http://schemas.microsoft.com/office/drawing/2014/main" id="{977B2A85-2084-4A31-AB10-0931147B4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36" name="BExMM0AVUAIRNJLXB1FW8R0YB4ZZ" hidden="1">
          <a:extLst>
            <a:ext uri="{FF2B5EF4-FFF2-40B4-BE49-F238E27FC236}">
              <a16:creationId xmlns:a16="http://schemas.microsoft.com/office/drawing/2014/main" id="{589DF05D-EFA3-4FD1-8604-2DA884405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37" name="BExQ7SXS9VUG7P6CACU2J7R2SGIZ" hidden="1">
          <a:extLst>
            <a:ext uri="{FF2B5EF4-FFF2-40B4-BE49-F238E27FC236}">
              <a16:creationId xmlns:a16="http://schemas.microsoft.com/office/drawing/2014/main" id="{14F6D093-653D-47BA-B366-AFF0587B6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38" name="BExU3EX5JJCXCII4YKUJBFBGIJR2" descr="OF5ZI9PI5WH36VPANJ2DYLNMI" hidden="1">
          <a:extLst>
            <a:ext uri="{FF2B5EF4-FFF2-40B4-BE49-F238E27FC236}">
              <a16:creationId xmlns:a16="http://schemas.microsoft.com/office/drawing/2014/main" id="{26F6479C-57AD-4807-90F1-4101DB43B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39" name="BExW9676P0SKCVKK25QCGHPA3PAD" descr="9A4PWZ20RMSRF0PNECCDM75CA" hidden="1">
          <a:extLst>
            <a:ext uri="{FF2B5EF4-FFF2-40B4-BE49-F238E27FC236}">
              <a16:creationId xmlns:a16="http://schemas.microsoft.com/office/drawing/2014/main" id="{250764BB-5EE5-4CFE-9BBE-38513C608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40" name="BExMM0AVUAIRNJLXB1FW8R0YB4ZZ" hidden="1">
          <a:extLst>
            <a:ext uri="{FF2B5EF4-FFF2-40B4-BE49-F238E27FC236}">
              <a16:creationId xmlns:a16="http://schemas.microsoft.com/office/drawing/2014/main" id="{6AC43AA3-0216-48E3-BC50-C4C3ACC52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41" name="BExQ7SXS9VUG7P6CACU2J7R2SGIZ" hidden="1">
          <a:extLst>
            <a:ext uri="{FF2B5EF4-FFF2-40B4-BE49-F238E27FC236}">
              <a16:creationId xmlns:a16="http://schemas.microsoft.com/office/drawing/2014/main" id="{B3A4A9ED-45EF-4116-82FC-22B835F9B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42" name="BEx5BJQWS6YWHH4ZMSUAMD641V6Y" descr="ZTMFMXCIQSECDX38ALEFHUB00" hidden="1">
          <a:extLst>
            <a:ext uri="{FF2B5EF4-FFF2-40B4-BE49-F238E27FC236}">
              <a16:creationId xmlns:a16="http://schemas.microsoft.com/office/drawing/2014/main" id="{15030133-79FD-4161-9651-BEBE6E746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43" name="BExUBK0YZ5VYFY8TTITJGJU9S06A" hidden="1">
          <a:extLst>
            <a:ext uri="{FF2B5EF4-FFF2-40B4-BE49-F238E27FC236}">
              <a16:creationId xmlns:a16="http://schemas.microsoft.com/office/drawing/2014/main" id="{39167B95-6F66-4603-8B57-CD789A6DE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44" name="BEx5BJQWS6YWHH4ZMSUAMD641V6Y" descr="ZTMFMXCIQSECDX38ALEFHUB00" hidden="1">
          <a:extLst>
            <a:ext uri="{FF2B5EF4-FFF2-40B4-BE49-F238E27FC236}">
              <a16:creationId xmlns:a16="http://schemas.microsoft.com/office/drawing/2014/main" id="{7C3AFF5A-933E-4A1C-B03B-D94649E09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45" name="BExUBK0YZ5VYFY8TTITJGJU9S06A" hidden="1">
          <a:extLst>
            <a:ext uri="{FF2B5EF4-FFF2-40B4-BE49-F238E27FC236}">
              <a16:creationId xmlns:a16="http://schemas.microsoft.com/office/drawing/2014/main" id="{D55CB38E-6B40-482F-8087-376B34F5D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46" name="BEx5BJQWS6YWHH4ZMSUAMD641V6Y" descr="ZTMFMXCIQSECDX38ALEFHUB00" hidden="1">
          <a:extLst>
            <a:ext uri="{FF2B5EF4-FFF2-40B4-BE49-F238E27FC236}">
              <a16:creationId xmlns:a16="http://schemas.microsoft.com/office/drawing/2014/main" id="{1818F479-AAA7-4461-A907-BD131AC92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47" name="BExUBK0YZ5VYFY8TTITJGJU9S06A" hidden="1">
          <a:extLst>
            <a:ext uri="{FF2B5EF4-FFF2-40B4-BE49-F238E27FC236}">
              <a16:creationId xmlns:a16="http://schemas.microsoft.com/office/drawing/2014/main" id="{9211EF88-8198-4BBA-9D0F-3A47C695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48" name="BEx5BJQWS6YWHH4ZMSUAMD641V6Y" descr="ZTMFMXCIQSECDX38ALEFHUB00" hidden="1">
          <a:extLst>
            <a:ext uri="{FF2B5EF4-FFF2-40B4-BE49-F238E27FC236}">
              <a16:creationId xmlns:a16="http://schemas.microsoft.com/office/drawing/2014/main" id="{9BE0133C-44FA-4D74-A4FC-7EB5467A9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49" name="BExUBK0YZ5VYFY8TTITJGJU9S06A" hidden="1">
          <a:extLst>
            <a:ext uri="{FF2B5EF4-FFF2-40B4-BE49-F238E27FC236}">
              <a16:creationId xmlns:a16="http://schemas.microsoft.com/office/drawing/2014/main" id="{17515265-58FC-48A2-B98E-439782DD5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50" name="BEx5BJQWS6YWHH4ZMSUAMD641V6Y" descr="ZTMFMXCIQSECDX38ALEFHUB00" hidden="1">
          <a:extLst>
            <a:ext uri="{FF2B5EF4-FFF2-40B4-BE49-F238E27FC236}">
              <a16:creationId xmlns:a16="http://schemas.microsoft.com/office/drawing/2014/main" id="{2A11412E-862D-42B7-896C-FE50042A8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51" name="BExUBK0YZ5VYFY8TTITJGJU9S06A" hidden="1">
          <a:extLst>
            <a:ext uri="{FF2B5EF4-FFF2-40B4-BE49-F238E27FC236}">
              <a16:creationId xmlns:a16="http://schemas.microsoft.com/office/drawing/2014/main" id="{99C47CD2-425E-403A-9392-C9655B755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52" name="BEx5BJQWS6YWHH4ZMSUAMD641V6Y" descr="ZTMFMXCIQSECDX38ALEFHUB00" hidden="1">
          <a:extLst>
            <a:ext uri="{FF2B5EF4-FFF2-40B4-BE49-F238E27FC236}">
              <a16:creationId xmlns:a16="http://schemas.microsoft.com/office/drawing/2014/main" id="{4FD3A25E-97ED-4ABF-80BE-23851443D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53" name="BExUBK0YZ5VYFY8TTITJGJU9S06A" hidden="1">
          <a:extLst>
            <a:ext uri="{FF2B5EF4-FFF2-40B4-BE49-F238E27FC236}">
              <a16:creationId xmlns:a16="http://schemas.microsoft.com/office/drawing/2014/main" id="{EEDCB8EA-43A6-4C91-BF42-F0B961782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54" name="BEx5BJQWS6YWHH4ZMSUAMD641V6Y" descr="ZTMFMXCIQSECDX38ALEFHUB00" hidden="1">
          <a:extLst>
            <a:ext uri="{FF2B5EF4-FFF2-40B4-BE49-F238E27FC236}">
              <a16:creationId xmlns:a16="http://schemas.microsoft.com/office/drawing/2014/main" id="{C78EDE7B-A451-4715-ADBC-7D3AF040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55" name="BExUBK0YZ5VYFY8TTITJGJU9S06A" hidden="1">
          <a:extLst>
            <a:ext uri="{FF2B5EF4-FFF2-40B4-BE49-F238E27FC236}">
              <a16:creationId xmlns:a16="http://schemas.microsoft.com/office/drawing/2014/main" id="{E8724C16-0575-4748-A110-C744E172D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56" name="BEx5BJQWS6YWHH4ZMSUAMD641V6Y" descr="ZTMFMXCIQSECDX38ALEFHUB00" hidden="1">
          <a:extLst>
            <a:ext uri="{FF2B5EF4-FFF2-40B4-BE49-F238E27FC236}">
              <a16:creationId xmlns:a16="http://schemas.microsoft.com/office/drawing/2014/main" id="{F75F79B2-7781-4F1F-88CC-2C0C2B942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57" name="BExUBK0YZ5VYFY8TTITJGJU9S06A" hidden="1">
          <a:extLst>
            <a:ext uri="{FF2B5EF4-FFF2-40B4-BE49-F238E27FC236}">
              <a16:creationId xmlns:a16="http://schemas.microsoft.com/office/drawing/2014/main" id="{3E904863-D5CC-43BE-BE43-B2D8651C8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58" name="BEx5BJQWS6YWHH4ZMSUAMD641V6Y" descr="ZTMFMXCIQSECDX38ALEFHUB00" hidden="1">
          <a:extLst>
            <a:ext uri="{FF2B5EF4-FFF2-40B4-BE49-F238E27FC236}">
              <a16:creationId xmlns:a16="http://schemas.microsoft.com/office/drawing/2014/main" id="{515F5750-33DC-46E0-9D63-AD5477363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59" name="BExUBK0YZ5VYFY8TTITJGJU9S06A" hidden="1">
          <a:extLst>
            <a:ext uri="{FF2B5EF4-FFF2-40B4-BE49-F238E27FC236}">
              <a16:creationId xmlns:a16="http://schemas.microsoft.com/office/drawing/2014/main" id="{16D8FD73-13D6-48AD-8CEF-B0D475C5B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60" name="BExU3EX5JJCXCII4YKUJBFBGIJR2" descr="OF5ZI9PI5WH36VPANJ2DYLNMI" hidden="1">
          <a:extLst>
            <a:ext uri="{FF2B5EF4-FFF2-40B4-BE49-F238E27FC236}">
              <a16:creationId xmlns:a16="http://schemas.microsoft.com/office/drawing/2014/main" id="{BFB4204D-BBE9-4352-B6E3-D0D1A57C9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61" name="BExW9676P0SKCVKK25QCGHPA3PAD" descr="9A4PWZ20RMSRF0PNECCDM75CA" hidden="1">
          <a:extLst>
            <a:ext uri="{FF2B5EF4-FFF2-40B4-BE49-F238E27FC236}">
              <a16:creationId xmlns:a16="http://schemas.microsoft.com/office/drawing/2014/main" id="{0335B54A-05B7-4E0F-B0FC-8CBEFE443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62" name="BExMM0AVUAIRNJLXB1FW8R0YB4ZZ" hidden="1">
          <a:extLst>
            <a:ext uri="{FF2B5EF4-FFF2-40B4-BE49-F238E27FC236}">
              <a16:creationId xmlns:a16="http://schemas.microsoft.com/office/drawing/2014/main" id="{5C2BE40A-B26F-4A30-9A23-E66E2DB95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63" name="BExQ7SXS9VUG7P6CACU2J7R2SGIZ" hidden="1">
          <a:extLst>
            <a:ext uri="{FF2B5EF4-FFF2-40B4-BE49-F238E27FC236}">
              <a16:creationId xmlns:a16="http://schemas.microsoft.com/office/drawing/2014/main" id="{F19C165A-115D-4796-9CD5-DF4AEEE7F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64" name="BExU3EX5JJCXCII4YKUJBFBGIJR2" descr="OF5ZI9PI5WH36VPANJ2DYLNMI" hidden="1">
          <a:extLst>
            <a:ext uri="{FF2B5EF4-FFF2-40B4-BE49-F238E27FC236}">
              <a16:creationId xmlns:a16="http://schemas.microsoft.com/office/drawing/2014/main" id="{B348F347-F788-4E3A-8B3A-45A0707C0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65" name="BExW9676P0SKCVKK25QCGHPA3PAD" descr="9A4PWZ20RMSRF0PNECCDM75CA" hidden="1">
          <a:extLst>
            <a:ext uri="{FF2B5EF4-FFF2-40B4-BE49-F238E27FC236}">
              <a16:creationId xmlns:a16="http://schemas.microsoft.com/office/drawing/2014/main" id="{D656470F-87CE-448E-8653-D65C981CC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66" name="BExMM0AVUAIRNJLXB1FW8R0YB4ZZ" hidden="1">
          <a:extLst>
            <a:ext uri="{FF2B5EF4-FFF2-40B4-BE49-F238E27FC236}">
              <a16:creationId xmlns:a16="http://schemas.microsoft.com/office/drawing/2014/main" id="{1C20FB86-1D8A-44B8-9765-08172315D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67" name="BExQ7SXS9VUG7P6CACU2J7R2SGIZ" hidden="1">
          <a:extLst>
            <a:ext uri="{FF2B5EF4-FFF2-40B4-BE49-F238E27FC236}">
              <a16:creationId xmlns:a16="http://schemas.microsoft.com/office/drawing/2014/main" id="{37A3FE9A-0553-48C0-875A-4CEA00ABA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68" name="BEx5BJQWS6YWHH4ZMSUAMD641V6Y" descr="ZTMFMXCIQSECDX38ALEFHUB00" hidden="1">
          <a:extLst>
            <a:ext uri="{FF2B5EF4-FFF2-40B4-BE49-F238E27FC236}">
              <a16:creationId xmlns:a16="http://schemas.microsoft.com/office/drawing/2014/main" id="{C4AD9C1F-F670-4180-BE74-B25EF4CC9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69" name="BExUBK0YZ5VYFY8TTITJGJU9S06A" hidden="1">
          <a:extLst>
            <a:ext uri="{FF2B5EF4-FFF2-40B4-BE49-F238E27FC236}">
              <a16:creationId xmlns:a16="http://schemas.microsoft.com/office/drawing/2014/main" id="{449CFD7D-C9FB-43CF-BB04-83F13CE06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70" name="BEx5BJQWS6YWHH4ZMSUAMD641V6Y" descr="ZTMFMXCIQSECDX38ALEFHUB00" hidden="1">
          <a:extLst>
            <a:ext uri="{FF2B5EF4-FFF2-40B4-BE49-F238E27FC236}">
              <a16:creationId xmlns:a16="http://schemas.microsoft.com/office/drawing/2014/main" id="{A114E8A6-943F-41D4-8C57-054D480A3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71" name="BExUBK0YZ5VYFY8TTITJGJU9S06A" hidden="1">
          <a:extLst>
            <a:ext uri="{FF2B5EF4-FFF2-40B4-BE49-F238E27FC236}">
              <a16:creationId xmlns:a16="http://schemas.microsoft.com/office/drawing/2014/main" id="{1621F2B8-C8D0-4CAA-9A91-B2755EBCC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72" name="BEx5BJQWS6YWHH4ZMSUAMD641V6Y" descr="ZTMFMXCIQSECDX38ALEFHUB00" hidden="1">
          <a:extLst>
            <a:ext uri="{FF2B5EF4-FFF2-40B4-BE49-F238E27FC236}">
              <a16:creationId xmlns:a16="http://schemas.microsoft.com/office/drawing/2014/main" id="{8027D648-2B8D-44F5-B63A-ECD9A6B26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73" name="BExUBK0YZ5VYFY8TTITJGJU9S06A" hidden="1">
          <a:extLst>
            <a:ext uri="{FF2B5EF4-FFF2-40B4-BE49-F238E27FC236}">
              <a16:creationId xmlns:a16="http://schemas.microsoft.com/office/drawing/2014/main" id="{CE6CD7C6-F158-4805-962C-5F7343FB7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74" name="BEx5BJQWS6YWHH4ZMSUAMD641V6Y" descr="ZTMFMXCIQSECDX38ALEFHUB00" hidden="1">
          <a:extLst>
            <a:ext uri="{FF2B5EF4-FFF2-40B4-BE49-F238E27FC236}">
              <a16:creationId xmlns:a16="http://schemas.microsoft.com/office/drawing/2014/main" id="{D4A00A2B-8083-4619-AE06-1E688635C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75" name="BExUBK0YZ5VYFY8TTITJGJU9S06A" hidden="1">
          <a:extLst>
            <a:ext uri="{FF2B5EF4-FFF2-40B4-BE49-F238E27FC236}">
              <a16:creationId xmlns:a16="http://schemas.microsoft.com/office/drawing/2014/main" id="{51CF2CCD-56CE-4C9C-BB1A-36A058CEA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76" name="BEx5BJQWS6YWHH4ZMSUAMD641V6Y" descr="ZTMFMXCIQSECDX38ALEFHUB00" hidden="1">
          <a:extLst>
            <a:ext uri="{FF2B5EF4-FFF2-40B4-BE49-F238E27FC236}">
              <a16:creationId xmlns:a16="http://schemas.microsoft.com/office/drawing/2014/main" id="{5E4A3306-F424-4E41-AB8C-27894407A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77" name="BExUBK0YZ5VYFY8TTITJGJU9S06A" hidden="1">
          <a:extLst>
            <a:ext uri="{FF2B5EF4-FFF2-40B4-BE49-F238E27FC236}">
              <a16:creationId xmlns:a16="http://schemas.microsoft.com/office/drawing/2014/main" id="{DE3AC502-847C-4C20-AD2C-E2856FD00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78" name="BExU3EX5JJCXCII4YKUJBFBGIJR2" descr="OF5ZI9PI5WH36VPANJ2DYLNMI" hidden="1">
          <a:extLst>
            <a:ext uri="{FF2B5EF4-FFF2-40B4-BE49-F238E27FC236}">
              <a16:creationId xmlns:a16="http://schemas.microsoft.com/office/drawing/2014/main" id="{61EAC229-E124-4416-B955-AAC66717F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79" name="BEx5BJQWS6YWHH4ZMSUAMD641V6Y" descr="ZTMFMXCIQSECDX38ALEFHUB00" hidden="1">
          <a:extLst>
            <a:ext uri="{FF2B5EF4-FFF2-40B4-BE49-F238E27FC236}">
              <a16:creationId xmlns:a16="http://schemas.microsoft.com/office/drawing/2014/main" id="{190D96E2-F55A-4941-B502-EC3C9C284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5580" name="BExIFSCLN1G86X78PFLTSMRP0US5" descr="9JK4SPV4DG7VTCZIILWHXQU5J" hidden="1">
          <a:extLst>
            <a:ext uri="{FF2B5EF4-FFF2-40B4-BE49-F238E27FC236}">
              <a16:creationId xmlns:a16="http://schemas.microsoft.com/office/drawing/2014/main" id="{129BAD10-1F47-497F-B6BF-80E4BBD4E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81" name="BExW9676P0SKCVKK25QCGHPA3PAD" descr="9A4PWZ20RMSRF0PNECCDM75CA" hidden="1">
          <a:extLst>
            <a:ext uri="{FF2B5EF4-FFF2-40B4-BE49-F238E27FC236}">
              <a16:creationId xmlns:a16="http://schemas.microsoft.com/office/drawing/2014/main" id="{EE910EAE-CCF8-4CA0-AD5C-41FF6E12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82" name="BExMM0AVUAIRNJLXB1FW8R0YB4ZZ" hidden="1">
          <a:extLst>
            <a:ext uri="{FF2B5EF4-FFF2-40B4-BE49-F238E27FC236}">
              <a16:creationId xmlns:a16="http://schemas.microsoft.com/office/drawing/2014/main" id="{68C5D345-89E4-4F48-AC67-7C276DF0A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583" name="BExQ7SXS9VUG7P6CACU2J7R2SGIZ" hidden="1">
          <a:extLst>
            <a:ext uri="{FF2B5EF4-FFF2-40B4-BE49-F238E27FC236}">
              <a16:creationId xmlns:a16="http://schemas.microsoft.com/office/drawing/2014/main" id="{89FCFBF9-31DD-4183-B7C1-D1EDA2ADF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84" name="BExUBK0YZ5VYFY8TTITJGJU9S06A" hidden="1">
          <a:extLst>
            <a:ext uri="{FF2B5EF4-FFF2-40B4-BE49-F238E27FC236}">
              <a16:creationId xmlns:a16="http://schemas.microsoft.com/office/drawing/2014/main" id="{A4A9226B-C4C1-494F-A5F6-0452DC8EB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5585" name="BExS3JDQWF7U3F5JTEVOE16ASIYK" hidden="1">
          <a:extLst>
            <a:ext uri="{FF2B5EF4-FFF2-40B4-BE49-F238E27FC236}">
              <a16:creationId xmlns:a16="http://schemas.microsoft.com/office/drawing/2014/main" id="{1A565EA4-B85C-4424-BFE8-F31D324F3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5433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586" name="BEx1KD7H6UB1VYCJ7O61P562EIUY" descr="IQGV9140X0K0UPBL8OGU3I44J" hidden="1">
          <a:extLst>
            <a:ext uri="{FF2B5EF4-FFF2-40B4-BE49-F238E27FC236}">
              <a16:creationId xmlns:a16="http://schemas.microsoft.com/office/drawing/2014/main" id="{41470A2B-11C5-4D6C-B532-60B23F842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587" name="BEx5AQZ4ETQ9LMY5EBWVH20Z7VXQ" hidden="1">
          <a:extLst>
            <a:ext uri="{FF2B5EF4-FFF2-40B4-BE49-F238E27FC236}">
              <a16:creationId xmlns:a16="http://schemas.microsoft.com/office/drawing/2014/main" id="{7174D5F9-5FDE-4D47-B9BE-9E472F9B5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588" name="BEx1KD7H6UB1VYCJ7O61P562EIUY" descr="IQGV9140X0K0UPBL8OGU3I44J" hidden="1">
          <a:extLst>
            <a:ext uri="{FF2B5EF4-FFF2-40B4-BE49-F238E27FC236}">
              <a16:creationId xmlns:a16="http://schemas.microsoft.com/office/drawing/2014/main" id="{08D88287-8E29-4D7E-B435-765F4AE47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589" name="BEx5AQZ4ETQ9LMY5EBWVH20Z7VXQ" hidden="1">
          <a:extLst>
            <a:ext uri="{FF2B5EF4-FFF2-40B4-BE49-F238E27FC236}">
              <a16:creationId xmlns:a16="http://schemas.microsoft.com/office/drawing/2014/main" id="{9E734505-9AB7-4593-AA04-1DAA32381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90" name="BEx5BJQWS6YWHH4ZMSUAMD641V6Y" descr="ZTMFMXCIQSECDX38ALEFHUB00" hidden="1">
          <a:extLst>
            <a:ext uri="{FF2B5EF4-FFF2-40B4-BE49-F238E27FC236}">
              <a16:creationId xmlns:a16="http://schemas.microsoft.com/office/drawing/2014/main" id="{2BA20D18-1EBA-435F-A0B8-F1C2DBE96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91" name="BExUBK0YZ5VYFY8TTITJGJU9S06A" hidden="1">
          <a:extLst>
            <a:ext uri="{FF2B5EF4-FFF2-40B4-BE49-F238E27FC236}">
              <a16:creationId xmlns:a16="http://schemas.microsoft.com/office/drawing/2014/main" id="{0F0C3B7C-9B51-42C3-B049-C80DCFD09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592" name="BEx1KD7H6UB1VYCJ7O61P562EIUY" descr="IQGV9140X0K0UPBL8OGU3I44J" hidden="1">
          <a:extLst>
            <a:ext uri="{FF2B5EF4-FFF2-40B4-BE49-F238E27FC236}">
              <a16:creationId xmlns:a16="http://schemas.microsoft.com/office/drawing/2014/main" id="{1E4AB629-52A0-4B37-9C77-571F87E62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593" name="BEx5AQZ4ETQ9LMY5EBWVH20Z7VXQ" hidden="1">
          <a:extLst>
            <a:ext uri="{FF2B5EF4-FFF2-40B4-BE49-F238E27FC236}">
              <a16:creationId xmlns:a16="http://schemas.microsoft.com/office/drawing/2014/main" id="{6055409C-CCEF-4D35-9EEA-10FCB254F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94" name="BEx5BJQWS6YWHH4ZMSUAMD641V6Y" descr="ZTMFMXCIQSECDX38ALEFHUB00" hidden="1">
          <a:extLst>
            <a:ext uri="{FF2B5EF4-FFF2-40B4-BE49-F238E27FC236}">
              <a16:creationId xmlns:a16="http://schemas.microsoft.com/office/drawing/2014/main" id="{D5E1E10E-9F47-4544-8F18-8DD037C53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95" name="BExUBK0YZ5VYFY8TTITJGJU9S06A" hidden="1">
          <a:extLst>
            <a:ext uri="{FF2B5EF4-FFF2-40B4-BE49-F238E27FC236}">
              <a16:creationId xmlns:a16="http://schemas.microsoft.com/office/drawing/2014/main" id="{713DB3BC-7CC0-485F-AE3D-BBC58A840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96" name="BEx5BJQWS6YWHH4ZMSUAMD641V6Y" descr="ZTMFMXCIQSECDX38ALEFHUB00" hidden="1">
          <a:extLst>
            <a:ext uri="{FF2B5EF4-FFF2-40B4-BE49-F238E27FC236}">
              <a16:creationId xmlns:a16="http://schemas.microsoft.com/office/drawing/2014/main" id="{248F620B-59CA-448A-804D-F5107FF12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597" name="BExUBK0YZ5VYFY8TTITJGJU9S06A" hidden="1">
          <a:extLst>
            <a:ext uri="{FF2B5EF4-FFF2-40B4-BE49-F238E27FC236}">
              <a16:creationId xmlns:a16="http://schemas.microsoft.com/office/drawing/2014/main" id="{87B4FF64-68C8-4121-B5BA-6E3C7DBDF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598" name="BEx1KD7H6UB1VYCJ7O61P562EIUY" descr="IQGV9140X0K0UPBL8OGU3I44J" hidden="1">
          <a:extLst>
            <a:ext uri="{FF2B5EF4-FFF2-40B4-BE49-F238E27FC236}">
              <a16:creationId xmlns:a16="http://schemas.microsoft.com/office/drawing/2014/main" id="{D944C027-B347-4C5D-8B6A-6C006A08E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599" name="BEx5AQZ4ETQ9LMY5EBWVH20Z7VXQ" hidden="1">
          <a:extLst>
            <a:ext uri="{FF2B5EF4-FFF2-40B4-BE49-F238E27FC236}">
              <a16:creationId xmlns:a16="http://schemas.microsoft.com/office/drawing/2014/main" id="{23431BCA-78A0-4B22-A619-764F974B5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00" name="BEx5BJQWS6YWHH4ZMSUAMD641V6Y" descr="ZTMFMXCIQSECDX38ALEFHUB00" hidden="1">
          <a:extLst>
            <a:ext uri="{FF2B5EF4-FFF2-40B4-BE49-F238E27FC236}">
              <a16:creationId xmlns:a16="http://schemas.microsoft.com/office/drawing/2014/main" id="{C856A6CA-1B50-4477-B442-AAF570657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01" name="BExUBK0YZ5VYFY8TTITJGJU9S06A" hidden="1">
          <a:extLst>
            <a:ext uri="{FF2B5EF4-FFF2-40B4-BE49-F238E27FC236}">
              <a16:creationId xmlns:a16="http://schemas.microsoft.com/office/drawing/2014/main" id="{235F44A8-2599-4DFD-A207-0A5D78C6E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02" name="BEx5BJQWS6YWHH4ZMSUAMD641V6Y" descr="ZTMFMXCIQSECDX38ALEFHUB00" hidden="1">
          <a:extLst>
            <a:ext uri="{FF2B5EF4-FFF2-40B4-BE49-F238E27FC236}">
              <a16:creationId xmlns:a16="http://schemas.microsoft.com/office/drawing/2014/main" id="{A6B821C5-9524-455C-B852-71C570FF0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03" name="BExUBK0YZ5VYFY8TTITJGJU9S06A" hidden="1">
          <a:extLst>
            <a:ext uri="{FF2B5EF4-FFF2-40B4-BE49-F238E27FC236}">
              <a16:creationId xmlns:a16="http://schemas.microsoft.com/office/drawing/2014/main" id="{2DC2B6B5-601C-4C43-8B14-36399AE4B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04" name="BEx5BJQWS6YWHH4ZMSUAMD641V6Y" descr="ZTMFMXCIQSECDX38ALEFHUB00" hidden="1">
          <a:extLst>
            <a:ext uri="{FF2B5EF4-FFF2-40B4-BE49-F238E27FC236}">
              <a16:creationId xmlns:a16="http://schemas.microsoft.com/office/drawing/2014/main" id="{B06B7D32-4914-4AFE-AA18-58F46FD60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05" name="BExUBK0YZ5VYFY8TTITJGJU9S06A" hidden="1">
          <a:extLst>
            <a:ext uri="{FF2B5EF4-FFF2-40B4-BE49-F238E27FC236}">
              <a16:creationId xmlns:a16="http://schemas.microsoft.com/office/drawing/2014/main" id="{CEB6CC01-96EB-4542-8F3F-DC1128F2D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606" name="BEx1KD7H6UB1VYCJ7O61P562EIUY" descr="IQGV9140X0K0UPBL8OGU3I44J" hidden="1">
          <a:extLst>
            <a:ext uri="{FF2B5EF4-FFF2-40B4-BE49-F238E27FC236}">
              <a16:creationId xmlns:a16="http://schemas.microsoft.com/office/drawing/2014/main" id="{A8F67B38-B9EE-45E4-92C1-8FC81849B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607" name="BEx5AQZ4ETQ9LMY5EBWVH20Z7VXQ" hidden="1">
          <a:extLst>
            <a:ext uri="{FF2B5EF4-FFF2-40B4-BE49-F238E27FC236}">
              <a16:creationId xmlns:a16="http://schemas.microsoft.com/office/drawing/2014/main" id="{15620A26-733C-4436-A44A-EF76770C3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08" name="BEx5BJQWS6YWHH4ZMSUAMD641V6Y" descr="ZTMFMXCIQSECDX38ALEFHUB00" hidden="1">
          <a:extLst>
            <a:ext uri="{FF2B5EF4-FFF2-40B4-BE49-F238E27FC236}">
              <a16:creationId xmlns:a16="http://schemas.microsoft.com/office/drawing/2014/main" id="{91043BDB-ED3E-45DC-83FC-664557E88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09" name="BExUBK0YZ5VYFY8TTITJGJU9S06A" hidden="1">
          <a:extLst>
            <a:ext uri="{FF2B5EF4-FFF2-40B4-BE49-F238E27FC236}">
              <a16:creationId xmlns:a16="http://schemas.microsoft.com/office/drawing/2014/main" id="{DD290012-2E43-4115-A186-70A7A414B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10" name="BEx5BJQWS6YWHH4ZMSUAMD641V6Y" descr="ZTMFMXCIQSECDX38ALEFHUB00" hidden="1">
          <a:extLst>
            <a:ext uri="{FF2B5EF4-FFF2-40B4-BE49-F238E27FC236}">
              <a16:creationId xmlns:a16="http://schemas.microsoft.com/office/drawing/2014/main" id="{0E5D804D-92BF-4016-B521-7DC6B8509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11" name="BExUBK0YZ5VYFY8TTITJGJU9S06A" hidden="1">
          <a:extLst>
            <a:ext uri="{FF2B5EF4-FFF2-40B4-BE49-F238E27FC236}">
              <a16:creationId xmlns:a16="http://schemas.microsoft.com/office/drawing/2014/main" id="{B5657CB2-CF06-4F08-B29D-5658DE12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12" name="BEx5BJQWS6YWHH4ZMSUAMD641V6Y" descr="ZTMFMXCIQSECDX38ALEFHUB00" hidden="1">
          <a:extLst>
            <a:ext uri="{FF2B5EF4-FFF2-40B4-BE49-F238E27FC236}">
              <a16:creationId xmlns:a16="http://schemas.microsoft.com/office/drawing/2014/main" id="{F2B5644D-F78D-4127-8039-FC9958ED6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13" name="BExUBK0YZ5VYFY8TTITJGJU9S06A" hidden="1">
          <a:extLst>
            <a:ext uri="{FF2B5EF4-FFF2-40B4-BE49-F238E27FC236}">
              <a16:creationId xmlns:a16="http://schemas.microsoft.com/office/drawing/2014/main" id="{A0D1ABA8-5270-4411-B2AC-D1861AA0C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14" name="BEx5BJQWS6YWHH4ZMSUAMD641V6Y" descr="ZTMFMXCIQSECDX38ALEFHUB00" hidden="1">
          <a:extLst>
            <a:ext uri="{FF2B5EF4-FFF2-40B4-BE49-F238E27FC236}">
              <a16:creationId xmlns:a16="http://schemas.microsoft.com/office/drawing/2014/main" id="{B498A89B-3937-48CD-A44D-08D345307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15" name="BExUBK0YZ5VYFY8TTITJGJU9S06A" hidden="1">
          <a:extLst>
            <a:ext uri="{FF2B5EF4-FFF2-40B4-BE49-F238E27FC236}">
              <a16:creationId xmlns:a16="http://schemas.microsoft.com/office/drawing/2014/main" id="{63E960E1-6363-4C87-A6EC-9454B0F3B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16" name="BEx5BJQWS6YWHH4ZMSUAMD641V6Y" descr="ZTMFMXCIQSECDX38ALEFHUB00" hidden="1">
          <a:extLst>
            <a:ext uri="{FF2B5EF4-FFF2-40B4-BE49-F238E27FC236}">
              <a16:creationId xmlns:a16="http://schemas.microsoft.com/office/drawing/2014/main" id="{7E11142E-E8B9-41AA-BDAC-441BC5B96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17" name="BExUBK0YZ5VYFY8TTITJGJU9S06A" hidden="1">
          <a:extLst>
            <a:ext uri="{FF2B5EF4-FFF2-40B4-BE49-F238E27FC236}">
              <a16:creationId xmlns:a16="http://schemas.microsoft.com/office/drawing/2014/main" id="{BAF5C14C-DB06-4EC3-AB75-EB5FDFC20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18" name="BEx5BJQWS6YWHH4ZMSUAMD641V6Y" descr="ZTMFMXCIQSECDX38ALEFHUB00" hidden="1">
          <a:extLst>
            <a:ext uri="{FF2B5EF4-FFF2-40B4-BE49-F238E27FC236}">
              <a16:creationId xmlns:a16="http://schemas.microsoft.com/office/drawing/2014/main" id="{319A3859-B1F0-4E3C-975E-70153BE9A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19" name="BExUBK0YZ5VYFY8TTITJGJU9S06A" hidden="1">
          <a:extLst>
            <a:ext uri="{FF2B5EF4-FFF2-40B4-BE49-F238E27FC236}">
              <a16:creationId xmlns:a16="http://schemas.microsoft.com/office/drawing/2014/main" id="{3FE0FF55-5493-4846-8696-24916CAAF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20" name="BEx5BJQWS6YWHH4ZMSUAMD641V6Y" descr="ZTMFMXCIQSECDX38ALEFHUB00" hidden="1">
          <a:extLst>
            <a:ext uri="{FF2B5EF4-FFF2-40B4-BE49-F238E27FC236}">
              <a16:creationId xmlns:a16="http://schemas.microsoft.com/office/drawing/2014/main" id="{CA71A643-4C1C-4906-BF00-A20032540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21" name="BExUBK0YZ5VYFY8TTITJGJU9S06A" hidden="1">
          <a:extLst>
            <a:ext uri="{FF2B5EF4-FFF2-40B4-BE49-F238E27FC236}">
              <a16:creationId xmlns:a16="http://schemas.microsoft.com/office/drawing/2014/main" id="{C803983F-09CF-4F18-94E3-7E139A7E2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22" name="BEx5BJQWS6YWHH4ZMSUAMD641V6Y" descr="ZTMFMXCIQSECDX38ALEFHUB00" hidden="1">
          <a:extLst>
            <a:ext uri="{FF2B5EF4-FFF2-40B4-BE49-F238E27FC236}">
              <a16:creationId xmlns:a16="http://schemas.microsoft.com/office/drawing/2014/main" id="{FA588D3E-5008-41C5-A785-96E5CDC47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23" name="BExUBK0YZ5VYFY8TTITJGJU9S06A" hidden="1">
          <a:extLst>
            <a:ext uri="{FF2B5EF4-FFF2-40B4-BE49-F238E27FC236}">
              <a16:creationId xmlns:a16="http://schemas.microsoft.com/office/drawing/2014/main" id="{C1649134-A3E8-4570-B179-033254F56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24" name="BEx5BJQWS6YWHH4ZMSUAMD641V6Y" descr="ZTMFMXCIQSECDX38ALEFHUB00" hidden="1">
          <a:extLst>
            <a:ext uri="{FF2B5EF4-FFF2-40B4-BE49-F238E27FC236}">
              <a16:creationId xmlns:a16="http://schemas.microsoft.com/office/drawing/2014/main" id="{93EFD78D-AEAD-4980-8533-BFEAAEC44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25" name="BExUBK0YZ5VYFY8TTITJGJU9S06A" hidden="1">
          <a:extLst>
            <a:ext uri="{FF2B5EF4-FFF2-40B4-BE49-F238E27FC236}">
              <a16:creationId xmlns:a16="http://schemas.microsoft.com/office/drawing/2014/main" id="{6E6B0FDD-76C1-4995-87AA-DF775B2F8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26" name="BEx5BJQWS6YWHH4ZMSUAMD641V6Y" descr="ZTMFMXCIQSECDX38ALEFHUB00" hidden="1">
          <a:extLst>
            <a:ext uri="{FF2B5EF4-FFF2-40B4-BE49-F238E27FC236}">
              <a16:creationId xmlns:a16="http://schemas.microsoft.com/office/drawing/2014/main" id="{79F14224-5D7F-4D6A-8B08-B10748D4D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27" name="BExUBK0YZ5VYFY8TTITJGJU9S06A" hidden="1">
          <a:extLst>
            <a:ext uri="{FF2B5EF4-FFF2-40B4-BE49-F238E27FC236}">
              <a16:creationId xmlns:a16="http://schemas.microsoft.com/office/drawing/2014/main" id="{84B50600-2F35-4A8C-82F7-6BA7549AE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28" name="BEx5BJQWS6YWHH4ZMSUAMD641V6Y" descr="ZTMFMXCIQSECDX38ALEFHUB00" hidden="1">
          <a:extLst>
            <a:ext uri="{FF2B5EF4-FFF2-40B4-BE49-F238E27FC236}">
              <a16:creationId xmlns:a16="http://schemas.microsoft.com/office/drawing/2014/main" id="{71C091AB-AD76-4299-B2D0-672DAC895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29" name="BExUBK0YZ5VYFY8TTITJGJU9S06A" hidden="1">
          <a:extLst>
            <a:ext uri="{FF2B5EF4-FFF2-40B4-BE49-F238E27FC236}">
              <a16:creationId xmlns:a16="http://schemas.microsoft.com/office/drawing/2014/main" id="{DD04DC8F-513F-46ED-AF09-9BD43F1DB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30" name="BEx5BJQWS6YWHH4ZMSUAMD641V6Y" descr="ZTMFMXCIQSECDX38ALEFHUB00" hidden="1">
          <a:extLst>
            <a:ext uri="{FF2B5EF4-FFF2-40B4-BE49-F238E27FC236}">
              <a16:creationId xmlns:a16="http://schemas.microsoft.com/office/drawing/2014/main" id="{19923D7F-F09D-497A-8F8A-32802921F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31" name="BExUBK0YZ5VYFY8TTITJGJU9S06A" hidden="1">
          <a:extLst>
            <a:ext uri="{FF2B5EF4-FFF2-40B4-BE49-F238E27FC236}">
              <a16:creationId xmlns:a16="http://schemas.microsoft.com/office/drawing/2014/main" id="{78C87CDC-C4B6-4FBA-8DE2-CBBF9AE46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32" name="BEx5BJQWS6YWHH4ZMSUAMD641V6Y" descr="ZTMFMXCIQSECDX38ALEFHUB00" hidden="1">
          <a:extLst>
            <a:ext uri="{FF2B5EF4-FFF2-40B4-BE49-F238E27FC236}">
              <a16:creationId xmlns:a16="http://schemas.microsoft.com/office/drawing/2014/main" id="{0A3CAA60-2F53-4DED-8407-F951DBB34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33" name="BExUBK0YZ5VYFY8TTITJGJU9S06A" hidden="1">
          <a:extLst>
            <a:ext uri="{FF2B5EF4-FFF2-40B4-BE49-F238E27FC236}">
              <a16:creationId xmlns:a16="http://schemas.microsoft.com/office/drawing/2014/main" id="{06A3AAAA-3B1C-42B4-B19A-7AC8BF70B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34" name="BEx5BJQWS6YWHH4ZMSUAMD641V6Y" descr="ZTMFMXCIQSECDX38ALEFHUB00" hidden="1">
          <a:extLst>
            <a:ext uri="{FF2B5EF4-FFF2-40B4-BE49-F238E27FC236}">
              <a16:creationId xmlns:a16="http://schemas.microsoft.com/office/drawing/2014/main" id="{F912A7CE-734C-4F14-B816-3D2F2D390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35" name="BExUBK0YZ5VYFY8TTITJGJU9S06A" hidden="1">
          <a:extLst>
            <a:ext uri="{FF2B5EF4-FFF2-40B4-BE49-F238E27FC236}">
              <a16:creationId xmlns:a16="http://schemas.microsoft.com/office/drawing/2014/main" id="{4323C027-2266-4654-9475-8AC049387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36" name="BEx5BJQWS6YWHH4ZMSUAMD641V6Y" descr="ZTMFMXCIQSECDX38ALEFHUB00" hidden="1">
          <a:extLst>
            <a:ext uri="{FF2B5EF4-FFF2-40B4-BE49-F238E27FC236}">
              <a16:creationId xmlns:a16="http://schemas.microsoft.com/office/drawing/2014/main" id="{D69BC0BF-A9D5-4CA0-972B-7F73FACAF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37" name="BExUBK0YZ5VYFY8TTITJGJU9S06A" hidden="1">
          <a:extLst>
            <a:ext uri="{FF2B5EF4-FFF2-40B4-BE49-F238E27FC236}">
              <a16:creationId xmlns:a16="http://schemas.microsoft.com/office/drawing/2014/main" id="{C6B5B8E4-A85F-42B2-B2F6-705FA4C70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38" name="BEx5BJQWS6YWHH4ZMSUAMD641V6Y" descr="ZTMFMXCIQSECDX38ALEFHUB00" hidden="1">
          <a:extLst>
            <a:ext uri="{FF2B5EF4-FFF2-40B4-BE49-F238E27FC236}">
              <a16:creationId xmlns:a16="http://schemas.microsoft.com/office/drawing/2014/main" id="{5E9AF2FB-9929-4063-8C0C-B2D7E15BE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39" name="BExUBK0YZ5VYFY8TTITJGJU9S06A" hidden="1">
          <a:extLst>
            <a:ext uri="{FF2B5EF4-FFF2-40B4-BE49-F238E27FC236}">
              <a16:creationId xmlns:a16="http://schemas.microsoft.com/office/drawing/2014/main" id="{FC6E52B8-97BD-4310-AFE7-73BD90F94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40" name="BEx5BJQWS6YWHH4ZMSUAMD641V6Y" descr="ZTMFMXCIQSECDX38ALEFHUB00" hidden="1">
          <a:extLst>
            <a:ext uri="{FF2B5EF4-FFF2-40B4-BE49-F238E27FC236}">
              <a16:creationId xmlns:a16="http://schemas.microsoft.com/office/drawing/2014/main" id="{77435E6A-0745-4960-B877-AB3C56F46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41" name="BExUBK0YZ5VYFY8TTITJGJU9S06A" hidden="1">
          <a:extLst>
            <a:ext uri="{FF2B5EF4-FFF2-40B4-BE49-F238E27FC236}">
              <a16:creationId xmlns:a16="http://schemas.microsoft.com/office/drawing/2014/main" id="{2B834278-CD6F-4254-8D5F-20BF651B8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42" name="BEx5BJQWS6YWHH4ZMSUAMD641V6Y" descr="ZTMFMXCIQSECDX38ALEFHUB00" hidden="1">
          <a:extLst>
            <a:ext uri="{FF2B5EF4-FFF2-40B4-BE49-F238E27FC236}">
              <a16:creationId xmlns:a16="http://schemas.microsoft.com/office/drawing/2014/main" id="{566FDB8C-7DC1-4A2D-8062-2A47D132A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43" name="BExUBK0YZ5VYFY8TTITJGJU9S06A" hidden="1">
          <a:extLst>
            <a:ext uri="{FF2B5EF4-FFF2-40B4-BE49-F238E27FC236}">
              <a16:creationId xmlns:a16="http://schemas.microsoft.com/office/drawing/2014/main" id="{F9F7488B-2AFA-4A15-8113-C9DBEBB57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44" name="BEx5BJQWS6YWHH4ZMSUAMD641V6Y" descr="ZTMFMXCIQSECDX38ALEFHUB00" hidden="1">
          <a:extLst>
            <a:ext uri="{FF2B5EF4-FFF2-40B4-BE49-F238E27FC236}">
              <a16:creationId xmlns:a16="http://schemas.microsoft.com/office/drawing/2014/main" id="{2A12542A-7B6D-4AA8-B171-2F6C50289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45" name="BExUBK0YZ5VYFY8TTITJGJU9S06A" hidden="1">
          <a:extLst>
            <a:ext uri="{FF2B5EF4-FFF2-40B4-BE49-F238E27FC236}">
              <a16:creationId xmlns:a16="http://schemas.microsoft.com/office/drawing/2014/main" id="{C9C2FE2A-8378-4AAB-8FDA-F730D11FD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46" name="BEx5BJQWS6YWHH4ZMSUAMD641V6Y" descr="ZTMFMXCIQSECDX38ALEFHUB00" hidden="1">
          <a:extLst>
            <a:ext uri="{FF2B5EF4-FFF2-40B4-BE49-F238E27FC236}">
              <a16:creationId xmlns:a16="http://schemas.microsoft.com/office/drawing/2014/main" id="{EC24E50A-1936-4A07-98EB-F4AA452CA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47" name="BExUBK0YZ5VYFY8TTITJGJU9S06A" hidden="1">
          <a:extLst>
            <a:ext uri="{FF2B5EF4-FFF2-40B4-BE49-F238E27FC236}">
              <a16:creationId xmlns:a16="http://schemas.microsoft.com/office/drawing/2014/main" id="{B2CBDE76-A708-40F6-9F92-2A33E90D9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48" name="BEx5BJQWS6YWHH4ZMSUAMD641V6Y" descr="ZTMFMXCIQSECDX38ALEFHUB00" hidden="1">
          <a:extLst>
            <a:ext uri="{FF2B5EF4-FFF2-40B4-BE49-F238E27FC236}">
              <a16:creationId xmlns:a16="http://schemas.microsoft.com/office/drawing/2014/main" id="{D9969179-967F-417E-BD1C-52250D787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49" name="BExUBK0YZ5VYFY8TTITJGJU9S06A" hidden="1">
          <a:extLst>
            <a:ext uri="{FF2B5EF4-FFF2-40B4-BE49-F238E27FC236}">
              <a16:creationId xmlns:a16="http://schemas.microsoft.com/office/drawing/2014/main" id="{CBB3F63B-CF74-4368-A18C-BA3AA922A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50" name="BEx5BJQWS6YWHH4ZMSUAMD641V6Y" descr="ZTMFMXCIQSECDX38ALEFHUB00" hidden="1">
          <a:extLst>
            <a:ext uri="{FF2B5EF4-FFF2-40B4-BE49-F238E27FC236}">
              <a16:creationId xmlns:a16="http://schemas.microsoft.com/office/drawing/2014/main" id="{1F98FD28-93D9-445D-9CBD-8D7F493F2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51" name="BExUBK0YZ5VYFY8TTITJGJU9S06A" hidden="1">
          <a:extLst>
            <a:ext uri="{FF2B5EF4-FFF2-40B4-BE49-F238E27FC236}">
              <a16:creationId xmlns:a16="http://schemas.microsoft.com/office/drawing/2014/main" id="{4C0C6F11-391E-4740-AE39-4334900A1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52" name="BEx5BJQWS6YWHH4ZMSUAMD641V6Y" descr="ZTMFMXCIQSECDX38ALEFHUB00" hidden="1">
          <a:extLst>
            <a:ext uri="{FF2B5EF4-FFF2-40B4-BE49-F238E27FC236}">
              <a16:creationId xmlns:a16="http://schemas.microsoft.com/office/drawing/2014/main" id="{8CE0715B-C7F1-4302-9D1F-4396ED951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53" name="BExUBK0YZ5VYFY8TTITJGJU9S06A" hidden="1">
          <a:extLst>
            <a:ext uri="{FF2B5EF4-FFF2-40B4-BE49-F238E27FC236}">
              <a16:creationId xmlns:a16="http://schemas.microsoft.com/office/drawing/2014/main" id="{FB448ACA-608F-4702-812B-CF082BBF8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54" name="BEx5BJQWS6YWHH4ZMSUAMD641V6Y" descr="ZTMFMXCIQSECDX38ALEFHUB00" hidden="1">
          <a:extLst>
            <a:ext uri="{FF2B5EF4-FFF2-40B4-BE49-F238E27FC236}">
              <a16:creationId xmlns:a16="http://schemas.microsoft.com/office/drawing/2014/main" id="{B5316166-FB80-41CF-A516-B9DEDE656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55" name="BExUBK0YZ5VYFY8TTITJGJU9S06A" hidden="1">
          <a:extLst>
            <a:ext uri="{FF2B5EF4-FFF2-40B4-BE49-F238E27FC236}">
              <a16:creationId xmlns:a16="http://schemas.microsoft.com/office/drawing/2014/main" id="{D29C3C52-B941-4339-B90A-70044E173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56" name="BEx5BJQWS6YWHH4ZMSUAMD641V6Y" descr="ZTMFMXCIQSECDX38ALEFHUB00" hidden="1">
          <a:extLst>
            <a:ext uri="{FF2B5EF4-FFF2-40B4-BE49-F238E27FC236}">
              <a16:creationId xmlns:a16="http://schemas.microsoft.com/office/drawing/2014/main" id="{F555A4AE-F63F-4211-8358-9F750F20E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57" name="BExUBK0YZ5VYFY8TTITJGJU9S06A" hidden="1">
          <a:extLst>
            <a:ext uri="{FF2B5EF4-FFF2-40B4-BE49-F238E27FC236}">
              <a16:creationId xmlns:a16="http://schemas.microsoft.com/office/drawing/2014/main" id="{7C13CA40-06D1-44DD-9922-6F230BB6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58" name="BEx5BJQWS6YWHH4ZMSUAMD641V6Y" descr="ZTMFMXCIQSECDX38ALEFHUB00" hidden="1">
          <a:extLst>
            <a:ext uri="{FF2B5EF4-FFF2-40B4-BE49-F238E27FC236}">
              <a16:creationId xmlns:a16="http://schemas.microsoft.com/office/drawing/2014/main" id="{07ED6205-7317-4E7C-B9C2-D67ACFE38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59" name="BExUBK0YZ5VYFY8TTITJGJU9S06A" hidden="1">
          <a:extLst>
            <a:ext uri="{FF2B5EF4-FFF2-40B4-BE49-F238E27FC236}">
              <a16:creationId xmlns:a16="http://schemas.microsoft.com/office/drawing/2014/main" id="{331C71F0-80D4-4C93-AE49-EA9AE6599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60" name="BEx5BJQWS6YWHH4ZMSUAMD641V6Y" descr="ZTMFMXCIQSECDX38ALEFHUB00" hidden="1">
          <a:extLst>
            <a:ext uri="{FF2B5EF4-FFF2-40B4-BE49-F238E27FC236}">
              <a16:creationId xmlns:a16="http://schemas.microsoft.com/office/drawing/2014/main" id="{6B2BD2D4-764E-413C-9BB5-0544F456B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61" name="BExUBK0YZ5VYFY8TTITJGJU9S06A" hidden="1">
          <a:extLst>
            <a:ext uri="{FF2B5EF4-FFF2-40B4-BE49-F238E27FC236}">
              <a16:creationId xmlns:a16="http://schemas.microsoft.com/office/drawing/2014/main" id="{1E22BF84-4540-474A-82A6-C015A3C8A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62" name="BEx5BJQWS6YWHH4ZMSUAMD641V6Y" descr="ZTMFMXCIQSECDX38ALEFHUB00" hidden="1">
          <a:extLst>
            <a:ext uri="{FF2B5EF4-FFF2-40B4-BE49-F238E27FC236}">
              <a16:creationId xmlns:a16="http://schemas.microsoft.com/office/drawing/2014/main" id="{993D97A0-4839-4A63-AFC3-E02A2F1D7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63" name="BExUBK0YZ5VYFY8TTITJGJU9S06A" hidden="1">
          <a:extLst>
            <a:ext uri="{FF2B5EF4-FFF2-40B4-BE49-F238E27FC236}">
              <a16:creationId xmlns:a16="http://schemas.microsoft.com/office/drawing/2014/main" id="{A2C38890-C5B8-4672-B202-E402FCD4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64" name="BEx5BJQWS6YWHH4ZMSUAMD641V6Y" descr="ZTMFMXCIQSECDX38ALEFHUB00" hidden="1">
          <a:extLst>
            <a:ext uri="{FF2B5EF4-FFF2-40B4-BE49-F238E27FC236}">
              <a16:creationId xmlns:a16="http://schemas.microsoft.com/office/drawing/2014/main" id="{DEF84144-ADA5-4D14-AE9A-83335B20D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65" name="BExUBK0YZ5VYFY8TTITJGJU9S06A" hidden="1">
          <a:extLst>
            <a:ext uri="{FF2B5EF4-FFF2-40B4-BE49-F238E27FC236}">
              <a16:creationId xmlns:a16="http://schemas.microsoft.com/office/drawing/2014/main" id="{01B5F501-C899-4D13-86EE-4CBB25BC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66" name="BEx5BJQWS6YWHH4ZMSUAMD641V6Y" descr="ZTMFMXCIQSECDX38ALEFHUB00" hidden="1">
          <a:extLst>
            <a:ext uri="{FF2B5EF4-FFF2-40B4-BE49-F238E27FC236}">
              <a16:creationId xmlns:a16="http://schemas.microsoft.com/office/drawing/2014/main" id="{E7134217-2604-47CD-B056-06A8415FF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67" name="BExUBK0YZ5VYFY8TTITJGJU9S06A" hidden="1">
          <a:extLst>
            <a:ext uri="{FF2B5EF4-FFF2-40B4-BE49-F238E27FC236}">
              <a16:creationId xmlns:a16="http://schemas.microsoft.com/office/drawing/2014/main" id="{A8BCF0F3-FD2F-4BD7-B53F-D5B37FCF3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68" name="BEx5BJQWS6YWHH4ZMSUAMD641V6Y" descr="ZTMFMXCIQSECDX38ALEFHUB00" hidden="1">
          <a:extLst>
            <a:ext uri="{FF2B5EF4-FFF2-40B4-BE49-F238E27FC236}">
              <a16:creationId xmlns:a16="http://schemas.microsoft.com/office/drawing/2014/main" id="{1665A3EC-D221-48B6-8F81-241527983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69" name="BExUBK0YZ5VYFY8TTITJGJU9S06A" hidden="1">
          <a:extLst>
            <a:ext uri="{FF2B5EF4-FFF2-40B4-BE49-F238E27FC236}">
              <a16:creationId xmlns:a16="http://schemas.microsoft.com/office/drawing/2014/main" id="{86936EBF-CBD1-48C6-97DD-DE294562A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70" name="BEx5BJQWS6YWHH4ZMSUAMD641V6Y" descr="ZTMFMXCIQSECDX38ALEFHUB00" hidden="1">
          <a:extLst>
            <a:ext uri="{FF2B5EF4-FFF2-40B4-BE49-F238E27FC236}">
              <a16:creationId xmlns:a16="http://schemas.microsoft.com/office/drawing/2014/main" id="{F8F08F38-48DB-4899-8937-CBD1A029C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71" name="BExUBK0YZ5VYFY8TTITJGJU9S06A" hidden="1">
          <a:extLst>
            <a:ext uri="{FF2B5EF4-FFF2-40B4-BE49-F238E27FC236}">
              <a16:creationId xmlns:a16="http://schemas.microsoft.com/office/drawing/2014/main" id="{B9530661-BAAD-44F9-9D77-1580CDD16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72" name="BEx5BJQWS6YWHH4ZMSUAMD641V6Y" descr="ZTMFMXCIQSECDX38ALEFHUB00" hidden="1">
          <a:extLst>
            <a:ext uri="{FF2B5EF4-FFF2-40B4-BE49-F238E27FC236}">
              <a16:creationId xmlns:a16="http://schemas.microsoft.com/office/drawing/2014/main" id="{B563CF69-0334-4128-9606-D3F5C1053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73" name="BExUBK0YZ5VYFY8TTITJGJU9S06A" hidden="1">
          <a:extLst>
            <a:ext uri="{FF2B5EF4-FFF2-40B4-BE49-F238E27FC236}">
              <a16:creationId xmlns:a16="http://schemas.microsoft.com/office/drawing/2014/main" id="{0095A704-095C-497C-8421-368F5E68D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74" name="BEx5BJQWS6YWHH4ZMSUAMD641V6Y" descr="ZTMFMXCIQSECDX38ALEFHUB00" hidden="1">
          <a:extLst>
            <a:ext uri="{FF2B5EF4-FFF2-40B4-BE49-F238E27FC236}">
              <a16:creationId xmlns:a16="http://schemas.microsoft.com/office/drawing/2014/main" id="{CD91CAC6-3494-4DA6-9414-0E992BE01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75" name="BExUBK0YZ5VYFY8TTITJGJU9S06A" hidden="1">
          <a:extLst>
            <a:ext uri="{FF2B5EF4-FFF2-40B4-BE49-F238E27FC236}">
              <a16:creationId xmlns:a16="http://schemas.microsoft.com/office/drawing/2014/main" id="{70660E06-5610-4632-8990-0E8409EE0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76" name="BEx5BJQWS6YWHH4ZMSUAMD641V6Y" descr="ZTMFMXCIQSECDX38ALEFHUB00" hidden="1">
          <a:extLst>
            <a:ext uri="{FF2B5EF4-FFF2-40B4-BE49-F238E27FC236}">
              <a16:creationId xmlns:a16="http://schemas.microsoft.com/office/drawing/2014/main" id="{12E60F6A-FFAC-4CCF-8ABD-3DA075B3C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77" name="BExUBK0YZ5VYFY8TTITJGJU9S06A" hidden="1">
          <a:extLst>
            <a:ext uri="{FF2B5EF4-FFF2-40B4-BE49-F238E27FC236}">
              <a16:creationId xmlns:a16="http://schemas.microsoft.com/office/drawing/2014/main" id="{9E968128-7613-48A9-9E1E-56C76B5EA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78" name="BEx5BJQWS6YWHH4ZMSUAMD641V6Y" descr="ZTMFMXCIQSECDX38ALEFHUB00" hidden="1">
          <a:extLst>
            <a:ext uri="{FF2B5EF4-FFF2-40B4-BE49-F238E27FC236}">
              <a16:creationId xmlns:a16="http://schemas.microsoft.com/office/drawing/2014/main" id="{1F75FFA7-394C-4FF0-B4D5-FDA521B79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79" name="BExUBK0YZ5VYFY8TTITJGJU9S06A" hidden="1">
          <a:extLst>
            <a:ext uri="{FF2B5EF4-FFF2-40B4-BE49-F238E27FC236}">
              <a16:creationId xmlns:a16="http://schemas.microsoft.com/office/drawing/2014/main" id="{250C7CDC-30AF-4F9F-A011-4091DF39B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80" name="BEx5BJQWS6YWHH4ZMSUAMD641V6Y" descr="ZTMFMXCIQSECDX38ALEFHUB00" hidden="1">
          <a:extLst>
            <a:ext uri="{FF2B5EF4-FFF2-40B4-BE49-F238E27FC236}">
              <a16:creationId xmlns:a16="http://schemas.microsoft.com/office/drawing/2014/main" id="{DCFBCAE3-9B31-4026-A333-C81FAA2E3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81" name="BExUBK0YZ5VYFY8TTITJGJU9S06A" hidden="1">
          <a:extLst>
            <a:ext uri="{FF2B5EF4-FFF2-40B4-BE49-F238E27FC236}">
              <a16:creationId xmlns:a16="http://schemas.microsoft.com/office/drawing/2014/main" id="{7A472A24-95AD-4E14-917A-41C7F4C05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82" name="BEx5BJQWS6YWHH4ZMSUAMD641V6Y" descr="ZTMFMXCIQSECDX38ALEFHUB00" hidden="1">
          <a:extLst>
            <a:ext uri="{FF2B5EF4-FFF2-40B4-BE49-F238E27FC236}">
              <a16:creationId xmlns:a16="http://schemas.microsoft.com/office/drawing/2014/main" id="{570166D5-8769-4E17-ACA5-922455AA0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83" name="BExUBK0YZ5VYFY8TTITJGJU9S06A" hidden="1">
          <a:extLst>
            <a:ext uri="{FF2B5EF4-FFF2-40B4-BE49-F238E27FC236}">
              <a16:creationId xmlns:a16="http://schemas.microsoft.com/office/drawing/2014/main" id="{AF684C6B-7A8D-4D83-9A7C-E24C2BC36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84" name="BEx5BJQWS6YWHH4ZMSUAMD641V6Y" descr="ZTMFMXCIQSECDX38ALEFHUB00" hidden="1">
          <a:extLst>
            <a:ext uri="{FF2B5EF4-FFF2-40B4-BE49-F238E27FC236}">
              <a16:creationId xmlns:a16="http://schemas.microsoft.com/office/drawing/2014/main" id="{D36BA723-4262-4750-AC7A-7E81ED156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85" name="BExUBK0YZ5VYFY8TTITJGJU9S06A" hidden="1">
          <a:extLst>
            <a:ext uri="{FF2B5EF4-FFF2-40B4-BE49-F238E27FC236}">
              <a16:creationId xmlns:a16="http://schemas.microsoft.com/office/drawing/2014/main" id="{9FAD8FBE-7367-456A-98C6-666E0AD8E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86" name="BEx5BJQWS6YWHH4ZMSUAMD641V6Y" descr="ZTMFMXCIQSECDX38ALEFHUB00" hidden="1">
          <a:extLst>
            <a:ext uri="{FF2B5EF4-FFF2-40B4-BE49-F238E27FC236}">
              <a16:creationId xmlns:a16="http://schemas.microsoft.com/office/drawing/2014/main" id="{B8E15BAE-1A3C-418F-ACDE-835E4E7E0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87" name="BExUBK0YZ5VYFY8TTITJGJU9S06A" hidden="1">
          <a:extLst>
            <a:ext uri="{FF2B5EF4-FFF2-40B4-BE49-F238E27FC236}">
              <a16:creationId xmlns:a16="http://schemas.microsoft.com/office/drawing/2014/main" id="{D0C868CF-25A7-4D28-97FA-B1C5D6F3F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688" name="BExU3EX5JJCXCII4YKUJBFBGIJR2" descr="OF5ZI9PI5WH36VPANJ2DYLNMI" hidden="1">
          <a:extLst>
            <a:ext uri="{FF2B5EF4-FFF2-40B4-BE49-F238E27FC236}">
              <a16:creationId xmlns:a16="http://schemas.microsoft.com/office/drawing/2014/main" id="{00341A77-ADA1-4406-B116-1414ECEB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89" name="BEx5BJQWS6YWHH4ZMSUAMD641V6Y" descr="ZTMFMXCIQSECDX38ALEFHUB00" hidden="1">
          <a:extLst>
            <a:ext uri="{FF2B5EF4-FFF2-40B4-BE49-F238E27FC236}">
              <a16:creationId xmlns:a16="http://schemas.microsoft.com/office/drawing/2014/main" id="{CADA5D32-CA05-4ACD-9212-E4F400AC9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5690" name="BExIFSCLN1G86X78PFLTSMRP0US5" descr="9JK4SPV4DG7VTCZIILWHXQU5J" hidden="1">
          <a:extLst>
            <a:ext uri="{FF2B5EF4-FFF2-40B4-BE49-F238E27FC236}">
              <a16:creationId xmlns:a16="http://schemas.microsoft.com/office/drawing/2014/main" id="{90156F95-EAF4-45EC-AFAD-268107F34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691" name="BExW9676P0SKCVKK25QCGHPA3PAD" descr="9A4PWZ20RMSRF0PNECCDM75CA" hidden="1">
          <a:extLst>
            <a:ext uri="{FF2B5EF4-FFF2-40B4-BE49-F238E27FC236}">
              <a16:creationId xmlns:a16="http://schemas.microsoft.com/office/drawing/2014/main" id="{7FE78D5C-B0CB-4EDD-B6FF-63BFE5F30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692" name="BExMM0AVUAIRNJLXB1FW8R0YB4ZZ" hidden="1">
          <a:extLst>
            <a:ext uri="{FF2B5EF4-FFF2-40B4-BE49-F238E27FC236}">
              <a16:creationId xmlns:a16="http://schemas.microsoft.com/office/drawing/2014/main" id="{D45573C3-6B21-41A0-88FA-42C87343B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693" name="BExQ7SXS9VUG7P6CACU2J7R2SGIZ" hidden="1">
          <a:extLst>
            <a:ext uri="{FF2B5EF4-FFF2-40B4-BE49-F238E27FC236}">
              <a16:creationId xmlns:a16="http://schemas.microsoft.com/office/drawing/2014/main" id="{2F9001EE-242D-4D7C-89B4-91ADA61A6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94" name="BExUBK0YZ5VYFY8TTITJGJU9S06A" hidden="1">
          <a:extLst>
            <a:ext uri="{FF2B5EF4-FFF2-40B4-BE49-F238E27FC236}">
              <a16:creationId xmlns:a16="http://schemas.microsoft.com/office/drawing/2014/main" id="{7F3957EB-98CF-4B35-9A60-939EC69F8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5695" name="BExS3JDQWF7U3F5JTEVOE16ASIYK" hidden="1">
          <a:extLst>
            <a:ext uri="{FF2B5EF4-FFF2-40B4-BE49-F238E27FC236}">
              <a16:creationId xmlns:a16="http://schemas.microsoft.com/office/drawing/2014/main" id="{BF5636F3-DEFD-437E-82AB-55A348D26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5433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96" name="BEx5BJQWS6YWHH4ZMSUAMD641V6Y" descr="ZTMFMXCIQSECDX38ALEFHUB00" hidden="1">
          <a:extLst>
            <a:ext uri="{FF2B5EF4-FFF2-40B4-BE49-F238E27FC236}">
              <a16:creationId xmlns:a16="http://schemas.microsoft.com/office/drawing/2014/main" id="{C2E98DFD-5227-49A0-AF73-213CEEAA3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697" name="BExUBK0YZ5VYFY8TTITJGJU9S06A" hidden="1">
          <a:extLst>
            <a:ext uri="{FF2B5EF4-FFF2-40B4-BE49-F238E27FC236}">
              <a16:creationId xmlns:a16="http://schemas.microsoft.com/office/drawing/2014/main" id="{4B4A7D29-A813-43B7-8B6C-F38EFA11A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698" name="BExU3EX5JJCXCII4YKUJBFBGIJR2" descr="OF5ZI9PI5WH36VPANJ2DYLNMI" hidden="1">
          <a:extLst>
            <a:ext uri="{FF2B5EF4-FFF2-40B4-BE49-F238E27FC236}">
              <a16:creationId xmlns:a16="http://schemas.microsoft.com/office/drawing/2014/main" id="{A4198FA4-4FC7-4B0D-88A7-EE4E73F67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699" name="BExW9676P0SKCVKK25QCGHPA3PAD" descr="9A4PWZ20RMSRF0PNECCDM75CA" hidden="1">
          <a:extLst>
            <a:ext uri="{FF2B5EF4-FFF2-40B4-BE49-F238E27FC236}">
              <a16:creationId xmlns:a16="http://schemas.microsoft.com/office/drawing/2014/main" id="{4D22C253-1834-4F61-A0C2-76E5F9C0C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700" name="BExMM0AVUAIRNJLXB1FW8R0YB4ZZ" hidden="1">
          <a:extLst>
            <a:ext uri="{FF2B5EF4-FFF2-40B4-BE49-F238E27FC236}">
              <a16:creationId xmlns:a16="http://schemas.microsoft.com/office/drawing/2014/main" id="{0949A52B-C0F0-46E8-872B-B5E76ED8D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701" name="BExQ7SXS9VUG7P6CACU2J7R2SGIZ" hidden="1">
          <a:extLst>
            <a:ext uri="{FF2B5EF4-FFF2-40B4-BE49-F238E27FC236}">
              <a16:creationId xmlns:a16="http://schemas.microsoft.com/office/drawing/2014/main" id="{2C5D5FE0-DDE9-4516-AC2A-C21DB009F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702" name="BExU3EX5JJCXCII4YKUJBFBGIJR2" descr="OF5ZI9PI5WH36VPANJ2DYLNMI" hidden="1">
          <a:extLst>
            <a:ext uri="{FF2B5EF4-FFF2-40B4-BE49-F238E27FC236}">
              <a16:creationId xmlns:a16="http://schemas.microsoft.com/office/drawing/2014/main" id="{DB2A51E6-5629-4AFF-AFDE-74E56E836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703" name="BExW9676P0SKCVKK25QCGHPA3PAD" descr="9A4PWZ20RMSRF0PNECCDM75CA" hidden="1">
          <a:extLst>
            <a:ext uri="{FF2B5EF4-FFF2-40B4-BE49-F238E27FC236}">
              <a16:creationId xmlns:a16="http://schemas.microsoft.com/office/drawing/2014/main" id="{024B9A2D-2E14-486D-A601-75F044704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704" name="BExMM0AVUAIRNJLXB1FW8R0YB4ZZ" hidden="1">
          <a:extLst>
            <a:ext uri="{FF2B5EF4-FFF2-40B4-BE49-F238E27FC236}">
              <a16:creationId xmlns:a16="http://schemas.microsoft.com/office/drawing/2014/main" id="{AD0BC5D5-1226-4E40-B5CA-8362453C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705" name="BExQ7SXS9VUG7P6CACU2J7R2SGIZ" hidden="1">
          <a:extLst>
            <a:ext uri="{FF2B5EF4-FFF2-40B4-BE49-F238E27FC236}">
              <a16:creationId xmlns:a16="http://schemas.microsoft.com/office/drawing/2014/main" id="{8E170F6B-05DD-4BB7-B5B8-1CF32C7C7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06" name="BEx5BJQWS6YWHH4ZMSUAMD641V6Y" descr="ZTMFMXCIQSECDX38ALEFHUB00" hidden="1">
          <a:extLst>
            <a:ext uri="{FF2B5EF4-FFF2-40B4-BE49-F238E27FC236}">
              <a16:creationId xmlns:a16="http://schemas.microsoft.com/office/drawing/2014/main" id="{02618C27-B297-4EF5-8DCC-91CF4FC2C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07" name="BExUBK0YZ5VYFY8TTITJGJU9S06A" hidden="1">
          <a:extLst>
            <a:ext uri="{FF2B5EF4-FFF2-40B4-BE49-F238E27FC236}">
              <a16:creationId xmlns:a16="http://schemas.microsoft.com/office/drawing/2014/main" id="{9AF902A0-7463-40B8-9B5D-66C6ECEE1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08" name="BEx5BJQWS6YWHH4ZMSUAMD641V6Y" descr="ZTMFMXCIQSECDX38ALEFHUB00" hidden="1">
          <a:extLst>
            <a:ext uri="{FF2B5EF4-FFF2-40B4-BE49-F238E27FC236}">
              <a16:creationId xmlns:a16="http://schemas.microsoft.com/office/drawing/2014/main" id="{9200AC00-1F50-4233-80B7-630ED6580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09" name="BExUBK0YZ5VYFY8TTITJGJU9S06A" hidden="1">
          <a:extLst>
            <a:ext uri="{FF2B5EF4-FFF2-40B4-BE49-F238E27FC236}">
              <a16:creationId xmlns:a16="http://schemas.microsoft.com/office/drawing/2014/main" id="{30D5EBF7-D037-4BCE-86E7-BD7C519AB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10" name="BEx5BJQWS6YWHH4ZMSUAMD641V6Y" descr="ZTMFMXCIQSECDX38ALEFHUB00" hidden="1">
          <a:extLst>
            <a:ext uri="{FF2B5EF4-FFF2-40B4-BE49-F238E27FC236}">
              <a16:creationId xmlns:a16="http://schemas.microsoft.com/office/drawing/2014/main" id="{89A54039-C126-4B06-8542-1B6A04F6D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11" name="BExUBK0YZ5VYFY8TTITJGJU9S06A" hidden="1">
          <a:extLst>
            <a:ext uri="{FF2B5EF4-FFF2-40B4-BE49-F238E27FC236}">
              <a16:creationId xmlns:a16="http://schemas.microsoft.com/office/drawing/2014/main" id="{43B98C9D-5890-477D-9E65-3F94EAAD4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12" name="BEx5BJQWS6YWHH4ZMSUAMD641V6Y" descr="ZTMFMXCIQSECDX38ALEFHUB00" hidden="1">
          <a:extLst>
            <a:ext uri="{FF2B5EF4-FFF2-40B4-BE49-F238E27FC236}">
              <a16:creationId xmlns:a16="http://schemas.microsoft.com/office/drawing/2014/main" id="{34B2F4C1-F4C0-40B9-8CB0-E15C6C44D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13" name="BExUBK0YZ5VYFY8TTITJGJU9S06A" hidden="1">
          <a:extLst>
            <a:ext uri="{FF2B5EF4-FFF2-40B4-BE49-F238E27FC236}">
              <a16:creationId xmlns:a16="http://schemas.microsoft.com/office/drawing/2014/main" id="{55B8293D-F887-440C-850A-7F383AE1D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14" name="BEx5BJQWS6YWHH4ZMSUAMD641V6Y" descr="ZTMFMXCIQSECDX38ALEFHUB00" hidden="1">
          <a:extLst>
            <a:ext uri="{FF2B5EF4-FFF2-40B4-BE49-F238E27FC236}">
              <a16:creationId xmlns:a16="http://schemas.microsoft.com/office/drawing/2014/main" id="{8B50A463-9B05-4240-A6A5-603D5BE36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15" name="BExUBK0YZ5VYFY8TTITJGJU9S06A" hidden="1">
          <a:extLst>
            <a:ext uri="{FF2B5EF4-FFF2-40B4-BE49-F238E27FC236}">
              <a16:creationId xmlns:a16="http://schemas.microsoft.com/office/drawing/2014/main" id="{ABA8F7E9-A1C6-4CD4-884E-9E9E48720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16" name="BEx5BJQWS6YWHH4ZMSUAMD641V6Y" descr="ZTMFMXCIQSECDX38ALEFHUB00" hidden="1">
          <a:extLst>
            <a:ext uri="{FF2B5EF4-FFF2-40B4-BE49-F238E27FC236}">
              <a16:creationId xmlns:a16="http://schemas.microsoft.com/office/drawing/2014/main" id="{644193E1-83BE-464B-A9AB-F33E3F15B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17" name="BExUBK0YZ5VYFY8TTITJGJU9S06A" hidden="1">
          <a:extLst>
            <a:ext uri="{FF2B5EF4-FFF2-40B4-BE49-F238E27FC236}">
              <a16:creationId xmlns:a16="http://schemas.microsoft.com/office/drawing/2014/main" id="{5B8760C3-CE2B-4E1C-A0BA-9FB20CBD4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18" name="BEx5BJQWS6YWHH4ZMSUAMD641V6Y" descr="ZTMFMXCIQSECDX38ALEFHUB00" hidden="1">
          <a:extLst>
            <a:ext uri="{FF2B5EF4-FFF2-40B4-BE49-F238E27FC236}">
              <a16:creationId xmlns:a16="http://schemas.microsoft.com/office/drawing/2014/main" id="{BD0F6AE4-53C0-4886-BAAB-075F3F323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19" name="BExUBK0YZ5VYFY8TTITJGJU9S06A" hidden="1">
          <a:extLst>
            <a:ext uri="{FF2B5EF4-FFF2-40B4-BE49-F238E27FC236}">
              <a16:creationId xmlns:a16="http://schemas.microsoft.com/office/drawing/2014/main" id="{2BAD6FBB-B855-4A4F-B5B4-BE120282F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20" name="BEx5BJQWS6YWHH4ZMSUAMD641V6Y" descr="ZTMFMXCIQSECDX38ALEFHUB00" hidden="1">
          <a:extLst>
            <a:ext uri="{FF2B5EF4-FFF2-40B4-BE49-F238E27FC236}">
              <a16:creationId xmlns:a16="http://schemas.microsoft.com/office/drawing/2014/main" id="{2F965BE1-5C98-4C46-899E-C7C9F7285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21" name="BExUBK0YZ5VYFY8TTITJGJU9S06A" hidden="1">
          <a:extLst>
            <a:ext uri="{FF2B5EF4-FFF2-40B4-BE49-F238E27FC236}">
              <a16:creationId xmlns:a16="http://schemas.microsoft.com/office/drawing/2014/main" id="{B0B59F2D-9629-425A-BF28-C572AF71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22" name="BEx5BJQWS6YWHH4ZMSUAMD641V6Y" descr="ZTMFMXCIQSECDX38ALEFHUB00" hidden="1">
          <a:extLst>
            <a:ext uri="{FF2B5EF4-FFF2-40B4-BE49-F238E27FC236}">
              <a16:creationId xmlns:a16="http://schemas.microsoft.com/office/drawing/2014/main" id="{88782C36-D3D6-45AF-9B8A-27380DD01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23" name="BExUBK0YZ5VYFY8TTITJGJU9S06A" hidden="1">
          <a:extLst>
            <a:ext uri="{FF2B5EF4-FFF2-40B4-BE49-F238E27FC236}">
              <a16:creationId xmlns:a16="http://schemas.microsoft.com/office/drawing/2014/main" id="{E9C56601-EB6B-465C-ABCF-E9596C11F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724" name="BExU3EX5JJCXCII4YKUJBFBGIJR2" descr="OF5ZI9PI5WH36VPANJ2DYLNMI" hidden="1">
          <a:extLst>
            <a:ext uri="{FF2B5EF4-FFF2-40B4-BE49-F238E27FC236}">
              <a16:creationId xmlns:a16="http://schemas.microsoft.com/office/drawing/2014/main" id="{91863B0D-C2F0-41F4-9682-629819714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725" name="BExW9676P0SKCVKK25QCGHPA3PAD" descr="9A4PWZ20RMSRF0PNECCDM75CA" hidden="1">
          <a:extLst>
            <a:ext uri="{FF2B5EF4-FFF2-40B4-BE49-F238E27FC236}">
              <a16:creationId xmlns:a16="http://schemas.microsoft.com/office/drawing/2014/main" id="{F6099508-4E22-4408-925A-4468D4EF6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726" name="BExMM0AVUAIRNJLXB1FW8R0YB4ZZ" hidden="1">
          <a:extLst>
            <a:ext uri="{FF2B5EF4-FFF2-40B4-BE49-F238E27FC236}">
              <a16:creationId xmlns:a16="http://schemas.microsoft.com/office/drawing/2014/main" id="{814FD0B0-B7F9-44A5-9967-782F19ECA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727" name="BExQ7SXS9VUG7P6CACU2J7R2SGIZ" hidden="1">
          <a:extLst>
            <a:ext uri="{FF2B5EF4-FFF2-40B4-BE49-F238E27FC236}">
              <a16:creationId xmlns:a16="http://schemas.microsoft.com/office/drawing/2014/main" id="{F0B67600-6281-4E45-B769-C34D65279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728" name="BExU3EX5JJCXCII4YKUJBFBGIJR2" descr="OF5ZI9PI5WH36VPANJ2DYLNMI" hidden="1">
          <a:extLst>
            <a:ext uri="{FF2B5EF4-FFF2-40B4-BE49-F238E27FC236}">
              <a16:creationId xmlns:a16="http://schemas.microsoft.com/office/drawing/2014/main" id="{4410F23F-45A1-4282-B9EB-A553FE761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729" name="BExW9676P0SKCVKK25QCGHPA3PAD" descr="9A4PWZ20RMSRF0PNECCDM75CA" hidden="1">
          <a:extLst>
            <a:ext uri="{FF2B5EF4-FFF2-40B4-BE49-F238E27FC236}">
              <a16:creationId xmlns:a16="http://schemas.microsoft.com/office/drawing/2014/main" id="{67F26321-4CA3-42B6-BD62-B44D1893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730" name="BExMM0AVUAIRNJLXB1FW8R0YB4ZZ" hidden="1">
          <a:extLst>
            <a:ext uri="{FF2B5EF4-FFF2-40B4-BE49-F238E27FC236}">
              <a16:creationId xmlns:a16="http://schemas.microsoft.com/office/drawing/2014/main" id="{078CE81B-E65B-49F1-A206-8B8F1415C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731" name="BExQ7SXS9VUG7P6CACU2J7R2SGIZ" hidden="1">
          <a:extLst>
            <a:ext uri="{FF2B5EF4-FFF2-40B4-BE49-F238E27FC236}">
              <a16:creationId xmlns:a16="http://schemas.microsoft.com/office/drawing/2014/main" id="{3C0B912A-F0D6-49D6-AED6-60CF4B14D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32" name="BEx5BJQWS6YWHH4ZMSUAMD641V6Y" descr="ZTMFMXCIQSECDX38ALEFHUB00" hidden="1">
          <a:extLst>
            <a:ext uri="{FF2B5EF4-FFF2-40B4-BE49-F238E27FC236}">
              <a16:creationId xmlns:a16="http://schemas.microsoft.com/office/drawing/2014/main" id="{2CB18877-ADD0-43A9-919F-A715AC3FC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33" name="BExUBK0YZ5VYFY8TTITJGJU9S06A" hidden="1">
          <a:extLst>
            <a:ext uri="{FF2B5EF4-FFF2-40B4-BE49-F238E27FC236}">
              <a16:creationId xmlns:a16="http://schemas.microsoft.com/office/drawing/2014/main" id="{F8618903-B397-40F3-AFFC-EA426A5CA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34" name="BEx5BJQWS6YWHH4ZMSUAMD641V6Y" descr="ZTMFMXCIQSECDX38ALEFHUB00" hidden="1">
          <a:extLst>
            <a:ext uri="{FF2B5EF4-FFF2-40B4-BE49-F238E27FC236}">
              <a16:creationId xmlns:a16="http://schemas.microsoft.com/office/drawing/2014/main" id="{C557D50B-FB8B-4653-9A05-198B0225B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35" name="BExUBK0YZ5VYFY8TTITJGJU9S06A" hidden="1">
          <a:extLst>
            <a:ext uri="{FF2B5EF4-FFF2-40B4-BE49-F238E27FC236}">
              <a16:creationId xmlns:a16="http://schemas.microsoft.com/office/drawing/2014/main" id="{BF002ACD-B73B-486B-936E-DB72666BC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36" name="BEx5BJQWS6YWHH4ZMSUAMD641V6Y" descr="ZTMFMXCIQSECDX38ALEFHUB00" hidden="1">
          <a:extLst>
            <a:ext uri="{FF2B5EF4-FFF2-40B4-BE49-F238E27FC236}">
              <a16:creationId xmlns:a16="http://schemas.microsoft.com/office/drawing/2014/main" id="{F79CA4B7-6CAB-4DD0-987F-B2DEBB3B5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37" name="BExUBK0YZ5VYFY8TTITJGJU9S06A" hidden="1">
          <a:extLst>
            <a:ext uri="{FF2B5EF4-FFF2-40B4-BE49-F238E27FC236}">
              <a16:creationId xmlns:a16="http://schemas.microsoft.com/office/drawing/2014/main" id="{CCBE4F8B-00CB-428A-8A64-3B6550632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38" name="BEx5BJQWS6YWHH4ZMSUAMD641V6Y" descr="ZTMFMXCIQSECDX38ALEFHUB00" hidden="1">
          <a:extLst>
            <a:ext uri="{FF2B5EF4-FFF2-40B4-BE49-F238E27FC236}">
              <a16:creationId xmlns:a16="http://schemas.microsoft.com/office/drawing/2014/main" id="{51F5653E-F141-4803-AC75-824DE826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39" name="BExUBK0YZ5VYFY8TTITJGJU9S06A" hidden="1">
          <a:extLst>
            <a:ext uri="{FF2B5EF4-FFF2-40B4-BE49-F238E27FC236}">
              <a16:creationId xmlns:a16="http://schemas.microsoft.com/office/drawing/2014/main" id="{C7E049BE-3697-4324-8EFE-45543CFF3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40" name="BEx5BJQWS6YWHH4ZMSUAMD641V6Y" descr="ZTMFMXCIQSECDX38ALEFHUB00" hidden="1">
          <a:extLst>
            <a:ext uri="{FF2B5EF4-FFF2-40B4-BE49-F238E27FC236}">
              <a16:creationId xmlns:a16="http://schemas.microsoft.com/office/drawing/2014/main" id="{AEDB9C83-DAE5-4E8A-8B7E-A142F2BD8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41" name="BExUBK0YZ5VYFY8TTITJGJU9S06A" hidden="1">
          <a:extLst>
            <a:ext uri="{FF2B5EF4-FFF2-40B4-BE49-F238E27FC236}">
              <a16:creationId xmlns:a16="http://schemas.microsoft.com/office/drawing/2014/main" id="{8B9D2526-C361-4F40-9912-FE602559B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742" name="BExU3EX5JJCXCII4YKUJBFBGIJR2" descr="OF5ZI9PI5WH36VPANJ2DYLNMI" hidden="1">
          <a:extLst>
            <a:ext uri="{FF2B5EF4-FFF2-40B4-BE49-F238E27FC236}">
              <a16:creationId xmlns:a16="http://schemas.microsoft.com/office/drawing/2014/main" id="{BC23A611-7230-4C8E-BA76-C79888B2A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43" name="BEx5BJQWS6YWHH4ZMSUAMD641V6Y" descr="ZTMFMXCIQSECDX38ALEFHUB00" hidden="1">
          <a:extLst>
            <a:ext uri="{FF2B5EF4-FFF2-40B4-BE49-F238E27FC236}">
              <a16:creationId xmlns:a16="http://schemas.microsoft.com/office/drawing/2014/main" id="{DF02D997-A31A-4C4A-ACF7-41AD1E901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19</xdr:row>
      <xdr:rowOff>0</xdr:rowOff>
    </xdr:from>
    <xdr:ext cx="59531" cy="295275"/>
    <xdr:pic>
      <xdr:nvPicPr>
        <xdr:cNvPr id="5744" name="BExIFSCLN1G86X78PFLTSMRP0US5" descr="9JK4SPV4DG7VTCZIILWHXQU5J" hidden="1">
          <a:extLst>
            <a:ext uri="{FF2B5EF4-FFF2-40B4-BE49-F238E27FC236}">
              <a16:creationId xmlns:a16="http://schemas.microsoft.com/office/drawing/2014/main" id="{3481624B-A7C0-4259-8569-C12DF8E67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745" name="BExW9676P0SKCVKK25QCGHPA3PAD" descr="9A4PWZ20RMSRF0PNECCDM75CA" hidden="1">
          <a:extLst>
            <a:ext uri="{FF2B5EF4-FFF2-40B4-BE49-F238E27FC236}">
              <a16:creationId xmlns:a16="http://schemas.microsoft.com/office/drawing/2014/main" id="{FCD355E4-EF28-4D23-AE90-0DB1FC2AE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746" name="BExMM0AVUAIRNJLXB1FW8R0YB4ZZ" hidden="1">
          <a:extLst>
            <a:ext uri="{FF2B5EF4-FFF2-40B4-BE49-F238E27FC236}">
              <a16:creationId xmlns:a16="http://schemas.microsoft.com/office/drawing/2014/main" id="{4E47AA46-238F-4CBC-A5DA-5C2AB00C8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7</xdr:col>
      <xdr:colOff>11430</xdr:colOff>
      <xdr:row>19</xdr:row>
      <xdr:rowOff>0</xdr:rowOff>
    </xdr:from>
    <xdr:ext cx="59531" cy="295275"/>
    <xdr:pic>
      <xdr:nvPicPr>
        <xdr:cNvPr id="5747" name="BExQ7SXS9VUG7P6CACU2J7R2SGIZ" hidden="1">
          <a:extLst>
            <a:ext uri="{FF2B5EF4-FFF2-40B4-BE49-F238E27FC236}">
              <a16:creationId xmlns:a16="http://schemas.microsoft.com/office/drawing/2014/main" id="{7AAD08BB-54B1-4DAD-AAF4-25E89BB53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83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48" name="BExUBK0YZ5VYFY8TTITJGJU9S06A" hidden="1">
          <a:extLst>
            <a:ext uri="{FF2B5EF4-FFF2-40B4-BE49-F238E27FC236}">
              <a16:creationId xmlns:a16="http://schemas.microsoft.com/office/drawing/2014/main" id="{CFD15619-F05C-4689-B971-3C8B2A943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295275"/>
    <xdr:pic>
      <xdr:nvPicPr>
        <xdr:cNvPr id="5749" name="BExS3JDQWF7U3F5JTEVOE16ASIYK" hidden="1">
          <a:extLst>
            <a:ext uri="{FF2B5EF4-FFF2-40B4-BE49-F238E27FC236}">
              <a16:creationId xmlns:a16="http://schemas.microsoft.com/office/drawing/2014/main" id="{DE377F42-EB65-4BF6-8623-9C233BCD7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54330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50" name="BEx5BJQWS6YWHH4ZMSUAMD641V6Y" descr="ZTMFMXCIQSECDX38ALEFHUB00" hidden="1">
          <a:extLst>
            <a:ext uri="{FF2B5EF4-FFF2-40B4-BE49-F238E27FC236}">
              <a16:creationId xmlns:a16="http://schemas.microsoft.com/office/drawing/2014/main" id="{E148B428-3370-4791-8DEB-05B8CF2AD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51" name="BExUBK0YZ5VYFY8TTITJGJU9S06A" hidden="1">
          <a:extLst>
            <a:ext uri="{FF2B5EF4-FFF2-40B4-BE49-F238E27FC236}">
              <a16:creationId xmlns:a16="http://schemas.microsoft.com/office/drawing/2014/main" id="{642783FC-4DBE-4CE1-8644-FEB95AB84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52" name="BEx5BJQWS6YWHH4ZMSUAMD641V6Y" descr="ZTMFMXCIQSECDX38ALEFHUB00" hidden="1">
          <a:extLst>
            <a:ext uri="{FF2B5EF4-FFF2-40B4-BE49-F238E27FC236}">
              <a16:creationId xmlns:a16="http://schemas.microsoft.com/office/drawing/2014/main" id="{8D03A18F-170E-4F5A-A5C2-2FA3B78E1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53" name="BExUBK0YZ5VYFY8TTITJGJU9S06A" hidden="1">
          <a:extLst>
            <a:ext uri="{FF2B5EF4-FFF2-40B4-BE49-F238E27FC236}">
              <a16:creationId xmlns:a16="http://schemas.microsoft.com/office/drawing/2014/main" id="{7CA3E820-EE32-4CD2-BEEE-99CF3ED48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54" name="BEx5BJQWS6YWHH4ZMSUAMD641V6Y" descr="ZTMFMXCIQSECDX38ALEFHUB00" hidden="1">
          <a:extLst>
            <a:ext uri="{FF2B5EF4-FFF2-40B4-BE49-F238E27FC236}">
              <a16:creationId xmlns:a16="http://schemas.microsoft.com/office/drawing/2014/main" id="{852DE030-7D91-4214-8EF5-6D19E065F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55" name="BExUBK0YZ5VYFY8TTITJGJU9S06A" hidden="1">
          <a:extLst>
            <a:ext uri="{FF2B5EF4-FFF2-40B4-BE49-F238E27FC236}">
              <a16:creationId xmlns:a16="http://schemas.microsoft.com/office/drawing/2014/main" id="{D3364457-4C51-4544-9521-750CAA8D2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56" name="BEx5BJQWS6YWHH4ZMSUAMD641V6Y" descr="ZTMFMXCIQSECDX38ALEFHUB00" hidden="1">
          <a:extLst>
            <a:ext uri="{FF2B5EF4-FFF2-40B4-BE49-F238E27FC236}">
              <a16:creationId xmlns:a16="http://schemas.microsoft.com/office/drawing/2014/main" id="{869A8A7F-8C8B-474A-BFBB-305F7D951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57" name="BExUBK0YZ5VYFY8TTITJGJU9S06A" hidden="1">
          <a:extLst>
            <a:ext uri="{FF2B5EF4-FFF2-40B4-BE49-F238E27FC236}">
              <a16:creationId xmlns:a16="http://schemas.microsoft.com/office/drawing/2014/main" id="{EE6AEFD7-7C39-4546-ADC6-E5D9E462C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58" name="BEx5BJQWS6YWHH4ZMSUAMD641V6Y" descr="ZTMFMXCIQSECDX38ALEFHUB00" hidden="1">
          <a:extLst>
            <a:ext uri="{FF2B5EF4-FFF2-40B4-BE49-F238E27FC236}">
              <a16:creationId xmlns:a16="http://schemas.microsoft.com/office/drawing/2014/main" id="{C1FD912D-F5EF-4AA6-8A59-65F4E2B89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59" name="BExUBK0YZ5VYFY8TTITJGJU9S06A" hidden="1">
          <a:extLst>
            <a:ext uri="{FF2B5EF4-FFF2-40B4-BE49-F238E27FC236}">
              <a16:creationId xmlns:a16="http://schemas.microsoft.com/office/drawing/2014/main" id="{208813DC-2596-49D3-934F-82281040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60" name="BEx5BJQWS6YWHH4ZMSUAMD641V6Y" descr="ZTMFMXCIQSECDX38ALEFHUB00" hidden="1">
          <a:extLst>
            <a:ext uri="{FF2B5EF4-FFF2-40B4-BE49-F238E27FC236}">
              <a16:creationId xmlns:a16="http://schemas.microsoft.com/office/drawing/2014/main" id="{4A793D0D-5AA2-496F-BC14-D4A665E5C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61" name="BExUBK0YZ5VYFY8TTITJGJU9S06A" hidden="1">
          <a:extLst>
            <a:ext uri="{FF2B5EF4-FFF2-40B4-BE49-F238E27FC236}">
              <a16:creationId xmlns:a16="http://schemas.microsoft.com/office/drawing/2014/main" id="{B34F22C8-AF2B-42AA-B8CC-C507ECA77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62" name="BEx5BJQWS6YWHH4ZMSUAMD641V6Y" descr="ZTMFMXCIQSECDX38ALEFHUB00" hidden="1">
          <a:extLst>
            <a:ext uri="{FF2B5EF4-FFF2-40B4-BE49-F238E27FC236}">
              <a16:creationId xmlns:a16="http://schemas.microsoft.com/office/drawing/2014/main" id="{D0D9A755-2856-41B2-B255-6FAFF0C8F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63" name="BExUBK0YZ5VYFY8TTITJGJU9S06A" hidden="1">
          <a:extLst>
            <a:ext uri="{FF2B5EF4-FFF2-40B4-BE49-F238E27FC236}">
              <a16:creationId xmlns:a16="http://schemas.microsoft.com/office/drawing/2014/main" id="{AAA11552-B309-4BDA-A73E-658310927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64" name="BEx5BJQWS6YWHH4ZMSUAMD641V6Y" descr="ZTMFMXCIQSECDX38ALEFHUB00" hidden="1">
          <a:extLst>
            <a:ext uri="{FF2B5EF4-FFF2-40B4-BE49-F238E27FC236}">
              <a16:creationId xmlns:a16="http://schemas.microsoft.com/office/drawing/2014/main" id="{5D608CDA-A19A-4FB8-A824-D48E91C1D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65" name="BExUBK0YZ5VYFY8TTITJGJU9S06A" hidden="1">
          <a:extLst>
            <a:ext uri="{FF2B5EF4-FFF2-40B4-BE49-F238E27FC236}">
              <a16:creationId xmlns:a16="http://schemas.microsoft.com/office/drawing/2014/main" id="{FDE6B392-FBB4-4FC4-B9FF-B52829DD7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66" name="BEx5BJQWS6YWHH4ZMSUAMD641V6Y" descr="ZTMFMXCIQSECDX38ALEFHUB00" hidden="1">
          <a:extLst>
            <a:ext uri="{FF2B5EF4-FFF2-40B4-BE49-F238E27FC236}">
              <a16:creationId xmlns:a16="http://schemas.microsoft.com/office/drawing/2014/main" id="{BE20219D-FB63-4520-B091-7FE55C3E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67" name="BExUBK0YZ5VYFY8TTITJGJU9S06A" hidden="1">
          <a:extLst>
            <a:ext uri="{FF2B5EF4-FFF2-40B4-BE49-F238E27FC236}">
              <a16:creationId xmlns:a16="http://schemas.microsoft.com/office/drawing/2014/main" id="{CB287381-2184-49D7-BF79-7CD8251A5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68" name="BEx5BJQWS6YWHH4ZMSUAMD641V6Y" descr="ZTMFMXCIQSECDX38ALEFHUB00" hidden="1">
          <a:extLst>
            <a:ext uri="{FF2B5EF4-FFF2-40B4-BE49-F238E27FC236}">
              <a16:creationId xmlns:a16="http://schemas.microsoft.com/office/drawing/2014/main" id="{C72925D0-46ED-4B6F-886E-20DD68B43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69" name="BExUBK0YZ5VYFY8TTITJGJU9S06A" hidden="1">
          <a:extLst>
            <a:ext uri="{FF2B5EF4-FFF2-40B4-BE49-F238E27FC236}">
              <a16:creationId xmlns:a16="http://schemas.microsoft.com/office/drawing/2014/main" id="{6B2CC00E-6BAA-4953-9CB6-C9861E787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70" name="BEx5BJQWS6YWHH4ZMSUAMD641V6Y" descr="ZTMFMXCIQSECDX38ALEFHUB00" hidden="1">
          <a:extLst>
            <a:ext uri="{FF2B5EF4-FFF2-40B4-BE49-F238E27FC236}">
              <a16:creationId xmlns:a16="http://schemas.microsoft.com/office/drawing/2014/main" id="{5F52DEC3-816D-4FD5-AF8A-D316CE929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71" name="BExUBK0YZ5VYFY8TTITJGJU9S06A" hidden="1">
          <a:extLst>
            <a:ext uri="{FF2B5EF4-FFF2-40B4-BE49-F238E27FC236}">
              <a16:creationId xmlns:a16="http://schemas.microsoft.com/office/drawing/2014/main" id="{DB8772CE-74B5-463B-81B2-328F41D71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72" name="BEx5BJQWS6YWHH4ZMSUAMD641V6Y" descr="ZTMFMXCIQSECDX38ALEFHUB00" hidden="1">
          <a:extLst>
            <a:ext uri="{FF2B5EF4-FFF2-40B4-BE49-F238E27FC236}">
              <a16:creationId xmlns:a16="http://schemas.microsoft.com/office/drawing/2014/main" id="{E34B48B6-6242-4267-B92A-A5871272D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73" name="BExUBK0YZ5VYFY8TTITJGJU9S06A" hidden="1">
          <a:extLst>
            <a:ext uri="{FF2B5EF4-FFF2-40B4-BE49-F238E27FC236}">
              <a16:creationId xmlns:a16="http://schemas.microsoft.com/office/drawing/2014/main" id="{168519AD-058B-44E8-8917-54A27C4FE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74" name="BEx5BJQWS6YWHH4ZMSUAMD641V6Y" descr="ZTMFMXCIQSECDX38ALEFHUB00" hidden="1">
          <a:extLst>
            <a:ext uri="{FF2B5EF4-FFF2-40B4-BE49-F238E27FC236}">
              <a16:creationId xmlns:a16="http://schemas.microsoft.com/office/drawing/2014/main" id="{C99EFDD5-C042-439A-A5EF-B9DF7E7CE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75" name="BExUBK0YZ5VYFY8TTITJGJU9S06A" hidden="1">
          <a:extLst>
            <a:ext uri="{FF2B5EF4-FFF2-40B4-BE49-F238E27FC236}">
              <a16:creationId xmlns:a16="http://schemas.microsoft.com/office/drawing/2014/main" id="{01B25B20-6EBD-42B7-80C0-9ED267D62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76" name="BEx5BJQWS6YWHH4ZMSUAMD641V6Y" descr="ZTMFMXCIQSECDX38ALEFHUB00" hidden="1">
          <a:extLst>
            <a:ext uri="{FF2B5EF4-FFF2-40B4-BE49-F238E27FC236}">
              <a16:creationId xmlns:a16="http://schemas.microsoft.com/office/drawing/2014/main" id="{87075F26-476D-42A0-AC61-CE75F4989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77" name="BExUBK0YZ5VYFY8TTITJGJU9S06A" hidden="1">
          <a:extLst>
            <a:ext uri="{FF2B5EF4-FFF2-40B4-BE49-F238E27FC236}">
              <a16:creationId xmlns:a16="http://schemas.microsoft.com/office/drawing/2014/main" id="{6B0AACDB-9192-4B02-871D-8471CF6A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78" name="BEx5BJQWS6YWHH4ZMSUAMD641V6Y" descr="ZTMFMXCIQSECDX38ALEFHUB00" hidden="1">
          <a:extLst>
            <a:ext uri="{FF2B5EF4-FFF2-40B4-BE49-F238E27FC236}">
              <a16:creationId xmlns:a16="http://schemas.microsoft.com/office/drawing/2014/main" id="{F219AE31-1C92-4D6F-A83B-AF14D152F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79" name="BExUBK0YZ5VYFY8TTITJGJU9S06A" hidden="1">
          <a:extLst>
            <a:ext uri="{FF2B5EF4-FFF2-40B4-BE49-F238E27FC236}">
              <a16:creationId xmlns:a16="http://schemas.microsoft.com/office/drawing/2014/main" id="{B8E08D82-BD0A-4DDE-8941-47D79D831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80" name="BEx5BJQWS6YWHH4ZMSUAMD641V6Y" descr="ZTMFMXCIQSECDX38ALEFHUB00" hidden="1">
          <a:extLst>
            <a:ext uri="{FF2B5EF4-FFF2-40B4-BE49-F238E27FC236}">
              <a16:creationId xmlns:a16="http://schemas.microsoft.com/office/drawing/2014/main" id="{01243EE8-B641-4072-AD7A-0DCF0296D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81" name="BExUBK0YZ5VYFY8TTITJGJU9S06A" hidden="1">
          <a:extLst>
            <a:ext uri="{FF2B5EF4-FFF2-40B4-BE49-F238E27FC236}">
              <a16:creationId xmlns:a16="http://schemas.microsoft.com/office/drawing/2014/main" id="{0DC0E8EE-5F4D-4549-A0F2-4E1FFCE3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82" name="BEx5BJQWS6YWHH4ZMSUAMD641V6Y" descr="ZTMFMXCIQSECDX38ALEFHUB00" hidden="1">
          <a:extLst>
            <a:ext uri="{FF2B5EF4-FFF2-40B4-BE49-F238E27FC236}">
              <a16:creationId xmlns:a16="http://schemas.microsoft.com/office/drawing/2014/main" id="{15FB71F5-F61F-4262-81BD-4972B4FF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83" name="BExUBK0YZ5VYFY8TTITJGJU9S06A" hidden="1">
          <a:extLst>
            <a:ext uri="{FF2B5EF4-FFF2-40B4-BE49-F238E27FC236}">
              <a16:creationId xmlns:a16="http://schemas.microsoft.com/office/drawing/2014/main" id="{9C0D270E-675F-4E48-B063-88371C32B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84" name="BEx5BJQWS6YWHH4ZMSUAMD641V6Y" descr="ZTMFMXCIQSECDX38ALEFHUB00" hidden="1">
          <a:extLst>
            <a:ext uri="{FF2B5EF4-FFF2-40B4-BE49-F238E27FC236}">
              <a16:creationId xmlns:a16="http://schemas.microsoft.com/office/drawing/2014/main" id="{217C882D-DDCE-4E61-93B8-004E84E60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85" name="BExUBK0YZ5VYFY8TTITJGJU9S06A" hidden="1">
          <a:extLst>
            <a:ext uri="{FF2B5EF4-FFF2-40B4-BE49-F238E27FC236}">
              <a16:creationId xmlns:a16="http://schemas.microsoft.com/office/drawing/2014/main" id="{A17E8C47-3F90-40D9-8C53-32D69FE24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86" name="BEx5BJQWS6YWHH4ZMSUAMD641V6Y" descr="ZTMFMXCIQSECDX38ALEFHUB00" hidden="1">
          <a:extLst>
            <a:ext uri="{FF2B5EF4-FFF2-40B4-BE49-F238E27FC236}">
              <a16:creationId xmlns:a16="http://schemas.microsoft.com/office/drawing/2014/main" id="{64274D80-00B1-4ED3-8D96-78CD07ED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87" name="BExUBK0YZ5VYFY8TTITJGJU9S06A" hidden="1">
          <a:extLst>
            <a:ext uri="{FF2B5EF4-FFF2-40B4-BE49-F238E27FC236}">
              <a16:creationId xmlns:a16="http://schemas.microsoft.com/office/drawing/2014/main" id="{2235AA80-8165-4B0B-A7C6-30B6C2C32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88" name="BEx5BJQWS6YWHH4ZMSUAMD641V6Y" descr="ZTMFMXCIQSECDX38ALEFHUB00" hidden="1">
          <a:extLst>
            <a:ext uri="{FF2B5EF4-FFF2-40B4-BE49-F238E27FC236}">
              <a16:creationId xmlns:a16="http://schemas.microsoft.com/office/drawing/2014/main" id="{75A8A113-A7DB-4300-A338-A23F3D89B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89" name="BExUBK0YZ5VYFY8TTITJGJU9S06A" hidden="1">
          <a:extLst>
            <a:ext uri="{FF2B5EF4-FFF2-40B4-BE49-F238E27FC236}">
              <a16:creationId xmlns:a16="http://schemas.microsoft.com/office/drawing/2014/main" id="{DB8259BD-916F-475D-8742-2E6CB5FC0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90" name="BEx5BJQWS6YWHH4ZMSUAMD641V6Y" descr="ZTMFMXCIQSECDX38ALEFHUB00" hidden="1">
          <a:extLst>
            <a:ext uri="{FF2B5EF4-FFF2-40B4-BE49-F238E27FC236}">
              <a16:creationId xmlns:a16="http://schemas.microsoft.com/office/drawing/2014/main" id="{4E2BBDCB-08A5-48A3-937C-B3727E210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91" name="BExUBK0YZ5VYFY8TTITJGJU9S06A" hidden="1">
          <a:extLst>
            <a:ext uri="{FF2B5EF4-FFF2-40B4-BE49-F238E27FC236}">
              <a16:creationId xmlns:a16="http://schemas.microsoft.com/office/drawing/2014/main" id="{0A849844-DC80-4A24-AB84-32C2B7225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92" name="BEx5BJQWS6YWHH4ZMSUAMD641V6Y" descr="ZTMFMXCIQSECDX38ALEFHUB00" hidden="1">
          <a:extLst>
            <a:ext uri="{FF2B5EF4-FFF2-40B4-BE49-F238E27FC236}">
              <a16:creationId xmlns:a16="http://schemas.microsoft.com/office/drawing/2014/main" id="{76BC7657-074E-4B16-A1C4-1B14D16FF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93" name="BExUBK0YZ5VYFY8TTITJGJU9S06A" hidden="1">
          <a:extLst>
            <a:ext uri="{FF2B5EF4-FFF2-40B4-BE49-F238E27FC236}">
              <a16:creationId xmlns:a16="http://schemas.microsoft.com/office/drawing/2014/main" id="{1C599379-F443-4CB4-9C66-63F0B790C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94" name="BEx5BJQWS6YWHH4ZMSUAMD641V6Y" descr="ZTMFMXCIQSECDX38ALEFHUB00" hidden="1">
          <a:extLst>
            <a:ext uri="{FF2B5EF4-FFF2-40B4-BE49-F238E27FC236}">
              <a16:creationId xmlns:a16="http://schemas.microsoft.com/office/drawing/2014/main" id="{4DEFDD76-CC0C-45BA-8D93-71CC5071B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95" name="BExUBK0YZ5VYFY8TTITJGJU9S06A" hidden="1">
          <a:extLst>
            <a:ext uri="{FF2B5EF4-FFF2-40B4-BE49-F238E27FC236}">
              <a16:creationId xmlns:a16="http://schemas.microsoft.com/office/drawing/2014/main" id="{91110B3E-439D-4442-B7DE-BD6B3572B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96" name="BEx5BJQWS6YWHH4ZMSUAMD641V6Y" descr="ZTMFMXCIQSECDX38ALEFHUB00" hidden="1">
          <a:extLst>
            <a:ext uri="{FF2B5EF4-FFF2-40B4-BE49-F238E27FC236}">
              <a16:creationId xmlns:a16="http://schemas.microsoft.com/office/drawing/2014/main" id="{4C314D61-3446-42CA-9B26-2F57E9634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97" name="BExUBK0YZ5VYFY8TTITJGJU9S06A" hidden="1">
          <a:extLst>
            <a:ext uri="{FF2B5EF4-FFF2-40B4-BE49-F238E27FC236}">
              <a16:creationId xmlns:a16="http://schemas.microsoft.com/office/drawing/2014/main" id="{AC704874-9816-4C9B-9A50-BB9339119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98" name="BEx5BJQWS6YWHH4ZMSUAMD641V6Y" descr="ZTMFMXCIQSECDX38ALEFHUB00" hidden="1">
          <a:extLst>
            <a:ext uri="{FF2B5EF4-FFF2-40B4-BE49-F238E27FC236}">
              <a16:creationId xmlns:a16="http://schemas.microsoft.com/office/drawing/2014/main" id="{315449F3-EA15-4070-8E4F-C63430BD6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799" name="BExUBK0YZ5VYFY8TTITJGJU9S06A" hidden="1">
          <a:extLst>
            <a:ext uri="{FF2B5EF4-FFF2-40B4-BE49-F238E27FC236}">
              <a16:creationId xmlns:a16="http://schemas.microsoft.com/office/drawing/2014/main" id="{42EA5E90-7EBA-42F5-AFC7-5BBAE0DCB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00" name="BEx5BJQWS6YWHH4ZMSUAMD641V6Y" descr="ZTMFMXCIQSECDX38ALEFHUB00" hidden="1">
          <a:extLst>
            <a:ext uri="{FF2B5EF4-FFF2-40B4-BE49-F238E27FC236}">
              <a16:creationId xmlns:a16="http://schemas.microsoft.com/office/drawing/2014/main" id="{1BC1E297-927D-4C6E-A622-3E7B79A56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01" name="BExUBK0YZ5VYFY8TTITJGJU9S06A" hidden="1">
          <a:extLst>
            <a:ext uri="{FF2B5EF4-FFF2-40B4-BE49-F238E27FC236}">
              <a16:creationId xmlns:a16="http://schemas.microsoft.com/office/drawing/2014/main" id="{40D1B1D6-4A76-412C-B7AD-D9226D27B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02" name="BEx5BJQWS6YWHH4ZMSUAMD641V6Y" descr="ZTMFMXCIQSECDX38ALEFHUB00" hidden="1">
          <a:extLst>
            <a:ext uri="{FF2B5EF4-FFF2-40B4-BE49-F238E27FC236}">
              <a16:creationId xmlns:a16="http://schemas.microsoft.com/office/drawing/2014/main" id="{F368090F-7493-4998-9C58-059A4D7B1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03" name="BExUBK0YZ5VYFY8TTITJGJU9S06A" hidden="1">
          <a:extLst>
            <a:ext uri="{FF2B5EF4-FFF2-40B4-BE49-F238E27FC236}">
              <a16:creationId xmlns:a16="http://schemas.microsoft.com/office/drawing/2014/main" id="{2DBEC6F6-A419-416A-A8C7-3BC80907D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04" name="BEx5BJQWS6YWHH4ZMSUAMD641V6Y" descr="ZTMFMXCIQSECDX38ALEFHUB00" hidden="1">
          <a:extLst>
            <a:ext uri="{FF2B5EF4-FFF2-40B4-BE49-F238E27FC236}">
              <a16:creationId xmlns:a16="http://schemas.microsoft.com/office/drawing/2014/main" id="{B8D8064F-4822-4A7B-85E0-821DC9272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05" name="BExUBK0YZ5VYFY8TTITJGJU9S06A" hidden="1">
          <a:extLst>
            <a:ext uri="{FF2B5EF4-FFF2-40B4-BE49-F238E27FC236}">
              <a16:creationId xmlns:a16="http://schemas.microsoft.com/office/drawing/2014/main" id="{C075FCF1-BA91-47F3-A810-4262361FB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06" name="BEx5BJQWS6YWHH4ZMSUAMD641V6Y" descr="ZTMFMXCIQSECDX38ALEFHUB00" hidden="1">
          <a:extLst>
            <a:ext uri="{FF2B5EF4-FFF2-40B4-BE49-F238E27FC236}">
              <a16:creationId xmlns:a16="http://schemas.microsoft.com/office/drawing/2014/main" id="{32C7733C-2311-47EA-986D-FE25DFD0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07" name="BExUBK0YZ5VYFY8TTITJGJU9S06A" hidden="1">
          <a:extLst>
            <a:ext uri="{FF2B5EF4-FFF2-40B4-BE49-F238E27FC236}">
              <a16:creationId xmlns:a16="http://schemas.microsoft.com/office/drawing/2014/main" id="{2E5AB3F8-8FD2-464E-8636-3793EF628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08" name="BEx5BJQWS6YWHH4ZMSUAMD641V6Y" descr="ZTMFMXCIQSECDX38ALEFHUB00" hidden="1">
          <a:extLst>
            <a:ext uri="{FF2B5EF4-FFF2-40B4-BE49-F238E27FC236}">
              <a16:creationId xmlns:a16="http://schemas.microsoft.com/office/drawing/2014/main" id="{5C0E9F5D-9315-464C-927B-EC5CD55B5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09" name="BExUBK0YZ5VYFY8TTITJGJU9S06A" hidden="1">
          <a:extLst>
            <a:ext uri="{FF2B5EF4-FFF2-40B4-BE49-F238E27FC236}">
              <a16:creationId xmlns:a16="http://schemas.microsoft.com/office/drawing/2014/main" id="{6DBA4278-8E08-4CA6-8914-8C1DAEB9A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10" name="BEx5BJQWS6YWHH4ZMSUAMD641V6Y" descr="ZTMFMXCIQSECDX38ALEFHUB00" hidden="1">
          <a:extLst>
            <a:ext uri="{FF2B5EF4-FFF2-40B4-BE49-F238E27FC236}">
              <a16:creationId xmlns:a16="http://schemas.microsoft.com/office/drawing/2014/main" id="{34099C76-D711-4342-A348-8750700A2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11" name="BExUBK0YZ5VYFY8TTITJGJU9S06A" hidden="1">
          <a:extLst>
            <a:ext uri="{FF2B5EF4-FFF2-40B4-BE49-F238E27FC236}">
              <a16:creationId xmlns:a16="http://schemas.microsoft.com/office/drawing/2014/main" id="{AB5202FE-E28E-4C66-A9BC-5EE3D2D74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12" name="BEx5BJQWS6YWHH4ZMSUAMD641V6Y" descr="ZTMFMXCIQSECDX38ALEFHUB00" hidden="1">
          <a:extLst>
            <a:ext uri="{FF2B5EF4-FFF2-40B4-BE49-F238E27FC236}">
              <a16:creationId xmlns:a16="http://schemas.microsoft.com/office/drawing/2014/main" id="{0B1C445E-33AD-4AD2-8A96-0917599F0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13" name="BExUBK0YZ5VYFY8TTITJGJU9S06A" hidden="1">
          <a:extLst>
            <a:ext uri="{FF2B5EF4-FFF2-40B4-BE49-F238E27FC236}">
              <a16:creationId xmlns:a16="http://schemas.microsoft.com/office/drawing/2014/main" id="{4E450870-CCC4-409A-B763-54C44B0DB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14" name="BEx5BJQWS6YWHH4ZMSUAMD641V6Y" descr="ZTMFMXCIQSECDX38ALEFHUB00" hidden="1">
          <a:extLst>
            <a:ext uri="{FF2B5EF4-FFF2-40B4-BE49-F238E27FC236}">
              <a16:creationId xmlns:a16="http://schemas.microsoft.com/office/drawing/2014/main" id="{3A923B7F-DB8B-47E1-86D5-E3C4A5B0A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15" name="BExUBK0YZ5VYFY8TTITJGJU9S06A" hidden="1">
          <a:extLst>
            <a:ext uri="{FF2B5EF4-FFF2-40B4-BE49-F238E27FC236}">
              <a16:creationId xmlns:a16="http://schemas.microsoft.com/office/drawing/2014/main" id="{20D0B335-CDCE-48D9-98E3-B7C851C6C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16" name="BEx5BJQWS6YWHH4ZMSUAMD641V6Y" descr="ZTMFMXCIQSECDX38ALEFHUB00" hidden="1">
          <a:extLst>
            <a:ext uri="{FF2B5EF4-FFF2-40B4-BE49-F238E27FC236}">
              <a16:creationId xmlns:a16="http://schemas.microsoft.com/office/drawing/2014/main" id="{E8BD5C79-9141-4297-8186-94E645D9F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17" name="BExUBK0YZ5VYFY8TTITJGJU9S06A" hidden="1">
          <a:extLst>
            <a:ext uri="{FF2B5EF4-FFF2-40B4-BE49-F238E27FC236}">
              <a16:creationId xmlns:a16="http://schemas.microsoft.com/office/drawing/2014/main" id="{04770812-FBB1-4F0E-A71E-9D69D5709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18" name="BEx5BJQWS6YWHH4ZMSUAMD641V6Y" descr="ZTMFMXCIQSECDX38ALEFHUB00" hidden="1">
          <a:extLst>
            <a:ext uri="{FF2B5EF4-FFF2-40B4-BE49-F238E27FC236}">
              <a16:creationId xmlns:a16="http://schemas.microsoft.com/office/drawing/2014/main" id="{1406F5D5-2040-4110-AFD7-92B64F52B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19" name="BExUBK0YZ5VYFY8TTITJGJU9S06A" hidden="1">
          <a:extLst>
            <a:ext uri="{FF2B5EF4-FFF2-40B4-BE49-F238E27FC236}">
              <a16:creationId xmlns:a16="http://schemas.microsoft.com/office/drawing/2014/main" id="{D09AC560-8FA1-4A4C-A493-66122F85A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20" name="BEx5BJQWS6YWHH4ZMSUAMD641V6Y" descr="ZTMFMXCIQSECDX38ALEFHUB00" hidden="1">
          <a:extLst>
            <a:ext uri="{FF2B5EF4-FFF2-40B4-BE49-F238E27FC236}">
              <a16:creationId xmlns:a16="http://schemas.microsoft.com/office/drawing/2014/main" id="{C2484606-AB42-4F09-8A84-160CABF02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21" name="BExUBK0YZ5VYFY8TTITJGJU9S06A" hidden="1">
          <a:extLst>
            <a:ext uri="{FF2B5EF4-FFF2-40B4-BE49-F238E27FC236}">
              <a16:creationId xmlns:a16="http://schemas.microsoft.com/office/drawing/2014/main" id="{47151345-C7B2-41E1-B954-FBD842292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22" name="BEx5BJQWS6YWHH4ZMSUAMD641V6Y" descr="ZTMFMXCIQSECDX38ALEFHUB00" hidden="1">
          <a:extLst>
            <a:ext uri="{FF2B5EF4-FFF2-40B4-BE49-F238E27FC236}">
              <a16:creationId xmlns:a16="http://schemas.microsoft.com/office/drawing/2014/main" id="{C22E15BE-0EFD-4EBB-AD88-80B173D74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23" name="BExUBK0YZ5VYFY8TTITJGJU9S06A" hidden="1">
          <a:extLst>
            <a:ext uri="{FF2B5EF4-FFF2-40B4-BE49-F238E27FC236}">
              <a16:creationId xmlns:a16="http://schemas.microsoft.com/office/drawing/2014/main" id="{587F059C-9E56-4A12-B92E-89F63FC3E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24" name="BEx5BJQWS6YWHH4ZMSUAMD641V6Y" descr="ZTMFMXCIQSECDX38ALEFHUB00" hidden="1">
          <a:extLst>
            <a:ext uri="{FF2B5EF4-FFF2-40B4-BE49-F238E27FC236}">
              <a16:creationId xmlns:a16="http://schemas.microsoft.com/office/drawing/2014/main" id="{1BA83C21-427D-498F-B236-27962D23B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25" name="BExUBK0YZ5VYFY8TTITJGJU9S06A" hidden="1">
          <a:extLst>
            <a:ext uri="{FF2B5EF4-FFF2-40B4-BE49-F238E27FC236}">
              <a16:creationId xmlns:a16="http://schemas.microsoft.com/office/drawing/2014/main" id="{8ADE38F3-7B43-4AB8-B9FD-F8E899B13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26" name="BEx5BJQWS6YWHH4ZMSUAMD641V6Y" descr="ZTMFMXCIQSECDX38ALEFHUB00" hidden="1">
          <a:extLst>
            <a:ext uri="{FF2B5EF4-FFF2-40B4-BE49-F238E27FC236}">
              <a16:creationId xmlns:a16="http://schemas.microsoft.com/office/drawing/2014/main" id="{77D98585-A89E-459C-97EF-4A383625C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27" name="BExUBK0YZ5VYFY8TTITJGJU9S06A" hidden="1">
          <a:extLst>
            <a:ext uri="{FF2B5EF4-FFF2-40B4-BE49-F238E27FC236}">
              <a16:creationId xmlns:a16="http://schemas.microsoft.com/office/drawing/2014/main" id="{2491C516-536D-48BD-8365-6F82818D5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28" name="BEx5BJQWS6YWHH4ZMSUAMD641V6Y" descr="ZTMFMXCIQSECDX38ALEFHUB00" hidden="1">
          <a:extLst>
            <a:ext uri="{FF2B5EF4-FFF2-40B4-BE49-F238E27FC236}">
              <a16:creationId xmlns:a16="http://schemas.microsoft.com/office/drawing/2014/main" id="{8AD42A06-250D-478D-9539-76267F5AB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29" name="BExUBK0YZ5VYFY8TTITJGJU9S06A" hidden="1">
          <a:extLst>
            <a:ext uri="{FF2B5EF4-FFF2-40B4-BE49-F238E27FC236}">
              <a16:creationId xmlns:a16="http://schemas.microsoft.com/office/drawing/2014/main" id="{97177B06-E238-4C46-A6C2-3F9EC90D6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30" name="BEx5BJQWS6YWHH4ZMSUAMD641V6Y" descr="ZTMFMXCIQSECDX38ALEFHUB00" hidden="1">
          <a:extLst>
            <a:ext uri="{FF2B5EF4-FFF2-40B4-BE49-F238E27FC236}">
              <a16:creationId xmlns:a16="http://schemas.microsoft.com/office/drawing/2014/main" id="{1862F7CC-5DB8-40F6-A33F-99F273BB4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31" name="BExUBK0YZ5VYFY8TTITJGJU9S06A" hidden="1">
          <a:extLst>
            <a:ext uri="{FF2B5EF4-FFF2-40B4-BE49-F238E27FC236}">
              <a16:creationId xmlns:a16="http://schemas.microsoft.com/office/drawing/2014/main" id="{AD1C52D4-E7C3-468D-B82C-ED6FCB943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32" name="BEx5BJQWS6YWHH4ZMSUAMD641V6Y" descr="ZTMFMXCIQSECDX38ALEFHUB00" hidden="1">
          <a:extLst>
            <a:ext uri="{FF2B5EF4-FFF2-40B4-BE49-F238E27FC236}">
              <a16:creationId xmlns:a16="http://schemas.microsoft.com/office/drawing/2014/main" id="{F6CDEBD7-0AFF-4FFE-BE98-96E6224FE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33" name="BExUBK0YZ5VYFY8TTITJGJU9S06A" hidden="1">
          <a:extLst>
            <a:ext uri="{FF2B5EF4-FFF2-40B4-BE49-F238E27FC236}">
              <a16:creationId xmlns:a16="http://schemas.microsoft.com/office/drawing/2014/main" id="{F5733F37-D877-4C22-BA65-98D0C7789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34" name="BEx5BJQWS6YWHH4ZMSUAMD641V6Y" descr="ZTMFMXCIQSECDX38ALEFHUB00" hidden="1">
          <a:extLst>
            <a:ext uri="{FF2B5EF4-FFF2-40B4-BE49-F238E27FC236}">
              <a16:creationId xmlns:a16="http://schemas.microsoft.com/office/drawing/2014/main" id="{096FAC11-D825-4EC5-A808-7BFC2F68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35" name="BExUBK0YZ5VYFY8TTITJGJU9S06A" hidden="1">
          <a:extLst>
            <a:ext uri="{FF2B5EF4-FFF2-40B4-BE49-F238E27FC236}">
              <a16:creationId xmlns:a16="http://schemas.microsoft.com/office/drawing/2014/main" id="{0CCEA403-AA54-47C2-9BCB-084BC37DE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36" name="BEx5BJQWS6YWHH4ZMSUAMD641V6Y" descr="ZTMFMXCIQSECDX38ALEFHUB00" hidden="1">
          <a:extLst>
            <a:ext uri="{FF2B5EF4-FFF2-40B4-BE49-F238E27FC236}">
              <a16:creationId xmlns:a16="http://schemas.microsoft.com/office/drawing/2014/main" id="{3E3C3525-F107-4947-8667-E4DB2AB1D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37" name="BExUBK0YZ5VYFY8TTITJGJU9S06A" hidden="1">
          <a:extLst>
            <a:ext uri="{FF2B5EF4-FFF2-40B4-BE49-F238E27FC236}">
              <a16:creationId xmlns:a16="http://schemas.microsoft.com/office/drawing/2014/main" id="{4CADF97D-7CE2-40A9-9671-048F28DF3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38" name="BEx5BJQWS6YWHH4ZMSUAMD641V6Y" descr="ZTMFMXCIQSECDX38ALEFHUB00" hidden="1">
          <a:extLst>
            <a:ext uri="{FF2B5EF4-FFF2-40B4-BE49-F238E27FC236}">
              <a16:creationId xmlns:a16="http://schemas.microsoft.com/office/drawing/2014/main" id="{4536BF2A-7F43-4675-928D-50C5AA315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39" name="BExUBK0YZ5VYFY8TTITJGJU9S06A" hidden="1">
          <a:extLst>
            <a:ext uri="{FF2B5EF4-FFF2-40B4-BE49-F238E27FC236}">
              <a16:creationId xmlns:a16="http://schemas.microsoft.com/office/drawing/2014/main" id="{BB0469C5-C7FF-4FD6-83F4-A68438CC2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40" name="BEx5BJQWS6YWHH4ZMSUAMD641V6Y" descr="ZTMFMXCIQSECDX38ALEFHUB00" hidden="1">
          <a:extLst>
            <a:ext uri="{FF2B5EF4-FFF2-40B4-BE49-F238E27FC236}">
              <a16:creationId xmlns:a16="http://schemas.microsoft.com/office/drawing/2014/main" id="{56D950D7-1EF7-4926-90A0-064AEC27E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19</xdr:row>
      <xdr:rowOff>0</xdr:rowOff>
    </xdr:from>
    <xdr:ext cx="59531" cy="295275"/>
    <xdr:pic>
      <xdr:nvPicPr>
        <xdr:cNvPr id="5841" name="BExUBK0YZ5VYFY8TTITJGJU9S06A" hidden="1">
          <a:extLst>
            <a:ext uri="{FF2B5EF4-FFF2-40B4-BE49-F238E27FC236}">
              <a16:creationId xmlns:a16="http://schemas.microsoft.com/office/drawing/2014/main" id="{B9996ADC-3C6F-4AF5-9E7A-62753EE5C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54330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42" name="BEx1KD7H6UB1VYCJ7O61P562EIUY" descr="IQGV9140X0K0UPBL8OGU3I44J" hidden="1">
          <a:extLst>
            <a:ext uri="{FF2B5EF4-FFF2-40B4-BE49-F238E27FC236}">
              <a16:creationId xmlns:a16="http://schemas.microsoft.com/office/drawing/2014/main" id="{E2BA0D5B-AEFA-4429-A8EE-AED8125A9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43" name="BEx5AQZ4ETQ9LMY5EBWVH20Z7VXQ" hidden="1">
          <a:extLst>
            <a:ext uri="{FF2B5EF4-FFF2-40B4-BE49-F238E27FC236}">
              <a16:creationId xmlns:a16="http://schemas.microsoft.com/office/drawing/2014/main" id="{07FAE464-2681-46CC-8DFA-EDF24DFAF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44" name="BEx1KD7H6UB1VYCJ7O61P562EIUY" descr="IQGV9140X0K0UPBL8OGU3I44J" hidden="1">
          <a:extLst>
            <a:ext uri="{FF2B5EF4-FFF2-40B4-BE49-F238E27FC236}">
              <a16:creationId xmlns:a16="http://schemas.microsoft.com/office/drawing/2014/main" id="{DBE36FEE-0E5D-43FE-BAAF-EBBF0DA8E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45" name="BEx5AQZ4ETQ9LMY5EBWVH20Z7VXQ" hidden="1">
          <a:extLst>
            <a:ext uri="{FF2B5EF4-FFF2-40B4-BE49-F238E27FC236}">
              <a16:creationId xmlns:a16="http://schemas.microsoft.com/office/drawing/2014/main" id="{CA560590-1BEC-423B-860A-6D292B78A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46" name="BEx1KD7H6UB1VYCJ7O61P562EIUY" descr="IQGV9140X0K0UPBL8OGU3I44J" hidden="1">
          <a:extLst>
            <a:ext uri="{FF2B5EF4-FFF2-40B4-BE49-F238E27FC236}">
              <a16:creationId xmlns:a16="http://schemas.microsoft.com/office/drawing/2014/main" id="{7DF733F4-36C3-4547-B735-CDBCF98B9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47" name="BEx5AQZ4ETQ9LMY5EBWVH20Z7VXQ" hidden="1">
          <a:extLst>
            <a:ext uri="{FF2B5EF4-FFF2-40B4-BE49-F238E27FC236}">
              <a16:creationId xmlns:a16="http://schemas.microsoft.com/office/drawing/2014/main" id="{73B7CABA-02E7-49CE-95F5-F4F9E01E7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48" name="BEx1KD7H6UB1VYCJ7O61P562EIUY" descr="IQGV9140X0K0UPBL8OGU3I44J" hidden="1">
          <a:extLst>
            <a:ext uri="{FF2B5EF4-FFF2-40B4-BE49-F238E27FC236}">
              <a16:creationId xmlns:a16="http://schemas.microsoft.com/office/drawing/2014/main" id="{EAC783A2-DC3B-4231-8599-90535CEB0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49" name="BEx5AQZ4ETQ9LMY5EBWVH20Z7VXQ" hidden="1">
          <a:extLst>
            <a:ext uri="{FF2B5EF4-FFF2-40B4-BE49-F238E27FC236}">
              <a16:creationId xmlns:a16="http://schemas.microsoft.com/office/drawing/2014/main" id="{BBBFF87C-54BF-420E-AF08-BA5096D73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50" name="BEx1KD7H6UB1VYCJ7O61P562EIUY" descr="IQGV9140X0K0UPBL8OGU3I44J" hidden="1">
          <a:extLst>
            <a:ext uri="{FF2B5EF4-FFF2-40B4-BE49-F238E27FC236}">
              <a16:creationId xmlns:a16="http://schemas.microsoft.com/office/drawing/2014/main" id="{E5FE6ED6-768D-4749-AEE6-E2C32A681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51" name="BEx5AQZ4ETQ9LMY5EBWVH20Z7VXQ" hidden="1">
          <a:extLst>
            <a:ext uri="{FF2B5EF4-FFF2-40B4-BE49-F238E27FC236}">
              <a16:creationId xmlns:a16="http://schemas.microsoft.com/office/drawing/2014/main" id="{149C960D-601C-46A5-90BA-D4EFACBC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52" name="BEx1KD7H6UB1VYCJ7O61P562EIUY" descr="IQGV9140X0K0UPBL8OGU3I44J" hidden="1">
          <a:extLst>
            <a:ext uri="{FF2B5EF4-FFF2-40B4-BE49-F238E27FC236}">
              <a16:creationId xmlns:a16="http://schemas.microsoft.com/office/drawing/2014/main" id="{62774115-97B9-46CC-8F4C-9E5482F48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53" name="BEx5AQZ4ETQ9LMY5EBWVH20Z7VXQ" hidden="1">
          <a:extLst>
            <a:ext uri="{FF2B5EF4-FFF2-40B4-BE49-F238E27FC236}">
              <a16:creationId xmlns:a16="http://schemas.microsoft.com/office/drawing/2014/main" id="{753CA025-120F-4240-A574-78E2AF319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54" name="BEx1KD7H6UB1VYCJ7O61P562EIUY" descr="IQGV9140X0K0UPBL8OGU3I44J" hidden="1">
          <a:extLst>
            <a:ext uri="{FF2B5EF4-FFF2-40B4-BE49-F238E27FC236}">
              <a16:creationId xmlns:a16="http://schemas.microsoft.com/office/drawing/2014/main" id="{28ACBAAB-F188-4F19-93E4-0AFC52BD2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55" name="BEx5AQZ4ETQ9LMY5EBWVH20Z7VXQ" hidden="1">
          <a:extLst>
            <a:ext uri="{FF2B5EF4-FFF2-40B4-BE49-F238E27FC236}">
              <a16:creationId xmlns:a16="http://schemas.microsoft.com/office/drawing/2014/main" id="{1351A428-297A-432C-BB85-E3E3801BA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56" name="BEx1KD7H6UB1VYCJ7O61P562EIUY" descr="IQGV9140X0K0UPBL8OGU3I44J" hidden="1">
          <a:extLst>
            <a:ext uri="{FF2B5EF4-FFF2-40B4-BE49-F238E27FC236}">
              <a16:creationId xmlns:a16="http://schemas.microsoft.com/office/drawing/2014/main" id="{A1D21697-D073-4B7E-A708-70A3577A0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57" name="BEx5AQZ4ETQ9LMY5EBWVH20Z7VXQ" hidden="1">
          <a:extLst>
            <a:ext uri="{FF2B5EF4-FFF2-40B4-BE49-F238E27FC236}">
              <a16:creationId xmlns:a16="http://schemas.microsoft.com/office/drawing/2014/main" id="{B1FB0D91-F6E2-43AF-B1EF-49D603288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58" name="BEx1KD7H6UB1VYCJ7O61P562EIUY" descr="IQGV9140X0K0UPBL8OGU3I44J" hidden="1">
          <a:extLst>
            <a:ext uri="{FF2B5EF4-FFF2-40B4-BE49-F238E27FC236}">
              <a16:creationId xmlns:a16="http://schemas.microsoft.com/office/drawing/2014/main" id="{E6D1CCAF-AC90-4C32-87CD-F0BDDB0B6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59" name="BEx5AQZ4ETQ9LMY5EBWVH20Z7VXQ" hidden="1">
          <a:extLst>
            <a:ext uri="{FF2B5EF4-FFF2-40B4-BE49-F238E27FC236}">
              <a16:creationId xmlns:a16="http://schemas.microsoft.com/office/drawing/2014/main" id="{B908E57E-9CD4-434C-BAB3-5E0008D9B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60" name="BEx1KD7H6UB1VYCJ7O61P562EIUY" descr="IQGV9140X0K0UPBL8OGU3I44J" hidden="1">
          <a:extLst>
            <a:ext uri="{FF2B5EF4-FFF2-40B4-BE49-F238E27FC236}">
              <a16:creationId xmlns:a16="http://schemas.microsoft.com/office/drawing/2014/main" id="{6DBA492A-AA77-4066-8444-E69C36B78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61" name="BEx5AQZ4ETQ9LMY5EBWVH20Z7VXQ" hidden="1">
          <a:extLst>
            <a:ext uri="{FF2B5EF4-FFF2-40B4-BE49-F238E27FC236}">
              <a16:creationId xmlns:a16="http://schemas.microsoft.com/office/drawing/2014/main" id="{82299AA1-F471-41FD-A233-B8C1C7BD8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62" name="BEx1KD7H6UB1VYCJ7O61P562EIUY" descr="IQGV9140X0K0UPBL8OGU3I44J" hidden="1">
          <a:extLst>
            <a:ext uri="{FF2B5EF4-FFF2-40B4-BE49-F238E27FC236}">
              <a16:creationId xmlns:a16="http://schemas.microsoft.com/office/drawing/2014/main" id="{D9AD0485-98CF-4318-9B21-58824ABBA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63" name="BEx5AQZ4ETQ9LMY5EBWVH20Z7VXQ" hidden="1">
          <a:extLst>
            <a:ext uri="{FF2B5EF4-FFF2-40B4-BE49-F238E27FC236}">
              <a16:creationId xmlns:a16="http://schemas.microsoft.com/office/drawing/2014/main" id="{509DD926-F3FB-4D75-9E72-AFC335776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64" name="BEx1KD7H6UB1VYCJ7O61P562EIUY" descr="IQGV9140X0K0UPBL8OGU3I44J" hidden="1">
          <a:extLst>
            <a:ext uri="{FF2B5EF4-FFF2-40B4-BE49-F238E27FC236}">
              <a16:creationId xmlns:a16="http://schemas.microsoft.com/office/drawing/2014/main" id="{3ED3174B-C360-417E-BFD0-6952B1974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65" name="BEx5AQZ4ETQ9LMY5EBWVH20Z7VXQ" hidden="1">
          <a:extLst>
            <a:ext uri="{FF2B5EF4-FFF2-40B4-BE49-F238E27FC236}">
              <a16:creationId xmlns:a16="http://schemas.microsoft.com/office/drawing/2014/main" id="{270A786A-025B-4403-AD23-9C20B27D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66" name="BEx1KD7H6UB1VYCJ7O61P562EIUY" descr="IQGV9140X0K0UPBL8OGU3I44J" hidden="1">
          <a:extLst>
            <a:ext uri="{FF2B5EF4-FFF2-40B4-BE49-F238E27FC236}">
              <a16:creationId xmlns:a16="http://schemas.microsoft.com/office/drawing/2014/main" id="{6A87D0E3-4C96-4227-88DC-5E246838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67" name="BEx5AQZ4ETQ9LMY5EBWVH20Z7VXQ" hidden="1">
          <a:extLst>
            <a:ext uri="{FF2B5EF4-FFF2-40B4-BE49-F238E27FC236}">
              <a16:creationId xmlns:a16="http://schemas.microsoft.com/office/drawing/2014/main" id="{B4225E3B-1393-40B9-A795-FEB61366D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68" name="BEx1KD7H6UB1VYCJ7O61P562EIUY" descr="IQGV9140X0K0UPBL8OGU3I44J" hidden="1">
          <a:extLst>
            <a:ext uri="{FF2B5EF4-FFF2-40B4-BE49-F238E27FC236}">
              <a16:creationId xmlns:a16="http://schemas.microsoft.com/office/drawing/2014/main" id="{E5E6711E-F872-4BA1-A796-8CF5FC650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69" name="BEx5AQZ4ETQ9LMY5EBWVH20Z7VXQ" hidden="1">
          <a:extLst>
            <a:ext uri="{FF2B5EF4-FFF2-40B4-BE49-F238E27FC236}">
              <a16:creationId xmlns:a16="http://schemas.microsoft.com/office/drawing/2014/main" id="{C62F840C-E77D-4F73-9FE5-282AB8375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70" name="BEx1KD7H6UB1VYCJ7O61P562EIUY" descr="IQGV9140X0K0UPBL8OGU3I44J" hidden="1">
          <a:extLst>
            <a:ext uri="{FF2B5EF4-FFF2-40B4-BE49-F238E27FC236}">
              <a16:creationId xmlns:a16="http://schemas.microsoft.com/office/drawing/2014/main" id="{19E82AD5-CD5B-4CBF-BA5E-2D6FA46D6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5871" name="BExVTO5Q8G2M7BPL4B2584LQS0R0" descr="OB6Q8NA4LZFE4GM9Y3V56BPMQ" hidden="1">
          <a:extLst>
            <a:ext uri="{FF2B5EF4-FFF2-40B4-BE49-F238E27FC236}">
              <a16:creationId xmlns:a16="http://schemas.microsoft.com/office/drawing/2014/main" id="{7705093B-E3CC-428F-B8FD-213676213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72" name="BEx5AQZ4ETQ9LMY5EBWVH20Z7VXQ" hidden="1">
          <a:extLst>
            <a:ext uri="{FF2B5EF4-FFF2-40B4-BE49-F238E27FC236}">
              <a16:creationId xmlns:a16="http://schemas.microsoft.com/office/drawing/2014/main" id="{1F234063-3A3A-4233-92A9-DC969329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5873" name="BExUEZCSSJ7RN4J18I2NUIQR2FZS" hidden="1">
          <a:extLst>
            <a:ext uri="{FF2B5EF4-FFF2-40B4-BE49-F238E27FC236}">
              <a16:creationId xmlns:a16="http://schemas.microsoft.com/office/drawing/2014/main" id="{3C9AA9E1-A98B-4D6C-A606-6C44DFF8E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543300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74" name="BEx1KD7H6UB1VYCJ7O61P562EIUY" descr="IQGV9140X0K0UPBL8OGU3I44J" hidden="1">
          <a:extLst>
            <a:ext uri="{FF2B5EF4-FFF2-40B4-BE49-F238E27FC236}">
              <a16:creationId xmlns:a16="http://schemas.microsoft.com/office/drawing/2014/main" id="{550BCB32-5182-4ACF-93CF-6429B4A03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75" name="BEx5AQZ4ETQ9LMY5EBWVH20Z7VXQ" hidden="1">
          <a:extLst>
            <a:ext uri="{FF2B5EF4-FFF2-40B4-BE49-F238E27FC236}">
              <a16:creationId xmlns:a16="http://schemas.microsoft.com/office/drawing/2014/main" id="{AF457F4D-A8E8-4662-8C78-C15A3C606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76" name="BEx1KD7H6UB1VYCJ7O61P562EIUY" descr="IQGV9140X0K0UPBL8OGU3I44J" hidden="1">
          <a:extLst>
            <a:ext uri="{FF2B5EF4-FFF2-40B4-BE49-F238E27FC236}">
              <a16:creationId xmlns:a16="http://schemas.microsoft.com/office/drawing/2014/main" id="{363D876B-E463-4BC0-9D05-65C43D926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77" name="BEx5AQZ4ETQ9LMY5EBWVH20Z7VXQ" hidden="1">
          <a:extLst>
            <a:ext uri="{FF2B5EF4-FFF2-40B4-BE49-F238E27FC236}">
              <a16:creationId xmlns:a16="http://schemas.microsoft.com/office/drawing/2014/main" id="{27ED62F4-18AC-4E6C-91ED-A29C53178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78" name="BEx1KD7H6UB1VYCJ7O61P562EIUY" descr="IQGV9140X0K0UPBL8OGU3I44J" hidden="1">
          <a:extLst>
            <a:ext uri="{FF2B5EF4-FFF2-40B4-BE49-F238E27FC236}">
              <a16:creationId xmlns:a16="http://schemas.microsoft.com/office/drawing/2014/main" id="{B33C52AA-3F7B-4C3B-931C-24F0E6FB5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79" name="BEx5AQZ4ETQ9LMY5EBWVH20Z7VXQ" hidden="1">
          <a:extLst>
            <a:ext uri="{FF2B5EF4-FFF2-40B4-BE49-F238E27FC236}">
              <a16:creationId xmlns:a16="http://schemas.microsoft.com/office/drawing/2014/main" id="{917B9F73-46A2-4011-94C8-8516B9FB6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80" name="BEx1KD7H6UB1VYCJ7O61P562EIUY" descr="IQGV9140X0K0UPBL8OGU3I44J" hidden="1">
          <a:extLst>
            <a:ext uri="{FF2B5EF4-FFF2-40B4-BE49-F238E27FC236}">
              <a16:creationId xmlns:a16="http://schemas.microsoft.com/office/drawing/2014/main" id="{049B148E-43FE-40AD-9DC1-E6044C305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81" name="BEx5AQZ4ETQ9LMY5EBWVH20Z7VXQ" hidden="1">
          <a:extLst>
            <a:ext uri="{FF2B5EF4-FFF2-40B4-BE49-F238E27FC236}">
              <a16:creationId xmlns:a16="http://schemas.microsoft.com/office/drawing/2014/main" id="{8124D040-43B4-4C3B-B610-568676315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82" name="BEx1KD7H6UB1VYCJ7O61P562EIUY" descr="IQGV9140X0K0UPBL8OGU3I44J" hidden="1">
          <a:extLst>
            <a:ext uri="{FF2B5EF4-FFF2-40B4-BE49-F238E27FC236}">
              <a16:creationId xmlns:a16="http://schemas.microsoft.com/office/drawing/2014/main" id="{F904A3F1-7536-489E-A0F8-6A00D438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83" name="BEx5AQZ4ETQ9LMY5EBWVH20Z7VXQ" hidden="1">
          <a:extLst>
            <a:ext uri="{FF2B5EF4-FFF2-40B4-BE49-F238E27FC236}">
              <a16:creationId xmlns:a16="http://schemas.microsoft.com/office/drawing/2014/main" id="{C8067680-4863-4533-A8ED-7B34396F5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84" name="BEx1KD7H6UB1VYCJ7O61P562EIUY" descr="IQGV9140X0K0UPBL8OGU3I44J" hidden="1">
          <a:extLst>
            <a:ext uri="{FF2B5EF4-FFF2-40B4-BE49-F238E27FC236}">
              <a16:creationId xmlns:a16="http://schemas.microsoft.com/office/drawing/2014/main" id="{F7572DEC-61C1-4B1E-A2E1-940340EDE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85" name="BEx5AQZ4ETQ9LMY5EBWVH20Z7VXQ" hidden="1">
          <a:extLst>
            <a:ext uri="{FF2B5EF4-FFF2-40B4-BE49-F238E27FC236}">
              <a16:creationId xmlns:a16="http://schemas.microsoft.com/office/drawing/2014/main" id="{081B866A-CBEB-43BE-A5C7-1542D6D4D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86" name="BEx1KD7H6UB1VYCJ7O61P562EIUY" descr="IQGV9140X0K0UPBL8OGU3I44J" hidden="1">
          <a:extLst>
            <a:ext uri="{FF2B5EF4-FFF2-40B4-BE49-F238E27FC236}">
              <a16:creationId xmlns:a16="http://schemas.microsoft.com/office/drawing/2014/main" id="{A0A77CF9-7BC2-45AB-B2F7-9BA2E8563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87" name="BEx5AQZ4ETQ9LMY5EBWVH20Z7VXQ" hidden="1">
          <a:extLst>
            <a:ext uri="{FF2B5EF4-FFF2-40B4-BE49-F238E27FC236}">
              <a16:creationId xmlns:a16="http://schemas.microsoft.com/office/drawing/2014/main" id="{706C76D6-4A57-46FC-9F4F-7A7ECE6E7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88" name="BEx1KD7H6UB1VYCJ7O61P562EIUY" descr="IQGV9140X0K0UPBL8OGU3I44J" hidden="1">
          <a:extLst>
            <a:ext uri="{FF2B5EF4-FFF2-40B4-BE49-F238E27FC236}">
              <a16:creationId xmlns:a16="http://schemas.microsoft.com/office/drawing/2014/main" id="{3C4BA6EC-E6DC-4893-8573-55956D054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89" name="BEx5AQZ4ETQ9LMY5EBWVH20Z7VXQ" hidden="1">
          <a:extLst>
            <a:ext uri="{FF2B5EF4-FFF2-40B4-BE49-F238E27FC236}">
              <a16:creationId xmlns:a16="http://schemas.microsoft.com/office/drawing/2014/main" id="{EBF7EE3C-276E-4C49-8164-A9DB03DB6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90" name="BEx1KD7H6UB1VYCJ7O61P562EIUY" descr="IQGV9140X0K0UPBL8OGU3I44J" hidden="1">
          <a:extLst>
            <a:ext uri="{FF2B5EF4-FFF2-40B4-BE49-F238E27FC236}">
              <a16:creationId xmlns:a16="http://schemas.microsoft.com/office/drawing/2014/main" id="{8CCCB106-B330-4440-95DE-71E92BFC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91" name="BEx5AQZ4ETQ9LMY5EBWVH20Z7VXQ" hidden="1">
          <a:extLst>
            <a:ext uri="{FF2B5EF4-FFF2-40B4-BE49-F238E27FC236}">
              <a16:creationId xmlns:a16="http://schemas.microsoft.com/office/drawing/2014/main" id="{DCF4DA66-A40B-4099-8671-18CDF328F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92" name="BEx1KD7H6UB1VYCJ7O61P562EIUY" descr="IQGV9140X0K0UPBL8OGU3I44J" hidden="1">
          <a:extLst>
            <a:ext uri="{FF2B5EF4-FFF2-40B4-BE49-F238E27FC236}">
              <a16:creationId xmlns:a16="http://schemas.microsoft.com/office/drawing/2014/main" id="{063A48D0-84A4-40E6-9D89-4DF8C7D68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93" name="BEx5AQZ4ETQ9LMY5EBWVH20Z7VXQ" hidden="1">
          <a:extLst>
            <a:ext uri="{FF2B5EF4-FFF2-40B4-BE49-F238E27FC236}">
              <a16:creationId xmlns:a16="http://schemas.microsoft.com/office/drawing/2014/main" id="{04F53711-1FC9-42C7-891F-077B08412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94" name="BEx1KD7H6UB1VYCJ7O61P562EIUY" descr="IQGV9140X0K0UPBL8OGU3I44J" hidden="1">
          <a:extLst>
            <a:ext uri="{FF2B5EF4-FFF2-40B4-BE49-F238E27FC236}">
              <a16:creationId xmlns:a16="http://schemas.microsoft.com/office/drawing/2014/main" id="{DBC2DE76-0E9E-4426-8F49-BDCCCE09A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95" name="BEx5AQZ4ETQ9LMY5EBWVH20Z7VXQ" hidden="1">
          <a:extLst>
            <a:ext uri="{FF2B5EF4-FFF2-40B4-BE49-F238E27FC236}">
              <a16:creationId xmlns:a16="http://schemas.microsoft.com/office/drawing/2014/main" id="{6790487A-6910-4B18-A122-A475C5D81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96" name="BEx1KD7H6UB1VYCJ7O61P562EIUY" descr="IQGV9140X0K0UPBL8OGU3I44J" hidden="1">
          <a:extLst>
            <a:ext uri="{FF2B5EF4-FFF2-40B4-BE49-F238E27FC236}">
              <a16:creationId xmlns:a16="http://schemas.microsoft.com/office/drawing/2014/main" id="{F80446E6-D6F2-46AC-A8D6-CDB773163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97" name="BEx5AQZ4ETQ9LMY5EBWVH20Z7VXQ" hidden="1">
          <a:extLst>
            <a:ext uri="{FF2B5EF4-FFF2-40B4-BE49-F238E27FC236}">
              <a16:creationId xmlns:a16="http://schemas.microsoft.com/office/drawing/2014/main" id="{BB0AFCD5-FCCB-445F-80CC-E316646F2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98" name="BEx1KD7H6UB1VYCJ7O61P562EIUY" descr="IQGV9140X0K0UPBL8OGU3I44J" hidden="1">
          <a:extLst>
            <a:ext uri="{FF2B5EF4-FFF2-40B4-BE49-F238E27FC236}">
              <a16:creationId xmlns:a16="http://schemas.microsoft.com/office/drawing/2014/main" id="{B5090612-1A31-4307-890E-C5A90C52A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899" name="BEx5AQZ4ETQ9LMY5EBWVH20Z7VXQ" hidden="1">
          <a:extLst>
            <a:ext uri="{FF2B5EF4-FFF2-40B4-BE49-F238E27FC236}">
              <a16:creationId xmlns:a16="http://schemas.microsoft.com/office/drawing/2014/main" id="{07479684-D413-4350-A786-0BB923FD8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00" name="BEx1KD7H6UB1VYCJ7O61P562EIUY" descr="IQGV9140X0K0UPBL8OGU3I44J" hidden="1">
          <a:extLst>
            <a:ext uri="{FF2B5EF4-FFF2-40B4-BE49-F238E27FC236}">
              <a16:creationId xmlns:a16="http://schemas.microsoft.com/office/drawing/2014/main" id="{F1AE0271-3F19-402C-B2E9-4C35A044C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01" name="BEx5AQZ4ETQ9LMY5EBWVH20Z7VXQ" hidden="1">
          <a:extLst>
            <a:ext uri="{FF2B5EF4-FFF2-40B4-BE49-F238E27FC236}">
              <a16:creationId xmlns:a16="http://schemas.microsoft.com/office/drawing/2014/main" id="{21D711D7-4C25-4649-8889-DD2025694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02" name="BEx1KD7H6UB1VYCJ7O61P562EIUY" descr="IQGV9140X0K0UPBL8OGU3I44J" hidden="1">
          <a:extLst>
            <a:ext uri="{FF2B5EF4-FFF2-40B4-BE49-F238E27FC236}">
              <a16:creationId xmlns:a16="http://schemas.microsoft.com/office/drawing/2014/main" id="{9D8C3F09-6AC1-45EC-8765-881D4F9AA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03" name="BEx5AQZ4ETQ9LMY5EBWVH20Z7VXQ" hidden="1">
          <a:extLst>
            <a:ext uri="{FF2B5EF4-FFF2-40B4-BE49-F238E27FC236}">
              <a16:creationId xmlns:a16="http://schemas.microsoft.com/office/drawing/2014/main" id="{F4AE6FC7-1B41-401C-9962-D8DF19A2E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04" name="BEx1KD7H6UB1VYCJ7O61P562EIUY" descr="IQGV9140X0K0UPBL8OGU3I44J" hidden="1">
          <a:extLst>
            <a:ext uri="{FF2B5EF4-FFF2-40B4-BE49-F238E27FC236}">
              <a16:creationId xmlns:a16="http://schemas.microsoft.com/office/drawing/2014/main" id="{25CDBEF2-70FF-4BBD-903D-B67F5A1B8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05" name="BEx5AQZ4ETQ9LMY5EBWVH20Z7VXQ" hidden="1">
          <a:extLst>
            <a:ext uri="{FF2B5EF4-FFF2-40B4-BE49-F238E27FC236}">
              <a16:creationId xmlns:a16="http://schemas.microsoft.com/office/drawing/2014/main" id="{C25E801B-BBCD-49BE-9DD7-B438E5214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06" name="BEx1KD7H6UB1VYCJ7O61P562EIUY" descr="IQGV9140X0K0UPBL8OGU3I44J" hidden="1">
          <a:extLst>
            <a:ext uri="{FF2B5EF4-FFF2-40B4-BE49-F238E27FC236}">
              <a16:creationId xmlns:a16="http://schemas.microsoft.com/office/drawing/2014/main" id="{988B2D90-29E8-4C99-8AF3-42EB6C128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07" name="BEx5AQZ4ETQ9LMY5EBWVH20Z7VXQ" hidden="1">
          <a:extLst>
            <a:ext uri="{FF2B5EF4-FFF2-40B4-BE49-F238E27FC236}">
              <a16:creationId xmlns:a16="http://schemas.microsoft.com/office/drawing/2014/main" id="{B51C9959-837F-4055-A458-17CA06CF7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08" name="BEx1KD7H6UB1VYCJ7O61P562EIUY" descr="IQGV9140X0K0UPBL8OGU3I44J" hidden="1">
          <a:extLst>
            <a:ext uri="{FF2B5EF4-FFF2-40B4-BE49-F238E27FC236}">
              <a16:creationId xmlns:a16="http://schemas.microsoft.com/office/drawing/2014/main" id="{F9913A50-16D2-4FA6-9405-556692637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09" name="BEx5AQZ4ETQ9LMY5EBWVH20Z7VXQ" hidden="1">
          <a:extLst>
            <a:ext uri="{FF2B5EF4-FFF2-40B4-BE49-F238E27FC236}">
              <a16:creationId xmlns:a16="http://schemas.microsoft.com/office/drawing/2014/main" id="{7C0A2852-B5CC-4DBF-82CD-E00C48826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10" name="BEx1KD7H6UB1VYCJ7O61P562EIUY" descr="IQGV9140X0K0UPBL8OGU3I44J" hidden="1">
          <a:extLst>
            <a:ext uri="{FF2B5EF4-FFF2-40B4-BE49-F238E27FC236}">
              <a16:creationId xmlns:a16="http://schemas.microsoft.com/office/drawing/2014/main" id="{62959D52-BB35-4448-9EBC-B7C75FDE0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11" name="BEx5AQZ4ETQ9LMY5EBWVH20Z7VXQ" hidden="1">
          <a:extLst>
            <a:ext uri="{FF2B5EF4-FFF2-40B4-BE49-F238E27FC236}">
              <a16:creationId xmlns:a16="http://schemas.microsoft.com/office/drawing/2014/main" id="{36EB9614-59F4-4557-8801-92F31AE97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12" name="BEx1KD7H6UB1VYCJ7O61P562EIUY" descr="IQGV9140X0K0UPBL8OGU3I44J" hidden="1">
          <a:extLst>
            <a:ext uri="{FF2B5EF4-FFF2-40B4-BE49-F238E27FC236}">
              <a16:creationId xmlns:a16="http://schemas.microsoft.com/office/drawing/2014/main" id="{7F156DF4-6A15-494B-93F8-BCB4EDD82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13" name="BEx5AQZ4ETQ9LMY5EBWVH20Z7VXQ" hidden="1">
          <a:extLst>
            <a:ext uri="{FF2B5EF4-FFF2-40B4-BE49-F238E27FC236}">
              <a16:creationId xmlns:a16="http://schemas.microsoft.com/office/drawing/2014/main" id="{BA1E936C-E2B4-415F-8757-A0BF81E78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14" name="BEx1KD7H6UB1VYCJ7O61P562EIUY" descr="IQGV9140X0K0UPBL8OGU3I44J" hidden="1">
          <a:extLst>
            <a:ext uri="{FF2B5EF4-FFF2-40B4-BE49-F238E27FC236}">
              <a16:creationId xmlns:a16="http://schemas.microsoft.com/office/drawing/2014/main" id="{AC359217-1B3C-4F01-9714-AC9465BEB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5915" name="BExVTO5Q8G2M7BPL4B2584LQS0R0" descr="OB6Q8NA4LZFE4GM9Y3V56BPMQ" hidden="1">
          <a:extLst>
            <a:ext uri="{FF2B5EF4-FFF2-40B4-BE49-F238E27FC236}">
              <a16:creationId xmlns:a16="http://schemas.microsoft.com/office/drawing/2014/main" id="{51BD0522-E02F-4D39-A1A7-F0B026A34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16" name="BEx5AQZ4ETQ9LMY5EBWVH20Z7VXQ" hidden="1">
          <a:extLst>
            <a:ext uri="{FF2B5EF4-FFF2-40B4-BE49-F238E27FC236}">
              <a16:creationId xmlns:a16="http://schemas.microsoft.com/office/drawing/2014/main" id="{23DC8A62-6333-47B6-A9E0-C38C8487D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5917" name="BExUEZCSSJ7RN4J18I2NUIQR2FZS" hidden="1">
          <a:extLst>
            <a:ext uri="{FF2B5EF4-FFF2-40B4-BE49-F238E27FC236}">
              <a16:creationId xmlns:a16="http://schemas.microsoft.com/office/drawing/2014/main" id="{8ED760F4-49E2-4E33-8E39-FF63C754D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543300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18" name="BEx1KD7H6UB1VYCJ7O61P562EIUY" descr="IQGV9140X0K0UPBL8OGU3I44J" hidden="1">
          <a:extLst>
            <a:ext uri="{FF2B5EF4-FFF2-40B4-BE49-F238E27FC236}">
              <a16:creationId xmlns:a16="http://schemas.microsoft.com/office/drawing/2014/main" id="{1BAC4F33-4A86-4BA0-952B-5C3FE784B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19" name="BEx5AQZ4ETQ9LMY5EBWVH20Z7VXQ" hidden="1">
          <a:extLst>
            <a:ext uri="{FF2B5EF4-FFF2-40B4-BE49-F238E27FC236}">
              <a16:creationId xmlns:a16="http://schemas.microsoft.com/office/drawing/2014/main" id="{99E0B543-EDBE-43FC-918A-40AA8C254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20" name="BEx1KD7H6UB1VYCJ7O61P562EIUY" descr="IQGV9140X0K0UPBL8OGU3I44J" hidden="1">
          <a:extLst>
            <a:ext uri="{FF2B5EF4-FFF2-40B4-BE49-F238E27FC236}">
              <a16:creationId xmlns:a16="http://schemas.microsoft.com/office/drawing/2014/main" id="{65306D6C-D5D2-48D6-AC1C-CA9EDD516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21" name="BEx5AQZ4ETQ9LMY5EBWVH20Z7VXQ" hidden="1">
          <a:extLst>
            <a:ext uri="{FF2B5EF4-FFF2-40B4-BE49-F238E27FC236}">
              <a16:creationId xmlns:a16="http://schemas.microsoft.com/office/drawing/2014/main" id="{C1C0C19A-ADC4-450D-A304-45EA471A6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22" name="BEx1KD7H6UB1VYCJ7O61P562EIUY" descr="IQGV9140X0K0UPBL8OGU3I44J" hidden="1">
          <a:extLst>
            <a:ext uri="{FF2B5EF4-FFF2-40B4-BE49-F238E27FC236}">
              <a16:creationId xmlns:a16="http://schemas.microsoft.com/office/drawing/2014/main" id="{1B39B301-76CD-4172-AFD7-428B418B3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23" name="BEx5AQZ4ETQ9LMY5EBWVH20Z7VXQ" hidden="1">
          <a:extLst>
            <a:ext uri="{FF2B5EF4-FFF2-40B4-BE49-F238E27FC236}">
              <a16:creationId xmlns:a16="http://schemas.microsoft.com/office/drawing/2014/main" id="{FD698FA2-0E7A-4674-9882-9E4FF8A93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24" name="BEx1KD7H6UB1VYCJ7O61P562EIUY" descr="IQGV9140X0K0UPBL8OGU3I44J" hidden="1">
          <a:extLst>
            <a:ext uri="{FF2B5EF4-FFF2-40B4-BE49-F238E27FC236}">
              <a16:creationId xmlns:a16="http://schemas.microsoft.com/office/drawing/2014/main" id="{CB17C8CD-DC92-44BF-9EFE-50CC713F4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25" name="BEx5AQZ4ETQ9LMY5EBWVH20Z7VXQ" hidden="1">
          <a:extLst>
            <a:ext uri="{FF2B5EF4-FFF2-40B4-BE49-F238E27FC236}">
              <a16:creationId xmlns:a16="http://schemas.microsoft.com/office/drawing/2014/main" id="{B9BD8837-ABE7-4E94-A0E4-CC59ABB2A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26" name="BEx1KD7H6UB1VYCJ7O61P562EIUY" descr="IQGV9140X0K0UPBL8OGU3I44J" hidden="1">
          <a:extLst>
            <a:ext uri="{FF2B5EF4-FFF2-40B4-BE49-F238E27FC236}">
              <a16:creationId xmlns:a16="http://schemas.microsoft.com/office/drawing/2014/main" id="{AC709AC5-2D6D-4447-9807-E5F5856EA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27" name="BEx5AQZ4ETQ9LMY5EBWVH20Z7VXQ" hidden="1">
          <a:extLst>
            <a:ext uri="{FF2B5EF4-FFF2-40B4-BE49-F238E27FC236}">
              <a16:creationId xmlns:a16="http://schemas.microsoft.com/office/drawing/2014/main" id="{11DDF66C-2605-478A-9B86-F4DFA9164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28" name="BEx1KD7H6UB1VYCJ7O61P562EIUY" descr="IQGV9140X0K0UPBL8OGU3I44J" hidden="1">
          <a:extLst>
            <a:ext uri="{FF2B5EF4-FFF2-40B4-BE49-F238E27FC236}">
              <a16:creationId xmlns:a16="http://schemas.microsoft.com/office/drawing/2014/main" id="{9C41B2BF-FFB4-4976-8382-BD7123389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29" name="BEx5AQZ4ETQ9LMY5EBWVH20Z7VXQ" hidden="1">
          <a:extLst>
            <a:ext uri="{FF2B5EF4-FFF2-40B4-BE49-F238E27FC236}">
              <a16:creationId xmlns:a16="http://schemas.microsoft.com/office/drawing/2014/main" id="{029EC8E0-7002-4F45-8E00-46EE0CF06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30" name="BEx1KD7H6UB1VYCJ7O61P562EIUY" descr="IQGV9140X0K0UPBL8OGU3I44J" hidden="1">
          <a:extLst>
            <a:ext uri="{FF2B5EF4-FFF2-40B4-BE49-F238E27FC236}">
              <a16:creationId xmlns:a16="http://schemas.microsoft.com/office/drawing/2014/main" id="{D9EFF38F-DB7E-4A8F-904C-D6A8240ED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31" name="BEx5AQZ4ETQ9LMY5EBWVH20Z7VXQ" hidden="1">
          <a:extLst>
            <a:ext uri="{FF2B5EF4-FFF2-40B4-BE49-F238E27FC236}">
              <a16:creationId xmlns:a16="http://schemas.microsoft.com/office/drawing/2014/main" id="{296B1362-3129-46D8-B482-BB3278F6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32" name="BEx1KD7H6UB1VYCJ7O61P562EIUY" descr="IQGV9140X0K0UPBL8OGU3I44J" hidden="1">
          <a:extLst>
            <a:ext uri="{FF2B5EF4-FFF2-40B4-BE49-F238E27FC236}">
              <a16:creationId xmlns:a16="http://schemas.microsoft.com/office/drawing/2014/main" id="{908A5CA2-6E11-4A10-A404-58E777554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33" name="BEx5AQZ4ETQ9LMY5EBWVH20Z7VXQ" hidden="1">
          <a:extLst>
            <a:ext uri="{FF2B5EF4-FFF2-40B4-BE49-F238E27FC236}">
              <a16:creationId xmlns:a16="http://schemas.microsoft.com/office/drawing/2014/main" id="{69415E3A-4397-410F-800A-735E6F6F3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34" name="BEx1KD7H6UB1VYCJ7O61P562EIUY" descr="IQGV9140X0K0UPBL8OGU3I44J" hidden="1">
          <a:extLst>
            <a:ext uri="{FF2B5EF4-FFF2-40B4-BE49-F238E27FC236}">
              <a16:creationId xmlns:a16="http://schemas.microsoft.com/office/drawing/2014/main" id="{A4B27A00-92B4-4C37-93C3-D0186CA27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35" name="BEx5AQZ4ETQ9LMY5EBWVH20Z7VXQ" hidden="1">
          <a:extLst>
            <a:ext uri="{FF2B5EF4-FFF2-40B4-BE49-F238E27FC236}">
              <a16:creationId xmlns:a16="http://schemas.microsoft.com/office/drawing/2014/main" id="{16F2E8AE-BDD1-4893-A705-F42D138F5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36" name="BEx1KD7H6UB1VYCJ7O61P562EIUY" descr="IQGV9140X0K0UPBL8OGU3I44J" hidden="1">
          <a:extLst>
            <a:ext uri="{FF2B5EF4-FFF2-40B4-BE49-F238E27FC236}">
              <a16:creationId xmlns:a16="http://schemas.microsoft.com/office/drawing/2014/main" id="{73621294-843C-49F8-8E47-DF26985F3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37" name="BEx5AQZ4ETQ9LMY5EBWVH20Z7VXQ" hidden="1">
          <a:extLst>
            <a:ext uri="{FF2B5EF4-FFF2-40B4-BE49-F238E27FC236}">
              <a16:creationId xmlns:a16="http://schemas.microsoft.com/office/drawing/2014/main" id="{369A67A1-11A4-4D9B-80C6-758F856A3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38" name="BEx1KD7H6UB1VYCJ7O61P562EIUY" descr="IQGV9140X0K0UPBL8OGU3I44J" hidden="1">
          <a:extLst>
            <a:ext uri="{FF2B5EF4-FFF2-40B4-BE49-F238E27FC236}">
              <a16:creationId xmlns:a16="http://schemas.microsoft.com/office/drawing/2014/main" id="{27528273-5C46-494C-83CB-F32938646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39" name="BEx5AQZ4ETQ9LMY5EBWVH20Z7VXQ" hidden="1">
          <a:extLst>
            <a:ext uri="{FF2B5EF4-FFF2-40B4-BE49-F238E27FC236}">
              <a16:creationId xmlns:a16="http://schemas.microsoft.com/office/drawing/2014/main" id="{302805DF-DE9E-438D-B66D-92222A8C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40" name="BEx1KD7H6UB1VYCJ7O61P562EIUY" descr="IQGV9140X0K0UPBL8OGU3I44J" hidden="1">
          <a:extLst>
            <a:ext uri="{FF2B5EF4-FFF2-40B4-BE49-F238E27FC236}">
              <a16:creationId xmlns:a16="http://schemas.microsoft.com/office/drawing/2014/main" id="{51972304-469B-461C-A5D6-13DD3E061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41" name="BEx5AQZ4ETQ9LMY5EBWVH20Z7VXQ" hidden="1">
          <a:extLst>
            <a:ext uri="{FF2B5EF4-FFF2-40B4-BE49-F238E27FC236}">
              <a16:creationId xmlns:a16="http://schemas.microsoft.com/office/drawing/2014/main" id="{56ED9810-3476-4890-A617-B71FE40FC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42" name="BEx1KD7H6UB1VYCJ7O61P562EIUY" descr="IQGV9140X0K0UPBL8OGU3I44J" hidden="1">
          <a:extLst>
            <a:ext uri="{FF2B5EF4-FFF2-40B4-BE49-F238E27FC236}">
              <a16:creationId xmlns:a16="http://schemas.microsoft.com/office/drawing/2014/main" id="{74A1B584-6152-418C-98B0-7B4AC638B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43" name="BEx5AQZ4ETQ9LMY5EBWVH20Z7VXQ" hidden="1">
          <a:extLst>
            <a:ext uri="{FF2B5EF4-FFF2-40B4-BE49-F238E27FC236}">
              <a16:creationId xmlns:a16="http://schemas.microsoft.com/office/drawing/2014/main" id="{C16D882D-B31E-4096-8D2D-52B94AD60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44" name="BEx1KD7H6UB1VYCJ7O61P562EIUY" descr="IQGV9140X0K0UPBL8OGU3I44J" hidden="1">
          <a:extLst>
            <a:ext uri="{FF2B5EF4-FFF2-40B4-BE49-F238E27FC236}">
              <a16:creationId xmlns:a16="http://schemas.microsoft.com/office/drawing/2014/main" id="{24E03DFB-18CF-47FA-967E-C05AFF82A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45" name="BEx5AQZ4ETQ9LMY5EBWVH20Z7VXQ" hidden="1">
          <a:extLst>
            <a:ext uri="{FF2B5EF4-FFF2-40B4-BE49-F238E27FC236}">
              <a16:creationId xmlns:a16="http://schemas.microsoft.com/office/drawing/2014/main" id="{F8CF64EB-3810-48D6-8F67-E6085A2BB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46" name="BEx1KD7H6UB1VYCJ7O61P562EIUY" descr="IQGV9140X0K0UPBL8OGU3I44J" hidden="1">
          <a:extLst>
            <a:ext uri="{FF2B5EF4-FFF2-40B4-BE49-F238E27FC236}">
              <a16:creationId xmlns:a16="http://schemas.microsoft.com/office/drawing/2014/main" id="{B8FF4CBA-3AB6-410C-8645-202F5B1E7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47" name="BEx5AQZ4ETQ9LMY5EBWVH20Z7VXQ" hidden="1">
          <a:extLst>
            <a:ext uri="{FF2B5EF4-FFF2-40B4-BE49-F238E27FC236}">
              <a16:creationId xmlns:a16="http://schemas.microsoft.com/office/drawing/2014/main" id="{6EC54920-6433-4127-BE32-242DC35D5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48" name="BEx1KD7H6UB1VYCJ7O61P562EIUY" descr="IQGV9140X0K0UPBL8OGU3I44J" hidden="1">
          <a:extLst>
            <a:ext uri="{FF2B5EF4-FFF2-40B4-BE49-F238E27FC236}">
              <a16:creationId xmlns:a16="http://schemas.microsoft.com/office/drawing/2014/main" id="{5CA21346-3CD2-4833-8FEA-F150E8172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49" name="BEx5AQZ4ETQ9LMY5EBWVH20Z7VXQ" hidden="1">
          <a:extLst>
            <a:ext uri="{FF2B5EF4-FFF2-40B4-BE49-F238E27FC236}">
              <a16:creationId xmlns:a16="http://schemas.microsoft.com/office/drawing/2014/main" id="{B256BF0E-560B-42D3-95CD-BDECDE4A4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50" name="BEx1KD7H6UB1VYCJ7O61P562EIUY" descr="IQGV9140X0K0UPBL8OGU3I44J" hidden="1">
          <a:extLst>
            <a:ext uri="{FF2B5EF4-FFF2-40B4-BE49-F238E27FC236}">
              <a16:creationId xmlns:a16="http://schemas.microsoft.com/office/drawing/2014/main" id="{1B47B232-B6D9-4ACE-B817-A642CAE7D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51" name="BEx5AQZ4ETQ9LMY5EBWVH20Z7VXQ" hidden="1">
          <a:extLst>
            <a:ext uri="{FF2B5EF4-FFF2-40B4-BE49-F238E27FC236}">
              <a16:creationId xmlns:a16="http://schemas.microsoft.com/office/drawing/2014/main" id="{6ABF0B57-4BF5-48FF-AA56-F91688CFC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52" name="BEx1KD7H6UB1VYCJ7O61P562EIUY" descr="IQGV9140X0K0UPBL8OGU3I44J" hidden="1">
          <a:extLst>
            <a:ext uri="{FF2B5EF4-FFF2-40B4-BE49-F238E27FC236}">
              <a16:creationId xmlns:a16="http://schemas.microsoft.com/office/drawing/2014/main" id="{7EBFA43D-180D-4F12-A7F9-FD55BE9E1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53" name="BEx5AQZ4ETQ9LMY5EBWVH20Z7VXQ" hidden="1">
          <a:extLst>
            <a:ext uri="{FF2B5EF4-FFF2-40B4-BE49-F238E27FC236}">
              <a16:creationId xmlns:a16="http://schemas.microsoft.com/office/drawing/2014/main" id="{F2964BA6-8740-4B36-8EF3-3C607D5F0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54" name="BEx1KD7H6UB1VYCJ7O61P562EIUY" descr="IQGV9140X0K0UPBL8OGU3I44J" hidden="1">
          <a:extLst>
            <a:ext uri="{FF2B5EF4-FFF2-40B4-BE49-F238E27FC236}">
              <a16:creationId xmlns:a16="http://schemas.microsoft.com/office/drawing/2014/main" id="{E44923AF-5418-4104-91A1-1244269D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55" name="BEx5AQZ4ETQ9LMY5EBWVH20Z7VXQ" hidden="1">
          <a:extLst>
            <a:ext uri="{FF2B5EF4-FFF2-40B4-BE49-F238E27FC236}">
              <a16:creationId xmlns:a16="http://schemas.microsoft.com/office/drawing/2014/main" id="{142E2414-6B1F-45D7-B12C-7691FE575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56" name="BEx1KD7H6UB1VYCJ7O61P562EIUY" descr="IQGV9140X0K0UPBL8OGU3I44J" hidden="1">
          <a:extLst>
            <a:ext uri="{FF2B5EF4-FFF2-40B4-BE49-F238E27FC236}">
              <a16:creationId xmlns:a16="http://schemas.microsoft.com/office/drawing/2014/main" id="{64181436-76F1-479B-A0D0-AE590B907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57" name="BEx5AQZ4ETQ9LMY5EBWVH20Z7VXQ" hidden="1">
          <a:extLst>
            <a:ext uri="{FF2B5EF4-FFF2-40B4-BE49-F238E27FC236}">
              <a16:creationId xmlns:a16="http://schemas.microsoft.com/office/drawing/2014/main" id="{97B66924-AFEB-4EBC-969C-2654100E4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58" name="BEx1KD7H6UB1VYCJ7O61P562EIUY" descr="IQGV9140X0K0UPBL8OGU3I44J" hidden="1">
          <a:extLst>
            <a:ext uri="{FF2B5EF4-FFF2-40B4-BE49-F238E27FC236}">
              <a16:creationId xmlns:a16="http://schemas.microsoft.com/office/drawing/2014/main" id="{C17DD205-8786-459D-82D0-4848E8191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59" name="BEx5AQZ4ETQ9LMY5EBWVH20Z7VXQ" hidden="1">
          <a:extLst>
            <a:ext uri="{FF2B5EF4-FFF2-40B4-BE49-F238E27FC236}">
              <a16:creationId xmlns:a16="http://schemas.microsoft.com/office/drawing/2014/main" id="{D63E02C9-8609-4F0A-8799-F1D9E9562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60" name="BEx1KD7H6UB1VYCJ7O61P562EIUY" descr="IQGV9140X0K0UPBL8OGU3I44J" hidden="1">
          <a:extLst>
            <a:ext uri="{FF2B5EF4-FFF2-40B4-BE49-F238E27FC236}">
              <a16:creationId xmlns:a16="http://schemas.microsoft.com/office/drawing/2014/main" id="{C573A5EA-4EBB-44B8-873E-FE04147B3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61" name="BEx5AQZ4ETQ9LMY5EBWVH20Z7VXQ" hidden="1">
          <a:extLst>
            <a:ext uri="{FF2B5EF4-FFF2-40B4-BE49-F238E27FC236}">
              <a16:creationId xmlns:a16="http://schemas.microsoft.com/office/drawing/2014/main" id="{E79C8262-F1FD-4ACB-B98A-B95E3CDF8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62" name="BEx1KD7H6UB1VYCJ7O61P562EIUY" descr="IQGV9140X0K0UPBL8OGU3I44J" hidden="1">
          <a:extLst>
            <a:ext uri="{FF2B5EF4-FFF2-40B4-BE49-F238E27FC236}">
              <a16:creationId xmlns:a16="http://schemas.microsoft.com/office/drawing/2014/main" id="{4B1F27FF-C5AF-4454-AF7A-5359A841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63" name="BEx5AQZ4ETQ9LMY5EBWVH20Z7VXQ" hidden="1">
          <a:extLst>
            <a:ext uri="{FF2B5EF4-FFF2-40B4-BE49-F238E27FC236}">
              <a16:creationId xmlns:a16="http://schemas.microsoft.com/office/drawing/2014/main" id="{F73BAC9A-F286-4BA4-8E7E-A748F0C66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64" name="BEx1KD7H6UB1VYCJ7O61P562EIUY" descr="IQGV9140X0K0UPBL8OGU3I44J" hidden="1">
          <a:extLst>
            <a:ext uri="{FF2B5EF4-FFF2-40B4-BE49-F238E27FC236}">
              <a16:creationId xmlns:a16="http://schemas.microsoft.com/office/drawing/2014/main" id="{F0C96B04-467E-4A3B-8E87-16C324A78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65" name="BEx5AQZ4ETQ9LMY5EBWVH20Z7VXQ" hidden="1">
          <a:extLst>
            <a:ext uri="{FF2B5EF4-FFF2-40B4-BE49-F238E27FC236}">
              <a16:creationId xmlns:a16="http://schemas.microsoft.com/office/drawing/2014/main" id="{402F5DD0-08E3-47C3-9253-5A21DAAB5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66" name="BEx1KD7H6UB1VYCJ7O61P562EIUY" descr="IQGV9140X0K0UPBL8OGU3I44J" hidden="1">
          <a:extLst>
            <a:ext uri="{FF2B5EF4-FFF2-40B4-BE49-F238E27FC236}">
              <a16:creationId xmlns:a16="http://schemas.microsoft.com/office/drawing/2014/main" id="{33D167E2-54C0-4D9B-AD77-5E19093B7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67" name="BEx5AQZ4ETQ9LMY5EBWVH20Z7VXQ" hidden="1">
          <a:extLst>
            <a:ext uri="{FF2B5EF4-FFF2-40B4-BE49-F238E27FC236}">
              <a16:creationId xmlns:a16="http://schemas.microsoft.com/office/drawing/2014/main" id="{9213D4B9-F085-4023-9BF9-9BA52D0C0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68" name="BEx1KD7H6UB1VYCJ7O61P562EIUY" descr="IQGV9140X0K0UPBL8OGU3I44J" hidden="1">
          <a:extLst>
            <a:ext uri="{FF2B5EF4-FFF2-40B4-BE49-F238E27FC236}">
              <a16:creationId xmlns:a16="http://schemas.microsoft.com/office/drawing/2014/main" id="{88790339-536A-4337-A214-D2ED524C0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69" name="BEx5AQZ4ETQ9LMY5EBWVH20Z7VXQ" hidden="1">
          <a:extLst>
            <a:ext uri="{FF2B5EF4-FFF2-40B4-BE49-F238E27FC236}">
              <a16:creationId xmlns:a16="http://schemas.microsoft.com/office/drawing/2014/main" id="{FA30D8EF-A4FC-4C0C-A017-D07EB3CE0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70" name="BEx1KD7H6UB1VYCJ7O61P562EIUY" descr="IQGV9140X0K0UPBL8OGU3I44J" hidden="1">
          <a:extLst>
            <a:ext uri="{FF2B5EF4-FFF2-40B4-BE49-F238E27FC236}">
              <a16:creationId xmlns:a16="http://schemas.microsoft.com/office/drawing/2014/main" id="{16A69368-4487-45BA-A171-E89118DD2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71" name="BEx5AQZ4ETQ9LMY5EBWVH20Z7VXQ" hidden="1">
          <a:extLst>
            <a:ext uri="{FF2B5EF4-FFF2-40B4-BE49-F238E27FC236}">
              <a16:creationId xmlns:a16="http://schemas.microsoft.com/office/drawing/2014/main" id="{3C1A5125-D78C-433C-ADE7-8CCC8A76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72" name="BEx1KD7H6UB1VYCJ7O61P562EIUY" descr="IQGV9140X0K0UPBL8OGU3I44J" hidden="1">
          <a:extLst>
            <a:ext uri="{FF2B5EF4-FFF2-40B4-BE49-F238E27FC236}">
              <a16:creationId xmlns:a16="http://schemas.microsoft.com/office/drawing/2014/main" id="{AB0A6FD3-5B28-468E-9836-C65B8D064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73" name="BEx5AQZ4ETQ9LMY5EBWVH20Z7VXQ" hidden="1">
          <a:extLst>
            <a:ext uri="{FF2B5EF4-FFF2-40B4-BE49-F238E27FC236}">
              <a16:creationId xmlns:a16="http://schemas.microsoft.com/office/drawing/2014/main" id="{D135D06E-D1AD-4602-A83A-9FB7D609F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74" name="BEx1KD7H6UB1VYCJ7O61P562EIUY" descr="IQGV9140X0K0UPBL8OGU3I44J" hidden="1">
          <a:extLst>
            <a:ext uri="{FF2B5EF4-FFF2-40B4-BE49-F238E27FC236}">
              <a16:creationId xmlns:a16="http://schemas.microsoft.com/office/drawing/2014/main" id="{AED25E0E-E988-4488-96DB-0BA6507FC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75" name="BEx5AQZ4ETQ9LMY5EBWVH20Z7VXQ" hidden="1">
          <a:extLst>
            <a:ext uri="{FF2B5EF4-FFF2-40B4-BE49-F238E27FC236}">
              <a16:creationId xmlns:a16="http://schemas.microsoft.com/office/drawing/2014/main" id="{5E14049C-18B6-4D15-99C7-A943A0F8A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76" name="BEx1KD7H6UB1VYCJ7O61P562EIUY" descr="IQGV9140X0K0UPBL8OGU3I44J" hidden="1">
          <a:extLst>
            <a:ext uri="{FF2B5EF4-FFF2-40B4-BE49-F238E27FC236}">
              <a16:creationId xmlns:a16="http://schemas.microsoft.com/office/drawing/2014/main" id="{D3D10891-BC49-4641-B6EB-AEC741884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77" name="BEx5AQZ4ETQ9LMY5EBWVH20Z7VXQ" hidden="1">
          <a:extLst>
            <a:ext uri="{FF2B5EF4-FFF2-40B4-BE49-F238E27FC236}">
              <a16:creationId xmlns:a16="http://schemas.microsoft.com/office/drawing/2014/main" id="{FD16A5E1-06DB-4FA2-839A-62FB30ACF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78" name="BEx1KD7H6UB1VYCJ7O61P562EIUY" descr="IQGV9140X0K0UPBL8OGU3I44J" hidden="1">
          <a:extLst>
            <a:ext uri="{FF2B5EF4-FFF2-40B4-BE49-F238E27FC236}">
              <a16:creationId xmlns:a16="http://schemas.microsoft.com/office/drawing/2014/main" id="{93E5A651-29FB-41B7-AFF8-0C2F6F121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79" name="BEx5AQZ4ETQ9LMY5EBWVH20Z7VXQ" hidden="1">
          <a:extLst>
            <a:ext uri="{FF2B5EF4-FFF2-40B4-BE49-F238E27FC236}">
              <a16:creationId xmlns:a16="http://schemas.microsoft.com/office/drawing/2014/main" id="{99D7A47F-0A39-476A-B778-BAE60FD32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80" name="BEx1KD7H6UB1VYCJ7O61P562EIUY" descr="IQGV9140X0K0UPBL8OGU3I44J" hidden="1">
          <a:extLst>
            <a:ext uri="{FF2B5EF4-FFF2-40B4-BE49-F238E27FC236}">
              <a16:creationId xmlns:a16="http://schemas.microsoft.com/office/drawing/2014/main" id="{36A5EB4F-6741-44B2-98E2-72DEAEC3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81" name="BEx5AQZ4ETQ9LMY5EBWVH20Z7VXQ" hidden="1">
          <a:extLst>
            <a:ext uri="{FF2B5EF4-FFF2-40B4-BE49-F238E27FC236}">
              <a16:creationId xmlns:a16="http://schemas.microsoft.com/office/drawing/2014/main" id="{CAABCB71-597A-484B-A727-E39FF288B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82" name="BEx1KD7H6UB1VYCJ7O61P562EIUY" descr="IQGV9140X0K0UPBL8OGU3I44J" hidden="1">
          <a:extLst>
            <a:ext uri="{FF2B5EF4-FFF2-40B4-BE49-F238E27FC236}">
              <a16:creationId xmlns:a16="http://schemas.microsoft.com/office/drawing/2014/main" id="{9A2806D7-A8A6-4F5F-93B2-BF6D3A426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83" name="BEx5AQZ4ETQ9LMY5EBWVH20Z7VXQ" hidden="1">
          <a:extLst>
            <a:ext uri="{FF2B5EF4-FFF2-40B4-BE49-F238E27FC236}">
              <a16:creationId xmlns:a16="http://schemas.microsoft.com/office/drawing/2014/main" id="{AD241621-C981-4082-A82D-E0CCD69E6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84" name="BEx1KD7H6UB1VYCJ7O61P562EIUY" descr="IQGV9140X0K0UPBL8OGU3I44J" hidden="1">
          <a:extLst>
            <a:ext uri="{FF2B5EF4-FFF2-40B4-BE49-F238E27FC236}">
              <a16:creationId xmlns:a16="http://schemas.microsoft.com/office/drawing/2014/main" id="{5DA2FC2D-E547-45C3-935C-7CB8B7994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85" name="BEx5AQZ4ETQ9LMY5EBWVH20Z7VXQ" hidden="1">
          <a:extLst>
            <a:ext uri="{FF2B5EF4-FFF2-40B4-BE49-F238E27FC236}">
              <a16:creationId xmlns:a16="http://schemas.microsoft.com/office/drawing/2014/main" id="{E004B9FC-AFC3-4B83-B5D7-03E54F16D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86" name="BEx1KD7H6UB1VYCJ7O61P562EIUY" descr="IQGV9140X0K0UPBL8OGU3I44J" hidden="1">
          <a:extLst>
            <a:ext uri="{FF2B5EF4-FFF2-40B4-BE49-F238E27FC236}">
              <a16:creationId xmlns:a16="http://schemas.microsoft.com/office/drawing/2014/main" id="{5631FD8C-F2A7-479D-8660-586FABF33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87" name="BEx5AQZ4ETQ9LMY5EBWVH20Z7VXQ" hidden="1">
          <a:extLst>
            <a:ext uri="{FF2B5EF4-FFF2-40B4-BE49-F238E27FC236}">
              <a16:creationId xmlns:a16="http://schemas.microsoft.com/office/drawing/2014/main" id="{983C2F3D-8A7F-48C0-AB46-60F2F4D38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88" name="BEx1KD7H6UB1VYCJ7O61P562EIUY" descr="IQGV9140X0K0UPBL8OGU3I44J" hidden="1">
          <a:extLst>
            <a:ext uri="{FF2B5EF4-FFF2-40B4-BE49-F238E27FC236}">
              <a16:creationId xmlns:a16="http://schemas.microsoft.com/office/drawing/2014/main" id="{53B18A85-AF2D-480C-8975-1F57157EF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89" name="BEx5AQZ4ETQ9LMY5EBWVH20Z7VXQ" hidden="1">
          <a:extLst>
            <a:ext uri="{FF2B5EF4-FFF2-40B4-BE49-F238E27FC236}">
              <a16:creationId xmlns:a16="http://schemas.microsoft.com/office/drawing/2014/main" id="{AC506765-1C8D-4C61-ABAA-0E7A2A837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90" name="BEx1KD7H6UB1VYCJ7O61P562EIUY" descr="IQGV9140X0K0UPBL8OGU3I44J" hidden="1">
          <a:extLst>
            <a:ext uri="{FF2B5EF4-FFF2-40B4-BE49-F238E27FC236}">
              <a16:creationId xmlns:a16="http://schemas.microsoft.com/office/drawing/2014/main" id="{BC5A86E7-B762-4579-A4EA-6E9A7BF3F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91" name="BEx5AQZ4ETQ9LMY5EBWVH20Z7VXQ" hidden="1">
          <a:extLst>
            <a:ext uri="{FF2B5EF4-FFF2-40B4-BE49-F238E27FC236}">
              <a16:creationId xmlns:a16="http://schemas.microsoft.com/office/drawing/2014/main" id="{8F89E67F-EAC7-474A-8825-2855335A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92" name="BEx1KD7H6UB1VYCJ7O61P562EIUY" descr="IQGV9140X0K0UPBL8OGU3I44J" hidden="1">
          <a:extLst>
            <a:ext uri="{FF2B5EF4-FFF2-40B4-BE49-F238E27FC236}">
              <a16:creationId xmlns:a16="http://schemas.microsoft.com/office/drawing/2014/main" id="{9ACE34D4-0A11-4785-9AA9-F5ABCCB9E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5993" name="BExVTO5Q8G2M7BPL4B2584LQS0R0" descr="OB6Q8NA4LZFE4GM9Y3V56BPMQ" hidden="1">
          <a:extLst>
            <a:ext uri="{FF2B5EF4-FFF2-40B4-BE49-F238E27FC236}">
              <a16:creationId xmlns:a16="http://schemas.microsoft.com/office/drawing/2014/main" id="{B2B6CB42-5875-443E-9073-3CB307EDC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94" name="BEx5AQZ4ETQ9LMY5EBWVH20Z7VXQ" hidden="1">
          <a:extLst>
            <a:ext uri="{FF2B5EF4-FFF2-40B4-BE49-F238E27FC236}">
              <a16:creationId xmlns:a16="http://schemas.microsoft.com/office/drawing/2014/main" id="{313EBA98-0F3D-403A-8A02-57FB7AEB4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5995" name="BExUEZCSSJ7RN4J18I2NUIQR2FZS" hidden="1">
          <a:extLst>
            <a:ext uri="{FF2B5EF4-FFF2-40B4-BE49-F238E27FC236}">
              <a16:creationId xmlns:a16="http://schemas.microsoft.com/office/drawing/2014/main" id="{8011AECE-776A-4664-8432-9EE720E2E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543300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96" name="BEx1KD7H6UB1VYCJ7O61P562EIUY" descr="IQGV9140X0K0UPBL8OGU3I44J" hidden="1">
          <a:extLst>
            <a:ext uri="{FF2B5EF4-FFF2-40B4-BE49-F238E27FC236}">
              <a16:creationId xmlns:a16="http://schemas.microsoft.com/office/drawing/2014/main" id="{764AB590-0E84-4CA4-A9B2-4CFD69532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97" name="BEx5AQZ4ETQ9LMY5EBWVH20Z7VXQ" hidden="1">
          <a:extLst>
            <a:ext uri="{FF2B5EF4-FFF2-40B4-BE49-F238E27FC236}">
              <a16:creationId xmlns:a16="http://schemas.microsoft.com/office/drawing/2014/main" id="{AD43F580-EABE-4F00-851A-200731014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98" name="BEx1KD7H6UB1VYCJ7O61P562EIUY" descr="IQGV9140X0K0UPBL8OGU3I44J" hidden="1">
          <a:extLst>
            <a:ext uri="{FF2B5EF4-FFF2-40B4-BE49-F238E27FC236}">
              <a16:creationId xmlns:a16="http://schemas.microsoft.com/office/drawing/2014/main" id="{77440DEB-4DF1-4A9F-92BA-4CBF7D70D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5999" name="BEx5AQZ4ETQ9LMY5EBWVH20Z7VXQ" hidden="1">
          <a:extLst>
            <a:ext uri="{FF2B5EF4-FFF2-40B4-BE49-F238E27FC236}">
              <a16:creationId xmlns:a16="http://schemas.microsoft.com/office/drawing/2014/main" id="{0EDB23C4-6781-4E10-B85A-D48B70715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00" name="BEx1KD7H6UB1VYCJ7O61P562EIUY" descr="IQGV9140X0K0UPBL8OGU3I44J" hidden="1">
          <a:extLst>
            <a:ext uri="{FF2B5EF4-FFF2-40B4-BE49-F238E27FC236}">
              <a16:creationId xmlns:a16="http://schemas.microsoft.com/office/drawing/2014/main" id="{AD03CE7E-3EA4-4945-A7A0-89CF7459E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01" name="BEx5AQZ4ETQ9LMY5EBWVH20Z7VXQ" hidden="1">
          <a:extLst>
            <a:ext uri="{FF2B5EF4-FFF2-40B4-BE49-F238E27FC236}">
              <a16:creationId xmlns:a16="http://schemas.microsoft.com/office/drawing/2014/main" id="{5F412DA0-50CA-4CA6-A612-FC07777CA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02" name="BEx1KD7H6UB1VYCJ7O61P562EIUY" descr="IQGV9140X0K0UPBL8OGU3I44J" hidden="1">
          <a:extLst>
            <a:ext uri="{FF2B5EF4-FFF2-40B4-BE49-F238E27FC236}">
              <a16:creationId xmlns:a16="http://schemas.microsoft.com/office/drawing/2014/main" id="{78562CC0-3D62-4F6F-BE99-2C88E7425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03" name="BEx5AQZ4ETQ9LMY5EBWVH20Z7VXQ" hidden="1">
          <a:extLst>
            <a:ext uri="{FF2B5EF4-FFF2-40B4-BE49-F238E27FC236}">
              <a16:creationId xmlns:a16="http://schemas.microsoft.com/office/drawing/2014/main" id="{BDB8A272-AAA6-4005-ACA7-450F95DFB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04" name="BEx1KD7H6UB1VYCJ7O61P562EIUY" descr="IQGV9140X0K0UPBL8OGU3I44J" hidden="1">
          <a:extLst>
            <a:ext uri="{FF2B5EF4-FFF2-40B4-BE49-F238E27FC236}">
              <a16:creationId xmlns:a16="http://schemas.microsoft.com/office/drawing/2014/main" id="{8C84C12A-F24A-4E69-9159-95D865472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05" name="BEx5AQZ4ETQ9LMY5EBWVH20Z7VXQ" hidden="1">
          <a:extLst>
            <a:ext uri="{FF2B5EF4-FFF2-40B4-BE49-F238E27FC236}">
              <a16:creationId xmlns:a16="http://schemas.microsoft.com/office/drawing/2014/main" id="{597D2274-01A7-4E74-A481-15FBC6588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06" name="BEx1KD7H6UB1VYCJ7O61P562EIUY" descr="IQGV9140X0K0UPBL8OGU3I44J" hidden="1">
          <a:extLst>
            <a:ext uri="{FF2B5EF4-FFF2-40B4-BE49-F238E27FC236}">
              <a16:creationId xmlns:a16="http://schemas.microsoft.com/office/drawing/2014/main" id="{31F6A2C9-8664-4F86-B21D-6D111C136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07" name="BEx5AQZ4ETQ9LMY5EBWVH20Z7VXQ" hidden="1">
          <a:extLst>
            <a:ext uri="{FF2B5EF4-FFF2-40B4-BE49-F238E27FC236}">
              <a16:creationId xmlns:a16="http://schemas.microsoft.com/office/drawing/2014/main" id="{555DA2F2-8E9E-430E-A4DF-2F7CBA746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08" name="BEx1KD7H6UB1VYCJ7O61P562EIUY" descr="IQGV9140X0K0UPBL8OGU3I44J" hidden="1">
          <a:extLst>
            <a:ext uri="{FF2B5EF4-FFF2-40B4-BE49-F238E27FC236}">
              <a16:creationId xmlns:a16="http://schemas.microsoft.com/office/drawing/2014/main" id="{D48D68A7-4476-467A-830C-9ECBCEA24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09" name="BEx5AQZ4ETQ9LMY5EBWVH20Z7VXQ" hidden="1">
          <a:extLst>
            <a:ext uri="{FF2B5EF4-FFF2-40B4-BE49-F238E27FC236}">
              <a16:creationId xmlns:a16="http://schemas.microsoft.com/office/drawing/2014/main" id="{F5DF508B-41FA-4496-BD4F-52779F4CC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10" name="BEx1KD7H6UB1VYCJ7O61P562EIUY" descr="IQGV9140X0K0UPBL8OGU3I44J" hidden="1">
          <a:extLst>
            <a:ext uri="{FF2B5EF4-FFF2-40B4-BE49-F238E27FC236}">
              <a16:creationId xmlns:a16="http://schemas.microsoft.com/office/drawing/2014/main" id="{9C6AD9B4-6DED-4FA1-A3EF-1CE5D934C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11" name="BEx5AQZ4ETQ9LMY5EBWVH20Z7VXQ" hidden="1">
          <a:extLst>
            <a:ext uri="{FF2B5EF4-FFF2-40B4-BE49-F238E27FC236}">
              <a16:creationId xmlns:a16="http://schemas.microsoft.com/office/drawing/2014/main" id="{D25B78C4-EA0E-44D9-8826-B545E8886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12" name="BEx1KD7H6UB1VYCJ7O61P562EIUY" descr="IQGV9140X0K0UPBL8OGU3I44J" hidden="1">
          <a:extLst>
            <a:ext uri="{FF2B5EF4-FFF2-40B4-BE49-F238E27FC236}">
              <a16:creationId xmlns:a16="http://schemas.microsoft.com/office/drawing/2014/main" id="{18D97AE9-B79D-4831-B250-40B58919F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13" name="BEx5AQZ4ETQ9LMY5EBWVH20Z7VXQ" hidden="1">
          <a:extLst>
            <a:ext uri="{FF2B5EF4-FFF2-40B4-BE49-F238E27FC236}">
              <a16:creationId xmlns:a16="http://schemas.microsoft.com/office/drawing/2014/main" id="{092E0440-F1FD-485E-AD75-759401413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14" name="BEx1KD7H6UB1VYCJ7O61P562EIUY" descr="IQGV9140X0K0UPBL8OGU3I44J" hidden="1">
          <a:extLst>
            <a:ext uri="{FF2B5EF4-FFF2-40B4-BE49-F238E27FC236}">
              <a16:creationId xmlns:a16="http://schemas.microsoft.com/office/drawing/2014/main" id="{FD0EA22A-BF79-4E19-8A44-E4C9AAA64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15" name="BEx5AQZ4ETQ9LMY5EBWVH20Z7VXQ" hidden="1">
          <a:extLst>
            <a:ext uri="{FF2B5EF4-FFF2-40B4-BE49-F238E27FC236}">
              <a16:creationId xmlns:a16="http://schemas.microsoft.com/office/drawing/2014/main" id="{3914346C-3CA3-44B6-8942-E4D56C953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16" name="BEx1KD7H6UB1VYCJ7O61P562EIUY" descr="IQGV9140X0K0UPBL8OGU3I44J" hidden="1">
          <a:extLst>
            <a:ext uri="{FF2B5EF4-FFF2-40B4-BE49-F238E27FC236}">
              <a16:creationId xmlns:a16="http://schemas.microsoft.com/office/drawing/2014/main" id="{2A442CA1-BE4A-4282-A4CF-1EE8C8CEC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17" name="BEx5AQZ4ETQ9LMY5EBWVH20Z7VXQ" hidden="1">
          <a:extLst>
            <a:ext uri="{FF2B5EF4-FFF2-40B4-BE49-F238E27FC236}">
              <a16:creationId xmlns:a16="http://schemas.microsoft.com/office/drawing/2014/main" id="{6D351082-CE2F-4C11-BB0D-E62AAB34A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18" name="BEx1KD7H6UB1VYCJ7O61P562EIUY" descr="IQGV9140X0K0UPBL8OGU3I44J" hidden="1">
          <a:extLst>
            <a:ext uri="{FF2B5EF4-FFF2-40B4-BE49-F238E27FC236}">
              <a16:creationId xmlns:a16="http://schemas.microsoft.com/office/drawing/2014/main" id="{F17CCF6A-9706-4D0B-B9A5-429C5E23E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19" name="BEx5AQZ4ETQ9LMY5EBWVH20Z7VXQ" hidden="1">
          <a:extLst>
            <a:ext uri="{FF2B5EF4-FFF2-40B4-BE49-F238E27FC236}">
              <a16:creationId xmlns:a16="http://schemas.microsoft.com/office/drawing/2014/main" id="{62CABE6E-BC7C-470F-80C5-B1FD2A57A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20" name="BEx1KD7H6UB1VYCJ7O61P562EIUY" descr="IQGV9140X0K0UPBL8OGU3I44J" hidden="1">
          <a:extLst>
            <a:ext uri="{FF2B5EF4-FFF2-40B4-BE49-F238E27FC236}">
              <a16:creationId xmlns:a16="http://schemas.microsoft.com/office/drawing/2014/main" id="{C100298B-D992-486C-8822-01AA51297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21" name="BEx5AQZ4ETQ9LMY5EBWVH20Z7VXQ" hidden="1">
          <a:extLst>
            <a:ext uri="{FF2B5EF4-FFF2-40B4-BE49-F238E27FC236}">
              <a16:creationId xmlns:a16="http://schemas.microsoft.com/office/drawing/2014/main" id="{77873F23-0A92-43E8-A9A5-6FC3F18C7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22" name="BEx1KD7H6UB1VYCJ7O61P562EIUY" descr="IQGV9140X0K0UPBL8OGU3I44J" hidden="1">
          <a:extLst>
            <a:ext uri="{FF2B5EF4-FFF2-40B4-BE49-F238E27FC236}">
              <a16:creationId xmlns:a16="http://schemas.microsoft.com/office/drawing/2014/main" id="{3BB686B9-207B-4FA8-9AC4-65CCA5950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23" name="BEx5AQZ4ETQ9LMY5EBWVH20Z7VXQ" hidden="1">
          <a:extLst>
            <a:ext uri="{FF2B5EF4-FFF2-40B4-BE49-F238E27FC236}">
              <a16:creationId xmlns:a16="http://schemas.microsoft.com/office/drawing/2014/main" id="{DC069EFA-B569-439F-A03A-9B111CA7D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24" name="BEx1KD7H6UB1VYCJ7O61P562EIUY" descr="IQGV9140X0K0UPBL8OGU3I44J" hidden="1">
          <a:extLst>
            <a:ext uri="{FF2B5EF4-FFF2-40B4-BE49-F238E27FC236}">
              <a16:creationId xmlns:a16="http://schemas.microsoft.com/office/drawing/2014/main" id="{77C806F7-F956-49A6-8F52-079364E3C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25" name="BEx5AQZ4ETQ9LMY5EBWVH20Z7VXQ" hidden="1">
          <a:extLst>
            <a:ext uri="{FF2B5EF4-FFF2-40B4-BE49-F238E27FC236}">
              <a16:creationId xmlns:a16="http://schemas.microsoft.com/office/drawing/2014/main" id="{3BD1C9BE-4D0E-4E3E-AC38-03DDB0B90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26" name="BEx1KD7H6UB1VYCJ7O61P562EIUY" descr="IQGV9140X0K0UPBL8OGU3I44J" hidden="1">
          <a:extLst>
            <a:ext uri="{FF2B5EF4-FFF2-40B4-BE49-F238E27FC236}">
              <a16:creationId xmlns:a16="http://schemas.microsoft.com/office/drawing/2014/main" id="{64A880D3-68B3-4699-9838-E017EA3F3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27" name="BEx5AQZ4ETQ9LMY5EBWVH20Z7VXQ" hidden="1">
          <a:extLst>
            <a:ext uri="{FF2B5EF4-FFF2-40B4-BE49-F238E27FC236}">
              <a16:creationId xmlns:a16="http://schemas.microsoft.com/office/drawing/2014/main" id="{0289C631-C852-47F0-91ED-0587CE8C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28" name="BEx1KD7H6UB1VYCJ7O61P562EIUY" descr="IQGV9140X0K0UPBL8OGU3I44J" hidden="1">
          <a:extLst>
            <a:ext uri="{FF2B5EF4-FFF2-40B4-BE49-F238E27FC236}">
              <a16:creationId xmlns:a16="http://schemas.microsoft.com/office/drawing/2014/main" id="{49A24C13-04DB-4D97-A22A-52A4FCF8D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29" name="BEx5AQZ4ETQ9LMY5EBWVH20Z7VXQ" hidden="1">
          <a:extLst>
            <a:ext uri="{FF2B5EF4-FFF2-40B4-BE49-F238E27FC236}">
              <a16:creationId xmlns:a16="http://schemas.microsoft.com/office/drawing/2014/main" id="{F96D7992-C922-444E-A88C-A85D2ED73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30" name="BEx1KD7H6UB1VYCJ7O61P562EIUY" descr="IQGV9140X0K0UPBL8OGU3I44J" hidden="1">
          <a:extLst>
            <a:ext uri="{FF2B5EF4-FFF2-40B4-BE49-F238E27FC236}">
              <a16:creationId xmlns:a16="http://schemas.microsoft.com/office/drawing/2014/main" id="{C3418383-9CE9-4E14-B317-38EBF864F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31" name="BEx5AQZ4ETQ9LMY5EBWVH20Z7VXQ" hidden="1">
          <a:extLst>
            <a:ext uri="{FF2B5EF4-FFF2-40B4-BE49-F238E27FC236}">
              <a16:creationId xmlns:a16="http://schemas.microsoft.com/office/drawing/2014/main" id="{FC11AF4B-A12F-4D2E-86B4-55FC62AB8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32" name="BEx1KD7H6UB1VYCJ7O61P562EIUY" descr="IQGV9140X0K0UPBL8OGU3I44J" hidden="1">
          <a:extLst>
            <a:ext uri="{FF2B5EF4-FFF2-40B4-BE49-F238E27FC236}">
              <a16:creationId xmlns:a16="http://schemas.microsoft.com/office/drawing/2014/main" id="{8924EDE7-EA5A-428B-9111-3016B991D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33" name="BEx5AQZ4ETQ9LMY5EBWVH20Z7VXQ" hidden="1">
          <a:extLst>
            <a:ext uri="{FF2B5EF4-FFF2-40B4-BE49-F238E27FC236}">
              <a16:creationId xmlns:a16="http://schemas.microsoft.com/office/drawing/2014/main" id="{E9C86237-595E-4164-A921-2884CB004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34" name="BEx1KD7H6UB1VYCJ7O61P562EIUY" descr="IQGV9140X0K0UPBL8OGU3I44J" hidden="1">
          <a:extLst>
            <a:ext uri="{FF2B5EF4-FFF2-40B4-BE49-F238E27FC236}">
              <a16:creationId xmlns:a16="http://schemas.microsoft.com/office/drawing/2014/main" id="{AC9907C5-0202-4F45-8862-1FC0E651F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6035" name="BExVTO5Q8G2M7BPL4B2584LQS0R0" descr="OB6Q8NA4LZFE4GM9Y3V56BPMQ" hidden="1">
          <a:extLst>
            <a:ext uri="{FF2B5EF4-FFF2-40B4-BE49-F238E27FC236}">
              <a16:creationId xmlns:a16="http://schemas.microsoft.com/office/drawing/2014/main" id="{806DBA5B-EA0F-45C4-949B-80D2234D0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36" name="BEx5AQZ4ETQ9LMY5EBWVH20Z7VXQ" hidden="1">
          <a:extLst>
            <a:ext uri="{FF2B5EF4-FFF2-40B4-BE49-F238E27FC236}">
              <a16:creationId xmlns:a16="http://schemas.microsoft.com/office/drawing/2014/main" id="{40DE6C9D-379B-4BAE-8EE0-DFBEC0173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6037" name="BExUEZCSSJ7RN4J18I2NUIQR2FZS" hidden="1">
          <a:extLst>
            <a:ext uri="{FF2B5EF4-FFF2-40B4-BE49-F238E27FC236}">
              <a16:creationId xmlns:a16="http://schemas.microsoft.com/office/drawing/2014/main" id="{256514B8-1226-4AC0-BBB7-7A91B7019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543300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38" name="BEx1KD7H6UB1VYCJ7O61P562EIUY" descr="IQGV9140X0K0UPBL8OGU3I44J" hidden="1">
          <a:extLst>
            <a:ext uri="{FF2B5EF4-FFF2-40B4-BE49-F238E27FC236}">
              <a16:creationId xmlns:a16="http://schemas.microsoft.com/office/drawing/2014/main" id="{6C7DA2CC-BE3E-47E7-BA3B-1AE566A08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39" name="BEx5AQZ4ETQ9LMY5EBWVH20Z7VXQ" hidden="1">
          <a:extLst>
            <a:ext uri="{FF2B5EF4-FFF2-40B4-BE49-F238E27FC236}">
              <a16:creationId xmlns:a16="http://schemas.microsoft.com/office/drawing/2014/main" id="{D0329FCD-1481-48E4-A4F4-B31DCB2CC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40" name="BEx1KD7H6UB1VYCJ7O61P562EIUY" descr="IQGV9140X0K0UPBL8OGU3I44J" hidden="1">
          <a:extLst>
            <a:ext uri="{FF2B5EF4-FFF2-40B4-BE49-F238E27FC236}">
              <a16:creationId xmlns:a16="http://schemas.microsoft.com/office/drawing/2014/main" id="{7760A12F-F97B-4A89-821A-C6B9650F7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41" name="BEx5AQZ4ETQ9LMY5EBWVH20Z7VXQ" hidden="1">
          <a:extLst>
            <a:ext uri="{FF2B5EF4-FFF2-40B4-BE49-F238E27FC236}">
              <a16:creationId xmlns:a16="http://schemas.microsoft.com/office/drawing/2014/main" id="{0715B986-9DC8-4561-A0DE-8811FC8C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42" name="BEx1KD7H6UB1VYCJ7O61P562EIUY" descr="IQGV9140X0K0UPBL8OGU3I44J" hidden="1">
          <a:extLst>
            <a:ext uri="{FF2B5EF4-FFF2-40B4-BE49-F238E27FC236}">
              <a16:creationId xmlns:a16="http://schemas.microsoft.com/office/drawing/2014/main" id="{435E7B0D-5F4F-4587-AFA6-49374A887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43" name="BEx5AQZ4ETQ9LMY5EBWVH20Z7VXQ" hidden="1">
          <a:extLst>
            <a:ext uri="{FF2B5EF4-FFF2-40B4-BE49-F238E27FC236}">
              <a16:creationId xmlns:a16="http://schemas.microsoft.com/office/drawing/2014/main" id="{EEFFADB2-5291-45ED-9AD8-B18CFF09B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44" name="BEx1KD7H6UB1VYCJ7O61P562EIUY" descr="IQGV9140X0K0UPBL8OGU3I44J" hidden="1">
          <a:extLst>
            <a:ext uri="{FF2B5EF4-FFF2-40B4-BE49-F238E27FC236}">
              <a16:creationId xmlns:a16="http://schemas.microsoft.com/office/drawing/2014/main" id="{00676190-03BD-4A5D-B6A5-6AB7C9640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45" name="BEx5AQZ4ETQ9LMY5EBWVH20Z7VXQ" hidden="1">
          <a:extLst>
            <a:ext uri="{FF2B5EF4-FFF2-40B4-BE49-F238E27FC236}">
              <a16:creationId xmlns:a16="http://schemas.microsoft.com/office/drawing/2014/main" id="{D573E7FA-76F4-4D97-9F85-725050217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46" name="BEx1KD7H6UB1VYCJ7O61P562EIUY" descr="IQGV9140X0K0UPBL8OGU3I44J" hidden="1">
          <a:extLst>
            <a:ext uri="{FF2B5EF4-FFF2-40B4-BE49-F238E27FC236}">
              <a16:creationId xmlns:a16="http://schemas.microsoft.com/office/drawing/2014/main" id="{61C82E86-573D-4CA2-A978-F85ED78F0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47" name="BEx5AQZ4ETQ9LMY5EBWVH20Z7VXQ" hidden="1">
          <a:extLst>
            <a:ext uri="{FF2B5EF4-FFF2-40B4-BE49-F238E27FC236}">
              <a16:creationId xmlns:a16="http://schemas.microsoft.com/office/drawing/2014/main" id="{1714EEEE-29E6-4E3B-A5E8-04DE570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48" name="BEx1KD7H6UB1VYCJ7O61P562EIUY" descr="IQGV9140X0K0UPBL8OGU3I44J" hidden="1">
          <a:extLst>
            <a:ext uri="{FF2B5EF4-FFF2-40B4-BE49-F238E27FC236}">
              <a16:creationId xmlns:a16="http://schemas.microsoft.com/office/drawing/2014/main" id="{71A7D50B-DC71-4AD3-A647-AFC40C7F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49" name="BEx5AQZ4ETQ9LMY5EBWVH20Z7VXQ" hidden="1">
          <a:extLst>
            <a:ext uri="{FF2B5EF4-FFF2-40B4-BE49-F238E27FC236}">
              <a16:creationId xmlns:a16="http://schemas.microsoft.com/office/drawing/2014/main" id="{2AFCF331-3427-4B64-B671-8C0BB76EE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50" name="BEx1KD7H6UB1VYCJ7O61P562EIUY" descr="IQGV9140X0K0UPBL8OGU3I44J" hidden="1">
          <a:extLst>
            <a:ext uri="{FF2B5EF4-FFF2-40B4-BE49-F238E27FC236}">
              <a16:creationId xmlns:a16="http://schemas.microsoft.com/office/drawing/2014/main" id="{7409616A-19BA-49FA-A87E-62263DD6A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51" name="BEx5AQZ4ETQ9LMY5EBWVH20Z7VXQ" hidden="1">
          <a:extLst>
            <a:ext uri="{FF2B5EF4-FFF2-40B4-BE49-F238E27FC236}">
              <a16:creationId xmlns:a16="http://schemas.microsoft.com/office/drawing/2014/main" id="{0300BEA7-E9D9-4AA9-A55C-D78C4FA18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52" name="BEx1KD7H6UB1VYCJ7O61P562EIUY" descr="IQGV9140X0K0UPBL8OGU3I44J" hidden="1">
          <a:extLst>
            <a:ext uri="{FF2B5EF4-FFF2-40B4-BE49-F238E27FC236}">
              <a16:creationId xmlns:a16="http://schemas.microsoft.com/office/drawing/2014/main" id="{2909599F-B0DF-4095-AA61-5AFAE011B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53" name="BEx5AQZ4ETQ9LMY5EBWVH20Z7VXQ" hidden="1">
          <a:extLst>
            <a:ext uri="{FF2B5EF4-FFF2-40B4-BE49-F238E27FC236}">
              <a16:creationId xmlns:a16="http://schemas.microsoft.com/office/drawing/2014/main" id="{74185304-D71F-4BFE-99DB-E0CA1689C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54" name="BEx1KD7H6UB1VYCJ7O61P562EIUY" descr="IQGV9140X0K0UPBL8OGU3I44J" hidden="1">
          <a:extLst>
            <a:ext uri="{FF2B5EF4-FFF2-40B4-BE49-F238E27FC236}">
              <a16:creationId xmlns:a16="http://schemas.microsoft.com/office/drawing/2014/main" id="{39071EBA-896C-4DCE-8CDD-3C3DF74AE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55" name="BEx5AQZ4ETQ9LMY5EBWVH20Z7VXQ" hidden="1">
          <a:extLst>
            <a:ext uri="{FF2B5EF4-FFF2-40B4-BE49-F238E27FC236}">
              <a16:creationId xmlns:a16="http://schemas.microsoft.com/office/drawing/2014/main" id="{88FC0C43-AEB1-4A32-B2A9-07B0EAE31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56" name="BEx1KD7H6UB1VYCJ7O61P562EIUY" descr="IQGV9140X0K0UPBL8OGU3I44J" hidden="1">
          <a:extLst>
            <a:ext uri="{FF2B5EF4-FFF2-40B4-BE49-F238E27FC236}">
              <a16:creationId xmlns:a16="http://schemas.microsoft.com/office/drawing/2014/main" id="{5D592751-1EC2-48A7-A4F7-2309548F6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57" name="BEx5AQZ4ETQ9LMY5EBWVH20Z7VXQ" hidden="1">
          <a:extLst>
            <a:ext uri="{FF2B5EF4-FFF2-40B4-BE49-F238E27FC236}">
              <a16:creationId xmlns:a16="http://schemas.microsoft.com/office/drawing/2014/main" id="{7F425F89-13BA-44CD-BC3B-2A836DB01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58" name="BEx1KD7H6UB1VYCJ7O61P562EIUY" descr="IQGV9140X0K0UPBL8OGU3I44J" hidden="1">
          <a:extLst>
            <a:ext uri="{FF2B5EF4-FFF2-40B4-BE49-F238E27FC236}">
              <a16:creationId xmlns:a16="http://schemas.microsoft.com/office/drawing/2014/main" id="{69C0D574-1462-4E5C-8F0F-64E56FFE3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59" name="BEx5AQZ4ETQ9LMY5EBWVH20Z7VXQ" hidden="1">
          <a:extLst>
            <a:ext uri="{FF2B5EF4-FFF2-40B4-BE49-F238E27FC236}">
              <a16:creationId xmlns:a16="http://schemas.microsoft.com/office/drawing/2014/main" id="{D9A5E60A-3C9C-4401-96B3-05BD908E4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60" name="BEx1KD7H6UB1VYCJ7O61P562EIUY" descr="IQGV9140X0K0UPBL8OGU3I44J" hidden="1">
          <a:extLst>
            <a:ext uri="{FF2B5EF4-FFF2-40B4-BE49-F238E27FC236}">
              <a16:creationId xmlns:a16="http://schemas.microsoft.com/office/drawing/2014/main" id="{DD6A4668-786F-4764-82CF-018A933A4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61" name="BEx5AQZ4ETQ9LMY5EBWVH20Z7VXQ" hidden="1">
          <a:extLst>
            <a:ext uri="{FF2B5EF4-FFF2-40B4-BE49-F238E27FC236}">
              <a16:creationId xmlns:a16="http://schemas.microsoft.com/office/drawing/2014/main" id="{C7212463-4379-4982-A710-BE879C58C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62" name="BEx1KD7H6UB1VYCJ7O61P562EIUY" descr="IQGV9140X0K0UPBL8OGU3I44J" hidden="1">
          <a:extLst>
            <a:ext uri="{FF2B5EF4-FFF2-40B4-BE49-F238E27FC236}">
              <a16:creationId xmlns:a16="http://schemas.microsoft.com/office/drawing/2014/main" id="{74202D4D-DFD9-4A3C-8306-0E3011080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63" name="BEx5AQZ4ETQ9LMY5EBWVH20Z7VXQ" hidden="1">
          <a:extLst>
            <a:ext uri="{FF2B5EF4-FFF2-40B4-BE49-F238E27FC236}">
              <a16:creationId xmlns:a16="http://schemas.microsoft.com/office/drawing/2014/main" id="{63DD2C8C-9EE8-48FA-9398-6036768D1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64" name="BEx1KD7H6UB1VYCJ7O61P562EIUY" descr="IQGV9140X0K0UPBL8OGU3I44J" hidden="1">
          <a:extLst>
            <a:ext uri="{FF2B5EF4-FFF2-40B4-BE49-F238E27FC236}">
              <a16:creationId xmlns:a16="http://schemas.microsoft.com/office/drawing/2014/main" id="{BDC7C77B-BEB5-4523-85ED-48987C5E4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65" name="BEx5AQZ4ETQ9LMY5EBWVH20Z7VXQ" hidden="1">
          <a:extLst>
            <a:ext uri="{FF2B5EF4-FFF2-40B4-BE49-F238E27FC236}">
              <a16:creationId xmlns:a16="http://schemas.microsoft.com/office/drawing/2014/main" id="{D85DBDE0-C7D4-4E3B-B5D7-48F233F14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66" name="BEx1KD7H6UB1VYCJ7O61P562EIUY" descr="IQGV9140X0K0UPBL8OGU3I44J" hidden="1">
          <a:extLst>
            <a:ext uri="{FF2B5EF4-FFF2-40B4-BE49-F238E27FC236}">
              <a16:creationId xmlns:a16="http://schemas.microsoft.com/office/drawing/2014/main" id="{974F894D-7EED-4D0D-B8A8-C6350B870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67" name="BEx5AQZ4ETQ9LMY5EBWVH20Z7VXQ" hidden="1">
          <a:extLst>
            <a:ext uri="{FF2B5EF4-FFF2-40B4-BE49-F238E27FC236}">
              <a16:creationId xmlns:a16="http://schemas.microsoft.com/office/drawing/2014/main" id="{F6CC7EFE-E284-4C75-84E1-DC709A2CC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68" name="BEx1KD7H6UB1VYCJ7O61P562EIUY" descr="IQGV9140X0K0UPBL8OGU3I44J" hidden="1">
          <a:extLst>
            <a:ext uri="{FF2B5EF4-FFF2-40B4-BE49-F238E27FC236}">
              <a16:creationId xmlns:a16="http://schemas.microsoft.com/office/drawing/2014/main" id="{68019ACA-3458-4E15-B1E4-E572E2E96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69" name="BEx5AQZ4ETQ9LMY5EBWVH20Z7VXQ" hidden="1">
          <a:extLst>
            <a:ext uri="{FF2B5EF4-FFF2-40B4-BE49-F238E27FC236}">
              <a16:creationId xmlns:a16="http://schemas.microsoft.com/office/drawing/2014/main" id="{758CFA58-BFD5-44FF-BF62-FA313C417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70" name="BEx1KD7H6UB1VYCJ7O61P562EIUY" descr="IQGV9140X0K0UPBL8OGU3I44J" hidden="1">
          <a:extLst>
            <a:ext uri="{FF2B5EF4-FFF2-40B4-BE49-F238E27FC236}">
              <a16:creationId xmlns:a16="http://schemas.microsoft.com/office/drawing/2014/main" id="{F22F4F54-F950-48C9-80B5-B5D6F1D3B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71" name="BEx5AQZ4ETQ9LMY5EBWVH20Z7VXQ" hidden="1">
          <a:extLst>
            <a:ext uri="{FF2B5EF4-FFF2-40B4-BE49-F238E27FC236}">
              <a16:creationId xmlns:a16="http://schemas.microsoft.com/office/drawing/2014/main" id="{E6E70F10-2894-4E45-99CA-B32EE28BF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72" name="BEx1KD7H6UB1VYCJ7O61P562EIUY" descr="IQGV9140X0K0UPBL8OGU3I44J" hidden="1">
          <a:extLst>
            <a:ext uri="{FF2B5EF4-FFF2-40B4-BE49-F238E27FC236}">
              <a16:creationId xmlns:a16="http://schemas.microsoft.com/office/drawing/2014/main" id="{D73877D6-9ACE-4304-BFFE-2419F5322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73" name="BEx5AQZ4ETQ9LMY5EBWVH20Z7VXQ" hidden="1">
          <a:extLst>
            <a:ext uri="{FF2B5EF4-FFF2-40B4-BE49-F238E27FC236}">
              <a16:creationId xmlns:a16="http://schemas.microsoft.com/office/drawing/2014/main" id="{9B919B18-8991-424B-AA89-7775A1FE3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74" name="BEx1KD7H6UB1VYCJ7O61P562EIUY" descr="IQGV9140X0K0UPBL8OGU3I44J" hidden="1">
          <a:extLst>
            <a:ext uri="{FF2B5EF4-FFF2-40B4-BE49-F238E27FC236}">
              <a16:creationId xmlns:a16="http://schemas.microsoft.com/office/drawing/2014/main" id="{1BC2589C-677C-4F6A-8B7B-7E0E2CCBC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75" name="BEx5AQZ4ETQ9LMY5EBWVH20Z7VXQ" hidden="1">
          <a:extLst>
            <a:ext uri="{FF2B5EF4-FFF2-40B4-BE49-F238E27FC236}">
              <a16:creationId xmlns:a16="http://schemas.microsoft.com/office/drawing/2014/main" id="{05B79234-C2E1-4B62-BB85-F54513FF2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76" name="BEx1KD7H6UB1VYCJ7O61P562EIUY" descr="IQGV9140X0K0UPBL8OGU3I44J" hidden="1">
          <a:extLst>
            <a:ext uri="{FF2B5EF4-FFF2-40B4-BE49-F238E27FC236}">
              <a16:creationId xmlns:a16="http://schemas.microsoft.com/office/drawing/2014/main" id="{84ED7EBF-F47D-43BA-AF45-6D993B8E9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77" name="BEx5AQZ4ETQ9LMY5EBWVH20Z7VXQ" hidden="1">
          <a:extLst>
            <a:ext uri="{FF2B5EF4-FFF2-40B4-BE49-F238E27FC236}">
              <a16:creationId xmlns:a16="http://schemas.microsoft.com/office/drawing/2014/main" id="{7AC7E611-D5B4-4F2C-A38F-E0DDE0BB6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78" name="BEx1KD7H6UB1VYCJ7O61P562EIUY" descr="IQGV9140X0K0UPBL8OGU3I44J" hidden="1">
          <a:extLst>
            <a:ext uri="{FF2B5EF4-FFF2-40B4-BE49-F238E27FC236}">
              <a16:creationId xmlns:a16="http://schemas.microsoft.com/office/drawing/2014/main" id="{90A6E605-9795-4172-BD9F-B7D071B1B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79" name="BEx5AQZ4ETQ9LMY5EBWVH20Z7VXQ" hidden="1">
          <a:extLst>
            <a:ext uri="{FF2B5EF4-FFF2-40B4-BE49-F238E27FC236}">
              <a16:creationId xmlns:a16="http://schemas.microsoft.com/office/drawing/2014/main" id="{81BF69DC-276A-43EB-A96E-123ECF06D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80" name="BEx1KD7H6UB1VYCJ7O61P562EIUY" descr="IQGV9140X0K0UPBL8OGU3I44J" hidden="1">
          <a:extLst>
            <a:ext uri="{FF2B5EF4-FFF2-40B4-BE49-F238E27FC236}">
              <a16:creationId xmlns:a16="http://schemas.microsoft.com/office/drawing/2014/main" id="{A187A3B4-6007-4173-AF53-FC55D8E96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81" name="BEx5AQZ4ETQ9LMY5EBWVH20Z7VXQ" hidden="1">
          <a:extLst>
            <a:ext uri="{FF2B5EF4-FFF2-40B4-BE49-F238E27FC236}">
              <a16:creationId xmlns:a16="http://schemas.microsoft.com/office/drawing/2014/main" id="{79654F81-3BEC-4D6D-97FC-E6489BD7A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82" name="BEx1KD7H6UB1VYCJ7O61P562EIUY" descr="IQGV9140X0K0UPBL8OGU3I44J" hidden="1">
          <a:extLst>
            <a:ext uri="{FF2B5EF4-FFF2-40B4-BE49-F238E27FC236}">
              <a16:creationId xmlns:a16="http://schemas.microsoft.com/office/drawing/2014/main" id="{465B3E63-2F34-4E5A-A80C-42B6642B2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83" name="BEx5AQZ4ETQ9LMY5EBWVH20Z7VXQ" hidden="1">
          <a:extLst>
            <a:ext uri="{FF2B5EF4-FFF2-40B4-BE49-F238E27FC236}">
              <a16:creationId xmlns:a16="http://schemas.microsoft.com/office/drawing/2014/main" id="{F1F93875-7994-4099-A62A-5D0BD7BC8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84" name="BEx1KD7H6UB1VYCJ7O61P562EIUY" descr="IQGV9140X0K0UPBL8OGU3I44J" hidden="1">
          <a:extLst>
            <a:ext uri="{FF2B5EF4-FFF2-40B4-BE49-F238E27FC236}">
              <a16:creationId xmlns:a16="http://schemas.microsoft.com/office/drawing/2014/main" id="{8FA991A1-C5AC-41A0-BE76-90FF95AD5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85" name="BEx5AQZ4ETQ9LMY5EBWVH20Z7VXQ" hidden="1">
          <a:extLst>
            <a:ext uri="{FF2B5EF4-FFF2-40B4-BE49-F238E27FC236}">
              <a16:creationId xmlns:a16="http://schemas.microsoft.com/office/drawing/2014/main" id="{0B71D17A-0C96-46B1-9579-CDE822A7D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86" name="BEx1KD7H6UB1VYCJ7O61P562EIUY" descr="IQGV9140X0K0UPBL8OGU3I44J" hidden="1">
          <a:extLst>
            <a:ext uri="{FF2B5EF4-FFF2-40B4-BE49-F238E27FC236}">
              <a16:creationId xmlns:a16="http://schemas.microsoft.com/office/drawing/2014/main" id="{B1F1B7CE-7F36-41E1-97FD-BEAF6DCBE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87" name="BEx5AQZ4ETQ9LMY5EBWVH20Z7VXQ" hidden="1">
          <a:extLst>
            <a:ext uri="{FF2B5EF4-FFF2-40B4-BE49-F238E27FC236}">
              <a16:creationId xmlns:a16="http://schemas.microsoft.com/office/drawing/2014/main" id="{E5589ABF-5A81-459E-B3A1-7935E8CD9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88" name="BEx1KD7H6UB1VYCJ7O61P562EIUY" descr="IQGV9140X0K0UPBL8OGU3I44J" hidden="1">
          <a:extLst>
            <a:ext uri="{FF2B5EF4-FFF2-40B4-BE49-F238E27FC236}">
              <a16:creationId xmlns:a16="http://schemas.microsoft.com/office/drawing/2014/main" id="{B58B504E-1B98-4CD8-A55B-7BDEAD35F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89" name="BEx5AQZ4ETQ9LMY5EBWVH20Z7VXQ" hidden="1">
          <a:extLst>
            <a:ext uri="{FF2B5EF4-FFF2-40B4-BE49-F238E27FC236}">
              <a16:creationId xmlns:a16="http://schemas.microsoft.com/office/drawing/2014/main" id="{33344DEF-5183-4AC6-BD91-DB42DAF2F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90" name="BEx1KD7H6UB1VYCJ7O61P562EIUY" descr="IQGV9140X0K0UPBL8OGU3I44J" hidden="1">
          <a:extLst>
            <a:ext uri="{FF2B5EF4-FFF2-40B4-BE49-F238E27FC236}">
              <a16:creationId xmlns:a16="http://schemas.microsoft.com/office/drawing/2014/main" id="{8D9044F1-CD1A-452F-9251-1093DC969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91" name="BEx5AQZ4ETQ9LMY5EBWVH20Z7VXQ" hidden="1">
          <a:extLst>
            <a:ext uri="{FF2B5EF4-FFF2-40B4-BE49-F238E27FC236}">
              <a16:creationId xmlns:a16="http://schemas.microsoft.com/office/drawing/2014/main" id="{810F00C2-1248-44DB-BCC6-DD59038A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92" name="BEx1KD7H6UB1VYCJ7O61P562EIUY" descr="IQGV9140X0K0UPBL8OGU3I44J" hidden="1">
          <a:extLst>
            <a:ext uri="{FF2B5EF4-FFF2-40B4-BE49-F238E27FC236}">
              <a16:creationId xmlns:a16="http://schemas.microsoft.com/office/drawing/2014/main" id="{27519DD8-7C21-488C-8159-5E9136C87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93" name="BEx5AQZ4ETQ9LMY5EBWVH20Z7VXQ" hidden="1">
          <a:extLst>
            <a:ext uri="{FF2B5EF4-FFF2-40B4-BE49-F238E27FC236}">
              <a16:creationId xmlns:a16="http://schemas.microsoft.com/office/drawing/2014/main" id="{66961E5D-A5BF-4420-8EAF-F23903DAE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94" name="BEx1KD7H6UB1VYCJ7O61P562EIUY" descr="IQGV9140X0K0UPBL8OGU3I44J" hidden="1">
          <a:extLst>
            <a:ext uri="{FF2B5EF4-FFF2-40B4-BE49-F238E27FC236}">
              <a16:creationId xmlns:a16="http://schemas.microsoft.com/office/drawing/2014/main" id="{7CFDEA26-4E48-4332-9F3A-3494B7B48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95" name="BEx5AQZ4ETQ9LMY5EBWVH20Z7VXQ" hidden="1">
          <a:extLst>
            <a:ext uri="{FF2B5EF4-FFF2-40B4-BE49-F238E27FC236}">
              <a16:creationId xmlns:a16="http://schemas.microsoft.com/office/drawing/2014/main" id="{2230701C-71DE-466B-B0EB-C9348754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96" name="BEx1KD7H6UB1VYCJ7O61P562EIUY" descr="IQGV9140X0K0UPBL8OGU3I44J" hidden="1">
          <a:extLst>
            <a:ext uri="{FF2B5EF4-FFF2-40B4-BE49-F238E27FC236}">
              <a16:creationId xmlns:a16="http://schemas.microsoft.com/office/drawing/2014/main" id="{C50CB5FD-E2BF-46CA-A8A9-4811D1FF6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97" name="BEx5AQZ4ETQ9LMY5EBWVH20Z7VXQ" hidden="1">
          <a:extLst>
            <a:ext uri="{FF2B5EF4-FFF2-40B4-BE49-F238E27FC236}">
              <a16:creationId xmlns:a16="http://schemas.microsoft.com/office/drawing/2014/main" id="{5157E989-704F-4D97-B120-ACEE8D13A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98" name="BEx1KD7H6UB1VYCJ7O61P562EIUY" descr="IQGV9140X0K0UPBL8OGU3I44J" hidden="1">
          <a:extLst>
            <a:ext uri="{FF2B5EF4-FFF2-40B4-BE49-F238E27FC236}">
              <a16:creationId xmlns:a16="http://schemas.microsoft.com/office/drawing/2014/main" id="{C3D0B5A3-DE10-444B-B56F-058AF7143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099" name="BEx5AQZ4ETQ9LMY5EBWVH20Z7VXQ" hidden="1">
          <a:extLst>
            <a:ext uri="{FF2B5EF4-FFF2-40B4-BE49-F238E27FC236}">
              <a16:creationId xmlns:a16="http://schemas.microsoft.com/office/drawing/2014/main" id="{CEE22155-46C4-42E1-9A6D-7F294FD94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00" name="BEx1KD7H6UB1VYCJ7O61P562EIUY" descr="IQGV9140X0K0UPBL8OGU3I44J" hidden="1">
          <a:extLst>
            <a:ext uri="{FF2B5EF4-FFF2-40B4-BE49-F238E27FC236}">
              <a16:creationId xmlns:a16="http://schemas.microsoft.com/office/drawing/2014/main" id="{AA22F0DC-20F5-4DFE-AE09-930F874DE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01" name="BEx5AQZ4ETQ9LMY5EBWVH20Z7VXQ" hidden="1">
          <a:extLst>
            <a:ext uri="{FF2B5EF4-FFF2-40B4-BE49-F238E27FC236}">
              <a16:creationId xmlns:a16="http://schemas.microsoft.com/office/drawing/2014/main" id="{BCDBB7D9-4567-4915-A40D-611C4495D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02" name="BEx1KD7H6UB1VYCJ7O61P562EIUY" descr="IQGV9140X0K0UPBL8OGU3I44J" hidden="1">
          <a:extLst>
            <a:ext uri="{FF2B5EF4-FFF2-40B4-BE49-F238E27FC236}">
              <a16:creationId xmlns:a16="http://schemas.microsoft.com/office/drawing/2014/main" id="{B7D9D8F9-0AE7-4DBD-924C-3F16C3FC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03" name="BEx5AQZ4ETQ9LMY5EBWVH20Z7VXQ" hidden="1">
          <a:extLst>
            <a:ext uri="{FF2B5EF4-FFF2-40B4-BE49-F238E27FC236}">
              <a16:creationId xmlns:a16="http://schemas.microsoft.com/office/drawing/2014/main" id="{EF64640B-75E7-458D-B730-830C2E72E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04" name="BEx1KD7H6UB1VYCJ7O61P562EIUY" descr="IQGV9140X0K0UPBL8OGU3I44J" hidden="1">
          <a:extLst>
            <a:ext uri="{FF2B5EF4-FFF2-40B4-BE49-F238E27FC236}">
              <a16:creationId xmlns:a16="http://schemas.microsoft.com/office/drawing/2014/main" id="{EBCC2C64-10D2-49E5-9C2B-41F9CF74C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05" name="BEx5AQZ4ETQ9LMY5EBWVH20Z7VXQ" hidden="1">
          <a:extLst>
            <a:ext uri="{FF2B5EF4-FFF2-40B4-BE49-F238E27FC236}">
              <a16:creationId xmlns:a16="http://schemas.microsoft.com/office/drawing/2014/main" id="{E376B041-09BA-40CA-9810-3367EF8D3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06" name="BEx1KD7H6UB1VYCJ7O61P562EIUY" descr="IQGV9140X0K0UPBL8OGU3I44J" hidden="1">
          <a:extLst>
            <a:ext uri="{FF2B5EF4-FFF2-40B4-BE49-F238E27FC236}">
              <a16:creationId xmlns:a16="http://schemas.microsoft.com/office/drawing/2014/main" id="{54EAAD57-C34C-486A-91A6-7340F2F1C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07" name="BEx5AQZ4ETQ9LMY5EBWVH20Z7VXQ" hidden="1">
          <a:extLst>
            <a:ext uri="{FF2B5EF4-FFF2-40B4-BE49-F238E27FC236}">
              <a16:creationId xmlns:a16="http://schemas.microsoft.com/office/drawing/2014/main" id="{9883F819-C397-419E-AD6D-84E9DDFB3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08" name="BEx1KD7H6UB1VYCJ7O61P562EIUY" descr="IQGV9140X0K0UPBL8OGU3I44J" hidden="1">
          <a:extLst>
            <a:ext uri="{FF2B5EF4-FFF2-40B4-BE49-F238E27FC236}">
              <a16:creationId xmlns:a16="http://schemas.microsoft.com/office/drawing/2014/main" id="{82EB44CA-8094-4161-BE2D-3D7B9069E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09" name="BEx5AQZ4ETQ9LMY5EBWVH20Z7VXQ" hidden="1">
          <a:extLst>
            <a:ext uri="{FF2B5EF4-FFF2-40B4-BE49-F238E27FC236}">
              <a16:creationId xmlns:a16="http://schemas.microsoft.com/office/drawing/2014/main" id="{AB5BA1E4-7A38-462D-B428-6427787B9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10" name="BEx1KD7H6UB1VYCJ7O61P562EIUY" descr="IQGV9140X0K0UPBL8OGU3I44J" hidden="1">
          <a:extLst>
            <a:ext uri="{FF2B5EF4-FFF2-40B4-BE49-F238E27FC236}">
              <a16:creationId xmlns:a16="http://schemas.microsoft.com/office/drawing/2014/main" id="{1480689C-BF53-4888-B7A1-88EAD2D8A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11" name="BEx5AQZ4ETQ9LMY5EBWVH20Z7VXQ" hidden="1">
          <a:extLst>
            <a:ext uri="{FF2B5EF4-FFF2-40B4-BE49-F238E27FC236}">
              <a16:creationId xmlns:a16="http://schemas.microsoft.com/office/drawing/2014/main" id="{46CAA948-9195-491D-B7D2-F7F6E789D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12" name="BEx1KD7H6UB1VYCJ7O61P562EIUY" descr="IQGV9140X0K0UPBL8OGU3I44J" hidden="1">
          <a:extLst>
            <a:ext uri="{FF2B5EF4-FFF2-40B4-BE49-F238E27FC236}">
              <a16:creationId xmlns:a16="http://schemas.microsoft.com/office/drawing/2014/main" id="{9CA0130E-9CD2-41AD-90D3-4E19322F9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13" name="BEx5AQZ4ETQ9LMY5EBWVH20Z7VXQ" hidden="1">
          <a:extLst>
            <a:ext uri="{FF2B5EF4-FFF2-40B4-BE49-F238E27FC236}">
              <a16:creationId xmlns:a16="http://schemas.microsoft.com/office/drawing/2014/main" id="{808FC74C-75D7-437B-AEBA-1DE6EFC63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14" name="BEx1KD7H6UB1VYCJ7O61P562EIUY" descr="IQGV9140X0K0UPBL8OGU3I44J" hidden="1">
          <a:extLst>
            <a:ext uri="{FF2B5EF4-FFF2-40B4-BE49-F238E27FC236}">
              <a16:creationId xmlns:a16="http://schemas.microsoft.com/office/drawing/2014/main" id="{F8887D4B-0293-43BC-86DA-0D2D440E3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15" name="BEx5AQZ4ETQ9LMY5EBWVH20Z7VXQ" hidden="1">
          <a:extLst>
            <a:ext uri="{FF2B5EF4-FFF2-40B4-BE49-F238E27FC236}">
              <a16:creationId xmlns:a16="http://schemas.microsoft.com/office/drawing/2014/main" id="{363B365F-B9B9-4A89-B6FD-7B37A10E5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16" name="BEx1KD7H6UB1VYCJ7O61P562EIUY" descr="IQGV9140X0K0UPBL8OGU3I44J" hidden="1">
          <a:extLst>
            <a:ext uri="{FF2B5EF4-FFF2-40B4-BE49-F238E27FC236}">
              <a16:creationId xmlns:a16="http://schemas.microsoft.com/office/drawing/2014/main" id="{311977AC-81DE-40CA-923A-9BFE7EDBF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17" name="BEx5AQZ4ETQ9LMY5EBWVH20Z7VXQ" hidden="1">
          <a:extLst>
            <a:ext uri="{FF2B5EF4-FFF2-40B4-BE49-F238E27FC236}">
              <a16:creationId xmlns:a16="http://schemas.microsoft.com/office/drawing/2014/main" id="{486D625B-F5A0-4A7F-8787-EAFC8795C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18" name="BEx1KD7H6UB1VYCJ7O61P562EIUY" descr="IQGV9140X0K0UPBL8OGU3I44J" hidden="1">
          <a:extLst>
            <a:ext uri="{FF2B5EF4-FFF2-40B4-BE49-F238E27FC236}">
              <a16:creationId xmlns:a16="http://schemas.microsoft.com/office/drawing/2014/main" id="{BA85D5A4-E34A-4983-B039-451E22FF7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19" name="BEx5AQZ4ETQ9LMY5EBWVH20Z7VXQ" hidden="1">
          <a:extLst>
            <a:ext uri="{FF2B5EF4-FFF2-40B4-BE49-F238E27FC236}">
              <a16:creationId xmlns:a16="http://schemas.microsoft.com/office/drawing/2014/main" id="{411E48A0-7DE8-4BF8-A64D-FCC93AF4C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20" name="BEx1KD7H6UB1VYCJ7O61P562EIUY" descr="IQGV9140X0K0UPBL8OGU3I44J" hidden="1">
          <a:extLst>
            <a:ext uri="{FF2B5EF4-FFF2-40B4-BE49-F238E27FC236}">
              <a16:creationId xmlns:a16="http://schemas.microsoft.com/office/drawing/2014/main" id="{BDE59033-781B-41FD-A40A-6E352B006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21" name="BEx5AQZ4ETQ9LMY5EBWVH20Z7VXQ" hidden="1">
          <a:extLst>
            <a:ext uri="{FF2B5EF4-FFF2-40B4-BE49-F238E27FC236}">
              <a16:creationId xmlns:a16="http://schemas.microsoft.com/office/drawing/2014/main" id="{23136D4D-84C5-4934-AAF5-52D1017C4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22" name="BEx1KD7H6UB1VYCJ7O61P562EIUY" descr="IQGV9140X0K0UPBL8OGU3I44J" hidden="1">
          <a:extLst>
            <a:ext uri="{FF2B5EF4-FFF2-40B4-BE49-F238E27FC236}">
              <a16:creationId xmlns:a16="http://schemas.microsoft.com/office/drawing/2014/main" id="{620349B5-4B55-4B83-BC58-95411B9C6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23" name="BEx5AQZ4ETQ9LMY5EBWVH20Z7VXQ" hidden="1">
          <a:extLst>
            <a:ext uri="{FF2B5EF4-FFF2-40B4-BE49-F238E27FC236}">
              <a16:creationId xmlns:a16="http://schemas.microsoft.com/office/drawing/2014/main" id="{AC64C884-0DB8-45FE-B076-B22E2C761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24" name="BEx1KD7H6UB1VYCJ7O61P562EIUY" descr="IQGV9140X0K0UPBL8OGU3I44J" hidden="1">
          <a:extLst>
            <a:ext uri="{FF2B5EF4-FFF2-40B4-BE49-F238E27FC236}">
              <a16:creationId xmlns:a16="http://schemas.microsoft.com/office/drawing/2014/main" id="{08E4FE9D-FC70-4F25-A390-48430DA9D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25" name="BEx5AQZ4ETQ9LMY5EBWVH20Z7VXQ" hidden="1">
          <a:extLst>
            <a:ext uri="{FF2B5EF4-FFF2-40B4-BE49-F238E27FC236}">
              <a16:creationId xmlns:a16="http://schemas.microsoft.com/office/drawing/2014/main" id="{979EC80B-8185-405A-9E1A-A8625D1D0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26" name="BEx1KD7H6UB1VYCJ7O61P562EIUY" descr="IQGV9140X0K0UPBL8OGU3I44J" hidden="1">
          <a:extLst>
            <a:ext uri="{FF2B5EF4-FFF2-40B4-BE49-F238E27FC236}">
              <a16:creationId xmlns:a16="http://schemas.microsoft.com/office/drawing/2014/main" id="{B61B77B1-9E1B-4734-B8C5-44588345A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27" name="BEx5AQZ4ETQ9LMY5EBWVH20Z7VXQ" hidden="1">
          <a:extLst>
            <a:ext uri="{FF2B5EF4-FFF2-40B4-BE49-F238E27FC236}">
              <a16:creationId xmlns:a16="http://schemas.microsoft.com/office/drawing/2014/main" id="{4170A2E4-456A-44C3-B418-880A9C9EF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28" name="BEx1KD7H6UB1VYCJ7O61P562EIUY" descr="IQGV9140X0K0UPBL8OGU3I44J" hidden="1">
          <a:extLst>
            <a:ext uri="{FF2B5EF4-FFF2-40B4-BE49-F238E27FC236}">
              <a16:creationId xmlns:a16="http://schemas.microsoft.com/office/drawing/2014/main" id="{DBB4EEED-C594-499B-884D-B298B4309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29" name="BEx5AQZ4ETQ9LMY5EBWVH20Z7VXQ" hidden="1">
          <a:extLst>
            <a:ext uri="{FF2B5EF4-FFF2-40B4-BE49-F238E27FC236}">
              <a16:creationId xmlns:a16="http://schemas.microsoft.com/office/drawing/2014/main" id="{E0DFFC00-632D-47AA-A4C9-28ED9F7E7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30" name="BEx1KD7H6UB1VYCJ7O61P562EIUY" descr="IQGV9140X0K0UPBL8OGU3I44J" hidden="1">
          <a:extLst>
            <a:ext uri="{FF2B5EF4-FFF2-40B4-BE49-F238E27FC236}">
              <a16:creationId xmlns:a16="http://schemas.microsoft.com/office/drawing/2014/main" id="{1EF9F455-9CC2-4F1C-816E-02B61B296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31" name="BEx5AQZ4ETQ9LMY5EBWVH20Z7VXQ" hidden="1">
          <a:extLst>
            <a:ext uri="{FF2B5EF4-FFF2-40B4-BE49-F238E27FC236}">
              <a16:creationId xmlns:a16="http://schemas.microsoft.com/office/drawing/2014/main" id="{4BD63541-E7BF-4B2F-9BEB-5FF146FDE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32" name="BEx1KD7H6UB1VYCJ7O61P562EIUY" descr="IQGV9140X0K0UPBL8OGU3I44J" hidden="1">
          <a:extLst>
            <a:ext uri="{FF2B5EF4-FFF2-40B4-BE49-F238E27FC236}">
              <a16:creationId xmlns:a16="http://schemas.microsoft.com/office/drawing/2014/main" id="{8FDC8EC3-1AC0-46B9-823B-C11A36F74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33" name="BEx5AQZ4ETQ9LMY5EBWVH20Z7VXQ" hidden="1">
          <a:extLst>
            <a:ext uri="{FF2B5EF4-FFF2-40B4-BE49-F238E27FC236}">
              <a16:creationId xmlns:a16="http://schemas.microsoft.com/office/drawing/2014/main" id="{81E42A00-D3DB-40D9-B80A-31D30C84C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34" name="BEx1KD7H6UB1VYCJ7O61P562EIUY" descr="IQGV9140X0K0UPBL8OGU3I44J" hidden="1">
          <a:extLst>
            <a:ext uri="{FF2B5EF4-FFF2-40B4-BE49-F238E27FC236}">
              <a16:creationId xmlns:a16="http://schemas.microsoft.com/office/drawing/2014/main" id="{CB0AB613-4B6D-4855-98B6-98D32658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35" name="BEx5AQZ4ETQ9LMY5EBWVH20Z7VXQ" hidden="1">
          <a:extLst>
            <a:ext uri="{FF2B5EF4-FFF2-40B4-BE49-F238E27FC236}">
              <a16:creationId xmlns:a16="http://schemas.microsoft.com/office/drawing/2014/main" id="{19C472B1-C339-422A-9363-5AE6B237E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36" name="BEx1KD7H6UB1VYCJ7O61P562EIUY" descr="IQGV9140X0K0UPBL8OGU3I44J" hidden="1">
          <a:extLst>
            <a:ext uri="{FF2B5EF4-FFF2-40B4-BE49-F238E27FC236}">
              <a16:creationId xmlns:a16="http://schemas.microsoft.com/office/drawing/2014/main" id="{8940C2B3-A94A-4893-82BA-3C7FD8C0A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37" name="BEx5AQZ4ETQ9LMY5EBWVH20Z7VXQ" hidden="1">
          <a:extLst>
            <a:ext uri="{FF2B5EF4-FFF2-40B4-BE49-F238E27FC236}">
              <a16:creationId xmlns:a16="http://schemas.microsoft.com/office/drawing/2014/main" id="{02FEC47D-0340-4953-A2C7-6769241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38" name="BEx1KD7H6UB1VYCJ7O61P562EIUY" descr="IQGV9140X0K0UPBL8OGU3I44J" hidden="1">
          <a:extLst>
            <a:ext uri="{FF2B5EF4-FFF2-40B4-BE49-F238E27FC236}">
              <a16:creationId xmlns:a16="http://schemas.microsoft.com/office/drawing/2014/main" id="{E00218D2-4900-40D7-A209-ED0AE6441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39" name="BEx5AQZ4ETQ9LMY5EBWVH20Z7VXQ" hidden="1">
          <a:extLst>
            <a:ext uri="{FF2B5EF4-FFF2-40B4-BE49-F238E27FC236}">
              <a16:creationId xmlns:a16="http://schemas.microsoft.com/office/drawing/2014/main" id="{9C88EC4B-CB8B-4509-93B3-FD244D604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40" name="BEx1KD7H6UB1VYCJ7O61P562EIUY" descr="IQGV9140X0K0UPBL8OGU3I44J" hidden="1">
          <a:extLst>
            <a:ext uri="{FF2B5EF4-FFF2-40B4-BE49-F238E27FC236}">
              <a16:creationId xmlns:a16="http://schemas.microsoft.com/office/drawing/2014/main" id="{4F65E4FD-80C7-4A41-BF02-C74F79EE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41" name="BEx5AQZ4ETQ9LMY5EBWVH20Z7VXQ" hidden="1">
          <a:extLst>
            <a:ext uri="{FF2B5EF4-FFF2-40B4-BE49-F238E27FC236}">
              <a16:creationId xmlns:a16="http://schemas.microsoft.com/office/drawing/2014/main" id="{F53E6218-9561-4D48-A1AA-429C08D03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42" name="BEx1KD7H6UB1VYCJ7O61P562EIUY" descr="IQGV9140X0K0UPBL8OGU3I44J" hidden="1">
          <a:extLst>
            <a:ext uri="{FF2B5EF4-FFF2-40B4-BE49-F238E27FC236}">
              <a16:creationId xmlns:a16="http://schemas.microsoft.com/office/drawing/2014/main" id="{EFC21EA5-2467-4BCB-A75A-546CFC7C8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6143" name="BExVTO5Q8G2M7BPL4B2584LQS0R0" descr="OB6Q8NA4LZFE4GM9Y3V56BPMQ" hidden="1">
          <a:extLst>
            <a:ext uri="{FF2B5EF4-FFF2-40B4-BE49-F238E27FC236}">
              <a16:creationId xmlns:a16="http://schemas.microsoft.com/office/drawing/2014/main" id="{431D1F82-CB87-4CBA-A53E-9DC9A9921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44" name="BEx5AQZ4ETQ9LMY5EBWVH20Z7VXQ" hidden="1">
          <a:extLst>
            <a:ext uri="{FF2B5EF4-FFF2-40B4-BE49-F238E27FC236}">
              <a16:creationId xmlns:a16="http://schemas.microsoft.com/office/drawing/2014/main" id="{AC74024B-7447-44DC-9F0A-C2D160297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6145" name="BExUEZCSSJ7RN4J18I2NUIQR2FZS" hidden="1">
          <a:extLst>
            <a:ext uri="{FF2B5EF4-FFF2-40B4-BE49-F238E27FC236}">
              <a16:creationId xmlns:a16="http://schemas.microsoft.com/office/drawing/2014/main" id="{972433C9-5C63-42FB-A9E9-5A884D050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543300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146" name="BEx1KD7H6UB1VYCJ7O61P562EIUY" descr="IQGV9140X0K0UPBL8OGU3I44J" hidden="1">
          <a:extLst>
            <a:ext uri="{FF2B5EF4-FFF2-40B4-BE49-F238E27FC236}">
              <a16:creationId xmlns:a16="http://schemas.microsoft.com/office/drawing/2014/main" id="{199EED72-7EC9-4541-86DA-1F96922B4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147" name="BEx5AQZ4ETQ9LMY5EBWVH20Z7VXQ" hidden="1">
          <a:extLst>
            <a:ext uri="{FF2B5EF4-FFF2-40B4-BE49-F238E27FC236}">
              <a16:creationId xmlns:a16="http://schemas.microsoft.com/office/drawing/2014/main" id="{A76DB6A9-EBE7-4827-83F8-ECAB6E648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148" name="BEx1KD7H6UB1VYCJ7O61P562EIUY" descr="IQGV9140X0K0UPBL8OGU3I44J" hidden="1">
          <a:extLst>
            <a:ext uri="{FF2B5EF4-FFF2-40B4-BE49-F238E27FC236}">
              <a16:creationId xmlns:a16="http://schemas.microsoft.com/office/drawing/2014/main" id="{22A394B7-A137-4BF6-BE5E-46B6AC86D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149" name="BEx5AQZ4ETQ9LMY5EBWVH20Z7VXQ" hidden="1">
          <a:extLst>
            <a:ext uri="{FF2B5EF4-FFF2-40B4-BE49-F238E27FC236}">
              <a16:creationId xmlns:a16="http://schemas.microsoft.com/office/drawing/2014/main" id="{E95F3409-141C-4124-9484-84BF10E31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150" name="BEx5BJQWS6YWHH4ZMSUAMD641V6Y" descr="ZTMFMXCIQSECDX38ALEFHUB00" hidden="1">
          <a:extLst>
            <a:ext uri="{FF2B5EF4-FFF2-40B4-BE49-F238E27FC236}">
              <a16:creationId xmlns:a16="http://schemas.microsoft.com/office/drawing/2014/main" id="{3CFA8C95-EC90-4848-AF11-46934C34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151" name="BExUBK0YZ5VYFY8TTITJGJU9S06A" hidden="1">
          <a:extLst>
            <a:ext uri="{FF2B5EF4-FFF2-40B4-BE49-F238E27FC236}">
              <a16:creationId xmlns:a16="http://schemas.microsoft.com/office/drawing/2014/main" id="{5FDB5134-3C1A-4953-AE52-897CF8EB1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152" name="BEx1KD7H6UB1VYCJ7O61P562EIUY" descr="IQGV9140X0K0UPBL8OGU3I44J" hidden="1">
          <a:extLst>
            <a:ext uri="{FF2B5EF4-FFF2-40B4-BE49-F238E27FC236}">
              <a16:creationId xmlns:a16="http://schemas.microsoft.com/office/drawing/2014/main" id="{F6F7875C-F881-4D74-A169-F99548757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153" name="BEx5AQZ4ETQ9LMY5EBWVH20Z7VXQ" hidden="1">
          <a:extLst>
            <a:ext uri="{FF2B5EF4-FFF2-40B4-BE49-F238E27FC236}">
              <a16:creationId xmlns:a16="http://schemas.microsoft.com/office/drawing/2014/main" id="{694D765B-A5A9-49CE-98DB-2E2F78DF0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154" name="BEx5BJQWS6YWHH4ZMSUAMD641V6Y" descr="ZTMFMXCIQSECDX38ALEFHUB00" hidden="1">
          <a:extLst>
            <a:ext uri="{FF2B5EF4-FFF2-40B4-BE49-F238E27FC236}">
              <a16:creationId xmlns:a16="http://schemas.microsoft.com/office/drawing/2014/main" id="{9FF40F6C-8147-46B3-8130-CDA71364D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155" name="BExUBK0YZ5VYFY8TTITJGJU9S06A" hidden="1">
          <a:extLst>
            <a:ext uri="{FF2B5EF4-FFF2-40B4-BE49-F238E27FC236}">
              <a16:creationId xmlns:a16="http://schemas.microsoft.com/office/drawing/2014/main" id="{8739039C-DAC9-44CA-9154-81A3A492E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156" name="BEx5BJQWS6YWHH4ZMSUAMD641V6Y" descr="ZTMFMXCIQSECDX38ALEFHUB00" hidden="1">
          <a:extLst>
            <a:ext uri="{FF2B5EF4-FFF2-40B4-BE49-F238E27FC236}">
              <a16:creationId xmlns:a16="http://schemas.microsoft.com/office/drawing/2014/main" id="{20E75BB9-EE8C-46A9-8B8E-80BC6EBDA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157" name="BExUBK0YZ5VYFY8TTITJGJU9S06A" hidden="1">
          <a:extLst>
            <a:ext uri="{FF2B5EF4-FFF2-40B4-BE49-F238E27FC236}">
              <a16:creationId xmlns:a16="http://schemas.microsoft.com/office/drawing/2014/main" id="{B39F80CB-AA00-482A-AC7E-CBAC3D10A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158" name="BEx1KD7H6UB1VYCJ7O61P562EIUY" descr="IQGV9140X0K0UPBL8OGU3I44J" hidden="1">
          <a:extLst>
            <a:ext uri="{FF2B5EF4-FFF2-40B4-BE49-F238E27FC236}">
              <a16:creationId xmlns:a16="http://schemas.microsoft.com/office/drawing/2014/main" id="{CB93B5AF-1505-4E7D-99C4-1D53C261A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159" name="BEx5AQZ4ETQ9LMY5EBWVH20Z7VXQ" hidden="1">
          <a:extLst>
            <a:ext uri="{FF2B5EF4-FFF2-40B4-BE49-F238E27FC236}">
              <a16:creationId xmlns:a16="http://schemas.microsoft.com/office/drawing/2014/main" id="{970C14FA-0F40-4B4C-961D-E2787B28C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160" name="BEx5BJQWS6YWHH4ZMSUAMD641V6Y" descr="ZTMFMXCIQSECDX38ALEFHUB00" hidden="1">
          <a:extLst>
            <a:ext uri="{FF2B5EF4-FFF2-40B4-BE49-F238E27FC236}">
              <a16:creationId xmlns:a16="http://schemas.microsoft.com/office/drawing/2014/main" id="{0B87F2AE-F979-4115-A076-286EB3FEA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161" name="BExUBK0YZ5VYFY8TTITJGJU9S06A" hidden="1">
          <a:extLst>
            <a:ext uri="{FF2B5EF4-FFF2-40B4-BE49-F238E27FC236}">
              <a16:creationId xmlns:a16="http://schemas.microsoft.com/office/drawing/2014/main" id="{FE6E847A-03AF-4908-B7AE-576F95F98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162" name="BEx5BJQWS6YWHH4ZMSUAMD641V6Y" descr="ZTMFMXCIQSECDX38ALEFHUB00" hidden="1">
          <a:extLst>
            <a:ext uri="{FF2B5EF4-FFF2-40B4-BE49-F238E27FC236}">
              <a16:creationId xmlns:a16="http://schemas.microsoft.com/office/drawing/2014/main" id="{57130C62-8692-41A0-BE25-C39894084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163" name="BExUBK0YZ5VYFY8TTITJGJU9S06A" hidden="1">
          <a:extLst>
            <a:ext uri="{FF2B5EF4-FFF2-40B4-BE49-F238E27FC236}">
              <a16:creationId xmlns:a16="http://schemas.microsoft.com/office/drawing/2014/main" id="{36FC12DD-3A5B-4E50-BD16-246BA399A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164" name="BEx5BJQWS6YWHH4ZMSUAMD641V6Y" descr="ZTMFMXCIQSECDX38ALEFHUB00" hidden="1">
          <a:extLst>
            <a:ext uri="{FF2B5EF4-FFF2-40B4-BE49-F238E27FC236}">
              <a16:creationId xmlns:a16="http://schemas.microsoft.com/office/drawing/2014/main" id="{DD11182F-C4DB-4BD1-8F67-91162377B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165" name="BExUBK0YZ5VYFY8TTITJGJU9S06A" hidden="1">
          <a:extLst>
            <a:ext uri="{FF2B5EF4-FFF2-40B4-BE49-F238E27FC236}">
              <a16:creationId xmlns:a16="http://schemas.microsoft.com/office/drawing/2014/main" id="{B9A9D21C-55EF-4E7E-8E2F-1AEBEE4AF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166" name="BEx1KD7H6UB1VYCJ7O61P562EIUY" descr="IQGV9140X0K0UPBL8OGU3I44J" hidden="1">
          <a:extLst>
            <a:ext uri="{FF2B5EF4-FFF2-40B4-BE49-F238E27FC236}">
              <a16:creationId xmlns:a16="http://schemas.microsoft.com/office/drawing/2014/main" id="{4BB2C84D-D4A6-4E96-8399-ECE0277B7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167" name="BEx5AQZ4ETQ9LMY5EBWVH20Z7VXQ" hidden="1">
          <a:extLst>
            <a:ext uri="{FF2B5EF4-FFF2-40B4-BE49-F238E27FC236}">
              <a16:creationId xmlns:a16="http://schemas.microsoft.com/office/drawing/2014/main" id="{55B0969C-A90E-4502-9A42-174D4A25F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168" name="BEx5BJQWS6YWHH4ZMSUAMD641V6Y" descr="ZTMFMXCIQSECDX38ALEFHUB00" hidden="1">
          <a:extLst>
            <a:ext uri="{FF2B5EF4-FFF2-40B4-BE49-F238E27FC236}">
              <a16:creationId xmlns:a16="http://schemas.microsoft.com/office/drawing/2014/main" id="{86ACCEF0-207B-4162-9EA7-0B349B096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169" name="BExUBK0YZ5VYFY8TTITJGJU9S06A" hidden="1">
          <a:extLst>
            <a:ext uri="{FF2B5EF4-FFF2-40B4-BE49-F238E27FC236}">
              <a16:creationId xmlns:a16="http://schemas.microsoft.com/office/drawing/2014/main" id="{AE5679D1-FBC3-4B36-9458-10431E0D4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170" name="BEx5BJQWS6YWHH4ZMSUAMD641V6Y" descr="ZTMFMXCIQSECDX38ALEFHUB00" hidden="1">
          <a:extLst>
            <a:ext uri="{FF2B5EF4-FFF2-40B4-BE49-F238E27FC236}">
              <a16:creationId xmlns:a16="http://schemas.microsoft.com/office/drawing/2014/main" id="{435D136C-A2FA-43F5-9001-A2AE53323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171" name="BExUBK0YZ5VYFY8TTITJGJU9S06A" hidden="1">
          <a:extLst>
            <a:ext uri="{FF2B5EF4-FFF2-40B4-BE49-F238E27FC236}">
              <a16:creationId xmlns:a16="http://schemas.microsoft.com/office/drawing/2014/main" id="{AFA91E87-152A-40B5-84C6-688B3F7D4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172" name="BEx5BJQWS6YWHH4ZMSUAMD641V6Y" descr="ZTMFMXCIQSECDX38ALEFHUB00" hidden="1">
          <a:extLst>
            <a:ext uri="{FF2B5EF4-FFF2-40B4-BE49-F238E27FC236}">
              <a16:creationId xmlns:a16="http://schemas.microsoft.com/office/drawing/2014/main" id="{25F75503-DB7F-4D89-8315-A9C3A14E2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173" name="BExUBK0YZ5VYFY8TTITJGJU9S06A" hidden="1">
          <a:extLst>
            <a:ext uri="{FF2B5EF4-FFF2-40B4-BE49-F238E27FC236}">
              <a16:creationId xmlns:a16="http://schemas.microsoft.com/office/drawing/2014/main" id="{9F2A3B4E-450B-4E6D-983F-2B02B2A1A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174" name="BEx5BJQWS6YWHH4ZMSUAMD641V6Y" descr="ZTMFMXCIQSECDX38ALEFHUB00" hidden="1">
          <a:extLst>
            <a:ext uri="{FF2B5EF4-FFF2-40B4-BE49-F238E27FC236}">
              <a16:creationId xmlns:a16="http://schemas.microsoft.com/office/drawing/2014/main" id="{F942A9D1-2060-4198-8747-DA6594751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175" name="BExUBK0YZ5VYFY8TTITJGJU9S06A" hidden="1">
          <a:extLst>
            <a:ext uri="{FF2B5EF4-FFF2-40B4-BE49-F238E27FC236}">
              <a16:creationId xmlns:a16="http://schemas.microsoft.com/office/drawing/2014/main" id="{8AB8699A-4406-49CC-93E2-74CC3D803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176" name="BEx5BJQWS6YWHH4ZMSUAMD641V6Y" descr="ZTMFMXCIQSECDX38ALEFHUB00" hidden="1">
          <a:extLst>
            <a:ext uri="{FF2B5EF4-FFF2-40B4-BE49-F238E27FC236}">
              <a16:creationId xmlns:a16="http://schemas.microsoft.com/office/drawing/2014/main" id="{1B46A42D-DA60-42A4-BCA2-0BDC4E71D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20</xdr:row>
      <xdr:rowOff>0</xdr:rowOff>
    </xdr:from>
    <xdr:ext cx="59531" cy="295275"/>
    <xdr:pic>
      <xdr:nvPicPr>
        <xdr:cNvPr id="6177" name="BExIFSCLN1G86X78PFLTSMRP0US5" descr="9JK4SPV4DG7VTCZIILWHXQU5J" hidden="1">
          <a:extLst>
            <a:ext uri="{FF2B5EF4-FFF2-40B4-BE49-F238E27FC236}">
              <a16:creationId xmlns:a16="http://schemas.microsoft.com/office/drawing/2014/main" id="{C51514DE-4DEE-4061-B089-1D866E562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178" name="BExUBK0YZ5VYFY8TTITJGJU9S06A" hidden="1">
          <a:extLst>
            <a:ext uri="{FF2B5EF4-FFF2-40B4-BE49-F238E27FC236}">
              <a16:creationId xmlns:a16="http://schemas.microsoft.com/office/drawing/2014/main" id="{5C77BEF6-6D9C-444F-9365-804890A6F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20</xdr:row>
      <xdr:rowOff>0</xdr:rowOff>
    </xdr:from>
    <xdr:ext cx="47625" cy="295275"/>
    <xdr:pic>
      <xdr:nvPicPr>
        <xdr:cNvPr id="6179" name="BExS3JDQWF7U3F5JTEVOE16ASIYK" hidden="1">
          <a:extLst>
            <a:ext uri="{FF2B5EF4-FFF2-40B4-BE49-F238E27FC236}">
              <a16:creationId xmlns:a16="http://schemas.microsoft.com/office/drawing/2014/main" id="{C572CDFB-B675-415D-86F9-AD9C0A089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86715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80" name="BEx1KD7H6UB1VYCJ7O61P562EIUY" descr="IQGV9140X0K0UPBL8OGU3I44J" hidden="1">
          <a:extLst>
            <a:ext uri="{FF2B5EF4-FFF2-40B4-BE49-F238E27FC236}">
              <a16:creationId xmlns:a16="http://schemas.microsoft.com/office/drawing/2014/main" id="{779392BA-A7DB-4343-94EA-190F105C3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81" name="BEx5AQZ4ETQ9LMY5EBWVH20Z7VXQ" hidden="1">
          <a:extLst>
            <a:ext uri="{FF2B5EF4-FFF2-40B4-BE49-F238E27FC236}">
              <a16:creationId xmlns:a16="http://schemas.microsoft.com/office/drawing/2014/main" id="{727D7FCF-A292-4307-81AB-F1E800431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82" name="BEx1KD7H6UB1VYCJ7O61P562EIUY" descr="IQGV9140X0K0UPBL8OGU3I44J" hidden="1">
          <a:extLst>
            <a:ext uri="{FF2B5EF4-FFF2-40B4-BE49-F238E27FC236}">
              <a16:creationId xmlns:a16="http://schemas.microsoft.com/office/drawing/2014/main" id="{F547AF8D-7249-4DBE-887B-CA6E80B48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83" name="BEx5AQZ4ETQ9LMY5EBWVH20Z7VXQ" hidden="1">
          <a:extLst>
            <a:ext uri="{FF2B5EF4-FFF2-40B4-BE49-F238E27FC236}">
              <a16:creationId xmlns:a16="http://schemas.microsoft.com/office/drawing/2014/main" id="{00D3E360-D741-4169-BFFD-E4467B76E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184" name="BEx1KD7H6UB1VYCJ7O61P562EIUY" descr="IQGV9140X0K0UPBL8OGU3I44J" hidden="1">
          <a:extLst>
            <a:ext uri="{FF2B5EF4-FFF2-40B4-BE49-F238E27FC236}">
              <a16:creationId xmlns:a16="http://schemas.microsoft.com/office/drawing/2014/main" id="{8A4D4DC3-5A9A-439F-B3F5-6C0D39FA7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185" name="BEx5AQZ4ETQ9LMY5EBWVH20Z7VXQ" hidden="1">
          <a:extLst>
            <a:ext uri="{FF2B5EF4-FFF2-40B4-BE49-F238E27FC236}">
              <a16:creationId xmlns:a16="http://schemas.microsoft.com/office/drawing/2014/main" id="{099D22DB-F390-485F-BB8C-D03C6B1F8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86" name="BEx1KD7H6UB1VYCJ7O61P562EIUY" descr="IQGV9140X0K0UPBL8OGU3I44J" hidden="1">
          <a:extLst>
            <a:ext uri="{FF2B5EF4-FFF2-40B4-BE49-F238E27FC236}">
              <a16:creationId xmlns:a16="http://schemas.microsoft.com/office/drawing/2014/main" id="{FFCE37E4-1292-43D6-8A56-8C472F99C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87" name="BEx5AQZ4ETQ9LMY5EBWVH20Z7VXQ" hidden="1">
          <a:extLst>
            <a:ext uri="{FF2B5EF4-FFF2-40B4-BE49-F238E27FC236}">
              <a16:creationId xmlns:a16="http://schemas.microsoft.com/office/drawing/2014/main" id="{9E3DA03D-F5AC-4613-BF48-AC3BE029F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188" name="BEx1KD7H6UB1VYCJ7O61P562EIUY" descr="IQGV9140X0K0UPBL8OGU3I44J" hidden="1">
          <a:extLst>
            <a:ext uri="{FF2B5EF4-FFF2-40B4-BE49-F238E27FC236}">
              <a16:creationId xmlns:a16="http://schemas.microsoft.com/office/drawing/2014/main" id="{BFFC9D8F-9369-454B-B38C-9290318E4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189" name="BEx5AQZ4ETQ9LMY5EBWVH20Z7VXQ" hidden="1">
          <a:extLst>
            <a:ext uri="{FF2B5EF4-FFF2-40B4-BE49-F238E27FC236}">
              <a16:creationId xmlns:a16="http://schemas.microsoft.com/office/drawing/2014/main" id="{A1D5F9E1-A29E-4928-ACC9-B89916BDB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190" name="BEx1KD7H6UB1VYCJ7O61P562EIUY" descr="IQGV9140X0K0UPBL8OGU3I44J" hidden="1">
          <a:extLst>
            <a:ext uri="{FF2B5EF4-FFF2-40B4-BE49-F238E27FC236}">
              <a16:creationId xmlns:a16="http://schemas.microsoft.com/office/drawing/2014/main" id="{B55D5677-ABAA-4F8A-8E69-742C03186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191" name="BEx5AQZ4ETQ9LMY5EBWVH20Z7VXQ" hidden="1">
          <a:extLst>
            <a:ext uri="{FF2B5EF4-FFF2-40B4-BE49-F238E27FC236}">
              <a16:creationId xmlns:a16="http://schemas.microsoft.com/office/drawing/2014/main" id="{0CF644DD-823D-4779-9231-09E329506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92" name="BEx1KD7H6UB1VYCJ7O61P562EIUY" descr="IQGV9140X0K0UPBL8OGU3I44J" hidden="1">
          <a:extLst>
            <a:ext uri="{FF2B5EF4-FFF2-40B4-BE49-F238E27FC236}">
              <a16:creationId xmlns:a16="http://schemas.microsoft.com/office/drawing/2014/main" id="{2C05BC7D-5315-45A8-9171-F870AD1BF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193" name="BEx5AQZ4ETQ9LMY5EBWVH20Z7VXQ" hidden="1">
          <a:extLst>
            <a:ext uri="{FF2B5EF4-FFF2-40B4-BE49-F238E27FC236}">
              <a16:creationId xmlns:a16="http://schemas.microsoft.com/office/drawing/2014/main" id="{C1C30A81-A2B0-4520-870F-B519385AC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194" name="BEx1KD7H6UB1VYCJ7O61P562EIUY" descr="IQGV9140X0K0UPBL8OGU3I44J" hidden="1">
          <a:extLst>
            <a:ext uri="{FF2B5EF4-FFF2-40B4-BE49-F238E27FC236}">
              <a16:creationId xmlns:a16="http://schemas.microsoft.com/office/drawing/2014/main" id="{9AB784DF-DE4F-42E8-8F2C-78A4380B7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195" name="BEx5AQZ4ETQ9LMY5EBWVH20Z7VXQ" hidden="1">
          <a:extLst>
            <a:ext uri="{FF2B5EF4-FFF2-40B4-BE49-F238E27FC236}">
              <a16:creationId xmlns:a16="http://schemas.microsoft.com/office/drawing/2014/main" id="{15FA0AA2-F7E8-4EC4-A5D2-BD8856CD1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196" name="BEx1KD7H6UB1VYCJ7O61P562EIUY" descr="IQGV9140X0K0UPBL8OGU3I44J" hidden="1">
          <a:extLst>
            <a:ext uri="{FF2B5EF4-FFF2-40B4-BE49-F238E27FC236}">
              <a16:creationId xmlns:a16="http://schemas.microsoft.com/office/drawing/2014/main" id="{D78EED6C-EA3B-411E-8F33-0C4C901D5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197" name="BEx5AQZ4ETQ9LMY5EBWVH20Z7VXQ" hidden="1">
          <a:extLst>
            <a:ext uri="{FF2B5EF4-FFF2-40B4-BE49-F238E27FC236}">
              <a16:creationId xmlns:a16="http://schemas.microsoft.com/office/drawing/2014/main" id="{783FA72C-07DF-49FD-8B44-C745AD49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198" name="BEx1KD7H6UB1VYCJ7O61P562EIUY" descr="IQGV9140X0K0UPBL8OGU3I44J" hidden="1">
          <a:extLst>
            <a:ext uri="{FF2B5EF4-FFF2-40B4-BE49-F238E27FC236}">
              <a16:creationId xmlns:a16="http://schemas.microsoft.com/office/drawing/2014/main" id="{8CC3B083-91AD-443B-A611-DE12B8394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199" name="BEx5AQZ4ETQ9LMY5EBWVH20Z7VXQ" hidden="1">
          <a:extLst>
            <a:ext uri="{FF2B5EF4-FFF2-40B4-BE49-F238E27FC236}">
              <a16:creationId xmlns:a16="http://schemas.microsoft.com/office/drawing/2014/main" id="{EBF0BEF1-C686-4E20-BA13-5D55DBB48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00" name="BEx1KD7H6UB1VYCJ7O61P562EIUY" descr="IQGV9140X0K0UPBL8OGU3I44J" hidden="1">
          <a:extLst>
            <a:ext uri="{FF2B5EF4-FFF2-40B4-BE49-F238E27FC236}">
              <a16:creationId xmlns:a16="http://schemas.microsoft.com/office/drawing/2014/main" id="{EC95A99F-FF3B-4BF3-85CC-DB93C3B6A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01" name="BEx5AQZ4ETQ9LMY5EBWVH20Z7VXQ" hidden="1">
          <a:extLst>
            <a:ext uri="{FF2B5EF4-FFF2-40B4-BE49-F238E27FC236}">
              <a16:creationId xmlns:a16="http://schemas.microsoft.com/office/drawing/2014/main" id="{A372132B-E650-459B-9972-5198DAA64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02" name="BEx1KD7H6UB1VYCJ7O61P562EIUY" descr="IQGV9140X0K0UPBL8OGU3I44J" hidden="1">
          <a:extLst>
            <a:ext uri="{FF2B5EF4-FFF2-40B4-BE49-F238E27FC236}">
              <a16:creationId xmlns:a16="http://schemas.microsoft.com/office/drawing/2014/main" id="{9C72D61B-974D-4351-AE52-528A66FF7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03" name="BEx5AQZ4ETQ9LMY5EBWVH20Z7VXQ" hidden="1">
          <a:extLst>
            <a:ext uri="{FF2B5EF4-FFF2-40B4-BE49-F238E27FC236}">
              <a16:creationId xmlns:a16="http://schemas.microsoft.com/office/drawing/2014/main" id="{63DDAFF6-65FE-42F3-9ED4-34F7EE205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04" name="BEx1KD7H6UB1VYCJ7O61P562EIUY" descr="IQGV9140X0K0UPBL8OGU3I44J" hidden="1">
          <a:extLst>
            <a:ext uri="{FF2B5EF4-FFF2-40B4-BE49-F238E27FC236}">
              <a16:creationId xmlns:a16="http://schemas.microsoft.com/office/drawing/2014/main" id="{2A42DC5E-25BE-4A3F-A3DE-E37773052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05" name="BEx5AQZ4ETQ9LMY5EBWVH20Z7VXQ" hidden="1">
          <a:extLst>
            <a:ext uri="{FF2B5EF4-FFF2-40B4-BE49-F238E27FC236}">
              <a16:creationId xmlns:a16="http://schemas.microsoft.com/office/drawing/2014/main" id="{FA5B3841-39CF-4A42-898D-2F42CF016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06" name="BEx1KD7H6UB1VYCJ7O61P562EIUY" descr="IQGV9140X0K0UPBL8OGU3I44J" hidden="1">
          <a:extLst>
            <a:ext uri="{FF2B5EF4-FFF2-40B4-BE49-F238E27FC236}">
              <a16:creationId xmlns:a16="http://schemas.microsoft.com/office/drawing/2014/main" id="{E154D674-02AD-43A9-A828-583C82BCF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07" name="BEx5AQZ4ETQ9LMY5EBWVH20Z7VXQ" hidden="1">
          <a:extLst>
            <a:ext uri="{FF2B5EF4-FFF2-40B4-BE49-F238E27FC236}">
              <a16:creationId xmlns:a16="http://schemas.microsoft.com/office/drawing/2014/main" id="{C65AA708-2EBE-4DE9-B2B2-5D152A495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208" name="BEx1KD7H6UB1VYCJ7O61P562EIUY" descr="IQGV9140X0K0UPBL8OGU3I44J" hidden="1">
          <a:extLst>
            <a:ext uri="{FF2B5EF4-FFF2-40B4-BE49-F238E27FC236}">
              <a16:creationId xmlns:a16="http://schemas.microsoft.com/office/drawing/2014/main" id="{C4BD0519-F5D1-41FF-85BB-CA40760D7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209" name="BEx5AQZ4ETQ9LMY5EBWVH20Z7VXQ" hidden="1">
          <a:extLst>
            <a:ext uri="{FF2B5EF4-FFF2-40B4-BE49-F238E27FC236}">
              <a16:creationId xmlns:a16="http://schemas.microsoft.com/office/drawing/2014/main" id="{71863249-A9A7-4983-AD66-EF8F7841C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10" name="BEx1KD7H6UB1VYCJ7O61P562EIUY" descr="IQGV9140X0K0UPBL8OGU3I44J" hidden="1">
          <a:extLst>
            <a:ext uri="{FF2B5EF4-FFF2-40B4-BE49-F238E27FC236}">
              <a16:creationId xmlns:a16="http://schemas.microsoft.com/office/drawing/2014/main" id="{AC0BBD11-1A4F-41A3-8F22-FCF846213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11" name="BEx5AQZ4ETQ9LMY5EBWVH20Z7VXQ" hidden="1">
          <a:extLst>
            <a:ext uri="{FF2B5EF4-FFF2-40B4-BE49-F238E27FC236}">
              <a16:creationId xmlns:a16="http://schemas.microsoft.com/office/drawing/2014/main" id="{E9CAB448-6C69-4CC9-A0D3-DD4D8888F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12" name="BEx1KD7H6UB1VYCJ7O61P562EIUY" descr="IQGV9140X0K0UPBL8OGU3I44J" hidden="1">
          <a:extLst>
            <a:ext uri="{FF2B5EF4-FFF2-40B4-BE49-F238E27FC236}">
              <a16:creationId xmlns:a16="http://schemas.microsoft.com/office/drawing/2014/main" id="{8C65F3D0-9F0B-4E22-984D-EBCED7BC7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13" name="BEx5AQZ4ETQ9LMY5EBWVH20Z7VXQ" hidden="1">
          <a:extLst>
            <a:ext uri="{FF2B5EF4-FFF2-40B4-BE49-F238E27FC236}">
              <a16:creationId xmlns:a16="http://schemas.microsoft.com/office/drawing/2014/main" id="{1B8EA4CB-1E26-441E-8541-B1B540467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14" name="BEx1KD7H6UB1VYCJ7O61P562EIUY" descr="IQGV9140X0K0UPBL8OGU3I44J" hidden="1">
          <a:extLst>
            <a:ext uri="{FF2B5EF4-FFF2-40B4-BE49-F238E27FC236}">
              <a16:creationId xmlns:a16="http://schemas.microsoft.com/office/drawing/2014/main" id="{0D80FBA2-8F30-4997-8C17-CDDAA0C36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15" name="BEx5AQZ4ETQ9LMY5EBWVH20Z7VXQ" hidden="1">
          <a:extLst>
            <a:ext uri="{FF2B5EF4-FFF2-40B4-BE49-F238E27FC236}">
              <a16:creationId xmlns:a16="http://schemas.microsoft.com/office/drawing/2014/main" id="{69D80B6F-2D5A-4B4F-A9E8-6ABE86709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16" name="BEx1KD7H6UB1VYCJ7O61P562EIUY" descr="IQGV9140X0K0UPBL8OGU3I44J" hidden="1">
          <a:extLst>
            <a:ext uri="{FF2B5EF4-FFF2-40B4-BE49-F238E27FC236}">
              <a16:creationId xmlns:a16="http://schemas.microsoft.com/office/drawing/2014/main" id="{485CCD64-8956-4F1F-AFAC-D107901A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17" name="BEx5AQZ4ETQ9LMY5EBWVH20Z7VXQ" hidden="1">
          <a:extLst>
            <a:ext uri="{FF2B5EF4-FFF2-40B4-BE49-F238E27FC236}">
              <a16:creationId xmlns:a16="http://schemas.microsoft.com/office/drawing/2014/main" id="{15173EF2-F5F7-4348-BA0F-937CD188B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18" name="BEx1KD7H6UB1VYCJ7O61P562EIUY" descr="IQGV9140X0K0UPBL8OGU3I44J" hidden="1">
          <a:extLst>
            <a:ext uri="{FF2B5EF4-FFF2-40B4-BE49-F238E27FC236}">
              <a16:creationId xmlns:a16="http://schemas.microsoft.com/office/drawing/2014/main" id="{278DD45C-41EF-4DAB-B41A-3244ADA4C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19" name="BEx5AQZ4ETQ9LMY5EBWVH20Z7VXQ" hidden="1">
          <a:extLst>
            <a:ext uri="{FF2B5EF4-FFF2-40B4-BE49-F238E27FC236}">
              <a16:creationId xmlns:a16="http://schemas.microsoft.com/office/drawing/2014/main" id="{A95EE5C2-B529-4D2A-9DC3-375C03280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20" name="BEx1KD7H6UB1VYCJ7O61P562EIUY" descr="IQGV9140X0K0UPBL8OGU3I44J" hidden="1">
          <a:extLst>
            <a:ext uri="{FF2B5EF4-FFF2-40B4-BE49-F238E27FC236}">
              <a16:creationId xmlns:a16="http://schemas.microsoft.com/office/drawing/2014/main" id="{582D0BFF-919E-493B-9357-C04DAF65B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21" name="BEx5AQZ4ETQ9LMY5EBWVH20Z7VXQ" hidden="1">
          <a:extLst>
            <a:ext uri="{FF2B5EF4-FFF2-40B4-BE49-F238E27FC236}">
              <a16:creationId xmlns:a16="http://schemas.microsoft.com/office/drawing/2014/main" id="{84EAF952-3D62-414C-B815-C62E6FE39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22" name="BEx5BJQWS6YWHH4ZMSUAMD641V6Y" descr="ZTMFMXCIQSECDX38ALEFHUB00" hidden="1">
          <a:extLst>
            <a:ext uri="{FF2B5EF4-FFF2-40B4-BE49-F238E27FC236}">
              <a16:creationId xmlns:a16="http://schemas.microsoft.com/office/drawing/2014/main" id="{F5A43F1D-D918-40ED-B828-5880BE7C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23" name="BExUBK0YZ5VYFY8TTITJGJU9S06A" hidden="1">
          <a:extLst>
            <a:ext uri="{FF2B5EF4-FFF2-40B4-BE49-F238E27FC236}">
              <a16:creationId xmlns:a16="http://schemas.microsoft.com/office/drawing/2014/main" id="{1D93112C-3397-4D51-97FD-414741E6A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24" name="BEx5BJQWS6YWHH4ZMSUAMD641V6Y" descr="ZTMFMXCIQSECDX38ALEFHUB00" hidden="1">
          <a:extLst>
            <a:ext uri="{FF2B5EF4-FFF2-40B4-BE49-F238E27FC236}">
              <a16:creationId xmlns:a16="http://schemas.microsoft.com/office/drawing/2014/main" id="{4CB12093-2E13-48B5-8080-4C3CCD082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25" name="BExUBK0YZ5VYFY8TTITJGJU9S06A" hidden="1">
          <a:extLst>
            <a:ext uri="{FF2B5EF4-FFF2-40B4-BE49-F238E27FC236}">
              <a16:creationId xmlns:a16="http://schemas.microsoft.com/office/drawing/2014/main" id="{EF113AFE-776E-4A2E-978C-20C188CEB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26" name="BEx5BJQWS6YWHH4ZMSUAMD641V6Y" descr="ZTMFMXCIQSECDX38ALEFHUB00" hidden="1">
          <a:extLst>
            <a:ext uri="{FF2B5EF4-FFF2-40B4-BE49-F238E27FC236}">
              <a16:creationId xmlns:a16="http://schemas.microsoft.com/office/drawing/2014/main" id="{D63C247D-8450-4ED6-8721-2B9D8DD8E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27" name="BExUBK0YZ5VYFY8TTITJGJU9S06A" hidden="1">
          <a:extLst>
            <a:ext uri="{FF2B5EF4-FFF2-40B4-BE49-F238E27FC236}">
              <a16:creationId xmlns:a16="http://schemas.microsoft.com/office/drawing/2014/main" id="{7AD7B5B1-4539-4BD7-ADD5-EDD5B1C20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28" name="BEx5BJQWS6YWHH4ZMSUAMD641V6Y" descr="ZTMFMXCIQSECDX38ALEFHUB00" hidden="1">
          <a:extLst>
            <a:ext uri="{FF2B5EF4-FFF2-40B4-BE49-F238E27FC236}">
              <a16:creationId xmlns:a16="http://schemas.microsoft.com/office/drawing/2014/main" id="{A76CA3A8-0A1B-46D6-A120-E15B1C184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29" name="BExUBK0YZ5VYFY8TTITJGJU9S06A" hidden="1">
          <a:extLst>
            <a:ext uri="{FF2B5EF4-FFF2-40B4-BE49-F238E27FC236}">
              <a16:creationId xmlns:a16="http://schemas.microsoft.com/office/drawing/2014/main" id="{AFA19857-33E1-45AA-BB82-117074E0C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30" name="BEx5BJQWS6YWHH4ZMSUAMD641V6Y" descr="ZTMFMXCIQSECDX38ALEFHUB00" hidden="1">
          <a:extLst>
            <a:ext uri="{FF2B5EF4-FFF2-40B4-BE49-F238E27FC236}">
              <a16:creationId xmlns:a16="http://schemas.microsoft.com/office/drawing/2014/main" id="{A57CAB8B-EDF4-4103-BCCD-917D7BD23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31" name="BExUBK0YZ5VYFY8TTITJGJU9S06A" hidden="1">
          <a:extLst>
            <a:ext uri="{FF2B5EF4-FFF2-40B4-BE49-F238E27FC236}">
              <a16:creationId xmlns:a16="http://schemas.microsoft.com/office/drawing/2014/main" id="{ACC6B5DA-AB4E-4F13-B423-A4B14D8A1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32" name="BEx1KD7H6UB1VYCJ7O61P562EIUY" descr="IQGV9140X0K0UPBL8OGU3I44J" hidden="1">
          <a:extLst>
            <a:ext uri="{FF2B5EF4-FFF2-40B4-BE49-F238E27FC236}">
              <a16:creationId xmlns:a16="http://schemas.microsoft.com/office/drawing/2014/main" id="{C170AA2F-1028-438F-94F8-5AA2E271E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33" name="BEx5AQZ4ETQ9LMY5EBWVH20Z7VXQ" hidden="1">
          <a:extLst>
            <a:ext uri="{FF2B5EF4-FFF2-40B4-BE49-F238E27FC236}">
              <a16:creationId xmlns:a16="http://schemas.microsoft.com/office/drawing/2014/main" id="{31A5B36B-3868-4714-9049-6FE7A8649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34" name="BEx1KD7H6UB1VYCJ7O61P562EIUY" descr="IQGV9140X0K0UPBL8OGU3I44J" hidden="1">
          <a:extLst>
            <a:ext uri="{FF2B5EF4-FFF2-40B4-BE49-F238E27FC236}">
              <a16:creationId xmlns:a16="http://schemas.microsoft.com/office/drawing/2014/main" id="{AA50C233-2A97-4130-AE2D-2E874B0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35" name="BEx5AQZ4ETQ9LMY5EBWVH20Z7VXQ" hidden="1">
          <a:extLst>
            <a:ext uri="{FF2B5EF4-FFF2-40B4-BE49-F238E27FC236}">
              <a16:creationId xmlns:a16="http://schemas.microsoft.com/office/drawing/2014/main" id="{7FDB3B38-C1B8-4A29-A671-E0976187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36" name="BEx5BJQWS6YWHH4ZMSUAMD641V6Y" descr="ZTMFMXCIQSECDX38ALEFHUB00" hidden="1">
          <a:extLst>
            <a:ext uri="{FF2B5EF4-FFF2-40B4-BE49-F238E27FC236}">
              <a16:creationId xmlns:a16="http://schemas.microsoft.com/office/drawing/2014/main" id="{96027416-7AC4-4D17-B032-7EE67A583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37" name="BExUBK0YZ5VYFY8TTITJGJU9S06A" hidden="1">
          <a:extLst>
            <a:ext uri="{FF2B5EF4-FFF2-40B4-BE49-F238E27FC236}">
              <a16:creationId xmlns:a16="http://schemas.microsoft.com/office/drawing/2014/main" id="{2F2D70F3-394C-411F-82D5-C302BC614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38" name="BEx1KD7H6UB1VYCJ7O61P562EIUY" descr="IQGV9140X0K0UPBL8OGU3I44J" hidden="1">
          <a:extLst>
            <a:ext uri="{FF2B5EF4-FFF2-40B4-BE49-F238E27FC236}">
              <a16:creationId xmlns:a16="http://schemas.microsoft.com/office/drawing/2014/main" id="{7D58EA7B-5FD1-4272-882D-9964A553B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39" name="BEx5AQZ4ETQ9LMY5EBWVH20Z7VXQ" hidden="1">
          <a:extLst>
            <a:ext uri="{FF2B5EF4-FFF2-40B4-BE49-F238E27FC236}">
              <a16:creationId xmlns:a16="http://schemas.microsoft.com/office/drawing/2014/main" id="{554964AB-DDD8-4667-BEFA-294567287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40" name="BEx5BJQWS6YWHH4ZMSUAMD641V6Y" descr="ZTMFMXCIQSECDX38ALEFHUB00" hidden="1">
          <a:extLst>
            <a:ext uri="{FF2B5EF4-FFF2-40B4-BE49-F238E27FC236}">
              <a16:creationId xmlns:a16="http://schemas.microsoft.com/office/drawing/2014/main" id="{645AA55D-5203-434D-B3CE-C2ADAC724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41" name="BExUBK0YZ5VYFY8TTITJGJU9S06A" hidden="1">
          <a:extLst>
            <a:ext uri="{FF2B5EF4-FFF2-40B4-BE49-F238E27FC236}">
              <a16:creationId xmlns:a16="http://schemas.microsoft.com/office/drawing/2014/main" id="{77E78A01-8CA1-46F9-8B2A-846434F36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42" name="BEx5BJQWS6YWHH4ZMSUAMD641V6Y" descr="ZTMFMXCIQSECDX38ALEFHUB00" hidden="1">
          <a:extLst>
            <a:ext uri="{FF2B5EF4-FFF2-40B4-BE49-F238E27FC236}">
              <a16:creationId xmlns:a16="http://schemas.microsoft.com/office/drawing/2014/main" id="{E7219A1D-285F-44DC-B68A-136816735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43" name="BExUBK0YZ5VYFY8TTITJGJU9S06A" hidden="1">
          <a:extLst>
            <a:ext uri="{FF2B5EF4-FFF2-40B4-BE49-F238E27FC236}">
              <a16:creationId xmlns:a16="http://schemas.microsoft.com/office/drawing/2014/main" id="{0450FAA3-6670-4556-8843-CAF7FCCFF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44" name="BEx1KD7H6UB1VYCJ7O61P562EIUY" descr="IQGV9140X0K0UPBL8OGU3I44J" hidden="1">
          <a:extLst>
            <a:ext uri="{FF2B5EF4-FFF2-40B4-BE49-F238E27FC236}">
              <a16:creationId xmlns:a16="http://schemas.microsoft.com/office/drawing/2014/main" id="{85E2491D-047A-4BF9-9641-B78BAB662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45" name="BEx5AQZ4ETQ9LMY5EBWVH20Z7VXQ" hidden="1">
          <a:extLst>
            <a:ext uri="{FF2B5EF4-FFF2-40B4-BE49-F238E27FC236}">
              <a16:creationId xmlns:a16="http://schemas.microsoft.com/office/drawing/2014/main" id="{F8A2FE4A-EC3D-4D88-8769-F43FE1996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46" name="BEx5BJQWS6YWHH4ZMSUAMD641V6Y" descr="ZTMFMXCIQSECDX38ALEFHUB00" hidden="1">
          <a:extLst>
            <a:ext uri="{FF2B5EF4-FFF2-40B4-BE49-F238E27FC236}">
              <a16:creationId xmlns:a16="http://schemas.microsoft.com/office/drawing/2014/main" id="{E57D62E3-08A6-4BD6-B2A5-B9696A2A8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47" name="BExUBK0YZ5VYFY8TTITJGJU9S06A" hidden="1">
          <a:extLst>
            <a:ext uri="{FF2B5EF4-FFF2-40B4-BE49-F238E27FC236}">
              <a16:creationId xmlns:a16="http://schemas.microsoft.com/office/drawing/2014/main" id="{1A35E545-2A5A-484F-952F-E6FBCC013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48" name="BEx5BJQWS6YWHH4ZMSUAMD641V6Y" descr="ZTMFMXCIQSECDX38ALEFHUB00" hidden="1">
          <a:extLst>
            <a:ext uri="{FF2B5EF4-FFF2-40B4-BE49-F238E27FC236}">
              <a16:creationId xmlns:a16="http://schemas.microsoft.com/office/drawing/2014/main" id="{5D400BB3-BACA-47AE-A20E-FC6ACBC64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49" name="BExUBK0YZ5VYFY8TTITJGJU9S06A" hidden="1">
          <a:extLst>
            <a:ext uri="{FF2B5EF4-FFF2-40B4-BE49-F238E27FC236}">
              <a16:creationId xmlns:a16="http://schemas.microsoft.com/office/drawing/2014/main" id="{FF2207F6-ECAE-4ACD-8DB9-B2048774E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50" name="BEx5BJQWS6YWHH4ZMSUAMD641V6Y" descr="ZTMFMXCIQSECDX38ALEFHUB00" hidden="1">
          <a:extLst>
            <a:ext uri="{FF2B5EF4-FFF2-40B4-BE49-F238E27FC236}">
              <a16:creationId xmlns:a16="http://schemas.microsoft.com/office/drawing/2014/main" id="{BF3151F8-994F-4062-A956-F322F07CA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51" name="BExUBK0YZ5VYFY8TTITJGJU9S06A" hidden="1">
          <a:extLst>
            <a:ext uri="{FF2B5EF4-FFF2-40B4-BE49-F238E27FC236}">
              <a16:creationId xmlns:a16="http://schemas.microsoft.com/office/drawing/2014/main" id="{6D8ADFFB-66D5-43E2-B092-89D0856A2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52" name="BEx1KD7H6UB1VYCJ7O61P562EIUY" descr="IQGV9140X0K0UPBL8OGU3I44J" hidden="1">
          <a:extLst>
            <a:ext uri="{FF2B5EF4-FFF2-40B4-BE49-F238E27FC236}">
              <a16:creationId xmlns:a16="http://schemas.microsoft.com/office/drawing/2014/main" id="{83F026A4-67E0-4005-A4C7-ED9832FA0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53" name="BEx5AQZ4ETQ9LMY5EBWVH20Z7VXQ" hidden="1">
          <a:extLst>
            <a:ext uri="{FF2B5EF4-FFF2-40B4-BE49-F238E27FC236}">
              <a16:creationId xmlns:a16="http://schemas.microsoft.com/office/drawing/2014/main" id="{B9D9B4F7-7E35-4583-A14D-3A9E25541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54" name="BEx5BJQWS6YWHH4ZMSUAMD641V6Y" descr="ZTMFMXCIQSECDX38ALEFHUB00" hidden="1">
          <a:extLst>
            <a:ext uri="{FF2B5EF4-FFF2-40B4-BE49-F238E27FC236}">
              <a16:creationId xmlns:a16="http://schemas.microsoft.com/office/drawing/2014/main" id="{274BD440-A759-4CA7-85FC-232440439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55" name="BExUBK0YZ5VYFY8TTITJGJU9S06A" hidden="1">
          <a:extLst>
            <a:ext uri="{FF2B5EF4-FFF2-40B4-BE49-F238E27FC236}">
              <a16:creationId xmlns:a16="http://schemas.microsoft.com/office/drawing/2014/main" id="{E2AC2A16-BA86-40E5-8A32-64E572321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56" name="BEx5BJQWS6YWHH4ZMSUAMD641V6Y" descr="ZTMFMXCIQSECDX38ALEFHUB00" hidden="1">
          <a:extLst>
            <a:ext uri="{FF2B5EF4-FFF2-40B4-BE49-F238E27FC236}">
              <a16:creationId xmlns:a16="http://schemas.microsoft.com/office/drawing/2014/main" id="{D3259A32-D978-4042-94E5-DDA0FC723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57" name="BExUBK0YZ5VYFY8TTITJGJU9S06A" hidden="1">
          <a:extLst>
            <a:ext uri="{FF2B5EF4-FFF2-40B4-BE49-F238E27FC236}">
              <a16:creationId xmlns:a16="http://schemas.microsoft.com/office/drawing/2014/main" id="{11590D56-8F56-4B0D-9532-3E6F21F2C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58" name="BEx5BJQWS6YWHH4ZMSUAMD641V6Y" descr="ZTMFMXCIQSECDX38ALEFHUB00" hidden="1">
          <a:extLst>
            <a:ext uri="{FF2B5EF4-FFF2-40B4-BE49-F238E27FC236}">
              <a16:creationId xmlns:a16="http://schemas.microsoft.com/office/drawing/2014/main" id="{AD84DBAB-BDF1-49E7-AA95-12D8A4567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59" name="BExUBK0YZ5VYFY8TTITJGJU9S06A" hidden="1">
          <a:extLst>
            <a:ext uri="{FF2B5EF4-FFF2-40B4-BE49-F238E27FC236}">
              <a16:creationId xmlns:a16="http://schemas.microsoft.com/office/drawing/2014/main" id="{53589CC9-F4F6-4249-B8EF-AFE2D0268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60" name="BEx5BJQWS6YWHH4ZMSUAMD641V6Y" descr="ZTMFMXCIQSECDX38ALEFHUB00" hidden="1">
          <a:extLst>
            <a:ext uri="{FF2B5EF4-FFF2-40B4-BE49-F238E27FC236}">
              <a16:creationId xmlns:a16="http://schemas.microsoft.com/office/drawing/2014/main" id="{DB447906-0F14-4612-A0BF-2293CA12A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61" name="BExUBK0YZ5VYFY8TTITJGJU9S06A" hidden="1">
          <a:extLst>
            <a:ext uri="{FF2B5EF4-FFF2-40B4-BE49-F238E27FC236}">
              <a16:creationId xmlns:a16="http://schemas.microsoft.com/office/drawing/2014/main" id="{A07B8EDD-4561-460C-A14F-BB69CD200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62" name="BEx5BJQWS6YWHH4ZMSUAMD641V6Y" descr="ZTMFMXCIQSECDX38ALEFHUB00" hidden="1">
          <a:extLst>
            <a:ext uri="{FF2B5EF4-FFF2-40B4-BE49-F238E27FC236}">
              <a16:creationId xmlns:a16="http://schemas.microsoft.com/office/drawing/2014/main" id="{5856038B-771B-4CF4-B006-B7CEDA0E3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63" name="BExUBK0YZ5VYFY8TTITJGJU9S06A" hidden="1">
          <a:extLst>
            <a:ext uri="{FF2B5EF4-FFF2-40B4-BE49-F238E27FC236}">
              <a16:creationId xmlns:a16="http://schemas.microsoft.com/office/drawing/2014/main" id="{B942C3EF-C674-430E-B786-C78DB3C12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64" name="BEx1KD7H6UB1VYCJ7O61P562EIUY" descr="IQGV9140X0K0UPBL8OGU3I44J" hidden="1">
          <a:extLst>
            <a:ext uri="{FF2B5EF4-FFF2-40B4-BE49-F238E27FC236}">
              <a16:creationId xmlns:a16="http://schemas.microsoft.com/office/drawing/2014/main" id="{C99D7FD9-370D-49B5-8CE4-035959C7A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65" name="BEx5AQZ4ETQ9LMY5EBWVH20Z7VXQ" hidden="1">
          <a:extLst>
            <a:ext uri="{FF2B5EF4-FFF2-40B4-BE49-F238E27FC236}">
              <a16:creationId xmlns:a16="http://schemas.microsoft.com/office/drawing/2014/main" id="{E853C7A1-6C6F-43E7-8C66-F52902A32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66" name="BEx5BJQWS6YWHH4ZMSUAMD641V6Y" descr="ZTMFMXCIQSECDX38ALEFHUB00" hidden="1">
          <a:extLst>
            <a:ext uri="{FF2B5EF4-FFF2-40B4-BE49-F238E27FC236}">
              <a16:creationId xmlns:a16="http://schemas.microsoft.com/office/drawing/2014/main" id="{D0B7285E-F1FC-4C2E-BD19-35601D490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67" name="BExUBK0YZ5VYFY8TTITJGJU9S06A" hidden="1">
          <a:extLst>
            <a:ext uri="{FF2B5EF4-FFF2-40B4-BE49-F238E27FC236}">
              <a16:creationId xmlns:a16="http://schemas.microsoft.com/office/drawing/2014/main" id="{708547DC-2208-4935-8F35-BCD3E1589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68" name="BEx5BJQWS6YWHH4ZMSUAMD641V6Y" descr="ZTMFMXCIQSECDX38ALEFHUB00" hidden="1">
          <a:extLst>
            <a:ext uri="{FF2B5EF4-FFF2-40B4-BE49-F238E27FC236}">
              <a16:creationId xmlns:a16="http://schemas.microsoft.com/office/drawing/2014/main" id="{7B050C78-8235-4E58-B1A3-159BE1DB0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69" name="BExUBK0YZ5VYFY8TTITJGJU9S06A" hidden="1">
          <a:extLst>
            <a:ext uri="{FF2B5EF4-FFF2-40B4-BE49-F238E27FC236}">
              <a16:creationId xmlns:a16="http://schemas.microsoft.com/office/drawing/2014/main" id="{60746BEF-7AB7-4619-9688-88ECEC138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70" name="BEx5BJQWS6YWHH4ZMSUAMD641V6Y" descr="ZTMFMXCIQSECDX38ALEFHUB00" hidden="1">
          <a:extLst>
            <a:ext uri="{FF2B5EF4-FFF2-40B4-BE49-F238E27FC236}">
              <a16:creationId xmlns:a16="http://schemas.microsoft.com/office/drawing/2014/main" id="{0FF4A506-8461-4FE1-A758-D7EAEE33A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71" name="BExUBK0YZ5VYFY8TTITJGJU9S06A" hidden="1">
          <a:extLst>
            <a:ext uri="{FF2B5EF4-FFF2-40B4-BE49-F238E27FC236}">
              <a16:creationId xmlns:a16="http://schemas.microsoft.com/office/drawing/2014/main" id="{8B8565DA-FB1F-4FCD-A6EC-F36A2971D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72" name="BEx5BJQWS6YWHH4ZMSUAMD641V6Y" descr="ZTMFMXCIQSECDX38ALEFHUB00" hidden="1">
          <a:extLst>
            <a:ext uri="{FF2B5EF4-FFF2-40B4-BE49-F238E27FC236}">
              <a16:creationId xmlns:a16="http://schemas.microsoft.com/office/drawing/2014/main" id="{A0F26A1B-62C2-4774-A810-54C617F75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73" name="BExUBK0YZ5VYFY8TTITJGJU9S06A" hidden="1">
          <a:extLst>
            <a:ext uri="{FF2B5EF4-FFF2-40B4-BE49-F238E27FC236}">
              <a16:creationId xmlns:a16="http://schemas.microsoft.com/office/drawing/2014/main" id="{54E07C2A-C3CA-480C-9A80-8EAB7714B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74" name="BEx5BJQWS6YWHH4ZMSUAMD641V6Y" descr="ZTMFMXCIQSECDX38ALEFHUB00" hidden="1">
          <a:extLst>
            <a:ext uri="{FF2B5EF4-FFF2-40B4-BE49-F238E27FC236}">
              <a16:creationId xmlns:a16="http://schemas.microsoft.com/office/drawing/2014/main" id="{C8CDC28F-804E-495B-B86D-63F07506E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75" name="BExUBK0YZ5VYFY8TTITJGJU9S06A" hidden="1">
          <a:extLst>
            <a:ext uri="{FF2B5EF4-FFF2-40B4-BE49-F238E27FC236}">
              <a16:creationId xmlns:a16="http://schemas.microsoft.com/office/drawing/2014/main" id="{507CBCE6-3A12-4150-AB34-6C876B995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76" name="BEx1KD7H6UB1VYCJ7O61P562EIUY" descr="IQGV9140X0K0UPBL8OGU3I44J" hidden="1">
          <a:extLst>
            <a:ext uri="{FF2B5EF4-FFF2-40B4-BE49-F238E27FC236}">
              <a16:creationId xmlns:a16="http://schemas.microsoft.com/office/drawing/2014/main" id="{ABBE30DC-5C94-4495-B98D-2EF0C1CC3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77" name="BEx5AQZ4ETQ9LMY5EBWVH20Z7VXQ" hidden="1">
          <a:extLst>
            <a:ext uri="{FF2B5EF4-FFF2-40B4-BE49-F238E27FC236}">
              <a16:creationId xmlns:a16="http://schemas.microsoft.com/office/drawing/2014/main" id="{CA9DB8DE-21EC-406E-B4C3-51230A596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78" name="BEx1KD7H6UB1VYCJ7O61P562EIUY" descr="IQGV9140X0K0UPBL8OGU3I44J" hidden="1">
          <a:extLst>
            <a:ext uri="{FF2B5EF4-FFF2-40B4-BE49-F238E27FC236}">
              <a16:creationId xmlns:a16="http://schemas.microsoft.com/office/drawing/2014/main" id="{86450D79-516C-4455-96B1-642CA6D58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79" name="BEx5AQZ4ETQ9LMY5EBWVH20Z7VXQ" hidden="1">
          <a:extLst>
            <a:ext uri="{FF2B5EF4-FFF2-40B4-BE49-F238E27FC236}">
              <a16:creationId xmlns:a16="http://schemas.microsoft.com/office/drawing/2014/main" id="{373EF1B6-F41C-4F55-AC3D-0A26A7DCE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80" name="BEx5BJQWS6YWHH4ZMSUAMD641V6Y" descr="ZTMFMXCIQSECDX38ALEFHUB00" hidden="1">
          <a:extLst>
            <a:ext uri="{FF2B5EF4-FFF2-40B4-BE49-F238E27FC236}">
              <a16:creationId xmlns:a16="http://schemas.microsoft.com/office/drawing/2014/main" id="{D0A31C7D-7877-4FA6-B093-3460CF2C9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81" name="BExUBK0YZ5VYFY8TTITJGJU9S06A" hidden="1">
          <a:extLst>
            <a:ext uri="{FF2B5EF4-FFF2-40B4-BE49-F238E27FC236}">
              <a16:creationId xmlns:a16="http://schemas.microsoft.com/office/drawing/2014/main" id="{54BF4603-EF4F-49CE-8B30-A4D89302F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82" name="BEx1KD7H6UB1VYCJ7O61P562EIUY" descr="IQGV9140X0K0UPBL8OGU3I44J" hidden="1">
          <a:extLst>
            <a:ext uri="{FF2B5EF4-FFF2-40B4-BE49-F238E27FC236}">
              <a16:creationId xmlns:a16="http://schemas.microsoft.com/office/drawing/2014/main" id="{097736DA-5416-470C-A42C-D464EC9DB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83" name="BEx5AQZ4ETQ9LMY5EBWVH20Z7VXQ" hidden="1">
          <a:extLst>
            <a:ext uri="{FF2B5EF4-FFF2-40B4-BE49-F238E27FC236}">
              <a16:creationId xmlns:a16="http://schemas.microsoft.com/office/drawing/2014/main" id="{72EEC232-CD0F-440D-BDD5-8CD361F58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84" name="BEx5BJQWS6YWHH4ZMSUAMD641V6Y" descr="ZTMFMXCIQSECDX38ALEFHUB00" hidden="1">
          <a:extLst>
            <a:ext uri="{FF2B5EF4-FFF2-40B4-BE49-F238E27FC236}">
              <a16:creationId xmlns:a16="http://schemas.microsoft.com/office/drawing/2014/main" id="{C32D9459-E59B-4E58-8B67-E3913603B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85" name="BExUBK0YZ5VYFY8TTITJGJU9S06A" hidden="1">
          <a:extLst>
            <a:ext uri="{FF2B5EF4-FFF2-40B4-BE49-F238E27FC236}">
              <a16:creationId xmlns:a16="http://schemas.microsoft.com/office/drawing/2014/main" id="{BAD86FFF-81CF-4F50-8D88-A91668F3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86" name="BEx5BJQWS6YWHH4ZMSUAMD641V6Y" descr="ZTMFMXCIQSECDX38ALEFHUB00" hidden="1">
          <a:extLst>
            <a:ext uri="{FF2B5EF4-FFF2-40B4-BE49-F238E27FC236}">
              <a16:creationId xmlns:a16="http://schemas.microsoft.com/office/drawing/2014/main" id="{F26364E2-0B27-4FE0-94E6-7572B3EDE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87" name="BExUBK0YZ5VYFY8TTITJGJU9S06A" hidden="1">
          <a:extLst>
            <a:ext uri="{FF2B5EF4-FFF2-40B4-BE49-F238E27FC236}">
              <a16:creationId xmlns:a16="http://schemas.microsoft.com/office/drawing/2014/main" id="{0F579A4E-E657-4DA7-A81A-FB30845C7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88" name="BEx1KD7H6UB1VYCJ7O61P562EIUY" descr="IQGV9140X0K0UPBL8OGU3I44J" hidden="1">
          <a:extLst>
            <a:ext uri="{FF2B5EF4-FFF2-40B4-BE49-F238E27FC236}">
              <a16:creationId xmlns:a16="http://schemas.microsoft.com/office/drawing/2014/main" id="{68847919-9A1E-4D4F-92A5-C32CB5D78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89" name="BEx5AQZ4ETQ9LMY5EBWVH20Z7VXQ" hidden="1">
          <a:extLst>
            <a:ext uri="{FF2B5EF4-FFF2-40B4-BE49-F238E27FC236}">
              <a16:creationId xmlns:a16="http://schemas.microsoft.com/office/drawing/2014/main" id="{B44E7420-EEFE-4DC0-BA6E-1B52C1C43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90" name="BEx5BJQWS6YWHH4ZMSUAMD641V6Y" descr="ZTMFMXCIQSECDX38ALEFHUB00" hidden="1">
          <a:extLst>
            <a:ext uri="{FF2B5EF4-FFF2-40B4-BE49-F238E27FC236}">
              <a16:creationId xmlns:a16="http://schemas.microsoft.com/office/drawing/2014/main" id="{216EECA4-81D3-4523-BA86-BB930B206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91" name="BExUBK0YZ5VYFY8TTITJGJU9S06A" hidden="1">
          <a:extLst>
            <a:ext uri="{FF2B5EF4-FFF2-40B4-BE49-F238E27FC236}">
              <a16:creationId xmlns:a16="http://schemas.microsoft.com/office/drawing/2014/main" id="{50277D5C-F869-42F0-92E7-3F1846865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92" name="BEx5BJQWS6YWHH4ZMSUAMD641V6Y" descr="ZTMFMXCIQSECDX38ALEFHUB00" hidden="1">
          <a:extLst>
            <a:ext uri="{FF2B5EF4-FFF2-40B4-BE49-F238E27FC236}">
              <a16:creationId xmlns:a16="http://schemas.microsoft.com/office/drawing/2014/main" id="{7CD688F4-BCA7-4A38-B1D4-3B4197139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93" name="BExUBK0YZ5VYFY8TTITJGJU9S06A" hidden="1">
          <a:extLst>
            <a:ext uri="{FF2B5EF4-FFF2-40B4-BE49-F238E27FC236}">
              <a16:creationId xmlns:a16="http://schemas.microsoft.com/office/drawing/2014/main" id="{93186F79-1D6B-4CAB-BBED-0DC07E71C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94" name="BEx5BJQWS6YWHH4ZMSUAMD641V6Y" descr="ZTMFMXCIQSECDX38ALEFHUB00" hidden="1">
          <a:extLst>
            <a:ext uri="{FF2B5EF4-FFF2-40B4-BE49-F238E27FC236}">
              <a16:creationId xmlns:a16="http://schemas.microsoft.com/office/drawing/2014/main" id="{29242AC2-F83D-4C5F-ABEB-1C2A7A22D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95" name="BExUBK0YZ5VYFY8TTITJGJU9S06A" hidden="1">
          <a:extLst>
            <a:ext uri="{FF2B5EF4-FFF2-40B4-BE49-F238E27FC236}">
              <a16:creationId xmlns:a16="http://schemas.microsoft.com/office/drawing/2014/main" id="{00E1C926-B367-43E5-BDE8-B6105952F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96" name="BEx1KD7H6UB1VYCJ7O61P562EIUY" descr="IQGV9140X0K0UPBL8OGU3I44J" hidden="1">
          <a:extLst>
            <a:ext uri="{FF2B5EF4-FFF2-40B4-BE49-F238E27FC236}">
              <a16:creationId xmlns:a16="http://schemas.microsoft.com/office/drawing/2014/main" id="{933860E6-C57A-437C-BBD0-280DB1163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1905</xdr:rowOff>
    </xdr:from>
    <xdr:ext cx="59531" cy="829901"/>
    <xdr:pic>
      <xdr:nvPicPr>
        <xdr:cNvPr id="6297" name="BEx5AQZ4ETQ9LMY5EBWVH20Z7VXQ" hidden="1">
          <a:extLst>
            <a:ext uri="{FF2B5EF4-FFF2-40B4-BE49-F238E27FC236}">
              <a16:creationId xmlns:a16="http://schemas.microsoft.com/office/drawing/2014/main" id="{C727031F-915F-4B15-9D89-294E5EDEE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520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98" name="BEx5BJQWS6YWHH4ZMSUAMD641V6Y" descr="ZTMFMXCIQSECDX38ALEFHUB00" hidden="1">
          <a:extLst>
            <a:ext uri="{FF2B5EF4-FFF2-40B4-BE49-F238E27FC236}">
              <a16:creationId xmlns:a16="http://schemas.microsoft.com/office/drawing/2014/main" id="{B02DE509-550B-4F0A-9886-B67C1BE5B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299" name="BExUBK0YZ5VYFY8TTITJGJU9S06A" hidden="1">
          <a:extLst>
            <a:ext uri="{FF2B5EF4-FFF2-40B4-BE49-F238E27FC236}">
              <a16:creationId xmlns:a16="http://schemas.microsoft.com/office/drawing/2014/main" id="{52113115-A66F-4548-9F99-008B8FA63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300" name="BEx5BJQWS6YWHH4ZMSUAMD641V6Y" descr="ZTMFMXCIQSECDX38ALEFHUB00" hidden="1">
          <a:extLst>
            <a:ext uri="{FF2B5EF4-FFF2-40B4-BE49-F238E27FC236}">
              <a16:creationId xmlns:a16="http://schemas.microsoft.com/office/drawing/2014/main" id="{E7E35C6B-5599-479B-A337-9D5931806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301" name="BExUBK0YZ5VYFY8TTITJGJU9S06A" hidden="1">
          <a:extLst>
            <a:ext uri="{FF2B5EF4-FFF2-40B4-BE49-F238E27FC236}">
              <a16:creationId xmlns:a16="http://schemas.microsoft.com/office/drawing/2014/main" id="{D042EAD1-B6F6-429F-AD5B-AC8AF48A9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302" name="BEx5BJQWS6YWHH4ZMSUAMD641V6Y" descr="ZTMFMXCIQSECDX38ALEFHUB00" hidden="1">
          <a:extLst>
            <a:ext uri="{FF2B5EF4-FFF2-40B4-BE49-F238E27FC236}">
              <a16:creationId xmlns:a16="http://schemas.microsoft.com/office/drawing/2014/main" id="{3BB125E9-CE17-4BBA-9B79-8AA9113B5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303" name="BExUBK0YZ5VYFY8TTITJGJU9S06A" hidden="1">
          <a:extLst>
            <a:ext uri="{FF2B5EF4-FFF2-40B4-BE49-F238E27FC236}">
              <a16:creationId xmlns:a16="http://schemas.microsoft.com/office/drawing/2014/main" id="{9AEADDB2-747B-4B93-A8BF-3CECC426A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304" name="BEx5BJQWS6YWHH4ZMSUAMD641V6Y" descr="ZTMFMXCIQSECDX38ALEFHUB00" hidden="1">
          <a:extLst>
            <a:ext uri="{FF2B5EF4-FFF2-40B4-BE49-F238E27FC236}">
              <a16:creationId xmlns:a16="http://schemas.microsoft.com/office/drawing/2014/main" id="{0F254281-DF9F-4D6B-B7F2-DC6741AAC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305" name="BExUBK0YZ5VYFY8TTITJGJU9S06A" hidden="1">
          <a:extLst>
            <a:ext uri="{FF2B5EF4-FFF2-40B4-BE49-F238E27FC236}">
              <a16:creationId xmlns:a16="http://schemas.microsoft.com/office/drawing/2014/main" id="{E12FD14B-E741-461F-B466-F4611C9B3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306" name="BEx5BJQWS6YWHH4ZMSUAMD641V6Y" descr="ZTMFMXCIQSECDX38ALEFHUB00" hidden="1">
          <a:extLst>
            <a:ext uri="{FF2B5EF4-FFF2-40B4-BE49-F238E27FC236}">
              <a16:creationId xmlns:a16="http://schemas.microsoft.com/office/drawing/2014/main" id="{27A34C41-A7FC-442D-BEE2-16AE8F957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307" name="BExUBK0YZ5VYFY8TTITJGJU9S06A" hidden="1">
          <a:extLst>
            <a:ext uri="{FF2B5EF4-FFF2-40B4-BE49-F238E27FC236}">
              <a16:creationId xmlns:a16="http://schemas.microsoft.com/office/drawing/2014/main" id="{F15982F3-09C9-49D2-BA1B-B9E5111D4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308" name="BEx5BJQWS6YWHH4ZMSUAMD641V6Y" descr="ZTMFMXCIQSECDX38ALEFHUB00" hidden="1">
          <a:extLst>
            <a:ext uri="{FF2B5EF4-FFF2-40B4-BE49-F238E27FC236}">
              <a16:creationId xmlns:a16="http://schemas.microsoft.com/office/drawing/2014/main" id="{B7835F03-827F-4583-B0DF-63D9C24F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309" name="BExUBK0YZ5VYFY8TTITJGJU9S06A" hidden="1">
          <a:extLst>
            <a:ext uri="{FF2B5EF4-FFF2-40B4-BE49-F238E27FC236}">
              <a16:creationId xmlns:a16="http://schemas.microsoft.com/office/drawing/2014/main" id="{95061FF4-6A50-4349-9177-E0CA1AA9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6310" name="BEx1KD7H6UB1VYCJ7O61P562EIUY" descr="IQGV9140X0K0UPBL8OGU3I44J" hidden="1">
          <a:extLst>
            <a:ext uri="{FF2B5EF4-FFF2-40B4-BE49-F238E27FC236}">
              <a16:creationId xmlns:a16="http://schemas.microsoft.com/office/drawing/2014/main" id="{CFB92CE1-4E54-4744-AF36-BAB35675C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311" name="BEx5BJQWS6YWHH4ZMSUAMD641V6Y" descr="ZTMFMXCIQSECDX38ALEFHUB00" hidden="1">
          <a:extLst>
            <a:ext uri="{FF2B5EF4-FFF2-40B4-BE49-F238E27FC236}">
              <a16:creationId xmlns:a16="http://schemas.microsoft.com/office/drawing/2014/main" id="{4DDC64B0-1A8D-462E-AF44-E89061BE7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4</xdr:col>
      <xdr:colOff>11430</xdr:colOff>
      <xdr:row>20</xdr:row>
      <xdr:rowOff>1905</xdr:rowOff>
    </xdr:from>
    <xdr:ext cx="59531" cy="829901"/>
    <xdr:pic>
      <xdr:nvPicPr>
        <xdr:cNvPr id="6312" name="BExVTO5Q8G2M7BPL4B2584LQS0R0" descr="OB6Q8NA4LZFE4GM9Y3V56BPMQ" hidden="1">
          <a:extLst>
            <a:ext uri="{FF2B5EF4-FFF2-40B4-BE49-F238E27FC236}">
              <a16:creationId xmlns:a16="http://schemas.microsoft.com/office/drawing/2014/main" id="{EE852CE9-3508-4D30-B15F-D452CB5D2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20</xdr:row>
      <xdr:rowOff>0</xdr:rowOff>
    </xdr:from>
    <xdr:ext cx="59531" cy="295275"/>
    <xdr:pic>
      <xdr:nvPicPr>
        <xdr:cNvPr id="6313" name="BExIFSCLN1G86X78PFLTSMRP0US5" descr="9JK4SPV4DG7VTCZIILWHXQU5J" hidden="1">
          <a:extLst>
            <a:ext uri="{FF2B5EF4-FFF2-40B4-BE49-F238E27FC236}">
              <a16:creationId xmlns:a16="http://schemas.microsoft.com/office/drawing/2014/main" id="{635E182A-8ED9-4F74-94CD-8685A4DA8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68980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6314" name="BEx5AQZ4ETQ9LMY5EBWVH20Z7VXQ" hidden="1">
          <a:extLst>
            <a:ext uri="{FF2B5EF4-FFF2-40B4-BE49-F238E27FC236}">
              <a16:creationId xmlns:a16="http://schemas.microsoft.com/office/drawing/2014/main" id="{6EED62AC-2B7E-455E-9533-BE891CB2D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0</xdr:rowOff>
    </xdr:from>
    <xdr:ext cx="59531" cy="295275"/>
    <xdr:pic>
      <xdr:nvPicPr>
        <xdr:cNvPr id="6315" name="BExUBK0YZ5VYFY8TTITJGJU9S06A" hidden="1">
          <a:extLst>
            <a:ext uri="{FF2B5EF4-FFF2-40B4-BE49-F238E27FC236}">
              <a16:creationId xmlns:a16="http://schemas.microsoft.com/office/drawing/2014/main" id="{5EAA796D-7522-4221-8114-19E220422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38671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20</xdr:row>
      <xdr:rowOff>1905</xdr:rowOff>
    </xdr:from>
    <xdr:ext cx="47625" cy="829901"/>
    <xdr:pic>
      <xdr:nvPicPr>
        <xdr:cNvPr id="6316" name="BExUEZCSSJ7RN4J18I2NUIQR2FZS" hidden="1">
          <a:extLst>
            <a:ext uri="{FF2B5EF4-FFF2-40B4-BE49-F238E27FC236}">
              <a16:creationId xmlns:a16="http://schemas.microsoft.com/office/drawing/2014/main" id="{C5369DD2-8C2C-4BC7-B34E-8FDE58D05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869055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20</xdr:row>
      <xdr:rowOff>0</xdr:rowOff>
    </xdr:from>
    <xdr:ext cx="47625" cy="295275"/>
    <xdr:pic>
      <xdr:nvPicPr>
        <xdr:cNvPr id="6317" name="BExS3JDQWF7U3F5JTEVOE16ASIYK" hidden="1">
          <a:extLst>
            <a:ext uri="{FF2B5EF4-FFF2-40B4-BE49-F238E27FC236}">
              <a16:creationId xmlns:a16="http://schemas.microsoft.com/office/drawing/2014/main" id="{C4A11D04-4F70-418B-9A5E-F0C99AF52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88030" y="3867150"/>
          <a:ext cx="47625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18" name="BEx5BJQWS6YWHH4ZMSUAMD641V6Y" descr="ZTMFMXCIQSECDX38ALEFHUB00" hidden="1">
          <a:extLst>
            <a:ext uri="{FF2B5EF4-FFF2-40B4-BE49-F238E27FC236}">
              <a16:creationId xmlns:a16="http://schemas.microsoft.com/office/drawing/2014/main" id="{46A7D117-E9D8-4835-B0BB-361D2D7E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19" name="BExUBK0YZ5VYFY8TTITJGJU9S06A" hidden="1">
          <a:extLst>
            <a:ext uri="{FF2B5EF4-FFF2-40B4-BE49-F238E27FC236}">
              <a16:creationId xmlns:a16="http://schemas.microsoft.com/office/drawing/2014/main" id="{57FED8EA-0E2B-43D9-8653-CE2B68EF3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20" name="BEx5BJQWS6YWHH4ZMSUAMD641V6Y" descr="ZTMFMXCIQSECDX38ALEFHUB00" hidden="1">
          <a:extLst>
            <a:ext uri="{FF2B5EF4-FFF2-40B4-BE49-F238E27FC236}">
              <a16:creationId xmlns:a16="http://schemas.microsoft.com/office/drawing/2014/main" id="{C0A40BA0-4881-473B-8157-147640104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21" name="BExUBK0YZ5VYFY8TTITJGJU9S06A" hidden="1">
          <a:extLst>
            <a:ext uri="{FF2B5EF4-FFF2-40B4-BE49-F238E27FC236}">
              <a16:creationId xmlns:a16="http://schemas.microsoft.com/office/drawing/2014/main" id="{EAEB74CE-2664-4BC2-8964-6D82B78C7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22" name="BEx5BJQWS6YWHH4ZMSUAMD641V6Y" descr="ZTMFMXCIQSECDX38ALEFHUB00" hidden="1">
          <a:extLst>
            <a:ext uri="{FF2B5EF4-FFF2-40B4-BE49-F238E27FC236}">
              <a16:creationId xmlns:a16="http://schemas.microsoft.com/office/drawing/2014/main" id="{4B85206B-CFB6-44E6-AA04-8268921ED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23" name="BExUBK0YZ5VYFY8TTITJGJU9S06A" hidden="1">
          <a:extLst>
            <a:ext uri="{FF2B5EF4-FFF2-40B4-BE49-F238E27FC236}">
              <a16:creationId xmlns:a16="http://schemas.microsoft.com/office/drawing/2014/main" id="{7AF76E91-1C9D-4BE8-BADA-B69E50305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24" name="BEx5BJQWS6YWHH4ZMSUAMD641V6Y" descr="ZTMFMXCIQSECDX38ALEFHUB00" hidden="1">
          <a:extLst>
            <a:ext uri="{FF2B5EF4-FFF2-40B4-BE49-F238E27FC236}">
              <a16:creationId xmlns:a16="http://schemas.microsoft.com/office/drawing/2014/main" id="{79CFFB45-A452-4DD3-A843-732ABA4A1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25" name="BExUBK0YZ5VYFY8TTITJGJU9S06A" hidden="1">
          <a:extLst>
            <a:ext uri="{FF2B5EF4-FFF2-40B4-BE49-F238E27FC236}">
              <a16:creationId xmlns:a16="http://schemas.microsoft.com/office/drawing/2014/main" id="{E5557967-F11A-4FFB-8B00-1AB2F02DA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26" name="BEx5BJQWS6YWHH4ZMSUAMD641V6Y" descr="ZTMFMXCIQSECDX38ALEFHUB00" hidden="1">
          <a:extLst>
            <a:ext uri="{FF2B5EF4-FFF2-40B4-BE49-F238E27FC236}">
              <a16:creationId xmlns:a16="http://schemas.microsoft.com/office/drawing/2014/main" id="{59AD7173-4958-49DC-8D8D-7588FF5E8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27" name="BExUBK0YZ5VYFY8TTITJGJU9S06A" hidden="1">
          <a:extLst>
            <a:ext uri="{FF2B5EF4-FFF2-40B4-BE49-F238E27FC236}">
              <a16:creationId xmlns:a16="http://schemas.microsoft.com/office/drawing/2014/main" id="{0E335799-3393-4BF6-AFFE-FDCC23F84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6328" name="BEx1KD7H6UB1VYCJ7O61P562EIUY" descr="IQGV9140X0K0UPBL8OGU3I44J" hidden="1">
          <a:extLst>
            <a:ext uri="{FF2B5EF4-FFF2-40B4-BE49-F238E27FC236}">
              <a16:creationId xmlns:a16="http://schemas.microsoft.com/office/drawing/2014/main" id="{2ADC1AF5-C8C4-425C-898E-5104182F2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6329" name="BEx5AQZ4ETQ9LMY5EBWVH20Z7VXQ" hidden="1">
          <a:extLst>
            <a:ext uri="{FF2B5EF4-FFF2-40B4-BE49-F238E27FC236}">
              <a16:creationId xmlns:a16="http://schemas.microsoft.com/office/drawing/2014/main" id="{73821CE4-82F4-4C57-9116-507C4F557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6330" name="BEx1KD7H6UB1VYCJ7O61P562EIUY" descr="IQGV9140X0K0UPBL8OGU3I44J" hidden="1">
          <a:extLst>
            <a:ext uri="{FF2B5EF4-FFF2-40B4-BE49-F238E27FC236}">
              <a16:creationId xmlns:a16="http://schemas.microsoft.com/office/drawing/2014/main" id="{760E148F-BB03-4C8E-941D-C91910376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6331" name="BEx5AQZ4ETQ9LMY5EBWVH20Z7VXQ" hidden="1">
          <a:extLst>
            <a:ext uri="{FF2B5EF4-FFF2-40B4-BE49-F238E27FC236}">
              <a16:creationId xmlns:a16="http://schemas.microsoft.com/office/drawing/2014/main" id="{282BCD4B-A3E0-46B8-A385-832E92D2A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32" name="BEx5BJQWS6YWHH4ZMSUAMD641V6Y" descr="ZTMFMXCIQSECDX38ALEFHUB00" hidden="1">
          <a:extLst>
            <a:ext uri="{FF2B5EF4-FFF2-40B4-BE49-F238E27FC236}">
              <a16:creationId xmlns:a16="http://schemas.microsoft.com/office/drawing/2014/main" id="{7C48A0A7-EA7D-400D-9C87-0BBF01CEB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33" name="BExUBK0YZ5VYFY8TTITJGJU9S06A" hidden="1">
          <a:extLst>
            <a:ext uri="{FF2B5EF4-FFF2-40B4-BE49-F238E27FC236}">
              <a16:creationId xmlns:a16="http://schemas.microsoft.com/office/drawing/2014/main" id="{AA67562E-8B26-41F8-8841-8900A1D2E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6334" name="BEx1KD7H6UB1VYCJ7O61P562EIUY" descr="IQGV9140X0K0UPBL8OGU3I44J" hidden="1">
          <a:extLst>
            <a:ext uri="{FF2B5EF4-FFF2-40B4-BE49-F238E27FC236}">
              <a16:creationId xmlns:a16="http://schemas.microsoft.com/office/drawing/2014/main" id="{B65DC012-A2D0-4EF9-84C0-CDA3BA384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6335" name="BEx5AQZ4ETQ9LMY5EBWVH20Z7VXQ" hidden="1">
          <a:extLst>
            <a:ext uri="{FF2B5EF4-FFF2-40B4-BE49-F238E27FC236}">
              <a16:creationId xmlns:a16="http://schemas.microsoft.com/office/drawing/2014/main" id="{576E145F-B030-4EE6-BA49-645AAF031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36" name="BEx5BJQWS6YWHH4ZMSUAMD641V6Y" descr="ZTMFMXCIQSECDX38ALEFHUB00" hidden="1">
          <a:extLst>
            <a:ext uri="{FF2B5EF4-FFF2-40B4-BE49-F238E27FC236}">
              <a16:creationId xmlns:a16="http://schemas.microsoft.com/office/drawing/2014/main" id="{E74F7573-4BA5-445F-A5D7-EFF25B614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37" name="BExUBK0YZ5VYFY8TTITJGJU9S06A" hidden="1">
          <a:extLst>
            <a:ext uri="{FF2B5EF4-FFF2-40B4-BE49-F238E27FC236}">
              <a16:creationId xmlns:a16="http://schemas.microsoft.com/office/drawing/2014/main" id="{25A07D33-2B8B-4C79-A394-E23913F8C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38" name="BEx5BJQWS6YWHH4ZMSUAMD641V6Y" descr="ZTMFMXCIQSECDX38ALEFHUB00" hidden="1">
          <a:extLst>
            <a:ext uri="{FF2B5EF4-FFF2-40B4-BE49-F238E27FC236}">
              <a16:creationId xmlns:a16="http://schemas.microsoft.com/office/drawing/2014/main" id="{72C12338-E9BD-435C-9D8E-14B692988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39" name="BExUBK0YZ5VYFY8TTITJGJU9S06A" hidden="1">
          <a:extLst>
            <a:ext uri="{FF2B5EF4-FFF2-40B4-BE49-F238E27FC236}">
              <a16:creationId xmlns:a16="http://schemas.microsoft.com/office/drawing/2014/main" id="{4AAE2853-C26A-4118-A510-90B3657FA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6340" name="BEx1KD7H6UB1VYCJ7O61P562EIUY" descr="IQGV9140X0K0UPBL8OGU3I44J" hidden="1">
          <a:extLst>
            <a:ext uri="{FF2B5EF4-FFF2-40B4-BE49-F238E27FC236}">
              <a16:creationId xmlns:a16="http://schemas.microsoft.com/office/drawing/2014/main" id="{C8D3E918-96E3-4362-BD1C-E252FE70E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6341" name="BEx5AQZ4ETQ9LMY5EBWVH20Z7VXQ" hidden="1">
          <a:extLst>
            <a:ext uri="{FF2B5EF4-FFF2-40B4-BE49-F238E27FC236}">
              <a16:creationId xmlns:a16="http://schemas.microsoft.com/office/drawing/2014/main" id="{FF32F88E-98C4-43CD-8472-753375D2E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42" name="BEx5BJQWS6YWHH4ZMSUAMD641V6Y" descr="ZTMFMXCIQSECDX38ALEFHUB00" hidden="1">
          <a:extLst>
            <a:ext uri="{FF2B5EF4-FFF2-40B4-BE49-F238E27FC236}">
              <a16:creationId xmlns:a16="http://schemas.microsoft.com/office/drawing/2014/main" id="{5ED7081D-0290-4163-9DB6-41991B188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43" name="BExUBK0YZ5VYFY8TTITJGJU9S06A" hidden="1">
          <a:extLst>
            <a:ext uri="{FF2B5EF4-FFF2-40B4-BE49-F238E27FC236}">
              <a16:creationId xmlns:a16="http://schemas.microsoft.com/office/drawing/2014/main" id="{751F1208-6A11-4212-B953-521118597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44" name="BEx5BJQWS6YWHH4ZMSUAMD641V6Y" descr="ZTMFMXCIQSECDX38ALEFHUB00" hidden="1">
          <a:extLst>
            <a:ext uri="{FF2B5EF4-FFF2-40B4-BE49-F238E27FC236}">
              <a16:creationId xmlns:a16="http://schemas.microsoft.com/office/drawing/2014/main" id="{3F7E38EE-CBCB-495D-8B3C-FCDE5EC62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45" name="BExUBK0YZ5VYFY8TTITJGJU9S06A" hidden="1">
          <a:extLst>
            <a:ext uri="{FF2B5EF4-FFF2-40B4-BE49-F238E27FC236}">
              <a16:creationId xmlns:a16="http://schemas.microsoft.com/office/drawing/2014/main" id="{87BF6E06-B2B7-42BF-B2BA-31F794F2E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46" name="BEx5BJQWS6YWHH4ZMSUAMD641V6Y" descr="ZTMFMXCIQSECDX38ALEFHUB00" hidden="1">
          <a:extLst>
            <a:ext uri="{FF2B5EF4-FFF2-40B4-BE49-F238E27FC236}">
              <a16:creationId xmlns:a16="http://schemas.microsoft.com/office/drawing/2014/main" id="{768A3608-8055-48E7-A687-CDF0703C5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47" name="BExUBK0YZ5VYFY8TTITJGJU9S06A" hidden="1">
          <a:extLst>
            <a:ext uri="{FF2B5EF4-FFF2-40B4-BE49-F238E27FC236}">
              <a16:creationId xmlns:a16="http://schemas.microsoft.com/office/drawing/2014/main" id="{8D8532C6-9867-40A3-868C-6110A5759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6348" name="BEx1KD7H6UB1VYCJ7O61P562EIUY" descr="IQGV9140X0K0UPBL8OGU3I44J" hidden="1">
          <a:extLst>
            <a:ext uri="{FF2B5EF4-FFF2-40B4-BE49-F238E27FC236}">
              <a16:creationId xmlns:a16="http://schemas.microsoft.com/office/drawing/2014/main" id="{0AE8FD3A-7132-4FA8-BEC2-9FBA59A4B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20</xdr:row>
      <xdr:rowOff>1905</xdr:rowOff>
    </xdr:from>
    <xdr:ext cx="59531" cy="829901"/>
    <xdr:pic>
      <xdr:nvPicPr>
        <xdr:cNvPr id="6349" name="BEx5AQZ4ETQ9LMY5EBWVH20Z7VXQ" hidden="1">
          <a:extLst>
            <a:ext uri="{FF2B5EF4-FFF2-40B4-BE49-F238E27FC236}">
              <a16:creationId xmlns:a16="http://schemas.microsoft.com/office/drawing/2014/main" id="{192972B0-2607-4B2E-92B1-504FDAB3B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869055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50" name="BEx5BJQWS6YWHH4ZMSUAMD641V6Y" descr="ZTMFMXCIQSECDX38ALEFHUB00" hidden="1">
          <a:extLst>
            <a:ext uri="{FF2B5EF4-FFF2-40B4-BE49-F238E27FC236}">
              <a16:creationId xmlns:a16="http://schemas.microsoft.com/office/drawing/2014/main" id="{2CF811FF-22B6-4B8D-82DB-B87459FE8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51" name="BExUBK0YZ5VYFY8TTITJGJU9S06A" hidden="1">
          <a:extLst>
            <a:ext uri="{FF2B5EF4-FFF2-40B4-BE49-F238E27FC236}">
              <a16:creationId xmlns:a16="http://schemas.microsoft.com/office/drawing/2014/main" id="{E21DCB97-6D90-46D6-9456-ABFE190B2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52" name="BEx5BJQWS6YWHH4ZMSUAMD641V6Y" descr="ZTMFMXCIQSECDX38ALEFHUB00" hidden="1">
          <a:extLst>
            <a:ext uri="{FF2B5EF4-FFF2-40B4-BE49-F238E27FC236}">
              <a16:creationId xmlns:a16="http://schemas.microsoft.com/office/drawing/2014/main" id="{8B4A9106-DBDF-4F8A-9474-4E5C30CD5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53" name="BExUBK0YZ5VYFY8TTITJGJU9S06A" hidden="1">
          <a:extLst>
            <a:ext uri="{FF2B5EF4-FFF2-40B4-BE49-F238E27FC236}">
              <a16:creationId xmlns:a16="http://schemas.microsoft.com/office/drawing/2014/main" id="{B9ABBFAE-3248-46FD-BDED-2C0329D0A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54" name="BEx5BJQWS6YWHH4ZMSUAMD641V6Y" descr="ZTMFMXCIQSECDX38ALEFHUB00" hidden="1">
          <a:extLst>
            <a:ext uri="{FF2B5EF4-FFF2-40B4-BE49-F238E27FC236}">
              <a16:creationId xmlns:a16="http://schemas.microsoft.com/office/drawing/2014/main" id="{0220CC9C-74FC-4FFA-AA71-91070BA62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55" name="BExUBK0YZ5VYFY8TTITJGJU9S06A" hidden="1">
          <a:extLst>
            <a:ext uri="{FF2B5EF4-FFF2-40B4-BE49-F238E27FC236}">
              <a16:creationId xmlns:a16="http://schemas.microsoft.com/office/drawing/2014/main" id="{E69ACD4B-BFEE-40B8-B0B2-BE1E86856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56" name="BEx5BJQWS6YWHH4ZMSUAMD641V6Y" descr="ZTMFMXCIQSECDX38ALEFHUB00" hidden="1">
          <a:extLst>
            <a:ext uri="{FF2B5EF4-FFF2-40B4-BE49-F238E27FC236}">
              <a16:creationId xmlns:a16="http://schemas.microsoft.com/office/drawing/2014/main" id="{04558AC8-24FF-411A-909D-3326C8D8F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57" name="BExUBK0YZ5VYFY8TTITJGJU9S06A" hidden="1">
          <a:extLst>
            <a:ext uri="{FF2B5EF4-FFF2-40B4-BE49-F238E27FC236}">
              <a16:creationId xmlns:a16="http://schemas.microsoft.com/office/drawing/2014/main" id="{DB1E4D37-8C21-45E8-8E93-DE5780AE5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58" name="BEx5BJQWS6YWHH4ZMSUAMD641V6Y" descr="ZTMFMXCIQSECDX38ALEFHUB00" hidden="1">
          <a:extLst>
            <a:ext uri="{FF2B5EF4-FFF2-40B4-BE49-F238E27FC236}">
              <a16:creationId xmlns:a16="http://schemas.microsoft.com/office/drawing/2014/main" id="{62A37DEC-8C5A-4CDD-87C7-8E230251E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59" name="BExUBK0YZ5VYFY8TTITJGJU9S06A" hidden="1">
          <a:extLst>
            <a:ext uri="{FF2B5EF4-FFF2-40B4-BE49-F238E27FC236}">
              <a16:creationId xmlns:a16="http://schemas.microsoft.com/office/drawing/2014/main" id="{56D35422-7606-4CD4-ACF0-B2FB43843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60" name="BEx5BJQWS6YWHH4ZMSUAMD641V6Y" descr="ZTMFMXCIQSECDX38ALEFHUB00" hidden="1">
          <a:extLst>
            <a:ext uri="{FF2B5EF4-FFF2-40B4-BE49-F238E27FC236}">
              <a16:creationId xmlns:a16="http://schemas.microsoft.com/office/drawing/2014/main" id="{8E52263A-7D74-4B7D-B087-AA132D73C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61" name="BExUBK0YZ5VYFY8TTITJGJU9S06A" hidden="1">
          <a:extLst>
            <a:ext uri="{FF2B5EF4-FFF2-40B4-BE49-F238E27FC236}">
              <a16:creationId xmlns:a16="http://schemas.microsoft.com/office/drawing/2014/main" id="{64115852-A71C-4851-95D5-7C5A3C8D3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62" name="BEx5BJQWS6YWHH4ZMSUAMD641V6Y" descr="ZTMFMXCIQSECDX38ALEFHUB00" hidden="1">
          <a:extLst>
            <a:ext uri="{FF2B5EF4-FFF2-40B4-BE49-F238E27FC236}">
              <a16:creationId xmlns:a16="http://schemas.microsoft.com/office/drawing/2014/main" id="{A990F412-A933-4935-BA31-9A3C87A24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2</xdr:col>
      <xdr:colOff>11430</xdr:colOff>
      <xdr:row>21</xdr:row>
      <xdr:rowOff>0</xdr:rowOff>
    </xdr:from>
    <xdr:ext cx="59531" cy="295275"/>
    <xdr:pic>
      <xdr:nvPicPr>
        <xdr:cNvPr id="6363" name="BExUBK0YZ5VYFY8TTITJGJU9S06A" hidden="1">
          <a:extLst>
            <a:ext uri="{FF2B5EF4-FFF2-40B4-BE49-F238E27FC236}">
              <a16:creationId xmlns:a16="http://schemas.microsoft.com/office/drawing/2014/main" id="{9BC85A26-C969-49CD-A004-33AD6FA6F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8855" y="5200650"/>
          <a:ext cx="59531" cy="29527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64" name="BEx1KD7H6UB1VYCJ7O61P562EIUY" descr="IQGV9140X0K0UPBL8OGU3I44J" hidden="1">
          <a:extLst>
            <a:ext uri="{FF2B5EF4-FFF2-40B4-BE49-F238E27FC236}">
              <a16:creationId xmlns:a16="http://schemas.microsoft.com/office/drawing/2014/main" id="{D4160F09-684C-4F83-B2EB-F6E387572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65" name="BEx5AQZ4ETQ9LMY5EBWVH20Z7VXQ" hidden="1">
          <a:extLst>
            <a:ext uri="{FF2B5EF4-FFF2-40B4-BE49-F238E27FC236}">
              <a16:creationId xmlns:a16="http://schemas.microsoft.com/office/drawing/2014/main" id="{5E0BC430-1858-497F-B1DC-C8AEB6B5A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66" name="BEx1KD7H6UB1VYCJ7O61P562EIUY" descr="IQGV9140X0K0UPBL8OGU3I44J" hidden="1">
          <a:extLst>
            <a:ext uri="{FF2B5EF4-FFF2-40B4-BE49-F238E27FC236}">
              <a16:creationId xmlns:a16="http://schemas.microsoft.com/office/drawing/2014/main" id="{72705A97-9C16-4C3A-9BC3-402E26487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67" name="BEx5AQZ4ETQ9LMY5EBWVH20Z7VXQ" hidden="1">
          <a:extLst>
            <a:ext uri="{FF2B5EF4-FFF2-40B4-BE49-F238E27FC236}">
              <a16:creationId xmlns:a16="http://schemas.microsoft.com/office/drawing/2014/main" id="{3A60CB15-5144-4243-AF69-2F0B90B8E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68" name="BEx1KD7H6UB1VYCJ7O61P562EIUY" descr="IQGV9140X0K0UPBL8OGU3I44J" hidden="1">
          <a:extLst>
            <a:ext uri="{FF2B5EF4-FFF2-40B4-BE49-F238E27FC236}">
              <a16:creationId xmlns:a16="http://schemas.microsoft.com/office/drawing/2014/main" id="{961278B1-2A4A-4A54-9CD8-A19954D4C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69" name="BEx5AQZ4ETQ9LMY5EBWVH20Z7VXQ" hidden="1">
          <a:extLst>
            <a:ext uri="{FF2B5EF4-FFF2-40B4-BE49-F238E27FC236}">
              <a16:creationId xmlns:a16="http://schemas.microsoft.com/office/drawing/2014/main" id="{DF5E2621-9DDA-47FA-8132-DC4C2981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70" name="BEx1KD7H6UB1VYCJ7O61P562EIUY" descr="IQGV9140X0K0UPBL8OGU3I44J" hidden="1">
          <a:extLst>
            <a:ext uri="{FF2B5EF4-FFF2-40B4-BE49-F238E27FC236}">
              <a16:creationId xmlns:a16="http://schemas.microsoft.com/office/drawing/2014/main" id="{F0A44659-502E-42B1-B37A-B41C2F6F4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71" name="BEx5AQZ4ETQ9LMY5EBWVH20Z7VXQ" hidden="1">
          <a:extLst>
            <a:ext uri="{FF2B5EF4-FFF2-40B4-BE49-F238E27FC236}">
              <a16:creationId xmlns:a16="http://schemas.microsoft.com/office/drawing/2014/main" id="{1B3F4257-ED1E-4C1D-843A-0F1717212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72" name="BEx1KD7H6UB1VYCJ7O61P562EIUY" descr="IQGV9140X0K0UPBL8OGU3I44J" hidden="1">
          <a:extLst>
            <a:ext uri="{FF2B5EF4-FFF2-40B4-BE49-F238E27FC236}">
              <a16:creationId xmlns:a16="http://schemas.microsoft.com/office/drawing/2014/main" id="{036B968F-468C-45B0-B70D-83FD52F3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73" name="BEx5AQZ4ETQ9LMY5EBWVH20Z7VXQ" hidden="1">
          <a:extLst>
            <a:ext uri="{FF2B5EF4-FFF2-40B4-BE49-F238E27FC236}">
              <a16:creationId xmlns:a16="http://schemas.microsoft.com/office/drawing/2014/main" id="{EB499CEB-F957-44FC-8F38-A469873B4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74" name="BEx1KD7H6UB1VYCJ7O61P562EIUY" descr="IQGV9140X0K0UPBL8OGU3I44J" hidden="1">
          <a:extLst>
            <a:ext uri="{FF2B5EF4-FFF2-40B4-BE49-F238E27FC236}">
              <a16:creationId xmlns:a16="http://schemas.microsoft.com/office/drawing/2014/main" id="{26203378-2157-45FC-8E7E-AFFC731E6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75" name="BEx5AQZ4ETQ9LMY5EBWVH20Z7VXQ" hidden="1">
          <a:extLst>
            <a:ext uri="{FF2B5EF4-FFF2-40B4-BE49-F238E27FC236}">
              <a16:creationId xmlns:a16="http://schemas.microsoft.com/office/drawing/2014/main" id="{1D1C2653-2C95-4BCA-821C-5C2D696CE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76" name="BEx1KD7H6UB1VYCJ7O61P562EIUY" descr="IQGV9140X0K0UPBL8OGU3I44J" hidden="1">
          <a:extLst>
            <a:ext uri="{FF2B5EF4-FFF2-40B4-BE49-F238E27FC236}">
              <a16:creationId xmlns:a16="http://schemas.microsoft.com/office/drawing/2014/main" id="{32FD1046-0A03-47E9-BEC8-E90B3D6E3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77" name="BEx5AQZ4ETQ9LMY5EBWVH20Z7VXQ" hidden="1">
          <a:extLst>
            <a:ext uri="{FF2B5EF4-FFF2-40B4-BE49-F238E27FC236}">
              <a16:creationId xmlns:a16="http://schemas.microsoft.com/office/drawing/2014/main" id="{06B24F29-9FEE-4C7C-8FF1-838BBCA8D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78" name="BEx1KD7H6UB1VYCJ7O61P562EIUY" descr="IQGV9140X0K0UPBL8OGU3I44J" hidden="1">
          <a:extLst>
            <a:ext uri="{FF2B5EF4-FFF2-40B4-BE49-F238E27FC236}">
              <a16:creationId xmlns:a16="http://schemas.microsoft.com/office/drawing/2014/main" id="{B3636F9B-AC87-4D26-87E8-622D76B51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79" name="BEx5AQZ4ETQ9LMY5EBWVH20Z7VXQ" hidden="1">
          <a:extLst>
            <a:ext uri="{FF2B5EF4-FFF2-40B4-BE49-F238E27FC236}">
              <a16:creationId xmlns:a16="http://schemas.microsoft.com/office/drawing/2014/main" id="{10DA5F4F-1393-4EEA-A610-0A3F1A763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80" name="BEx1KD7H6UB1VYCJ7O61P562EIUY" descr="IQGV9140X0K0UPBL8OGU3I44J" hidden="1">
          <a:extLst>
            <a:ext uri="{FF2B5EF4-FFF2-40B4-BE49-F238E27FC236}">
              <a16:creationId xmlns:a16="http://schemas.microsoft.com/office/drawing/2014/main" id="{B7E094E8-03CD-4BDC-A527-6DE86DBF5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81" name="BEx5AQZ4ETQ9LMY5EBWVH20Z7VXQ" hidden="1">
          <a:extLst>
            <a:ext uri="{FF2B5EF4-FFF2-40B4-BE49-F238E27FC236}">
              <a16:creationId xmlns:a16="http://schemas.microsoft.com/office/drawing/2014/main" id="{07A3F117-7C08-49EA-80D7-61B08005A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82" name="BEx1KD7H6UB1VYCJ7O61P562EIUY" descr="IQGV9140X0K0UPBL8OGU3I44J" hidden="1">
          <a:extLst>
            <a:ext uri="{FF2B5EF4-FFF2-40B4-BE49-F238E27FC236}">
              <a16:creationId xmlns:a16="http://schemas.microsoft.com/office/drawing/2014/main" id="{D216274D-08FC-408F-8E0D-A90891B33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83" name="BEx5AQZ4ETQ9LMY5EBWVH20Z7VXQ" hidden="1">
          <a:extLst>
            <a:ext uri="{FF2B5EF4-FFF2-40B4-BE49-F238E27FC236}">
              <a16:creationId xmlns:a16="http://schemas.microsoft.com/office/drawing/2014/main" id="{F4377AB7-061E-4856-9CF2-34CEAE825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84" name="BEx1KD7H6UB1VYCJ7O61P562EIUY" descr="IQGV9140X0K0UPBL8OGU3I44J" hidden="1">
          <a:extLst>
            <a:ext uri="{FF2B5EF4-FFF2-40B4-BE49-F238E27FC236}">
              <a16:creationId xmlns:a16="http://schemas.microsoft.com/office/drawing/2014/main" id="{617C14D6-EF5D-4169-A21B-4603B75E5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85" name="BEx5AQZ4ETQ9LMY5EBWVH20Z7VXQ" hidden="1">
          <a:extLst>
            <a:ext uri="{FF2B5EF4-FFF2-40B4-BE49-F238E27FC236}">
              <a16:creationId xmlns:a16="http://schemas.microsoft.com/office/drawing/2014/main" id="{DEA24B5E-FF6E-4395-A5AE-13CC44B0F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86" name="BEx1KD7H6UB1VYCJ7O61P562EIUY" descr="IQGV9140X0K0UPBL8OGU3I44J" hidden="1">
          <a:extLst>
            <a:ext uri="{FF2B5EF4-FFF2-40B4-BE49-F238E27FC236}">
              <a16:creationId xmlns:a16="http://schemas.microsoft.com/office/drawing/2014/main" id="{D369B3B6-0573-46E9-A8A9-A94DC33BB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87" name="BEx5AQZ4ETQ9LMY5EBWVH20Z7VXQ" hidden="1">
          <a:extLst>
            <a:ext uri="{FF2B5EF4-FFF2-40B4-BE49-F238E27FC236}">
              <a16:creationId xmlns:a16="http://schemas.microsoft.com/office/drawing/2014/main" id="{4C18D6F5-6325-4592-94B9-AD6487CB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88" name="BEx1KD7H6UB1VYCJ7O61P562EIUY" descr="IQGV9140X0K0UPBL8OGU3I44J" hidden="1">
          <a:extLst>
            <a:ext uri="{FF2B5EF4-FFF2-40B4-BE49-F238E27FC236}">
              <a16:creationId xmlns:a16="http://schemas.microsoft.com/office/drawing/2014/main" id="{7275B509-E7FC-44E6-B553-F3994D480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89" name="BEx5AQZ4ETQ9LMY5EBWVH20Z7VXQ" hidden="1">
          <a:extLst>
            <a:ext uri="{FF2B5EF4-FFF2-40B4-BE49-F238E27FC236}">
              <a16:creationId xmlns:a16="http://schemas.microsoft.com/office/drawing/2014/main" id="{680802E6-B170-4925-9113-DE82F1838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90" name="BEx1KD7H6UB1VYCJ7O61P562EIUY" descr="IQGV9140X0K0UPBL8OGU3I44J" hidden="1">
          <a:extLst>
            <a:ext uri="{FF2B5EF4-FFF2-40B4-BE49-F238E27FC236}">
              <a16:creationId xmlns:a16="http://schemas.microsoft.com/office/drawing/2014/main" id="{305D29BA-3B1F-48D7-8B79-B66EBE74F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91" name="BEx5AQZ4ETQ9LMY5EBWVH20Z7VXQ" hidden="1">
          <a:extLst>
            <a:ext uri="{FF2B5EF4-FFF2-40B4-BE49-F238E27FC236}">
              <a16:creationId xmlns:a16="http://schemas.microsoft.com/office/drawing/2014/main" id="{0BA271B0-2187-46FF-BF86-A3FBB1FFD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92" name="BEx1KD7H6UB1VYCJ7O61P562EIUY" descr="IQGV9140X0K0UPBL8OGU3I44J" hidden="1">
          <a:extLst>
            <a:ext uri="{FF2B5EF4-FFF2-40B4-BE49-F238E27FC236}">
              <a16:creationId xmlns:a16="http://schemas.microsoft.com/office/drawing/2014/main" id="{9ADC165F-78E0-4996-BA05-4A90E0B7D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6393" name="BExVTO5Q8G2M7BPL4B2584LQS0R0" descr="OB6Q8NA4LZFE4GM9Y3V56BPMQ" hidden="1">
          <a:extLst>
            <a:ext uri="{FF2B5EF4-FFF2-40B4-BE49-F238E27FC236}">
              <a16:creationId xmlns:a16="http://schemas.microsoft.com/office/drawing/2014/main" id="{1D3CBCC7-DDFD-4E91-8709-1B0571867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94" name="BEx5AQZ4ETQ9LMY5EBWVH20Z7VXQ" hidden="1">
          <a:extLst>
            <a:ext uri="{FF2B5EF4-FFF2-40B4-BE49-F238E27FC236}">
              <a16:creationId xmlns:a16="http://schemas.microsoft.com/office/drawing/2014/main" id="{56D9A08C-FE95-44EB-9AB6-D24E7DC3F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6395" name="BExUEZCSSJ7RN4J18I2NUIQR2FZS" hidden="1">
          <a:extLst>
            <a:ext uri="{FF2B5EF4-FFF2-40B4-BE49-F238E27FC236}">
              <a16:creationId xmlns:a16="http://schemas.microsoft.com/office/drawing/2014/main" id="{EEFC68B3-AAB8-454A-98A6-0564A751C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543300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96" name="BEx1KD7H6UB1VYCJ7O61P562EIUY" descr="IQGV9140X0K0UPBL8OGU3I44J" hidden="1">
          <a:extLst>
            <a:ext uri="{FF2B5EF4-FFF2-40B4-BE49-F238E27FC236}">
              <a16:creationId xmlns:a16="http://schemas.microsoft.com/office/drawing/2014/main" id="{A99B172E-C48E-4130-9752-A76DC518C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97" name="BEx5AQZ4ETQ9LMY5EBWVH20Z7VXQ" hidden="1">
          <a:extLst>
            <a:ext uri="{FF2B5EF4-FFF2-40B4-BE49-F238E27FC236}">
              <a16:creationId xmlns:a16="http://schemas.microsoft.com/office/drawing/2014/main" id="{BBC7173D-1FC3-4F1D-8ECC-DD18A356C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98" name="BEx1KD7H6UB1VYCJ7O61P562EIUY" descr="IQGV9140X0K0UPBL8OGU3I44J" hidden="1">
          <a:extLst>
            <a:ext uri="{FF2B5EF4-FFF2-40B4-BE49-F238E27FC236}">
              <a16:creationId xmlns:a16="http://schemas.microsoft.com/office/drawing/2014/main" id="{C2790121-6E55-4ADA-ABCB-7BE1DB72F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399" name="BEx5AQZ4ETQ9LMY5EBWVH20Z7VXQ" hidden="1">
          <a:extLst>
            <a:ext uri="{FF2B5EF4-FFF2-40B4-BE49-F238E27FC236}">
              <a16:creationId xmlns:a16="http://schemas.microsoft.com/office/drawing/2014/main" id="{F55FF445-A841-4521-8BFD-C345FEECA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00" name="BEx1KD7H6UB1VYCJ7O61P562EIUY" descr="IQGV9140X0K0UPBL8OGU3I44J" hidden="1">
          <a:extLst>
            <a:ext uri="{FF2B5EF4-FFF2-40B4-BE49-F238E27FC236}">
              <a16:creationId xmlns:a16="http://schemas.microsoft.com/office/drawing/2014/main" id="{BB2F7B5C-C804-416B-8D1F-E529D75C7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01" name="BEx5AQZ4ETQ9LMY5EBWVH20Z7VXQ" hidden="1">
          <a:extLst>
            <a:ext uri="{FF2B5EF4-FFF2-40B4-BE49-F238E27FC236}">
              <a16:creationId xmlns:a16="http://schemas.microsoft.com/office/drawing/2014/main" id="{6935F8A1-1C48-4441-949E-F826A1E03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02" name="BEx1KD7H6UB1VYCJ7O61P562EIUY" descr="IQGV9140X0K0UPBL8OGU3I44J" hidden="1">
          <a:extLst>
            <a:ext uri="{FF2B5EF4-FFF2-40B4-BE49-F238E27FC236}">
              <a16:creationId xmlns:a16="http://schemas.microsoft.com/office/drawing/2014/main" id="{13A57214-177A-4670-8D6A-FA2BE9DF3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03" name="BEx5AQZ4ETQ9LMY5EBWVH20Z7VXQ" hidden="1">
          <a:extLst>
            <a:ext uri="{FF2B5EF4-FFF2-40B4-BE49-F238E27FC236}">
              <a16:creationId xmlns:a16="http://schemas.microsoft.com/office/drawing/2014/main" id="{3B84238E-165E-4E8C-983A-D3E6EEAD3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04" name="BEx1KD7H6UB1VYCJ7O61P562EIUY" descr="IQGV9140X0K0UPBL8OGU3I44J" hidden="1">
          <a:extLst>
            <a:ext uri="{FF2B5EF4-FFF2-40B4-BE49-F238E27FC236}">
              <a16:creationId xmlns:a16="http://schemas.microsoft.com/office/drawing/2014/main" id="{740945A4-7EB3-4145-AA65-9371ABB95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05" name="BEx5AQZ4ETQ9LMY5EBWVH20Z7VXQ" hidden="1">
          <a:extLst>
            <a:ext uri="{FF2B5EF4-FFF2-40B4-BE49-F238E27FC236}">
              <a16:creationId xmlns:a16="http://schemas.microsoft.com/office/drawing/2014/main" id="{1C964E71-EDB0-4D74-A22E-553BD9A0A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06" name="BEx1KD7H6UB1VYCJ7O61P562EIUY" descr="IQGV9140X0K0UPBL8OGU3I44J" hidden="1">
          <a:extLst>
            <a:ext uri="{FF2B5EF4-FFF2-40B4-BE49-F238E27FC236}">
              <a16:creationId xmlns:a16="http://schemas.microsoft.com/office/drawing/2014/main" id="{6F435522-3F2A-43CC-8A49-91B0B0952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07" name="BEx5AQZ4ETQ9LMY5EBWVH20Z7VXQ" hidden="1">
          <a:extLst>
            <a:ext uri="{FF2B5EF4-FFF2-40B4-BE49-F238E27FC236}">
              <a16:creationId xmlns:a16="http://schemas.microsoft.com/office/drawing/2014/main" id="{59183B8C-17F2-4F46-961C-3BDC46FD5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08" name="BEx1KD7H6UB1VYCJ7O61P562EIUY" descr="IQGV9140X0K0UPBL8OGU3I44J" hidden="1">
          <a:extLst>
            <a:ext uri="{FF2B5EF4-FFF2-40B4-BE49-F238E27FC236}">
              <a16:creationId xmlns:a16="http://schemas.microsoft.com/office/drawing/2014/main" id="{496B00D4-51CF-4DA6-8EB4-2C3A8C9E0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09" name="BEx5AQZ4ETQ9LMY5EBWVH20Z7VXQ" hidden="1">
          <a:extLst>
            <a:ext uri="{FF2B5EF4-FFF2-40B4-BE49-F238E27FC236}">
              <a16:creationId xmlns:a16="http://schemas.microsoft.com/office/drawing/2014/main" id="{24C2C0C0-B5AD-4A44-833D-C186B2FB1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10" name="BEx1KD7H6UB1VYCJ7O61P562EIUY" descr="IQGV9140X0K0UPBL8OGU3I44J" hidden="1">
          <a:extLst>
            <a:ext uri="{FF2B5EF4-FFF2-40B4-BE49-F238E27FC236}">
              <a16:creationId xmlns:a16="http://schemas.microsoft.com/office/drawing/2014/main" id="{1BE00483-482C-489C-A163-4E88D220A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11" name="BEx5AQZ4ETQ9LMY5EBWVH20Z7VXQ" hidden="1">
          <a:extLst>
            <a:ext uri="{FF2B5EF4-FFF2-40B4-BE49-F238E27FC236}">
              <a16:creationId xmlns:a16="http://schemas.microsoft.com/office/drawing/2014/main" id="{6B9A602C-9AD1-470E-8D00-4C3E4AE19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12" name="BEx1KD7H6UB1VYCJ7O61P562EIUY" descr="IQGV9140X0K0UPBL8OGU3I44J" hidden="1">
          <a:extLst>
            <a:ext uri="{FF2B5EF4-FFF2-40B4-BE49-F238E27FC236}">
              <a16:creationId xmlns:a16="http://schemas.microsoft.com/office/drawing/2014/main" id="{7C11BAE4-C94B-4EB6-A25A-7F29D800B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13" name="BEx5AQZ4ETQ9LMY5EBWVH20Z7VXQ" hidden="1">
          <a:extLst>
            <a:ext uri="{FF2B5EF4-FFF2-40B4-BE49-F238E27FC236}">
              <a16:creationId xmlns:a16="http://schemas.microsoft.com/office/drawing/2014/main" id="{FC8BCD44-B6E3-44E3-9636-9AD531CCD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14" name="BEx1KD7H6UB1VYCJ7O61P562EIUY" descr="IQGV9140X0K0UPBL8OGU3I44J" hidden="1">
          <a:extLst>
            <a:ext uri="{FF2B5EF4-FFF2-40B4-BE49-F238E27FC236}">
              <a16:creationId xmlns:a16="http://schemas.microsoft.com/office/drawing/2014/main" id="{572719E1-D454-48BE-81FD-8D2FCDED9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15" name="BEx5AQZ4ETQ9LMY5EBWVH20Z7VXQ" hidden="1">
          <a:extLst>
            <a:ext uri="{FF2B5EF4-FFF2-40B4-BE49-F238E27FC236}">
              <a16:creationId xmlns:a16="http://schemas.microsoft.com/office/drawing/2014/main" id="{23DC9444-4A6F-44F6-A965-CA2BFC4C9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16" name="BEx1KD7H6UB1VYCJ7O61P562EIUY" descr="IQGV9140X0K0UPBL8OGU3I44J" hidden="1">
          <a:extLst>
            <a:ext uri="{FF2B5EF4-FFF2-40B4-BE49-F238E27FC236}">
              <a16:creationId xmlns:a16="http://schemas.microsoft.com/office/drawing/2014/main" id="{51E81A4F-5A49-4865-A63A-7E3549D46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17" name="BEx5AQZ4ETQ9LMY5EBWVH20Z7VXQ" hidden="1">
          <a:extLst>
            <a:ext uri="{FF2B5EF4-FFF2-40B4-BE49-F238E27FC236}">
              <a16:creationId xmlns:a16="http://schemas.microsoft.com/office/drawing/2014/main" id="{028CA508-936C-45EA-A9EB-27021E671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18" name="BEx1KD7H6UB1VYCJ7O61P562EIUY" descr="IQGV9140X0K0UPBL8OGU3I44J" hidden="1">
          <a:extLst>
            <a:ext uri="{FF2B5EF4-FFF2-40B4-BE49-F238E27FC236}">
              <a16:creationId xmlns:a16="http://schemas.microsoft.com/office/drawing/2014/main" id="{9FC41799-AA02-4C46-94F7-F2E9677D1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19" name="BEx5AQZ4ETQ9LMY5EBWVH20Z7VXQ" hidden="1">
          <a:extLst>
            <a:ext uri="{FF2B5EF4-FFF2-40B4-BE49-F238E27FC236}">
              <a16:creationId xmlns:a16="http://schemas.microsoft.com/office/drawing/2014/main" id="{0252C8EF-1856-4320-AA8F-B2EBB6E35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20" name="BEx1KD7H6UB1VYCJ7O61P562EIUY" descr="IQGV9140X0K0UPBL8OGU3I44J" hidden="1">
          <a:extLst>
            <a:ext uri="{FF2B5EF4-FFF2-40B4-BE49-F238E27FC236}">
              <a16:creationId xmlns:a16="http://schemas.microsoft.com/office/drawing/2014/main" id="{26201671-2B0C-47E4-B13B-BC3523F30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21" name="BEx5AQZ4ETQ9LMY5EBWVH20Z7VXQ" hidden="1">
          <a:extLst>
            <a:ext uri="{FF2B5EF4-FFF2-40B4-BE49-F238E27FC236}">
              <a16:creationId xmlns:a16="http://schemas.microsoft.com/office/drawing/2014/main" id="{6001370B-46CD-43E6-97C3-2EB3A21B2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22" name="BEx1KD7H6UB1VYCJ7O61P562EIUY" descr="IQGV9140X0K0UPBL8OGU3I44J" hidden="1">
          <a:extLst>
            <a:ext uri="{FF2B5EF4-FFF2-40B4-BE49-F238E27FC236}">
              <a16:creationId xmlns:a16="http://schemas.microsoft.com/office/drawing/2014/main" id="{38F5BD15-9E76-48C0-98C3-4B3B8525A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23" name="BEx5AQZ4ETQ9LMY5EBWVH20Z7VXQ" hidden="1">
          <a:extLst>
            <a:ext uri="{FF2B5EF4-FFF2-40B4-BE49-F238E27FC236}">
              <a16:creationId xmlns:a16="http://schemas.microsoft.com/office/drawing/2014/main" id="{E80BA288-B587-4C3B-81BB-642A3B8A9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24" name="BEx1KD7H6UB1VYCJ7O61P562EIUY" descr="IQGV9140X0K0UPBL8OGU3I44J" hidden="1">
          <a:extLst>
            <a:ext uri="{FF2B5EF4-FFF2-40B4-BE49-F238E27FC236}">
              <a16:creationId xmlns:a16="http://schemas.microsoft.com/office/drawing/2014/main" id="{5293EEAC-3BA5-4C13-8EE4-6B80ECE99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25" name="BEx5AQZ4ETQ9LMY5EBWVH20Z7VXQ" hidden="1">
          <a:extLst>
            <a:ext uri="{FF2B5EF4-FFF2-40B4-BE49-F238E27FC236}">
              <a16:creationId xmlns:a16="http://schemas.microsoft.com/office/drawing/2014/main" id="{BB9E97B7-4A0E-407B-A9E5-1FDFCDA83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26" name="BEx1KD7H6UB1VYCJ7O61P562EIUY" descr="IQGV9140X0K0UPBL8OGU3I44J" hidden="1">
          <a:extLst>
            <a:ext uri="{FF2B5EF4-FFF2-40B4-BE49-F238E27FC236}">
              <a16:creationId xmlns:a16="http://schemas.microsoft.com/office/drawing/2014/main" id="{3C13BD4A-964F-4C8E-B4F2-40D531B13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27" name="BEx5AQZ4ETQ9LMY5EBWVH20Z7VXQ" hidden="1">
          <a:extLst>
            <a:ext uri="{FF2B5EF4-FFF2-40B4-BE49-F238E27FC236}">
              <a16:creationId xmlns:a16="http://schemas.microsoft.com/office/drawing/2014/main" id="{EAEEE840-F806-4748-9FA7-38956259E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28" name="BEx1KD7H6UB1VYCJ7O61P562EIUY" descr="IQGV9140X0K0UPBL8OGU3I44J" hidden="1">
          <a:extLst>
            <a:ext uri="{FF2B5EF4-FFF2-40B4-BE49-F238E27FC236}">
              <a16:creationId xmlns:a16="http://schemas.microsoft.com/office/drawing/2014/main" id="{95582748-5ADC-4B0B-8A6A-32DA1F15E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29" name="BEx5AQZ4ETQ9LMY5EBWVH20Z7VXQ" hidden="1">
          <a:extLst>
            <a:ext uri="{FF2B5EF4-FFF2-40B4-BE49-F238E27FC236}">
              <a16:creationId xmlns:a16="http://schemas.microsoft.com/office/drawing/2014/main" id="{05FA3C28-D845-4D0B-BF83-71CA87F83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30" name="BEx1KD7H6UB1VYCJ7O61P562EIUY" descr="IQGV9140X0K0UPBL8OGU3I44J" hidden="1">
          <a:extLst>
            <a:ext uri="{FF2B5EF4-FFF2-40B4-BE49-F238E27FC236}">
              <a16:creationId xmlns:a16="http://schemas.microsoft.com/office/drawing/2014/main" id="{E0287FB1-67D2-4502-B390-9EF5C8527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31" name="BEx5AQZ4ETQ9LMY5EBWVH20Z7VXQ" hidden="1">
          <a:extLst>
            <a:ext uri="{FF2B5EF4-FFF2-40B4-BE49-F238E27FC236}">
              <a16:creationId xmlns:a16="http://schemas.microsoft.com/office/drawing/2014/main" id="{3D8E0CB8-1F8E-4098-8E31-1F0141193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32" name="BEx1KD7H6UB1VYCJ7O61P562EIUY" descr="IQGV9140X0K0UPBL8OGU3I44J" hidden="1">
          <a:extLst>
            <a:ext uri="{FF2B5EF4-FFF2-40B4-BE49-F238E27FC236}">
              <a16:creationId xmlns:a16="http://schemas.microsoft.com/office/drawing/2014/main" id="{272C9647-E3E8-4CA1-ACF6-041A9317C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33" name="BEx5AQZ4ETQ9LMY5EBWVH20Z7VXQ" hidden="1">
          <a:extLst>
            <a:ext uri="{FF2B5EF4-FFF2-40B4-BE49-F238E27FC236}">
              <a16:creationId xmlns:a16="http://schemas.microsoft.com/office/drawing/2014/main" id="{28D70D34-50D6-4B42-88A9-7542C4E05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34" name="BEx1KD7H6UB1VYCJ7O61P562EIUY" descr="IQGV9140X0K0UPBL8OGU3I44J" hidden="1">
          <a:extLst>
            <a:ext uri="{FF2B5EF4-FFF2-40B4-BE49-F238E27FC236}">
              <a16:creationId xmlns:a16="http://schemas.microsoft.com/office/drawing/2014/main" id="{8BF22FC6-22C0-4919-A26C-93F9D9822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35" name="BEx5AQZ4ETQ9LMY5EBWVH20Z7VXQ" hidden="1">
          <a:extLst>
            <a:ext uri="{FF2B5EF4-FFF2-40B4-BE49-F238E27FC236}">
              <a16:creationId xmlns:a16="http://schemas.microsoft.com/office/drawing/2014/main" id="{D8DC87A4-C379-47E8-A085-68D2F6F9E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36" name="BEx1KD7H6UB1VYCJ7O61P562EIUY" descr="IQGV9140X0K0UPBL8OGU3I44J" hidden="1">
          <a:extLst>
            <a:ext uri="{FF2B5EF4-FFF2-40B4-BE49-F238E27FC236}">
              <a16:creationId xmlns:a16="http://schemas.microsoft.com/office/drawing/2014/main" id="{6B7C00C4-DA8C-49F4-8793-257D04D07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6437" name="BExVTO5Q8G2M7BPL4B2584LQS0R0" descr="OB6Q8NA4LZFE4GM9Y3V56BPMQ" hidden="1">
          <a:extLst>
            <a:ext uri="{FF2B5EF4-FFF2-40B4-BE49-F238E27FC236}">
              <a16:creationId xmlns:a16="http://schemas.microsoft.com/office/drawing/2014/main" id="{759A1B51-712F-46B1-BA60-77BBDA7CB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38" name="BEx5AQZ4ETQ9LMY5EBWVH20Z7VXQ" hidden="1">
          <a:extLst>
            <a:ext uri="{FF2B5EF4-FFF2-40B4-BE49-F238E27FC236}">
              <a16:creationId xmlns:a16="http://schemas.microsoft.com/office/drawing/2014/main" id="{3B4A11FE-1814-4A3E-B642-D91731340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6439" name="BExUEZCSSJ7RN4J18I2NUIQR2FZS" hidden="1">
          <a:extLst>
            <a:ext uri="{FF2B5EF4-FFF2-40B4-BE49-F238E27FC236}">
              <a16:creationId xmlns:a16="http://schemas.microsoft.com/office/drawing/2014/main" id="{ABCE3805-F1AF-4CB9-8B10-063828CB3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543300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40" name="BEx1KD7H6UB1VYCJ7O61P562EIUY" descr="IQGV9140X0K0UPBL8OGU3I44J" hidden="1">
          <a:extLst>
            <a:ext uri="{FF2B5EF4-FFF2-40B4-BE49-F238E27FC236}">
              <a16:creationId xmlns:a16="http://schemas.microsoft.com/office/drawing/2014/main" id="{2BC96AE3-A160-436A-A92C-2FA4076D8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41" name="BEx5AQZ4ETQ9LMY5EBWVH20Z7VXQ" hidden="1">
          <a:extLst>
            <a:ext uri="{FF2B5EF4-FFF2-40B4-BE49-F238E27FC236}">
              <a16:creationId xmlns:a16="http://schemas.microsoft.com/office/drawing/2014/main" id="{681EE77F-A543-4B2A-92AC-B81D0E857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42" name="BEx1KD7H6UB1VYCJ7O61P562EIUY" descr="IQGV9140X0K0UPBL8OGU3I44J" hidden="1">
          <a:extLst>
            <a:ext uri="{FF2B5EF4-FFF2-40B4-BE49-F238E27FC236}">
              <a16:creationId xmlns:a16="http://schemas.microsoft.com/office/drawing/2014/main" id="{2B8D71C9-9E95-4C34-9F11-2085C22EE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43" name="BEx5AQZ4ETQ9LMY5EBWVH20Z7VXQ" hidden="1">
          <a:extLst>
            <a:ext uri="{FF2B5EF4-FFF2-40B4-BE49-F238E27FC236}">
              <a16:creationId xmlns:a16="http://schemas.microsoft.com/office/drawing/2014/main" id="{C5735FEF-DB7B-463E-809D-345D66DB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44" name="BEx1KD7H6UB1VYCJ7O61P562EIUY" descr="IQGV9140X0K0UPBL8OGU3I44J" hidden="1">
          <a:extLst>
            <a:ext uri="{FF2B5EF4-FFF2-40B4-BE49-F238E27FC236}">
              <a16:creationId xmlns:a16="http://schemas.microsoft.com/office/drawing/2014/main" id="{58A9CB13-AA51-4C6E-B4A5-1322CED56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45" name="BEx5AQZ4ETQ9LMY5EBWVH20Z7VXQ" hidden="1">
          <a:extLst>
            <a:ext uri="{FF2B5EF4-FFF2-40B4-BE49-F238E27FC236}">
              <a16:creationId xmlns:a16="http://schemas.microsoft.com/office/drawing/2014/main" id="{43F17BE4-1CA0-47FD-977B-D9B754D0A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46" name="BEx1KD7H6UB1VYCJ7O61P562EIUY" descr="IQGV9140X0K0UPBL8OGU3I44J" hidden="1">
          <a:extLst>
            <a:ext uri="{FF2B5EF4-FFF2-40B4-BE49-F238E27FC236}">
              <a16:creationId xmlns:a16="http://schemas.microsoft.com/office/drawing/2014/main" id="{75063010-C7D3-414F-8A70-87CC04F17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47" name="BEx5AQZ4ETQ9LMY5EBWVH20Z7VXQ" hidden="1">
          <a:extLst>
            <a:ext uri="{FF2B5EF4-FFF2-40B4-BE49-F238E27FC236}">
              <a16:creationId xmlns:a16="http://schemas.microsoft.com/office/drawing/2014/main" id="{1EF86B2D-4F9B-47CE-8BA0-741A203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48" name="BEx1KD7H6UB1VYCJ7O61P562EIUY" descr="IQGV9140X0K0UPBL8OGU3I44J" hidden="1">
          <a:extLst>
            <a:ext uri="{FF2B5EF4-FFF2-40B4-BE49-F238E27FC236}">
              <a16:creationId xmlns:a16="http://schemas.microsoft.com/office/drawing/2014/main" id="{52F65DD7-D94F-4983-9F47-8D98C5B11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49" name="BEx5AQZ4ETQ9LMY5EBWVH20Z7VXQ" hidden="1">
          <a:extLst>
            <a:ext uri="{FF2B5EF4-FFF2-40B4-BE49-F238E27FC236}">
              <a16:creationId xmlns:a16="http://schemas.microsoft.com/office/drawing/2014/main" id="{4CBE6160-DF1F-4BEE-A69D-BECEDE234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50" name="BEx1KD7H6UB1VYCJ7O61P562EIUY" descr="IQGV9140X0K0UPBL8OGU3I44J" hidden="1">
          <a:extLst>
            <a:ext uri="{FF2B5EF4-FFF2-40B4-BE49-F238E27FC236}">
              <a16:creationId xmlns:a16="http://schemas.microsoft.com/office/drawing/2014/main" id="{5E217DCB-8131-4EAB-A5CF-5B8536C91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51" name="BEx5AQZ4ETQ9LMY5EBWVH20Z7VXQ" hidden="1">
          <a:extLst>
            <a:ext uri="{FF2B5EF4-FFF2-40B4-BE49-F238E27FC236}">
              <a16:creationId xmlns:a16="http://schemas.microsoft.com/office/drawing/2014/main" id="{E4031653-DA25-45C8-AE0F-34E0F7EC2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52" name="BEx1KD7H6UB1VYCJ7O61P562EIUY" descr="IQGV9140X0K0UPBL8OGU3I44J" hidden="1">
          <a:extLst>
            <a:ext uri="{FF2B5EF4-FFF2-40B4-BE49-F238E27FC236}">
              <a16:creationId xmlns:a16="http://schemas.microsoft.com/office/drawing/2014/main" id="{F1E83E13-9E32-4A4F-8214-2CC65AB9A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53" name="BEx5AQZ4ETQ9LMY5EBWVH20Z7VXQ" hidden="1">
          <a:extLst>
            <a:ext uri="{FF2B5EF4-FFF2-40B4-BE49-F238E27FC236}">
              <a16:creationId xmlns:a16="http://schemas.microsoft.com/office/drawing/2014/main" id="{3EB5AA30-AE28-40E2-B592-3642AC3E9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54" name="BEx1KD7H6UB1VYCJ7O61P562EIUY" descr="IQGV9140X0K0UPBL8OGU3I44J" hidden="1">
          <a:extLst>
            <a:ext uri="{FF2B5EF4-FFF2-40B4-BE49-F238E27FC236}">
              <a16:creationId xmlns:a16="http://schemas.microsoft.com/office/drawing/2014/main" id="{A4F23BB1-5218-494A-9716-436BDA4BD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55" name="BEx5AQZ4ETQ9LMY5EBWVH20Z7VXQ" hidden="1">
          <a:extLst>
            <a:ext uri="{FF2B5EF4-FFF2-40B4-BE49-F238E27FC236}">
              <a16:creationId xmlns:a16="http://schemas.microsoft.com/office/drawing/2014/main" id="{8BE00979-B644-4DCA-A406-FE5AFED34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56" name="BEx1KD7H6UB1VYCJ7O61P562EIUY" descr="IQGV9140X0K0UPBL8OGU3I44J" hidden="1">
          <a:extLst>
            <a:ext uri="{FF2B5EF4-FFF2-40B4-BE49-F238E27FC236}">
              <a16:creationId xmlns:a16="http://schemas.microsoft.com/office/drawing/2014/main" id="{67AD78E4-A63D-40E1-9B06-AC122B169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57" name="BEx5AQZ4ETQ9LMY5EBWVH20Z7VXQ" hidden="1">
          <a:extLst>
            <a:ext uri="{FF2B5EF4-FFF2-40B4-BE49-F238E27FC236}">
              <a16:creationId xmlns:a16="http://schemas.microsoft.com/office/drawing/2014/main" id="{E12EFC8C-D28A-48A6-AA44-EC770D96C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58" name="BEx1KD7H6UB1VYCJ7O61P562EIUY" descr="IQGV9140X0K0UPBL8OGU3I44J" hidden="1">
          <a:extLst>
            <a:ext uri="{FF2B5EF4-FFF2-40B4-BE49-F238E27FC236}">
              <a16:creationId xmlns:a16="http://schemas.microsoft.com/office/drawing/2014/main" id="{8A6501D1-BDEA-4341-882D-FAC17440D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59" name="BEx5AQZ4ETQ9LMY5EBWVH20Z7VXQ" hidden="1">
          <a:extLst>
            <a:ext uri="{FF2B5EF4-FFF2-40B4-BE49-F238E27FC236}">
              <a16:creationId xmlns:a16="http://schemas.microsoft.com/office/drawing/2014/main" id="{7D21F259-7568-4954-89E3-0BD268E6C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60" name="BEx1KD7H6UB1VYCJ7O61P562EIUY" descr="IQGV9140X0K0UPBL8OGU3I44J" hidden="1">
          <a:extLst>
            <a:ext uri="{FF2B5EF4-FFF2-40B4-BE49-F238E27FC236}">
              <a16:creationId xmlns:a16="http://schemas.microsoft.com/office/drawing/2014/main" id="{FA4942BB-C97B-4B33-92F3-08C4AEA3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61" name="BEx5AQZ4ETQ9LMY5EBWVH20Z7VXQ" hidden="1">
          <a:extLst>
            <a:ext uri="{FF2B5EF4-FFF2-40B4-BE49-F238E27FC236}">
              <a16:creationId xmlns:a16="http://schemas.microsoft.com/office/drawing/2014/main" id="{40EDBF9E-ED60-4F84-B6AC-597B6AD17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62" name="BEx1KD7H6UB1VYCJ7O61P562EIUY" descr="IQGV9140X0K0UPBL8OGU3I44J" hidden="1">
          <a:extLst>
            <a:ext uri="{FF2B5EF4-FFF2-40B4-BE49-F238E27FC236}">
              <a16:creationId xmlns:a16="http://schemas.microsoft.com/office/drawing/2014/main" id="{2E451B28-B4D0-41D2-9F33-40A8A9FE0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63" name="BEx5AQZ4ETQ9LMY5EBWVH20Z7VXQ" hidden="1">
          <a:extLst>
            <a:ext uri="{FF2B5EF4-FFF2-40B4-BE49-F238E27FC236}">
              <a16:creationId xmlns:a16="http://schemas.microsoft.com/office/drawing/2014/main" id="{FA0BBF04-B933-4D55-A9AF-278D76181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64" name="BEx1KD7H6UB1VYCJ7O61P562EIUY" descr="IQGV9140X0K0UPBL8OGU3I44J" hidden="1">
          <a:extLst>
            <a:ext uri="{FF2B5EF4-FFF2-40B4-BE49-F238E27FC236}">
              <a16:creationId xmlns:a16="http://schemas.microsoft.com/office/drawing/2014/main" id="{B7286CAA-BCCC-48FB-8ED0-E296A2FBC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65" name="BEx5AQZ4ETQ9LMY5EBWVH20Z7VXQ" hidden="1">
          <a:extLst>
            <a:ext uri="{FF2B5EF4-FFF2-40B4-BE49-F238E27FC236}">
              <a16:creationId xmlns:a16="http://schemas.microsoft.com/office/drawing/2014/main" id="{AA1C835A-8CD7-4F0E-AF1F-B8FBF18EF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66" name="BEx1KD7H6UB1VYCJ7O61P562EIUY" descr="IQGV9140X0K0UPBL8OGU3I44J" hidden="1">
          <a:extLst>
            <a:ext uri="{FF2B5EF4-FFF2-40B4-BE49-F238E27FC236}">
              <a16:creationId xmlns:a16="http://schemas.microsoft.com/office/drawing/2014/main" id="{8634B1D2-50D1-4D8C-A44D-0D92CD3DD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67" name="BEx5AQZ4ETQ9LMY5EBWVH20Z7VXQ" hidden="1">
          <a:extLst>
            <a:ext uri="{FF2B5EF4-FFF2-40B4-BE49-F238E27FC236}">
              <a16:creationId xmlns:a16="http://schemas.microsoft.com/office/drawing/2014/main" id="{4BAB9585-C240-47BB-A56A-D846B914C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68" name="BEx1KD7H6UB1VYCJ7O61P562EIUY" descr="IQGV9140X0K0UPBL8OGU3I44J" hidden="1">
          <a:extLst>
            <a:ext uri="{FF2B5EF4-FFF2-40B4-BE49-F238E27FC236}">
              <a16:creationId xmlns:a16="http://schemas.microsoft.com/office/drawing/2014/main" id="{525F7015-1A70-478E-9752-1967E69D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69" name="BEx5AQZ4ETQ9LMY5EBWVH20Z7VXQ" hidden="1">
          <a:extLst>
            <a:ext uri="{FF2B5EF4-FFF2-40B4-BE49-F238E27FC236}">
              <a16:creationId xmlns:a16="http://schemas.microsoft.com/office/drawing/2014/main" id="{BA1E74F5-44D5-4678-A25F-49B8D4138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70" name="BEx1KD7H6UB1VYCJ7O61P562EIUY" descr="IQGV9140X0K0UPBL8OGU3I44J" hidden="1">
          <a:extLst>
            <a:ext uri="{FF2B5EF4-FFF2-40B4-BE49-F238E27FC236}">
              <a16:creationId xmlns:a16="http://schemas.microsoft.com/office/drawing/2014/main" id="{AC88B10A-5298-4CBA-A4E0-DA865798C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71" name="BEx5AQZ4ETQ9LMY5EBWVH20Z7VXQ" hidden="1">
          <a:extLst>
            <a:ext uri="{FF2B5EF4-FFF2-40B4-BE49-F238E27FC236}">
              <a16:creationId xmlns:a16="http://schemas.microsoft.com/office/drawing/2014/main" id="{692250C8-E33E-40A2-85D9-014F01421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72" name="BEx1KD7H6UB1VYCJ7O61P562EIUY" descr="IQGV9140X0K0UPBL8OGU3I44J" hidden="1">
          <a:extLst>
            <a:ext uri="{FF2B5EF4-FFF2-40B4-BE49-F238E27FC236}">
              <a16:creationId xmlns:a16="http://schemas.microsoft.com/office/drawing/2014/main" id="{216CC86A-53F6-4605-8B06-0E2845AF0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73" name="BEx5AQZ4ETQ9LMY5EBWVH20Z7VXQ" hidden="1">
          <a:extLst>
            <a:ext uri="{FF2B5EF4-FFF2-40B4-BE49-F238E27FC236}">
              <a16:creationId xmlns:a16="http://schemas.microsoft.com/office/drawing/2014/main" id="{30E322B3-78D0-4359-9957-0ED290126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74" name="BEx1KD7H6UB1VYCJ7O61P562EIUY" descr="IQGV9140X0K0UPBL8OGU3I44J" hidden="1">
          <a:extLst>
            <a:ext uri="{FF2B5EF4-FFF2-40B4-BE49-F238E27FC236}">
              <a16:creationId xmlns:a16="http://schemas.microsoft.com/office/drawing/2014/main" id="{ADA03A45-50F8-42F9-8F6C-14B2A364E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75" name="BEx5AQZ4ETQ9LMY5EBWVH20Z7VXQ" hidden="1">
          <a:extLst>
            <a:ext uri="{FF2B5EF4-FFF2-40B4-BE49-F238E27FC236}">
              <a16:creationId xmlns:a16="http://schemas.microsoft.com/office/drawing/2014/main" id="{A0909A66-7DEB-4532-9B02-C1924CE15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76" name="BEx1KD7H6UB1VYCJ7O61P562EIUY" descr="IQGV9140X0K0UPBL8OGU3I44J" hidden="1">
          <a:extLst>
            <a:ext uri="{FF2B5EF4-FFF2-40B4-BE49-F238E27FC236}">
              <a16:creationId xmlns:a16="http://schemas.microsoft.com/office/drawing/2014/main" id="{229AC41D-34FE-487A-ACC4-F737B73C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77" name="BEx5AQZ4ETQ9LMY5EBWVH20Z7VXQ" hidden="1">
          <a:extLst>
            <a:ext uri="{FF2B5EF4-FFF2-40B4-BE49-F238E27FC236}">
              <a16:creationId xmlns:a16="http://schemas.microsoft.com/office/drawing/2014/main" id="{8DB09295-BE95-400E-A1B2-8FDA4CD14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78" name="BEx1KD7H6UB1VYCJ7O61P562EIUY" descr="IQGV9140X0K0UPBL8OGU3I44J" hidden="1">
          <a:extLst>
            <a:ext uri="{FF2B5EF4-FFF2-40B4-BE49-F238E27FC236}">
              <a16:creationId xmlns:a16="http://schemas.microsoft.com/office/drawing/2014/main" id="{C4234FC4-D70E-406A-ABE9-0F0EF036E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79" name="BEx5AQZ4ETQ9LMY5EBWVH20Z7VXQ" hidden="1">
          <a:extLst>
            <a:ext uri="{FF2B5EF4-FFF2-40B4-BE49-F238E27FC236}">
              <a16:creationId xmlns:a16="http://schemas.microsoft.com/office/drawing/2014/main" id="{4847F7AC-08C2-41A7-BFE9-279C8EEBA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80" name="BEx1KD7H6UB1VYCJ7O61P562EIUY" descr="IQGV9140X0K0UPBL8OGU3I44J" hidden="1">
          <a:extLst>
            <a:ext uri="{FF2B5EF4-FFF2-40B4-BE49-F238E27FC236}">
              <a16:creationId xmlns:a16="http://schemas.microsoft.com/office/drawing/2014/main" id="{1F8F45E3-D75B-4A49-B165-603B76928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81" name="BEx5AQZ4ETQ9LMY5EBWVH20Z7VXQ" hidden="1">
          <a:extLst>
            <a:ext uri="{FF2B5EF4-FFF2-40B4-BE49-F238E27FC236}">
              <a16:creationId xmlns:a16="http://schemas.microsoft.com/office/drawing/2014/main" id="{0634EB38-7623-4A54-966A-5532852AE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82" name="BEx1KD7H6UB1VYCJ7O61P562EIUY" descr="IQGV9140X0K0UPBL8OGU3I44J" hidden="1">
          <a:extLst>
            <a:ext uri="{FF2B5EF4-FFF2-40B4-BE49-F238E27FC236}">
              <a16:creationId xmlns:a16="http://schemas.microsoft.com/office/drawing/2014/main" id="{6759919D-740C-458F-81EE-792016430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83" name="BEx5AQZ4ETQ9LMY5EBWVH20Z7VXQ" hidden="1">
          <a:extLst>
            <a:ext uri="{FF2B5EF4-FFF2-40B4-BE49-F238E27FC236}">
              <a16:creationId xmlns:a16="http://schemas.microsoft.com/office/drawing/2014/main" id="{124D263E-1678-499D-8AB7-E047A40C4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84" name="BEx1KD7H6UB1VYCJ7O61P562EIUY" descr="IQGV9140X0K0UPBL8OGU3I44J" hidden="1">
          <a:extLst>
            <a:ext uri="{FF2B5EF4-FFF2-40B4-BE49-F238E27FC236}">
              <a16:creationId xmlns:a16="http://schemas.microsoft.com/office/drawing/2014/main" id="{39E0B619-AE63-404A-BD96-D4832B909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85" name="BEx5AQZ4ETQ9LMY5EBWVH20Z7VXQ" hidden="1">
          <a:extLst>
            <a:ext uri="{FF2B5EF4-FFF2-40B4-BE49-F238E27FC236}">
              <a16:creationId xmlns:a16="http://schemas.microsoft.com/office/drawing/2014/main" id="{24259454-EDAD-4373-B9D0-02CB21C1A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86" name="BEx1KD7H6UB1VYCJ7O61P562EIUY" descr="IQGV9140X0K0UPBL8OGU3I44J" hidden="1">
          <a:extLst>
            <a:ext uri="{FF2B5EF4-FFF2-40B4-BE49-F238E27FC236}">
              <a16:creationId xmlns:a16="http://schemas.microsoft.com/office/drawing/2014/main" id="{6FE344E4-C96C-45E7-97D5-58C596108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87" name="BEx5AQZ4ETQ9LMY5EBWVH20Z7VXQ" hidden="1">
          <a:extLst>
            <a:ext uri="{FF2B5EF4-FFF2-40B4-BE49-F238E27FC236}">
              <a16:creationId xmlns:a16="http://schemas.microsoft.com/office/drawing/2014/main" id="{91E808F7-9C44-4049-97DA-AA0B54332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88" name="BEx1KD7H6UB1VYCJ7O61P562EIUY" descr="IQGV9140X0K0UPBL8OGU3I44J" hidden="1">
          <a:extLst>
            <a:ext uri="{FF2B5EF4-FFF2-40B4-BE49-F238E27FC236}">
              <a16:creationId xmlns:a16="http://schemas.microsoft.com/office/drawing/2014/main" id="{44696895-F685-47D0-8610-453235B26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89" name="BEx5AQZ4ETQ9LMY5EBWVH20Z7VXQ" hidden="1">
          <a:extLst>
            <a:ext uri="{FF2B5EF4-FFF2-40B4-BE49-F238E27FC236}">
              <a16:creationId xmlns:a16="http://schemas.microsoft.com/office/drawing/2014/main" id="{91163750-9C77-4533-9D36-935815AC1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90" name="BEx1KD7H6UB1VYCJ7O61P562EIUY" descr="IQGV9140X0K0UPBL8OGU3I44J" hidden="1">
          <a:extLst>
            <a:ext uri="{FF2B5EF4-FFF2-40B4-BE49-F238E27FC236}">
              <a16:creationId xmlns:a16="http://schemas.microsoft.com/office/drawing/2014/main" id="{DF676C7F-771C-4DDC-B661-0EFCF2B60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91" name="BEx5AQZ4ETQ9LMY5EBWVH20Z7VXQ" hidden="1">
          <a:extLst>
            <a:ext uri="{FF2B5EF4-FFF2-40B4-BE49-F238E27FC236}">
              <a16:creationId xmlns:a16="http://schemas.microsoft.com/office/drawing/2014/main" id="{526D6B0A-44A2-4659-B201-237377780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92" name="BEx1KD7H6UB1VYCJ7O61P562EIUY" descr="IQGV9140X0K0UPBL8OGU3I44J" hidden="1">
          <a:extLst>
            <a:ext uri="{FF2B5EF4-FFF2-40B4-BE49-F238E27FC236}">
              <a16:creationId xmlns:a16="http://schemas.microsoft.com/office/drawing/2014/main" id="{B7C5F368-D58E-45E6-A3B5-A77973487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93" name="BEx5AQZ4ETQ9LMY5EBWVH20Z7VXQ" hidden="1">
          <a:extLst>
            <a:ext uri="{FF2B5EF4-FFF2-40B4-BE49-F238E27FC236}">
              <a16:creationId xmlns:a16="http://schemas.microsoft.com/office/drawing/2014/main" id="{08F6D1AD-285F-4343-8EE4-2300F9169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94" name="BEx1KD7H6UB1VYCJ7O61P562EIUY" descr="IQGV9140X0K0UPBL8OGU3I44J" hidden="1">
          <a:extLst>
            <a:ext uri="{FF2B5EF4-FFF2-40B4-BE49-F238E27FC236}">
              <a16:creationId xmlns:a16="http://schemas.microsoft.com/office/drawing/2014/main" id="{93C38CA2-0D87-490E-8EC9-B9C4BDBA9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95" name="BEx5AQZ4ETQ9LMY5EBWVH20Z7VXQ" hidden="1">
          <a:extLst>
            <a:ext uri="{FF2B5EF4-FFF2-40B4-BE49-F238E27FC236}">
              <a16:creationId xmlns:a16="http://schemas.microsoft.com/office/drawing/2014/main" id="{C0D7E390-6FFE-44C3-AC2A-F4295D9BF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96" name="BEx1KD7H6UB1VYCJ7O61P562EIUY" descr="IQGV9140X0K0UPBL8OGU3I44J" hidden="1">
          <a:extLst>
            <a:ext uri="{FF2B5EF4-FFF2-40B4-BE49-F238E27FC236}">
              <a16:creationId xmlns:a16="http://schemas.microsoft.com/office/drawing/2014/main" id="{5BF00FD7-907E-4A10-8816-65A00D83C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97" name="BEx5AQZ4ETQ9LMY5EBWVH20Z7VXQ" hidden="1">
          <a:extLst>
            <a:ext uri="{FF2B5EF4-FFF2-40B4-BE49-F238E27FC236}">
              <a16:creationId xmlns:a16="http://schemas.microsoft.com/office/drawing/2014/main" id="{D59B99BB-ECD1-4342-893B-47AD84E6D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98" name="BEx1KD7H6UB1VYCJ7O61P562EIUY" descr="IQGV9140X0K0UPBL8OGU3I44J" hidden="1">
          <a:extLst>
            <a:ext uri="{FF2B5EF4-FFF2-40B4-BE49-F238E27FC236}">
              <a16:creationId xmlns:a16="http://schemas.microsoft.com/office/drawing/2014/main" id="{64BCB198-A8F1-4363-B2BC-900B7D3A5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499" name="BEx5AQZ4ETQ9LMY5EBWVH20Z7VXQ" hidden="1">
          <a:extLst>
            <a:ext uri="{FF2B5EF4-FFF2-40B4-BE49-F238E27FC236}">
              <a16:creationId xmlns:a16="http://schemas.microsoft.com/office/drawing/2014/main" id="{CFF49F01-D80F-4861-BBC6-58EF7881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00" name="BEx1KD7H6UB1VYCJ7O61P562EIUY" descr="IQGV9140X0K0UPBL8OGU3I44J" hidden="1">
          <a:extLst>
            <a:ext uri="{FF2B5EF4-FFF2-40B4-BE49-F238E27FC236}">
              <a16:creationId xmlns:a16="http://schemas.microsoft.com/office/drawing/2014/main" id="{60EC62A8-944B-4DB4-8297-70BFD8092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01" name="BEx5AQZ4ETQ9LMY5EBWVH20Z7VXQ" hidden="1">
          <a:extLst>
            <a:ext uri="{FF2B5EF4-FFF2-40B4-BE49-F238E27FC236}">
              <a16:creationId xmlns:a16="http://schemas.microsoft.com/office/drawing/2014/main" id="{E03F5933-2748-4A1F-A57A-A13B80003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02" name="BEx1KD7H6UB1VYCJ7O61P562EIUY" descr="IQGV9140X0K0UPBL8OGU3I44J" hidden="1">
          <a:extLst>
            <a:ext uri="{FF2B5EF4-FFF2-40B4-BE49-F238E27FC236}">
              <a16:creationId xmlns:a16="http://schemas.microsoft.com/office/drawing/2014/main" id="{C1AA3353-5164-4C93-B3C4-8EDF64CAA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03" name="BEx5AQZ4ETQ9LMY5EBWVH20Z7VXQ" hidden="1">
          <a:extLst>
            <a:ext uri="{FF2B5EF4-FFF2-40B4-BE49-F238E27FC236}">
              <a16:creationId xmlns:a16="http://schemas.microsoft.com/office/drawing/2014/main" id="{D191B562-5C17-4BB4-9CFF-62FFB93D0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04" name="BEx1KD7H6UB1VYCJ7O61P562EIUY" descr="IQGV9140X0K0UPBL8OGU3I44J" hidden="1">
          <a:extLst>
            <a:ext uri="{FF2B5EF4-FFF2-40B4-BE49-F238E27FC236}">
              <a16:creationId xmlns:a16="http://schemas.microsoft.com/office/drawing/2014/main" id="{9E27949F-310D-4D34-A9F4-75AF0DF5C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05" name="BEx5AQZ4ETQ9LMY5EBWVH20Z7VXQ" hidden="1">
          <a:extLst>
            <a:ext uri="{FF2B5EF4-FFF2-40B4-BE49-F238E27FC236}">
              <a16:creationId xmlns:a16="http://schemas.microsoft.com/office/drawing/2014/main" id="{20582141-3A9F-4637-8134-C061CD944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06" name="BEx1KD7H6UB1VYCJ7O61P562EIUY" descr="IQGV9140X0K0UPBL8OGU3I44J" hidden="1">
          <a:extLst>
            <a:ext uri="{FF2B5EF4-FFF2-40B4-BE49-F238E27FC236}">
              <a16:creationId xmlns:a16="http://schemas.microsoft.com/office/drawing/2014/main" id="{F2D09EE1-D5DA-41FA-AA40-7C00DAD79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07" name="BEx5AQZ4ETQ9LMY5EBWVH20Z7VXQ" hidden="1">
          <a:extLst>
            <a:ext uri="{FF2B5EF4-FFF2-40B4-BE49-F238E27FC236}">
              <a16:creationId xmlns:a16="http://schemas.microsoft.com/office/drawing/2014/main" id="{0EC8361F-D4DC-4914-95D6-3DCEDEE1C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08" name="BEx1KD7H6UB1VYCJ7O61P562EIUY" descr="IQGV9140X0K0UPBL8OGU3I44J" hidden="1">
          <a:extLst>
            <a:ext uri="{FF2B5EF4-FFF2-40B4-BE49-F238E27FC236}">
              <a16:creationId xmlns:a16="http://schemas.microsoft.com/office/drawing/2014/main" id="{21BF074A-2C4C-44C8-89FB-1F0EE3EFB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09" name="BEx5AQZ4ETQ9LMY5EBWVH20Z7VXQ" hidden="1">
          <a:extLst>
            <a:ext uri="{FF2B5EF4-FFF2-40B4-BE49-F238E27FC236}">
              <a16:creationId xmlns:a16="http://schemas.microsoft.com/office/drawing/2014/main" id="{56D37841-D889-4EA3-9B83-20592ED3B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10" name="BEx1KD7H6UB1VYCJ7O61P562EIUY" descr="IQGV9140X0K0UPBL8OGU3I44J" hidden="1">
          <a:extLst>
            <a:ext uri="{FF2B5EF4-FFF2-40B4-BE49-F238E27FC236}">
              <a16:creationId xmlns:a16="http://schemas.microsoft.com/office/drawing/2014/main" id="{4F0FF13A-7A9E-4DDE-A6A5-7D2387A11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11" name="BEx5AQZ4ETQ9LMY5EBWVH20Z7VXQ" hidden="1">
          <a:extLst>
            <a:ext uri="{FF2B5EF4-FFF2-40B4-BE49-F238E27FC236}">
              <a16:creationId xmlns:a16="http://schemas.microsoft.com/office/drawing/2014/main" id="{01B48DDD-E5D4-4287-B734-276598CE4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12" name="BEx1KD7H6UB1VYCJ7O61P562EIUY" descr="IQGV9140X0K0UPBL8OGU3I44J" hidden="1">
          <a:extLst>
            <a:ext uri="{FF2B5EF4-FFF2-40B4-BE49-F238E27FC236}">
              <a16:creationId xmlns:a16="http://schemas.microsoft.com/office/drawing/2014/main" id="{3CC9F3F4-FD1C-42C0-8D1A-8B88E6CF7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13" name="BEx5AQZ4ETQ9LMY5EBWVH20Z7VXQ" hidden="1">
          <a:extLst>
            <a:ext uri="{FF2B5EF4-FFF2-40B4-BE49-F238E27FC236}">
              <a16:creationId xmlns:a16="http://schemas.microsoft.com/office/drawing/2014/main" id="{DB009A65-D043-47C5-98D7-E05E735CD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14" name="BEx1KD7H6UB1VYCJ7O61P562EIUY" descr="IQGV9140X0K0UPBL8OGU3I44J" hidden="1">
          <a:extLst>
            <a:ext uri="{FF2B5EF4-FFF2-40B4-BE49-F238E27FC236}">
              <a16:creationId xmlns:a16="http://schemas.microsoft.com/office/drawing/2014/main" id="{4BAD8894-DAC9-48F9-8BE3-DB4A084BC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6515" name="BExVTO5Q8G2M7BPL4B2584LQS0R0" descr="OB6Q8NA4LZFE4GM9Y3V56BPMQ" hidden="1">
          <a:extLst>
            <a:ext uri="{FF2B5EF4-FFF2-40B4-BE49-F238E27FC236}">
              <a16:creationId xmlns:a16="http://schemas.microsoft.com/office/drawing/2014/main" id="{BAFD174C-A808-4214-A01F-89AB93414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16" name="BEx5AQZ4ETQ9LMY5EBWVH20Z7VXQ" hidden="1">
          <a:extLst>
            <a:ext uri="{FF2B5EF4-FFF2-40B4-BE49-F238E27FC236}">
              <a16:creationId xmlns:a16="http://schemas.microsoft.com/office/drawing/2014/main" id="{CED6EE0C-307C-4E03-8312-62CF79EC6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6517" name="BExUEZCSSJ7RN4J18I2NUIQR2FZS" hidden="1">
          <a:extLst>
            <a:ext uri="{FF2B5EF4-FFF2-40B4-BE49-F238E27FC236}">
              <a16:creationId xmlns:a16="http://schemas.microsoft.com/office/drawing/2014/main" id="{5175E039-EF57-4019-95CC-856593DFC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543300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18" name="BEx1KD7H6UB1VYCJ7O61P562EIUY" descr="IQGV9140X0K0UPBL8OGU3I44J" hidden="1">
          <a:extLst>
            <a:ext uri="{FF2B5EF4-FFF2-40B4-BE49-F238E27FC236}">
              <a16:creationId xmlns:a16="http://schemas.microsoft.com/office/drawing/2014/main" id="{E653259A-BB71-4FF4-A7EC-21802E152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19" name="BEx5AQZ4ETQ9LMY5EBWVH20Z7VXQ" hidden="1">
          <a:extLst>
            <a:ext uri="{FF2B5EF4-FFF2-40B4-BE49-F238E27FC236}">
              <a16:creationId xmlns:a16="http://schemas.microsoft.com/office/drawing/2014/main" id="{D1529AD3-5976-491F-8A52-E937A4381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20" name="BEx1KD7H6UB1VYCJ7O61P562EIUY" descr="IQGV9140X0K0UPBL8OGU3I44J" hidden="1">
          <a:extLst>
            <a:ext uri="{FF2B5EF4-FFF2-40B4-BE49-F238E27FC236}">
              <a16:creationId xmlns:a16="http://schemas.microsoft.com/office/drawing/2014/main" id="{87B4BB3E-31CB-4C36-B892-1D334C21E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21" name="BEx5AQZ4ETQ9LMY5EBWVH20Z7VXQ" hidden="1">
          <a:extLst>
            <a:ext uri="{FF2B5EF4-FFF2-40B4-BE49-F238E27FC236}">
              <a16:creationId xmlns:a16="http://schemas.microsoft.com/office/drawing/2014/main" id="{5FA57009-D385-4D1F-9D91-1ED810A19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22" name="BEx1KD7H6UB1VYCJ7O61P562EIUY" descr="IQGV9140X0K0UPBL8OGU3I44J" hidden="1">
          <a:extLst>
            <a:ext uri="{FF2B5EF4-FFF2-40B4-BE49-F238E27FC236}">
              <a16:creationId xmlns:a16="http://schemas.microsoft.com/office/drawing/2014/main" id="{D83DA26C-17BD-4A00-8B9F-B84C50B0B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23" name="BEx5AQZ4ETQ9LMY5EBWVH20Z7VXQ" hidden="1">
          <a:extLst>
            <a:ext uri="{FF2B5EF4-FFF2-40B4-BE49-F238E27FC236}">
              <a16:creationId xmlns:a16="http://schemas.microsoft.com/office/drawing/2014/main" id="{7F701090-212B-4FEC-BC2D-C66D7F240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24" name="BEx1KD7H6UB1VYCJ7O61P562EIUY" descr="IQGV9140X0K0UPBL8OGU3I44J" hidden="1">
          <a:extLst>
            <a:ext uri="{FF2B5EF4-FFF2-40B4-BE49-F238E27FC236}">
              <a16:creationId xmlns:a16="http://schemas.microsoft.com/office/drawing/2014/main" id="{7E14EC24-CE0F-4183-BB3D-0E151D44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25" name="BEx5AQZ4ETQ9LMY5EBWVH20Z7VXQ" hidden="1">
          <a:extLst>
            <a:ext uri="{FF2B5EF4-FFF2-40B4-BE49-F238E27FC236}">
              <a16:creationId xmlns:a16="http://schemas.microsoft.com/office/drawing/2014/main" id="{50CD7793-0B00-4181-83AE-1ACC6B1B9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26" name="BEx1KD7H6UB1VYCJ7O61P562EIUY" descr="IQGV9140X0K0UPBL8OGU3I44J" hidden="1">
          <a:extLst>
            <a:ext uri="{FF2B5EF4-FFF2-40B4-BE49-F238E27FC236}">
              <a16:creationId xmlns:a16="http://schemas.microsoft.com/office/drawing/2014/main" id="{23CE679F-2F8B-4CC2-A6A9-A133546F4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27" name="BEx5AQZ4ETQ9LMY5EBWVH20Z7VXQ" hidden="1">
          <a:extLst>
            <a:ext uri="{FF2B5EF4-FFF2-40B4-BE49-F238E27FC236}">
              <a16:creationId xmlns:a16="http://schemas.microsoft.com/office/drawing/2014/main" id="{1A9A2408-619B-4768-925E-5E9FEFD67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28" name="BEx1KD7H6UB1VYCJ7O61P562EIUY" descr="IQGV9140X0K0UPBL8OGU3I44J" hidden="1">
          <a:extLst>
            <a:ext uri="{FF2B5EF4-FFF2-40B4-BE49-F238E27FC236}">
              <a16:creationId xmlns:a16="http://schemas.microsoft.com/office/drawing/2014/main" id="{6324B389-4719-4153-96CD-8F841082F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29" name="BEx5AQZ4ETQ9LMY5EBWVH20Z7VXQ" hidden="1">
          <a:extLst>
            <a:ext uri="{FF2B5EF4-FFF2-40B4-BE49-F238E27FC236}">
              <a16:creationId xmlns:a16="http://schemas.microsoft.com/office/drawing/2014/main" id="{A6D85C62-129D-4907-A421-4BC264755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30" name="BEx1KD7H6UB1VYCJ7O61P562EIUY" descr="IQGV9140X0K0UPBL8OGU3I44J" hidden="1">
          <a:extLst>
            <a:ext uri="{FF2B5EF4-FFF2-40B4-BE49-F238E27FC236}">
              <a16:creationId xmlns:a16="http://schemas.microsoft.com/office/drawing/2014/main" id="{D1B89BC2-91DD-4C5B-889A-0E6D96DE2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31" name="BEx5AQZ4ETQ9LMY5EBWVH20Z7VXQ" hidden="1">
          <a:extLst>
            <a:ext uri="{FF2B5EF4-FFF2-40B4-BE49-F238E27FC236}">
              <a16:creationId xmlns:a16="http://schemas.microsoft.com/office/drawing/2014/main" id="{492484D9-CC5A-4571-A887-70D39E7CC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32" name="BEx1KD7H6UB1VYCJ7O61P562EIUY" descr="IQGV9140X0K0UPBL8OGU3I44J" hidden="1">
          <a:extLst>
            <a:ext uri="{FF2B5EF4-FFF2-40B4-BE49-F238E27FC236}">
              <a16:creationId xmlns:a16="http://schemas.microsoft.com/office/drawing/2014/main" id="{CB61D81C-CE13-4732-871D-80636F802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33" name="BEx5AQZ4ETQ9LMY5EBWVH20Z7VXQ" hidden="1">
          <a:extLst>
            <a:ext uri="{FF2B5EF4-FFF2-40B4-BE49-F238E27FC236}">
              <a16:creationId xmlns:a16="http://schemas.microsoft.com/office/drawing/2014/main" id="{9B06A1F0-3FC8-423D-A5C6-65DD5DDE1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34" name="BEx1KD7H6UB1VYCJ7O61P562EIUY" descr="IQGV9140X0K0UPBL8OGU3I44J" hidden="1">
          <a:extLst>
            <a:ext uri="{FF2B5EF4-FFF2-40B4-BE49-F238E27FC236}">
              <a16:creationId xmlns:a16="http://schemas.microsoft.com/office/drawing/2014/main" id="{B7505E23-0449-4425-9F2F-B03DACE2D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35" name="BEx5AQZ4ETQ9LMY5EBWVH20Z7VXQ" hidden="1">
          <a:extLst>
            <a:ext uri="{FF2B5EF4-FFF2-40B4-BE49-F238E27FC236}">
              <a16:creationId xmlns:a16="http://schemas.microsoft.com/office/drawing/2014/main" id="{BF6457A6-31EE-438C-A177-79D939F03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36" name="BEx1KD7H6UB1VYCJ7O61P562EIUY" descr="IQGV9140X0K0UPBL8OGU3I44J" hidden="1">
          <a:extLst>
            <a:ext uri="{FF2B5EF4-FFF2-40B4-BE49-F238E27FC236}">
              <a16:creationId xmlns:a16="http://schemas.microsoft.com/office/drawing/2014/main" id="{A53B3E3F-CCE7-4231-A3F4-7D09B68DB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37" name="BEx5AQZ4ETQ9LMY5EBWVH20Z7VXQ" hidden="1">
          <a:extLst>
            <a:ext uri="{FF2B5EF4-FFF2-40B4-BE49-F238E27FC236}">
              <a16:creationId xmlns:a16="http://schemas.microsoft.com/office/drawing/2014/main" id="{1A261395-AAFE-41BB-B198-0438FBA52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38" name="BEx1KD7H6UB1VYCJ7O61P562EIUY" descr="IQGV9140X0K0UPBL8OGU3I44J" hidden="1">
          <a:extLst>
            <a:ext uri="{FF2B5EF4-FFF2-40B4-BE49-F238E27FC236}">
              <a16:creationId xmlns:a16="http://schemas.microsoft.com/office/drawing/2014/main" id="{94E47122-9DA3-4F2C-A1C0-C14A36FB4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39" name="BEx5AQZ4ETQ9LMY5EBWVH20Z7VXQ" hidden="1">
          <a:extLst>
            <a:ext uri="{FF2B5EF4-FFF2-40B4-BE49-F238E27FC236}">
              <a16:creationId xmlns:a16="http://schemas.microsoft.com/office/drawing/2014/main" id="{A15EAE0A-DFBC-48B5-8BEA-EAD94AE88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40" name="BEx1KD7H6UB1VYCJ7O61P562EIUY" descr="IQGV9140X0K0UPBL8OGU3I44J" hidden="1">
          <a:extLst>
            <a:ext uri="{FF2B5EF4-FFF2-40B4-BE49-F238E27FC236}">
              <a16:creationId xmlns:a16="http://schemas.microsoft.com/office/drawing/2014/main" id="{A675FF18-C1C3-4F98-9038-DA81A99E7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41" name="BEx5AQZ4ETQ9LMY5EBWVH20Z7VXQ" hidden="1">
          <a:extLst>
            <a:ext uri="{FF2B5EF4-FFF2-40B4-BE49-F238E27FC236}">
              <a16:creationId xmlns:a16="http://schemas.microsoft.com/office/drawing/2014/main" id="{FDCC3954-D975-434D-B9E6-498BAD5E9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42" name="BEx1KD7H6UB1VYCJ7O61P562EIUY" descr="IQGV9140X0K0UPBL8OGU3I44J" hidden="1">
          <a:extLst>
            <a:ext uri="{FF2B5EF4-FFF2-40B4-BE49-F238E27FC236}">
              <a16:creationId xmlns:a16="http://schemas.microsoft.com/office/drawing/2014/main" id="{8DF6E5AC-C64C-4320-8E4F-60A123099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43" name="BEx5AQZ4ETQ9LMY5EBWVH20Z7VXQ" hidden="1">
          <a:extLst>
            <a:ext uri="{FF2B5EF4-FFF2-40B4-BE49-F238E27FC236}">
              <a16:creationId xmlns:a16="http://schemas.microsoft.com/office/drawing/2014/main" id="{21ACF8CE-D1E4-41C5-8869-C6235410A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44" name="BEx1KD7H6UB1VYCJ7O61P562EIUY" descr="IQGV9140X0K0UPBL8OGU3I44J" hidden="1">
          <a:extLst>
            <a:ext uri="{FF2B5EF4-FFF2-40B4-BE49-F238E27FC236}">
              <a16:creationId xmlns:a16="http://schemas.microsoft.com/office/drawing/2014/main" id="{450244D4-2A3D-4A4F-8CDB-B0BE71431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45" name="BEx5AQZ4ETQ9LMY5EBWVH20Z7VXQ" hidden="1">
          <a:extLst>
            <a:ext uri="{FF2B5EF4-FFF2-40B4-BE49-F238E27FC236}">
              <a16:creationId xmlns:a16="http://schemas.microsoft.com/office/drawing/2014/main" id="{295382C1-FD43-4DF7-B287-70C975927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46" name="BEx1KD7H6UB1VYCJ7O61P562EIUY" descr="IQGV9140X0K0UPBL8OGU3I44J" hidden="1">
          <a:extLst>
            <a:ext uri="{FF2B5EF4-FFF2-40B4-BE49-F238E27FC236}">
              <a16:creationId xmlns:a16="http://schemas.microsoft.com/office/drawing/2014/main" id="{BF93B5F4-76D0-4286-8834-E1BD9220A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47" name="BEx5AQZ4ETQ9LMY5EBWVH20Z7VXQ" hidden="1">
          <a:extLst>
            <a:ext uri="{FF2B5EF4-FFF2-40B4-BE49-F238E27FC236}">
              <a16:creationId xmlns:a16="http://schemas.microsoft.com/office/drawing/2014/main" id="{AE80767B-65ED-4653-9478-4B1912F4E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48" name="BEx1KD7H6UB1VYCJ7O61P562EIUY" descr="IQGV9140X0K0UPBL8OGU3I44J" hidden="1">
          <a:extLst>
            <a:ext uri="{FF2B5EF4-FFF2-40B4-BE49-F238E27FC236}">
              <a16:creationId xmlns:a16="http://schemas.microsoft.com/office/drawing/2014/main" id="{E89BE6E2-23AF-4419-93E3-0A0FD8F29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49" name="BEx5AQZ4ETQ9LMY5EBWVH20Z7VXQ" hidden="1">
          <a:extLst>
            <a:ext uri="{FF2B5EF4-FFF2-40B4-BE49-F238E27FC236}">
              <a16:creationId xmlns:a16="http://schemas.microsoft.com/office/drawing/2014/main" id="{F443A655-4283-463B-93BC-EEEBB9171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50" name="BEx1KD7H6UB1VYCJ7O61P562EIUY" descr="IQGV9140X0K0UPBL8OGU3I44J" hidden="1">
          <a:extLst>
            <a:ext uri="{FF2B5EF4-FFF2-40B4-BE49-F238E27FC236}">
              <a16:creationId xmlns:a16="http://schemas.microsoft.com/office/drawing/2014/main" id="{504DA6BD-4B46-45A7-B27C-8AB02E0E9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51" name="BEx5AQZ4ETQ9LMY5EBWVH20Z7VXQ" hidden="1">
          <a:extLst>
            <a:ext uri="{FF2B5EF4-FFF2-40B4-BE49-F238E27FC236}">
              <a16:creationId xmlns:a16="http://schemas.microsoft.com/office/drawing/2014/main" id="{E495348A-6F64-4CD5-8D3B-AE885B953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52" name="BEx1KD7H6UB1VYCJ7O61P562EIUY" descr="IQGV9140X0K0UPBL8OGU3I44J" hidden="1">
          <a:extLst>
            <a:ext uri="{FF2B5EF4-FFF2-40B4-BE49-F238E27FC236}">
              <a16:creationId xmlns:a16="http://schemas.microsoft.com/office/drawing/2014/main" id="{F7969854-4E92-4881-9CB3-860FB6653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53" name="BEx5AQZ4ETQ9LMY5EBWVH20Z7VXQ" hidden="1">
          <a:extLst>
            <a:ext uri="{FF2B5EF4-FFF2-40B4-BE49-F238E27FC236}">
              <a16:creationId xmlns:a16="http://schemas.microsoft.com/office/drawing/2014/main" id="{FA520D61-E63A-4ABF-8C24-3BDEC60C0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54" name="BEx1KD7H6UB1VYCJ7O61P562EIUY" descr="IQGV9140X0K0UPBL8OGU3I44J" hidden="1">
          <a:extLst>
            <a:ext uri="{FF2B5EF4-FFF2-40B4-BE49-F238E27FC236}">
              <a16:creationId xmlns:a16="http://schemas.microsoft.com/office/drawing/2014/main" id="{8A04B26F-FBA5-4563-8AF5-068BD0B76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55" name="BEx5AQZ4ETQ9LMY5EBWVH20Z7VXQ" hidden="1">
          <a:extLst>
            <a:ext uri="{FF2B5EF4-FFF2-40B4-BE49-F238E27FC236}">
              <a16:creationId xmlns:a16="http://schemas.microsoft.com/office/drawing/2014/main" id="{D3E4AE33-7484-4BC5-B7BF-2D767FF2C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56" name="BEx1KD7H6UB1VYCJ7O61P562EIUY" descr="IQGV9140X0K0UPBL8OGU3I44J" hidden="1">
          <a:extLst>
            <a:ext uri="{FF2B5EF4-FFF2-40B4-BE49-F238E27FC236}">
              <a16:creationId xmlns:a16="http://schemas.microsoft.com/office/drawing/2014/main" id="{2E33B273-DC57-403A-8D90-A66D95EF5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6557" name="BExVTO5Q8G2M7BPL4B2584LQS0R0" descr="OB6Q8NA4LZFE4GM9Y3V56BPMQ" hidden="1">
          <a:extLst>
            <a:ext uri="{FF2B5EF4-FFF2-40B4-BE49-F238E27FC236}">
              <a16:creationId xmlns:a16="http://schemas.microsoft.com/office/drawing/2014/main" id="{2F7A7ABE-D25E-4A77-9A02-81C0E1DCB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58" name="BEx5AQZ4ETQ9LMY5EBWVH20Z7VXQ" hidden="1">
          <a:extLst>
            <a:ext uri="{FF2B5EF4-FFF2-40B4-BE49-F238E27FC236}">
              <a16:creationId xmlns:a16="http://schemas.microsoft.com/office/drawing/2014/main" id="{92E47103-5A7E-44D6-A6B7-C8FD70D2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6559" name="BExUEZCSSJ7RN4J18I2NUIQR2FZS" hidden="1">
          <a:extLst>
            <a:ext uri="{FF2B5EF4-FFF2-40B4-BE49-F238E27FC236}">
              <a16:creationId xmlns:a16="http://schemas.microsoft.com/office/drawing/2014/main" id="{E5927415-CF0D-444D-9668-9040D6C57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543300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60" name="BEx1KD7H6UB1VYCJ7O61P562EIUY" descr="IQGV9140X0K0UPBL8OGU3I44J" hidden="1">
          <a:extLst>
            <a:ext uri="{FF2B5EF4-FFF2-40B4-BE49-F238E27FC236}">
              <a16:creationId xmlns:a16="http://schemas.microsoft.com/office/drawing/2014/main" id="{3CFCE225-E497-4ADB-A2BD-0EE15EDDD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61" name="BEx5AQZ4ETQ9LMY5EBWVH20Z7VXQ" hidden="1">
          <a:extLst>
            <a:ext uri="{FF2B5EF4-FFF2-40B4-BE49-F238E27FC236}">
              <a16:creationId xmlns:a16="http://schemas.microsoft.com/office/drawing/2014/main" id="{5038EE87-1E43-48FB-AC5A-059AC11D1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62" name="BEx1KD7H6UB1VYCJ7O61P562EIUY" descr="IQGV9140X0K0UPBL8OGU3I44J" hidden="1">
          <a:extLst>
            <a:ext uri="{FF2B5EF4-FFF2-40B4-BE49-F238E27FC236}">
              <a16:creationId xmlns:a16="http://schemas.microsoft.com/office/drawing/2014/main" id="{51247942-BD83-4EE9-BDB0-AA11709DE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63" name="BEx5AQZ4ETQ9LMY5EBWVH20Z7VXQ" hidden="1">
          <a:extLst>
            <a:ext uri="{FF2B5EF4-FFF2-40B4-BE49-F238E27FC236}">
              <a16:creationId xmlns:a16="http://schemas.microsoft.com/office/drawing/2014/main" id="{DE9836D3-3736-4AFA-A0E7-5438AE5D7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64" name="BEx1KD7H6UB1VYCJ7O61P562EIUY" descr="IQGV9140X0K0UPBL8OGU3I44J" hidden="1">
          <a:extLst>
            <a:ext uri="{FF2B5EF4-FFF2-40B4-BE49-F238E27FC236}">
              <a16:creationId xmlns:a16="http://schemas.microsoft.com/office/drawing/2014/main" id="{F11FCBD4-D742-4F01-BF3B-D38145466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65" name="BEx5AQZ4ETQ9LMY5EBWVH20Z7VXQ" hidden="1">
          <a:extLst>
            <a:ext uri="{FF2B5EF4-FFF2-40B4-BE49-F238E27FC236}">
              <a16:creationId xmlns:a16="http://schemas.microsoft.com/office/drawing/2014/main" id="{C772DAF5-1465-45ED-B842-E39DA3B54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66" name="BEx1KD7H6UB1VYCJ7O61P562EIUY" descr="IQGV9140X0K0UPBL8OGU3I44J" hidden="1">
          <a:extLst>
            <a:ext uri="{FF2B5EF4-FFF2-40B4-BE49-F238E27FC236}">
              <a16:creationId xmlns:a16="http://schemas.microsoft.com/office/drawing/2014/main" id="{7ADD74CB-74D1-435A-9876-B491830F7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67" name="BEx5AQZ4ETQ9LMY5EBWVH20Z7VXQ" hidden="1">
          <a:extLst>
            <a:ext uri="{FF2B5EF4-FFF2-40B4-BE49-F238E27FC236}">
              <a16:creationId xmlns:a16="http://schemas.microsoft.com/office/drawing/2014/main" id="{2FD72A29-75B3-49CD-AFF7-89E157074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68" name="BEx1KD7H6UB1VYCJ7O61P562EIUY" descr="IQGV9140X0K0UPBL8OGU3I44J" hidden="1">
          <a:extLst>
            <a:ext uri="{FF2B5EF4-FFF2-40B4-BE49-F238E27FC236}">
              <a16:creationId xmlns:a16="http://schemas.microsoft.com/office/drawing/2014/main" id="{9CCDC007-7930-4E12-9088-A40753000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69" name="BEx5AQZ4ETQ9LMY5EBWVH20Z7VXQ" hidden="1">
          <a:extLst>
            <a:ext uri="{FF2B5EF4-FFF2-40B4-BE49-F238E27FC236}">
              <a16:creationId xmlns:a16="http://schemas.microsoft.com/office/drawing/2014/main" id="{846B2835-9DFA-4C42-8C39-A02E132CD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70" name="BEx1KD7H6UB1VYCJ7O61P562EIUY" descr="IQGV9140X0K0UPBL8OGU3I44J" hidden="1">
          <a:extLst>
            <a:ext uri="{FF2B5EF4-FFF2-40B4-BE49-F238E27FC236}">
              <a16:creationId xmlns:a16="http://schemas.microsoft.com/office/drawing/2014/main" id="{4A33B812-3986-457C-BFF3-6391B7ECB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71" name="BEx5AQZ4ETQ9LMY5EBWVH20Z7VXQ" hidden="1">
          <a:extLst>
            <a:ext uri="{FF2B5EF4-FFF2-40B4-BE49-F238E27FC236}">
              <a16:creationId xmlns:a16="http://schemas.microsoft.com/office/drawing/2014/main" id="{7533065E-A617-4616-A5FD-4357EE595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72" name="BEx1KD7H6UB1VYCJ7O61P562EIUY" descr="IQGV9140X0K0UPBL8OGU3I44J" hidden="1">
          <a:extLst>
            <a:ext uri="{FF2B5EF4-FFF2-40B4-BE49-F238E27FC236}">
              <a16:creationId xmlns:a16="http://schemas.microsoft.com/office/drawing/2014/main" id="{B89E7A6A-2780-4728-9A4C-BF2D7FFD1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73" name="BEx5AQZ4ETQ9LMY5EBWVH20Z7VXQ" hidden="1">
          <a:extLst>
            <a:ext uri="{FF2B5EF4-FFF2-40B4-BE49-F238E27FC236}">
              <a16:creationId xmlns:a16="http://schemas.microsoft.com/office/drawing/2014/main" id="{406E1FAA-D998-4F5C-8AC1-C639D5A10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74" name="BEx1KD7H6UB1VYCJ7O61P562EIUY" descr="IQGV9140X0K0UPBL8OGU3I44J" hidden="1">
          <a:extLst>
            <a:ext uri="{FF2B5EF4-FFF2-40B4-BE49-F238E27FC236}">
              <a16:creationId xmlns:a16="http://schemas.microsoft.com/office/drawing/2014/main" id="{1A2B428E-C86E-4E88-89D8-4AC5A2994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75" name="BEx5AQZ4ETQ9LMY5EBWVH20Z7VXQ" hidden="1">
          <a:extLst>
            <a:ext uri="{FF2B5EF4-FFF2-40B4-BE49-F238E27FC236}">
              <a16:creationId xmlns:a16="http://schemas.microsoft.com/office/drawing/2014/main" id="{CE876EC1-9973-49DA-9892-7C8FC055B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76" name="BEx1KD7H6UB1VYCJ7O61P562EIUY" descr="IQGV9140X0K0UPBL8OGU3I44J" hidden="1">
          <a:extLst>
            <a:ext uri="{FF2B5EF4-FFF2-40B4-BE49-F238E27FC236}">
              <a16:creationId xmlns:a16="http://schemas.microsoft.com/office/drawing/2014/main" id="{FBBD685B-3DCD-424B-AEBC-B4174A5B7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77" name="BEx5AQZ4ETQ9LMY5EBWVH20Z7VXQ" hidden="1">
          <a:extLst>
            <a:ext uri="{FF2B5EF4-FFF2-40B4-BE49-F238E27FC236}">
              <a16:creationId xmlns:a16="http://schemas.microsoft.com/office/drawing/2014/main" id="{CF189788-FD82-4C2E-976C-1EA3C5000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78" name="BEx1KD7H6UB1VYCJ7O61P562EIUY" descr="IQGV9140X0K0UPBL8OGU3I44J" hidden="1">
          <a:extLst>
            <a:ext uri="{FF2B5EF4-FFF2-40B4-BE49-F238E27FC236}">
              <a16:creationId xmlns:a16="http://schemas.microsoft.com/office/drawing/2014/main" id="{056936EE-3FBA-4099-A1A0-32523B9B8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79" name="BEx5AQZ4ETQ9LMY5EBWVH20Z7VXQ" hidden="1">
          <a:extLst>
            <a:ext uri="{FF2B5EF4-FFF2-40B4-BE49-F238E27FC236}">
              <a16:creationId xmlns:a16="http://schemas.microsoft.com/office/drawing/2014/main" id="{B8832A58-BEC7-4208-9D72-BF1B6F73A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80" name="BEx1KD7H6UB1VYCJ7O61P562EIUY" descr="IQGV9140X0K0UPBL8OGU3I44J" hidden="1">
          <a:extLst>
            <a:ext uri="{FF2B5EF4-FFF2-40B4-BE49-F238E27FC236}">
              <a16:creationId xmlns:a16="http://schemas.microsoft.com/office/drawing/2014/main" id="{5AF2FD5C-4F18-408B-ABF8-101A22439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81" name="BEx5AQZ4ETQ9LMY5EBWVH20Z7VXQ" hidden="1">
          <a:extLst>
            <a:ext uri="{FF2B5EF4-FFF2-40B4-BE49-F238E27FC236}">
              <a16:creationId xmlns:a16="http://schemas.microsoft.com/office/drawing/2014/main" id="{969D2ACE-3A62-4075-8173-0B1AAAB59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82" name="BEx1KD7H6UB1VYCJ7O61P562EIUY" descr="IQGV9140X0K0UPBL8OGU3I44J" hidden="1">
          <a:extLst>
            <a:ext uri="{FF2B5EF4-FFF2-40B4-BE49-F238E27FC236}">
              <a16:creationId xmlns:a16="http://schemas.microsoft.com/office/drawing/2014/main" id="{4754C8E9-352B-43DD-B381-CF7C1D321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83" name="BEx5AQZ4ETQ9LMY5EBWVH20Z7VXQ" hidden="1">
          <a:extLst>
            <a:ext uri="{FF2B5EF4-FFF2-40B4-BE49-F238E27FC236}">
              <a16:creationId xmlns:a16="http://schemas.microsoft.com/office/drawing/2014/main" id="{0A3E6303-B370-4C52-B6EF-3D96FED76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84" name="BEx1KD7H6UB1VYCJ7O61P562EIUY" descr="IQGV9140X0K0UPBL8OGU3I44J" hidden="1">
          <a:extLst>
            <a:ext uri="{FF2B5EF4-FFF2-40B4-BE49-F238E27FC236}">
              <a16:creationId xmlns:a16="http://schemas.microsoft.com/office/drawing/2014/main" id="{7462D9F2-8CE8-4163-BC11-249F3CFAF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85" name="BEx5AQZ4ETQ9LMY5EBWVH20Z7VXQ" hidden="1">
          <a:extLst>
            <a:ext uri="{FF2B5EF4-FFF2-40B4-BE49-F238E27FC236}">
              <a16:creationId xmlns:a16="http://schemas.microsoft.com/office/drawing/2014/main" id="{5F714944-6B11-49E0-A3CF-0F2A6C7BB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86" name="BEx1KD7H6UB1VYCJ7O61P562EIUY" descr="IQGV9140X0K0UPBL8OGU3I44J" hidden="1">
          <a:extLst>
            <a:ext uri="{FF2B5EF4-FFF2-40B4-BE49-F238E27FC236}">
              <a16:creationId xmlns:a16="http://schemas.microsoft.com/office/drawing/2014/main" id="{0CA188E2-24A6-4356-9232-55D3F232D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87" name="BEx5AQZ4ETQ9LMY5EBWVH20Z7VXQ" hidden="1">
          <a:extLst>
            <a:ext uri="{FF2B5EF4-FFF2-40B4-BE49-F238E27FC236}">
              <a16:creationId xmlns:a16="http://schemas.microsoft.com/office/drawing/2014/main" id="{409ABE03-B5AD-4196-A21E-094DEB158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88" name="BEx1KD7H6UB1VYCJ7O61P562EIUY" descr="IQGV9140X0K0UPBL8OGU3I44J" hidden="1">
          <a:extLst>
            <a:ext uri="{FF2B5EF4-FFF2-40B4-BE49-F238E27FC236}">
              <a16:creationId xmlns:a16="http://schemas.microsoft.com/office/drawing/2014/main" id="{72C979AB-4897-4DB7-8CAB-D6A372BA1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89" name="BEx5AQZ4ETQ9LMY5EBWVH20Z7VXQ" hidden="1">
          <a:extLst>
            <a:ext uri="{FF2B5EF4-FFF2-40B4-BE49-F238E27FC236}">
              <a16:creationId xmlns:a16="http://schemas.microsoft.com/office/drawing/2014/main" id="{34C349AF-ED8C-46C6-9643-F48549BAA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90" name="BEx1KD7H6UB1VYCJ7O61P562EIUY" descr="IQGV9140X0K0UPBL8OGU3I44J" hidden="1">
          <a:extLst>
            <a:ext uri="{FF2B5EF4-FFF2-40B4-BE49-F238E27FC236}">
              <a16:creationId xmlns:a16="http://schemas.microsoft.com/office/drawing/2014/main" id="{B1BEE42D-C9ED-4779-B4D9-432CBB4BA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91" name="BEx5AQZ4ETQ9LMY5EBWVH20Z7VXQ" hidden="1">
          <a:extLst>
            <a:ext uri="{FF2B5EF4-FFF2-40B4-BE49-F238E27FC236}">
              <a16:creationId xmlns:a16="http://schemas.microsoft.com/office/drawing/2014/main" id="{AF8A07DD-A1E3-4C2D-A1A7-41CD0B944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92" name="BEx1KD7H6UB1VYCJ7O61P562EIUY" descr="IQGV9140X0K0UPBL8OGU3I44J" hidden="1">
          <a:extLst>
            <a:ext uri="{FF2B5EF4-FFF2-40B4-BE49-F238E27FC236}">
              <a16:creationId xmlns:a16="http://schemas.microsoft.com/office/drawing/2014/main" id="{CB70B85C-5321-4C15-93FA-73244C754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93" name="BEx5AQZ4ETQ9LMY5EBWVH20Z7VXQ" hidden="1">
          <a:extLst>
            <a:ext uri="{FF2B5EF4-FFF2-40B4-BE49-F238E27FC236}">
              <a16:creationId xmlns:a16="http://schemas.microsoft.com/office/drawing/2014/main" id="{AA043D64-3D9F-464C-AA40-011E42D07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94" name="BEx1KD7H6UB1VYCJ7O61P562EIUY" descr="IQGV9140X0K0UPBL8OGU3I44J" hidden="1">
          <a:extLst>
            <a:ext uri="{FF2B5EF4-FFF2-40B4-BE49-F238E27FC236}">
              <a16:creationId xmlns:a16="http://schemas.microsoft.com/office/drawing/2014/main" id="{2663DFF9-C67F-4479-BA37-D7F378FF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95" name="BEx5AQZ4ETQ9LMY5EBWVH20Z7VXQ" hidden="1">
          <a:extLst>
            <a:ext uri="{FF2B5EF4-FFF2-40B4-BE49-F238E27FC236}">
              <a16:creationId xmlns:a16="http://schemas.microsoft.com/office/drawing/2014/main" id="{75B7E1F5-5BAE-4F2E-9114-0A965C34A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96" name="BEx1KD7H6UB1VYCJ7O61P562EIUY" descr="IQGV9140X0K0UPBL8OGU3I44J" hidden="1">
          <a:extLst>
            <a:ext uri="{FF2B5EF4-FFF2-40B4-BE49-F238E27FC236}">
              <a16:creationId xmlns:a16="http://schemas.microsoft.com/office/drawing/2014/main" id="{21B6016D-58F9-45CC-BE3C-73AF912D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97" name="BEx5AQZ4ETQ9LMY5EBWVH20Z7VXQ" hidden="1">
          <a:extLst>
            <a:ext uri="{FF2B5EF4-FFF2-40B4-BE49-F238E27FC236}">
              <a16:creationId xmlns:a16="http://schemas.microsoft.com/office/drawing/2014/main" id="{9D7E84C2-EE87-4D6D-809F-99F861561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98" name="BEx1KD7H6UB1VYCJ7O61P562EIUY" descr="IQGV9140X0K0UPBL8OGU3I44J" hidden="1">
          <a:extLst>
            <a:ext uri="{FF2B5EF4-FFF2-40B4-BE49-F238E27FC236}">
              <a16:creationId xmlns:a16="http://schemas.microsoft.com/office/drawing/2014/main" id="{B5C5FA36-ED6D-4FDB-8FE7-B985BFB91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599" name="BEx5AQZ4ETQ9LMY5EBWVH20Z7VXQ" hidden="1">
          <a:extLst>
            <a:ext uri="{FF2B5EF4-FFF2-40B4-BE49-F238E27FC236}">
              <a16:creationId xmlns:a16="http://schemas.microsoft.com/office/drawing/2014/main" id="{FF330009-056A-49BD-9015-15B75645E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00" name="BEx1KD7H6UB1VYCJ7O61P562EIUY" descr="IQGV9140X0K0UPBL8OGU3I44J" hidden="1">
          <a:extLst>
            <a:ext uri="{FF2B5EF4-FFF2-40B4-BE49-F238E27FC236}">
              <a16:creationId xmlns:a16="http://schemas.microsoft.com/office/drawing/2014/main" id="{16912A68-FAB9-41FE-9666-73189B94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01" name="BEx5AQZ4ETQ9LMY5EBWVH20Z7VXQ" hidden="1">
          <a:extLst>
            <a:ext uri="{FF2B5EF4-FFF2-40B4-BE49-F238E27FC236}">
              <a16:creationId xmlns:a16="http://schemas.microsoft.com/office/drawing/2014/main" id="{2943494F-6D64-450C-ABB6-5A1CD05EE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02" name="BEx1KD7H6UB1VYCJ7O61P562EIUY" descr="IQGV9140X0K0UPBL8OGU3I44J" hidden="1">
          <a:extLst>
            <a:ext uri="{FF2B5EF4-FFF2-40B4-BE49-F238E27FC236}">
              <a16:creationId xmlns:a16="http://schemas.microsoft.com/office/drawing/2014/main" id="{ED3354F0-BEDF-4AC6-B53A-37DE13E45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03" name="BEx5AQZ4ETQ9LMY5EBWVH20Z7VXQ" hidden="1">
          <a:extLst>
            <a:ext uri="{FF2B5EF4-FFF2-40B4-BE49-F238E27FC236}">
              <a16:creationId xmlns:a16="http://schemas.microsoft.com/office/drawing/2014/main" id="{8FF91AE4-E24E-42F2-9013-212FFBCBB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04" name="BEx1KD7H6UB1VYCJ7O61P562EIUY" descr="IQGV9140X0K0UPBL8OGU3I44J" hidden="1">
          <a:extLst>
            <a:ext uri="{FF2B5EF4-FFF2-40B4-BE49-F238E27FC236}">
              <a16:creationId xmlns:a16="http://schemas.microsoft.com/office/drawing/2014/main" id="{0A8117C9-B8B6-4C9F-8658-715AF4928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05" name="BEx5AQZ4ETQ9LMY5EBWVH20Z7VXQ" hidden="1">
          <a:extLst>
            <a:ext uri="{FF2B5EF4-FFF2-40B4-BE49-F238E27FC236}">
              <a16:creationId xmlns:a16="http://schemas.microsoft.com/office/drawing/2014/main" id="{AEFD4435-C223-4F8D-8078-18CD844B0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06" name="BEx1KD7H6UB1VYCJ7O61P562EIUY" descr="IQGV9140X0K0UPBL8OGU3I44J" hidden="1">
          <a:extLst>
            <a:ext uri="{FF2B5EF4-FFF2-40B4-BE49-F238E27FC236}">
              <a16:creationId xmlns:a16="http://schemas.microsoft.com/office/drawing/2014/main" id="{B88ADA17-3069-4F1C-BC67-9D6F65673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07" name="BEx5AQZ4ETQ9LMY5EBWVH20Z7VXQ" hidden="1">
          <a:extLst>
            <a:ext uri="{FF2B5EF4-FFF2-40B4-BE49-F238E27FC236}">
              <a16:creationId xmlns:a16="http://schemas.microsoft.com/office/drawing/2014/main" id="{0C0C49D9-0254-4BE0-9B5E-8642ABEB0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08" name="BEx1KD7H6UB1VYCJ7O61P562EIUY" descr="IQGV9140X0K0UPBL8OGU3I44J" hidden="1">
          <a:extLst>
            <a:ext uri="{FF2B5EF4-FFF2-40B4-BE49-F238E27FC236}">
              <a16:creationId xmlns:a16="http://schemas.microsoft.com/office/drawing/2014/main" id="{56B09827-FFBC-4032-B9B7-4B888E28B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09" name="BEx5AQZ4ETQ9LMY5EBWVH20Z7VXQ" hidden="1">
          <a:extLst>
            <a:ext uri="{FF2B5EF4-FFF2-40B4-BE49-F238E27FC236}">
              <a16:creationId xmlns:a16="http://schemas.microsoft.com/office/drawing/2014/main" id="{9A55D621-E2D4-4530-BEBD-C30E7976D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10" name="BEx1KD7H6UB1VYCJ7O61P562EIUY" descr="IQGV9140X0K0UPBL8OGU3I44J" hidden="1">
          <a:extLst>
            <a:ext uri="{FF2B5EF4-FFF2-40B4-BE49-F238E27FC236}">
              <a16:creationId xmlns:a16="http://schemas.microsoft.com/office/drawing/2014/main" id="{9C59B12B-39B5-4646-8278-12B2F401E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11" name="BEx5AQZ4ETQ9LMY5EBWVH20Z7VXQ" hidden="1">
          <a:extLst>
            <a:ext uri="{FF2B5EF4-FFF2-40B4-BE49-F238E27FC236}">
              <a16:creationId xmlns:a16="http://schemas.microsoft.com/office/drawing/2014/main" id="{32123E7B-B2BA-422B-BA8B-323586ADE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12" name="BEx1KD7H6UB1VYCJ7O61P562EIUY" descr="IQGV9140X0K0UPBL8OGU3I44J" hidden="1">
          <a:extLst>
            <a:ext uri="{FF2B5EF4-FFF2-40B4-BE49-F238E27FC236}">
              <a16:creationId xmlns:a16="http://schemas.microsoft.com/office/drawing/2014/main" id="{EBC2705A-352B-4414-A917-3CDE736A5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13" name="BEx5AQZ4ETQ9LMY5EBWVH20Z7VXQ" hidden="1">
          <a:extLst>
            <a:ext uri="{FF2B5EF4-FFF2-40B4-BE49-F238E27FC236}">
              <a16:creationId xmlns:a16="http://schemas.microsoft.com/office/drawing/2014/main" id="{C1122DE0-1C5E-4847-9C38-A56214047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14" name="BEx1KD7H6UB1VYCJ7O61P562EIUY" descr="IQGV9140X0K0UPBL8OGU3I44J" hidden="1">
          <a:extLst>
            <a:ext uri="{FF2B5EF4-FFF2-40B4-BE49-F238E27FC236}">
              <a16:creationId xmlns:a16="http://schemas.microsoft.com/office/drawing/2014/main" id="{BD08E816-A614-44CA-9F78-F72E10AED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15" name="BEx5AQZ4ETQ9LMY5EBWVH20Z7VXQ" hidden="1">
          <a:extLst>
            <a:ext uri="{FF2B5EF4-FFF2-40B4-BE49-F238E27FC236}">
              <a16:creationId xmlns:a16="http://schemas.microsoft.com/office/drawing/2014/main" id="{446A32D7-83D7-4CA3-A154-5397EA503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16" name="BEx1KD7H6UB1VYCJ7O61P562EIUY" descr="IQGV9140X0K0UPBL8OGU3I44J" hidden="1">
          <a:extLst>
            <a:ext uri="{FF2B5EF4-FFF2-40B4-BE49-F238E27FC236}">
              <a16:creationId xmlns:a16="http://schemas.microsoft.com/office/drawing/2014/main" id="{A00FDDCD-EE7E-49B0-A30D-4C6909F02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17" name="BEx5AQZ4ETQ9LMY5EBWVH20Z7VXQ" hidden="1">
          <a:extLst>
            <a:ext uri="{FF2B5EF4-FFF2-40B4-BE49-F238E27FC236}">
              <a16:creationId xmlns:a16="http://schemas.microsoft.com/office/drawing/2014/main" id="{A9327155-72E8-4AA3-93AE-894A22E58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18" name="BEx1KD7H6UB1VYCJ7O61P562EIUY" descr="IQGV9140X0K0UPBL8OGU3I44J" hidden="1">
          <a:extLst>
            <a:ext uri="{FF2B5EF4-FFF2-40B4-BE49-F238E27FC236}">
              <a16:creationId xmlns:a16="http://schemas.microsoft.com/office/drawing/2014/main" id="{9849D9CC-A769-4394-898C-5873A0DFC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19" name="BEx5AQZ4ETQ9LMY5EBWVH20Z7VXQ" hidden="1">
          <a:extLst>
            <a:ext uri="{FF2B5EF4-FFF2-40B4-BE49-F238E27FC236}">
              <a16:creationId xmlns:a16="http://schemas.microsoft.com/office/drawing/2014/main" id="{E1A95E0A-22DA-4DB1-9E0A-1078A8235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20" name="BEx1KD7H6UB1VYCJ7O61P562EIUY" descr="IQGV9140X0K0UPBL8OGU3I44J" hidden="1">
          <a:extLst>
            <a:ext uri="{FF2B5EF4-FFF2-40B4-BE49-F238E27FC236}">
              <a16:creationId xmlns:a16="http://schemas.microsoft.com/office/drawing/2014/main" id="{9D1D71A6-E7F0-45E5-B011-2B4452DFE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21" name="BEx5AQZ4ETQ9LMY5EBWVH20Z7VXQ" hidden="1">
          <a:extLst>
            <a:ext uri="{FF2B5EF4-FFF2-40B4-BE49-F238E27FC236}">
              <a16:creationId xmlns:a16="http://schemas.microsoft.com/office/drawing/2014/main" id="{6A040B86-0F76-4F56-9A8B-5BBCA9AA5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22" name="BEx1KD7H6UB1VYCJ7O61P562EIUY" descr="IQGV9140X0K0UPBL8OGU3I44J" hidden="1">
          <a:extLst>
            <a:ext uri="{FF2B5EF4-FFF2-40B4-BE49-F238E27FC236}">
              <a16:creationId xmlns:a16="http://schemas.microsoft.com/office/drawing/2014/main" id="{02C09CE1-C086-41AF-9264-E47F56FA9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23" name="BEx5AQZ4ETQ9LMY5EBWVH20Z7VXQ" hidden="1">
          <a:extLst>
            <a:ext uri="{FF2B5EF4-FFF2-40B4-BE49-F238E27FC236}">
              <a16:creationId xmlns:a16="http://schemas.microsoft.com/office/drawing/2014/main" id="{122C466A-E215-4C3A-987C-FD05353D5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24" name="BEx1KD7H6UB1VYCJ7O61P562EIUY" descr="IQGV9140X0K0UPBL8OGU3I44J" hidden="1">
          <a:extLst>
            <a:ext uri="{FF2B5EF4-FFF2-40B4-BE49-F238E27FC236}">
              <a16:creationId xmlns:a16="http://schemas.microsoft.com/office/drawing/2014/main" id="{9FEA6C4F-2BA5-45F4-98C9-7B6145EE4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25" name="BEx5AQZ4ETQ9LMY5EBWVH20Z7VXQ" hidden="1">
          <a:extLst>
            <a:ext uri="{FF2B5EF4-FFF2-40B4-BE49-F238E27FC236}">
              <a16:creationId xmlns:a16="http://schemas.microsoft.com/office/drawing/2014/main" id="{6C872474-CA36-4DAC-B3DF-FD2DF3813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26" name="BEx1KD7H6UB1VYCJ7O61P562EIUY" descr="IQGV9140X0K0UPBL8OGU3I44J" hidden="1">
          <a:extLst>
            <a:ext uri="{FF2B5EF4-FFF2-40B4-BE49-F238E27FC236}">
              <a16:creationId xmlns:a16="http://schemas.microsoft.com/office/drawing/2014/main" id="{C783E826-A281-4852-9155-AD68D5A91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27" name="BEx5AQZ4ETQ9LMY5EBWVH20Z7VXQ" hidden="1">
          <a:extLst>
            <a:ext uri="{FF2B5EF4-FFF2-40B4-BE49-F238E27FC236}">
              <a16:creationId xmlns:a16="http://schemas.microsoft.com/office/drawing/2014/main" id="{FBF05F1C-1FAB-471F-A0A2-6ED577E7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28" name="BEx1KD7H6UB1VYCJ7O61P562EIUY" descr="IQGV9140X0K0UPBL8OGU3I44J" hidden="1">
          <a:extLst>
            <a:ext uri="{FF2B5EF4-FFF2-40B4-BE49-F238E27FC236}">
              <a16:creationId xmlns:a16="http://schemas.microsoft.com/office/drawing/2014/main" id="{09AAD1DB-A99C-4457-BE6C-AFBB7B48C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29" name="BEx5AQZ4ETQ9LMY5EBWVH20Z7VXQ" hidden="1">
          <a:extLst>
            <a:ext uri="{FF2B5EF4-FFF2-40B4-BE49-F238E27FC236}">
              <a16:creationId xmlns:a16="http://schemas.microsoft.com/office/drawing/2014/main" id="{87F06A61-05A1-4626-BC1E-3509B2769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30" name="BEx1KD7H6UB1VYCJ7O61P562EIUY" descr="IQGV9140X0K0UPBL8OGU3I44J" hidden="1">
          <a:extLst>
            <a:ext uri="{FF2B5EF4-FFF2-40B4-BE49-F238E27FC236}">
              <a16:creationId xmlns:a16="http://schemas.microsoft.com/office/drawing/2014/main" id="{67ED0841-B031-407C-860B-A732FE7EE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31" name="BEx5AQZ4ETQ9LMY5EBWVH20Z7VXQ" hidden="1">
          <a:extLst>
            <a:ext uri="{FF2B5EF4-FFF2-40B4-BE49-F238E27FC236}">
              <a16:creationId xmlns:a16="http://schemas.microsoft.com/office/drawing/2014/main" id="{BE3547F0-65C3-47C7-9FE5-D8CE8CF3F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32" name="BEx1KD7H6UB1VYCJ7O61P562EIUY" descr="IQGV9140X0K0UPBL8OGU3I44J" hidden="1">
          <a:extLst>
            <a:ext uri="{FF2B5EF4-FFF2-40B4-BE49-F238E27FC236}">
              <a16:creationId xmlns:a16="http://schemas.microsoft.com/office/drawing/2014/main" id="{7C6D7733-FC6E-4174-8AC0-5307681C5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33" name="BEx5AQZ4ETQ9LMY5EBWVH20Z7VXQ" hidden="1">
          <a:extLst>
            <a:ext uri="{FF2B5EF4-FFF2-40B4-BE49-F238E27FC236}">
              <a16:creationId xmlns:a16="http://schemas.microsoft.com/office/drawing/2014/main" id="{A6129DF5-A789-4E7C-991C-B659A2615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34" name="BEx1KD7H6UB1VYCJ7O61P562EIUY" descr="IQGV9140X0K0UPBL8OGU3I44J" hidden="1">
          <a:extLst>
            <a:ext uri="{FF2B5EF4-FFF2-40B4-BE49-F238E27FC236}">
              <a16:creationId xmlns:a16="http://schemas.microsoft.com/office/drawing/2014/main" id="{BE340188-03D3-4F25-8BBE-C798E383E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35" name="BEx5AQZ4ETQ9LMY5EBWVH20Z7VXQ" hidden="1">
          <a:extLst>
            <a:ext uri="{FF2B5EF4-FFF2-40B4-BE49-F238E27FC236}">
              <a16:creationId xmlns:a16="http://schemas.microsoft.com/office/drawing/2014/main" id="{1FAF33AE-FC9A-4679-9286-70457F222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36" name="BEx1KD7H6UB1VYCJ7O61P562EIUY" descr="IQGV9140X0K0UPBL8OGU3I44J" hidden="1">
          <a:extLst>
            <a:ext uri="{FF2B5EF4-FFF2-40B4-BE49-F238E27FC236}">
              <a16:creationId xmlns:a16="http://schemas.microsoft.com/office/drawing/2014/main" id="{99416383-66B3-46C4-84D2-87835A09E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37" name="BEx5AQZ4ETQ9LMY5EBWVH20Z7VXQ" hidden="1">
          <a:extLst>
            <a:ext uri="{FF2B5EF4-FFF2-40B4-BE49-F238E27FC236}">
              <a16:creationId xmlns:a16="http://schemas.microsoft.com/office/drawing/2014/main" id="{23CFC7A3-3E9D-468E-BD42-28C136B7A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38" name="BEx1KD7H6UB1VYCJ7O61P562EIUY" descr="IQGV9140X0K0UPBL8OGU3I44J" hidden="1">
          <a:extLst>
            <a:ext uri="{FF2B5EF4-FFF2-40B4-BE49-F238E27FC236}">
              <a16:creationId xmlns:a16="http://schemas.microsoft.com/office/drawing/2014/main" id="{69770C45-BFCD-4ED8-BDC4-AAD8F8AC6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39" name="BEx5AQZ4ETQ9LMY5EBWVH20Z7VXQ" hidden="1">
          <a:extLst>
            <a:ext uri="{FF2B5EF4-FFF2-40B4-BE49-F238E27FC236}">
              <a16:creationId xmlns:a16="http://schemas.microsoft.com/office/drawing/2014/main" id="{743F522D-77CB-4E6E-971F-6748E05EA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40" name="BEx1KD7H6UB1VYCJ7O61P562EIUY" descr="IQGV9140X0K0UPBL8OGU3I44J" hidden="1">
          <a:extLst>
            <a:ext uri="{FF2B5EF4-FFF2-40B4-BE49-F238E27FC236}">
              <a16:creationId xmlns:a16="http://schemas.microsoft.com/office/drawing/2014/main" id="{12CEB26C-6A74-4268-A708-15AE346A4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41" name="BEx5AQZ4ETQ9LMY5EBWVH20Z7VXQ" hidden="1">
          <a:extLst>
            <a:ext uri="{FF2B5EF4-FFF2-40B4-BE49-F238E27FC236}">
              <a16:creationId xmlns:a16="http://schemas.microsoft.com/office/drawing/2014/main" id="{BAA0A131-6B52-488B-B674-7DE2C55D4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42" name="BEx1KD7H6UB1VYCJ7O61P562EIUY" descr="IQGV9140X0K0UPBL8OGU3I44J" hidden="1">
          <a:extLst>
            <a:ext uri="{FF2B5EF4-FFF2-40B4-BE49-F238E27FC236}">
              <a16:creationId xmlns:a16="http://schemas.microsoft.com/office/drawing/2014/main" id="{0BEB873F-6BCC-4DF8-A93D-8FD991C7B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43" name="BEx5AQZ4ETQ9LMY5EBWVH20Z7VXQ" hidden="1">
          <a:extLst>
            <a:ext uri="{FF2B5EF4-FFF2-40B4-BE49-F238E27FC236}">
              <a16:creationId xmlns:a16="http://schemas.microsoft.com/office/drawing/2014/main" id="{C85B5AF7-6171-464A-A036-1B7CA0F28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44" name="BEx1KD7H6UB1VYCJ7O61P562EIUY" descr="IQGV9140X0K0UPBL8OGU3I44J" hidden="1">
          <a:extLst>
            <a:ext uri="{FF2B5EF4-FFF2-40B4-BE49-F238E27FC236}">
              <a16:creationId xmlns:a16="http://schemas.microsoft.com/office/drawing/2014/main" id="{49BD1A17-0B3E-4104-A0DC-D108CA99D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45" name="BEx5AQZ4ETQ9LMY5EBWVH20Z7VXQ" hidden="1">
          <a:extLst>
            <a:ext uri="{FF2B5EF4-FFF2-40B4-BE49-F238E27FC236}">
              <a16:creationId xmlns:a16="http://schemas.microsoft.com/office/drawing/2014/main" id="{D64FDB62-4BD3-4801-B26A-8BCAF9DD2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46" name="BEx1KD7H6UB1VYCJ7O61P562EIUY" descr="IQGV9140X0K0UPBL8OGU3I44J" hidden="1">
          <a:extLst>
            <a:ext uri="{FF2B5EF4-FFF2-40B4-BE49-F238E27FC236}">
              <a16:creationId xmlns:a16="http://schemas.microsoft.com/office/drawing/2014/main" id="{C67E3DFB-3090-4136-9C35-B6C259E4C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47" name="BEx5AQZ4ETQ9LMY5EBWVH20Z7VXQ" hidden="1">
          <a:extLst>
            <a:ext uri="{FF2B5EF4-FFF2-40B4-BE49-F238E27FC236}">
              <a16:creationId xmlns:a16="http://schemas.microsoft.com/office/drawing/2014/main" id="{A3394EDE-5B39-4A49-AB03-2E13DA530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48" name="BEx1KD7H6UB1VYCJ7O61P562EIUY" descr="IQGV9140X0K0UPBL8OGU3I44J" hidden="1">
          <a:extLst>
            <a:ext uri="{FF2B5EF4-FFF2-40B4-BE49-F238E27FC236}">
              <a16:creationId xmlns:a16="http://schemas.microsoft.com/office/drawing/2014/main" id="{2ACB5E1F-1129-4291-BD4C-AE7EFEE5F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49" name="BEx5AQZ4ETQ9LMY5EBWVH20Z7VXQ" hidden="1">
          <a:extLst>
            <a:ext uri="{FF2B5EF4-FFF2-40B4-BE49-F238E27FC236}">
              <a16:creationId xmlns:a16="http://schemas.microsoft.com/office/drawing/2014/main" id="{CA283D92-DAE5-49F0-8FC5-7B5B8EB2B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50" name="BEx1KD7H6UB1VYCJ7O61P562EIUY" descr="IQGV9140X0K0UPBL8OGU3I44J" hidden="1">
          <a:extLst>
            <a:ext uri="{FF2B5EF4-FFF2-40B4-BE49-F238E27FC236}">
              <a16:creationId xmlns:a16="http://schemas.microsoft.com/office/drawing/2014/main" id="{0ED42C99-9183-432B-A2A7-AAC4A32B8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51" name="BEx5AQZ4ETQ9LMY5EBWVH20Z7VXQ" hidden="1">
          <a:extLst>
            <a:ext uri="{FF2B5EF4-FFF2-40B4-BE49-F238E27FC236}">
              <a16:creationId xmlns:a16="http://schemas.microsoft.com/office/drawing/2014/main" id="{EDF59143-7F3E-4396-B425-8C1F2A98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52" name="BEx1KD7H6UB1VYCJ7O61P562EIUY" descr="IQGV9140X0K0UPBL8OGU3I44J" hidden="1">
          <a:extLst>
            <a:ext uri="{FF2B5EF4-FFF2-40B4-BE49-F238E27FC236}">
              <a16:creationId xmlns:a16="http://schemas.microsoft.com/office/drawing/2014/main" id="{ABDC0E23-E292-433F-A7A1-2C416FD0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53" name="BEx5AQZ4ETQ9LMY5EBWVH20Z7VXQ" hidden="1">
          <a:extLst>
            <a:ext uri="{FF2B5EF4-FFF2-40B4-BE49-F238E27FC236}">
              <a16:creationId xmlns:a16="http://schemas.microsoft.com/office/drawing/2014/main" id="{ADB9F4D8-D938-48CC-B1A5-FE50A0432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54" name="BEx1KD7H6UB1VYCJ7O61P562EIUY" descr="IQGV9140X0K0UPBL8OGU3I44J" hidden="1">
          <a:extLst>
            <a:ext uri="{FF2B5EF4-FFF2-40B4-BE49-F238E27FC236}">
              <a16:creationId xmlns:a16="http://schemas.microsoft.com/office/drawing/2014/main" id="{5F5DF9A3-005B-41B3-8CA4-ACD1540A5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55" name="BEx5AQZ4ETQ9LMY5EBWVH20Z7VXQ" hidden="1">
          <a:extLst>
            <a:ext uri="{FF2B5EF4-FFF2-40B4-BE49-F238E27FC236}">
              <a16:creationId xmlns:a16="http://schemas.microsoft.com/office/drawing/2014/main" id="{F6023B6E-6193-49BB-800E-0D4DDDDE5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56" name="BEx1KD7H6UB1VYCJ7O61P562EIUY" descr="IQGV9140X0K0UPBL8OGU3I44J" hidden="1">
          <a:extLst>
            <a:ext uri="{FF2B5EF4-FFF2-40B4-BE49-F238E27FC236}">
              <a16:creationId xmlns:a16="http://schemas.microsoft.com/office/drawing/2014/main" id="{D4A59DC4-665F-44E5-8D86-75E086C19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57" name="BEx5AQZ4ETQ9LMY5EBWVH20Z7VXQ" hidden="1">
          <a:extLst>
            <a:ext uri="{FF2B5EF4-FFF2-40B4-BE49-F238E27FC236}">
              <a16:creationId xmlns:a16="http://schemas.microsoft.com/office/drawing/2014/main" id="{28552561-E3DA-43AC-8C68-F03963469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58" name="BEx1KD7H6UB1VYCJ7O61P562EIUY" descr="IQGV9140X0K0UPBL8OGU3I44J" hidden="1">
          <a:extLst>
            <a:ext uri="{FF2B5EF4-FFF2-40B4-BE49-F238E27FC236}">
              <a16:creationId xmlns:a16="http://schemas.microsoft.com/office/drawing/2014/main" id="{6EE3F161-A8A2-472A-8BA4-AAF0717B6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59" name="BEx5AQZ4ETQ9LMY5EBWVH20Z7VXQ" hidden="1">
          <a:extLst>
            <a:ext uri="{FF2B5EF4-FFF2-40B4-BE49-F238E27FC236}">
              <a16:creationId xmlns:a16="http://schemas.microsoft.com/office/drawing/2014/main" id="{05583B74-E949-4A52-B475-B36853ECB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60" name="BEx1KD7H6UB1VYCJ7O61P562EIUY" descr="IQGV9140X0K0UPBL8OGU3I44J" hidden="1">
          <a:extLst>
            <a:ext uri="{FF2B5EF4-FFF2-40B4-BE49-F238E27FC236}">
              <a16:creationId xmlns:a16="http://schemas.microsoft.com/office/drawing/2014/main" id="{9953180D-9CCB-4864-A3CE-B9CD37B79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61" name="BEx5AQZ4ETQ9LMY5EBWVH20Z7VXQ" hidden="1">
          <a:extLst>
            <a:ext uri="{FF2B5EF4-FFF2-40B4-BE49-F238E27FC236}">
              <a16:creationId xmlns:a16="http://schemas.microsoft.com/office/drawing/2014/main" id="{8F734210-8EBF-414A-B28E-F1414B798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62" name="BEx1KD7H6UB1VYCJ7O61P562EIUY" descr="IQGV9140X0K0UPBL8OGU3I44J" hidden="1">
          <a:extLst>
            <a:ext uri="{FF2B5EF4-FFF2-40B4-BE49-F238E27FC236}">
              <a16:creationId xmlns:a16="http://schemas.microsoft.com/office/drawing/2014/main" id="{D5FB861D-C75A-4A49-9016-7FC9E222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63" name="BEx5AQZ4ETQ9LMY5EBWVH20Z7VXQ" hidden="1">
          <a:extLst>
            <a:ext uri="{FF2B5EF4-FFF2-40B4-BE49-F238E27FC236}">
              <a16:creationId xmlns:a16="http://schemas.microsoft.com/office/drawing/2014/main" id="{8BA22A15-2DFD-47B3-AB92-702E909CA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64" name="BEx1KD7H6UB1VYCJ7O61P562EIUY" descr="IQGV9140X0K0UPBL8OGU3I44J" hidden="1">
          <a:extLst>
            <a:ext uri="{FF2B5EF4-FFF2-40B4-BE49-F238E27FC236}">
              <a16:creationId xmlns:a16="http://schemas.microsoft.com/office/drawing/2014/main" id="{90BB528E-40F1-4BBE-BF88-4A196871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6665" name="BExVTO5Q8G2M7BPL4B2584LQS0R0" descr="OB6Q8NA4LZFE4GM9Y3V56BPMQ" hidden="1">
          <a:extLst>
            <a:ext uri="{FF2B5EF4-FFF2-40B4-BE49-F238E27FC236}">
              <a16:creationId xmlns:a16="http://schemas.microsoft.com/office/drawing/2014/main" id="{BB748162-5A33-4441-A3EF-F805DBAD4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66" name="BEx5AQZ4ETQ9LMY5EBWVH20Z7VXQ" hidden="1">
          <a:extLst>
            <a:ext uri="{FF2B5EF4-FFF2-40B4-BE49-F238E27FC236}">
              <a16:creationId xmlns:a16="http://schemas.microsoft.com/office/drawing/2014/main" id="{60846399-5C2C-488C-B9D4-2044EAAFF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6667" name="BExUEZCSSJ7RN4J18I2NUIQR2FZS" hidden="1">
          <a:extLst>
            <a:ext uri="{FF2B5EF4-FFF2-40B4-BE49-F238E27FC236}">
              <a16:creationId xmlns:a16="http://schemas.microsoft.com/office/drawing/2014/main" id="{00215E3D-055F-41E8-B1F2-EC389E9B9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543300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68" name="BEx1KD7H6UB1VYCJ7O61P562EIUY" descr="IQGV9140X0K0UPBL8OGU3I44J" hidden="1">
          <a:extLst>
            <a:ext uri="{FF2B5EF4-FFF2-40B4-BE49-F238E27FC236}">
              <a16:creationId xmlns:a16="http://schemas.microsoft.com/office/drawing/2014/main" id="{17039891-7202-4500-A0E0-127AEDA99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69" name="BEx5AQZ4ETQ9LMY5EBWVH20Z7VXQ" hidden="1">
          <a:extLst>
            <a:ext uri="{FF2B5EF4-FFF2-40B4-BE49-F238E27FC236}">
              <a16:creationId xmlns:a16="http://schemas.microsoft.com/office/drawing/2014/main" id="{AAC40BA2-9587-485A-8C38-A1CF83294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70" name="BEx1KD7H6UB1VYCJ7O61P562EIUY" descr="IQGV9140X0K0UPBL8OGU3I44J" hidden="1">
          <a:extLst>
            <a:ext uri="{FF2B5EF4-FFF2-40B4-BE49-F238E27FC236}">
              <a16:creationId xmlns:a16="http://schemas.microsoft.com/office/drawing/2014/main" id="{2CEA197D-4637-4889-B3AA-96CA8BC5F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71" name="BEx5AQZ4ETQ9LMY5EBWVH20Z7VXQ" hidden="1">
          <a:extLst>
            <a:ext uri="{FF2B5EF4-FFF2-40B4-BE49-F238E27FC236}">
              <a16:creationId xmlns:a16="http://schemas.microsoft.com/office/drawing/2014/main" id="{91CD4F29-2DAF-4AAB-BC51-7A5BCE4F5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72" name="BEx1KD7H6UB1VYCJ7O61P562EIUY" descr="IQGV9140X0K0UPBL8OGU3I44J" hidden="1">
          <a:extLst>
            <a:ext uri="{FF2B5EF4-FFF2-40B4-BE49-F238E27FC236}">
              <a16:creationId xmlns:a16="http://schemas.microsoft.com/office/drawing/2014/main" id="{76138733-2423-402C-9EB0-12F1A94FF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73" name="BEx5AQZ4ETQ9LMY5EBWVH20Z7VXQ" hidden="1">
          <a:extLst>
            <a:ext uri="{FF2B5EF4-FFF2-40B4-BE49-F238E27FC236}">
              <a16:creationId xmlns:a16="http://schemas.microsoft.com/office/drawing/2014/main" id="{18D73C7A-A5EB-4611-9FD2-A4F947535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74" name="BEx1KD7H6UB1VYCJ7O61P562EIUY" descr="IQGV9140X0K0UPBL8OGU3I44J" hidden="1">
          <a:extLst>
            <a:ext uri="{FF2B5EF4-FFF2-40B4-BE49-F238E27FC236}">
              <a16:creationId xmlns:a16="http://schemas.microsoft.com/office/drawing/2014/main" id="{31AA9202-381B-438D-B1E4-81D2AF76C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75" name="BEx5AQZ4ETQ9LMY5EBWVH20Z7VXQ" hidden="1">
          <a:extLst>
            <a:ext uri="{FF2B5EF4-FFF2-40B4-BE49-F238E27FC236}">
              <a16:creationId xmlns:a16="http://schemas.microsoft.com/office/drawing/2014/main" id="{226284BD-5E62-4DE5-B3B2-CD7FED0EA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76" name="BEx1KD7H6UB1VYCJ7O61P562EIUY" descr="IQGV9140X0K0UPBL8OGU3I44J" hidden="1">
          <a:extLst>
            <a:ext uri="{FF2B5EF4-FFF2-40B4-BE49-F238E27FC236}">
              <a16:creationId xmlns:a16="http://schemas.microsoft.com/office/drawing/2014/main" id="{FF3CE4DD-5FAC-40A9-A805-070C1D4F3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77" name="BEx5AQZ4ETQ9LMY5EBWVH20Z7VXQ" hidden="1">
          <a:extLst>
            <a:ext uri="{FF2B5EF4-FFF2-40B4-BE49-F238E27FC236}">
              <a16:creationId xmlns:a16="http://schemas.microsoft.com/office/drawing/2014/main" id="{A690A31F-73A9-41A8-B2E2-A0B1B9A08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78" name="BEx1KD7H6UB1VYCJ7O61P562EIUY" descr="IQGV9140X0K0UPBL8OGU3I44J" hidden="1">
          <a:extLst>
            <a:ext uri="{FF2B5EF4-FFF2-40B4-BE49-F238E27FC236}">
              <a16:creationId xmlns:a16="http://schemas.microsoft.com/office/drawing/2014/main" id="{6CD41C59-A1E2-485D-A793-EA4BC4639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79" name="BEx5AQZ4ETQ9LMY5EBWVH20Z7VXQ" hidden="1">
          <a:extLst>
            <a:ext uri="{FF2B5EF4-FFF2-40B4-BE49-F238E27FC236}">
              <a16:creationId xmlns:a16="http://schemas.microsoft.com/office/drawing/2014/main" id="{29BDE6D3-93D7-4E3B-9A52-494452E63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80" name="BEx1KD7H6UB1VYCJ7O61P562EIUY" descr="IQGV9140X0K0UPBL8OGU3I44J" hidden="1">
          <a:extLst>
            <a:ext uri="{FF2B5EF4-FFF2-40B4-BE49-F238E27FC236}">
              <a16:creationId xmlns:a16="http://schemas.microsoft.com/office/drawing/2014/main" id="{F7832F71-EDF5-41C6-844E-C16F36CDA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81" name="BEx5AQZ4ETQ9LMY5EBWVH20Z7VXQ" hidden="1">
          <a:extLst>
            <a:ext uri="{FF2B5EF4-FFF2-40B4-BE49-F238E27FC236}">
              <a16:creationId xmlns:a16="http://schemas.microsoft.com/office/drawing/2014/main" id="{9C35B56A-ABB0-49D7-A0E5-A0AE3640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82" name="BEx1KD7H6UB1VYCJ7O61P562EIUY" descr="IQGV9140X0K0UPBL8OGU3I44J" hidden="1">
          <a:extLst>
            <a:ext uri="{FF2B5EF4-FFF2-40B4-BE49-F238E27FC236}">
              <a16:creationId xmlns:a16="http://schemas.microsoft.com/office/drawing/2014/main" id="{B57BEE13-D0E9-4216-8274-5B9F2C068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83" name="BEx5AQZ4ETQ9LMY5EBWVH20Z7VXQ" hidden="1">
          <a:extLst>
            <a:ext uri="{FF2B5EF4-FFF2-40B4-BE49-F238E27FC236}">
              <a16:creationId xmlns:a16="http://schemas.microsoft.com/office/drawing/2014/main" id="{2E6A0A81-2291-4513-A1D0-09C9F00EC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84" name="BEx1KD7H6UB1VYCJ7O61P562EIUY" descr="IQGV9140X0K0UPBL8OGU3I44J" hidden="1">
          <a:extLst>
            <a:ext uri="{FF2B5EF4-FFF2-40B4-BE49-F238E27FC236}">
              <a16:creationId xmlns:a16="http://schemas.microsoft.com/office/drawing/2014/main" id="{7DD88C9E-BD31-4319-8DC0-C4B47E408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85" name="BEx5AQZ4ETQ9LMY5EBWVH20Z7VXQ" hidden="1">
          <a:extLst>
            <a:ext uri="{FF2B5EF4-FFF2-40B4-BE49-F238E27FC236}">
              <a16:creationId xmlns:a16="http://schemas.microsoft.com/office/drawing/2014/main" id="{0D6E1636-CE43-4D75-8562-C0C649801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86" name="BEx1KD7H6UB1VYCJ7O61P562EIUY" descr="IQGV9140X0K0UPBL8OGU3I44J" hidden="1">
          <a:extLst>
            <a:ext uri="{FF2B5EF4-FFF2-40B4-BE49-F238E27FC236}">
              <a16:creationId xmlns:a16="http://schemas.microsoft.com/office/drawing/2014/main" id="{88D4B656-69B7-411F-999D-274F6D23C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87" name="BEx5AQZ4ETQ9LMY5EBWVH20Z7VXQ" hidden="1">
          <a:extLst>
            <a:ext uri="{FF2B5EF4-FFF2-40B4-BE49-F238E27FC236}">
              <a16:creationId xmlns:a16="http://schemas.microsoft.com/office/drawing/2014/main" id="{D2AF7B27-E11A-4E58-AF33-96EE268E3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88" name="BEx1KD7H6UB1VYCJ7O61P562EIUY" descr="IQGV9140X0K0UPBL8OGU3I44J" hidden="1">
          <a:extLst>
            <a:ext uri="{FF2B5EF4-FFF2-40B4-BE49-F238E27FC236}">
              <a16:creationId xmlns:a16="http://schemas.microsoft.com/office/drawing/2014/main" id="{3B0AF35A-E028-4D54-A87E-53A03A5B2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89" name="BEx5AQZ4ETQ9LMY5EBWVH20Z7VXQ" hidden="1">
          <a:extLst>
            <a:ext uri="{FF2B5EF4-FFF2-40B4-BE49-F238E27FC236}">
              <a16:creationId xmlns:a16="http://schemas.microsoft.com/office/drawing/2014/main" id="{2162E8CB-FFAF-4BD9-B8A7-55B3DD834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90" name="BEx1KD7H6UB1VYCJ7O61P562EIUY" descr="IQGV9140X0K0UPBL8OGU3I44J" hidden="1">
          <a:extLst>
            <a:ext uri="{FF2B5EF4-FFF2-40B4-BE49-F238E27FC236}">
              <a16:creationId xmlns:a16="http://schemas.microsoft.com/office/drawing/2014/main" id="{58ED032A-E31E-4AC9-8FEB-AD6D054B1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91" name="BEx5AQZ4ETQ9LMY5EBWVH20Z7VXQ" hidden="1">
          <a:extLst>
            <a:ext uri="{FF2B5EF4-FFF2-40B4-BE49-F238E27FC236}">
              <a16:creationId xmlns:a16="http://schemas.microsoft.com/office/drawing/2014/main" id="{EE020222-1106-4DCB-8DE3-752C1267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92" name="BEx1KD7H6UB1VYCJ7O61P562EIUY" descr="IQGV9140X0K0UPBL8OGU3I44J" hidden="1">
          <a:extLst>
            <a:ext uri="{FF2B5EF4-FFF2-40B4-BE49-F238E27FC236}">
              <a16:creationId xmlns:a16="http://schemas.microsoft.com/office/drawing/2014/main" id="{232403F8-212A-45C8-96F1-0C77A177B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93" name="BEx5AQZ4ETQ9LMY5EBWVH20Z7VXQ" hidden="1">
          <a:extLst>
            <a:ext uri="{FF2B5EF4-FFF2-40B4-BE49-F238E27FC236}">
              <a16:creationId xmlns:a16="http://schemas.microsoft.com/office/drawing/2014/main" id="{1C7432F3-7ACB-474D-97CA-1E7554C02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94" name="BEx1KD7H6UB1VYCJ7O61P562EIUY" descr="IQGV9140X0K0UPBL8OGU3I44J" hidden="1">
          <a:extLst>
            <a:ext uri="{FF2B5EF4-FFF2-40B4-BE49-F238E27FC236}">
              <a16:creationId xmlns:a16="http://schemas.microsoft.com/office/drawing/2014/main" id="{73CA23BA-9DF7-480B-9A1A-9B4D7CFC7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95" name="BEx5AQZ4ETQ9LMY5EBWVH20Z7VXQ" hidden="1">
          <a:extLst>
            <a:ext uri="{FF2B5EF4-FFF2-40B4-BE49-F238E27FC236}">
              <a16:creationId xmlns:a16="http://schemas.microsoft.com/office/drawing/2014/main" id="{FE43B351-072E-479C-96E8-9D5BF9126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96" name="BEx1KD7H6UB1VYCJ7O61P562EIUY" descr="IQGV9140X0K0UPBL8OGU3I44J" hidden="1">
          <a:extLst>
            <a:ext uri="{FF2B5EF4-FFF2-40B4-BE49-F238E27FC236}">
              <a16:creationId xmlns:a16="http://schemas.microsoft.com/office/drawing/2014/main" id="{FA6AB368-7132-46B9-BB1F-894C28A54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97" name="BEx5AQZ4ETQ9LMY5EBWVH20Z7VXQ" hidden="1">
          <a:extLst>
            <a:ext uri="{FF2B5EF4-FFF2-40B4-BE49-F238E27FC236}">
              <a16:creationId xmlns:a16="http://schemas.microsoft.com/office/drawing/2014/main" id="{57588515-3382-41B0-98CE-98E5285C8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98" name="BEx1KD7H6UB1VYCJ7O61P562EIUY" descr="IQGV9140X0K0UPBL8OGU3I44J" hidden="1">
          <a:extLst>
            <a:ext uri="{FF2B5EF4-FFF2-40B4-BE49-F238E27FC236}">
              <a16:creationId xmlns:a16="http://schemas.microsoft.com/office/drawing/2014/main" id="{49767126-1DEA-4104-AD29-2A2012891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699" name="BEx5AQZ4ETQ9LMY5EBWVH20Z7VXQ" hidden="1">
          <a:extLst>
            <a:ext uri="{FF2B5EF4-FFF2-40B4-BE49-F238E27FC236}">
              <a16:creationId xmlns:a16="http://schemas.microsoft.com/office/drawing/2014/main" id="{7BDA71F4-9BE4-4ABB-82AD-F9CC30EBA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00" name="BEx1KD7H6UB1VYCJ7O61P562EIUY" descr="IQGV9140X0K0UPBL8OGU3I44J" hidden="1">
          <a:extLst>
            <a:ext uri="{FF2B5EF4-FFF2-40B4-BE49-F238E27FC236}">
              <a16:creationId xmlns:a16="http://schemas.microsoft.com/office/drawing/2014/main" id="{6F7D5620-417F-42CF-A7D8-C63C32CBB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01" name="BEx5AQZ4ETQ9LMY5EBWVH20Z7VXQ" hidden="1">
          <a:extLst>
            <a:ext uri="{FF2B5EF4-FFF2-40B4-BE49-F238E27FC236}">
              <a16:creationId xmlns:a16="http://schemas.microsoft.com/office/drawing/2014/main" id="{AB2B1DF2-5D4A-4B6E-8661-19BCB8BE2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02" name="BEx1KD7H6UB1VYCJ7O61P562EIUY" descr="IQGV9140X0K0UPBL8OGU3I44J" hidden="1">
          <a:extLst>
            <a:ext uri="{FF2B5EF4-FFF2-40B4-BE49-F238E27FC236}">
              <a16:creationId xmlns:a16="http://schemas.microsoft.com/office/drawing/2014/main" id="{FD6FD5C0-0257-4675-B024-05027DD39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03" name="BEx5AQZ4ETQ9LMY5EBWVH20Z7VXQ" hidden="1">
          <a:extLst>
            <a:ext uri="{FF2B5EF4-FFF2-40B4-BE49-F238E27FC236}">
              <a16:creationId xmlns:a16="http://schemas.microsoft.com/office/drawing/2014/main" id="{9F37041D-40E7-4404-94ED-BBE9759E2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04" name="BEx1KD7H6UB1VYCJ7O61P562EIUY" descr="IQGV9140X0K0UPBL8OGU3I44J" hidden="1">
          <a:extLst>
            <a:ext uri="{FF2B5EF4-FFF2-40B4-BE49-F238E27FC236}">
              <a16:creationId xmlns:a16="http://schemas.microsoft.com/office/drawing/2014/main" id="{96147A87-0472-48EE-A4AA-C33DC0040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05" name="BEx5AQZ4ETQ9LMY5EBWVH20Z7VXQ" hidden="1">
          <a:extLst>
            <a:ext uri="{FF2B5EF4-FFF2-40B4-BE49-F238E27FC236}">
              <a16:creationId xmlns:a16="http://schemas.microsoft.com/office/drawing/2014/main" id="{9BA3148A-E1AC-47B4-8D5E-451DE508D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06" name="BEx1KD7H6UB1VYCJ7O61P562EIUY" descr="IQGV9140X0K0UPBL8OGU3I44J" hidden="1">
          <a:extLst>
            <a:ext uri="{FF2B5EF4-FFF2-40B4-BE49-F238E27FC236}">
              <a16:creationId xmlns:a16="http://schemas.microsoft.com/office/drawing/2014/main" id="{4A69D3AC-AF8C-459B-AF94-77CB1ABB6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07" name="BEx5AQZ4ETQ9LMY5EBWVH20Z7VXQ" hidden="1">
          <a:extLst>
            <a:ext uri="{FF2B5EF4-FFF2-40B4-BE49-F238E27FC236}">
              <a16:creationId xmlns:a16="http://schemas.microsoft.com/office/drawing/2014/main" id="{636E64F3-2077-4EE5-A5F7-BB9AABB4F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08" name="BEx1KD7H6UB1VYCJ7O61P562EIUY" descr="IQGV9140X0K0UPBL8OGU3I44J" hidden="1">
          <a:extLst>
            <a:ext uri="{FF2B5EF4-FFF2-40B4-BE49-F238E27FC236}">
              <a16:creationId xmlns:a16="http://schemas.microsoft.com/office/drawing/2014/main" id="{9B311B56-959A-4D7C-BF1E-623537E2F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09" name="BEx5AQZ4ETQ9LMY5EBWVH20Z7VXQ" hidden="1">
          <a:extLst>
            <a:ext uri="{FF2B5EF4-FFF2-40B4-BE49-F238E27FC236}">
              <a16:creationId xmlns:a16="http://schemas.microsoft.com/office/drawing/2014/main" id="{B41C7930-826A-4943-87DC-D94E01349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10" name="BEx1KD7H6UB1VYCJ7O61P562EIUY" descr="IQGV9140X0K0UPBL8OGU3I44J" hidden="1">
          <a:extLst>
            <a:ext uri="{FF2B5EF4-FFF2-40B4-BE49-F238E27FC236}">
              <a16:creationId xmlns:a16="http://schemas.microsoft.com/office/drawing/2014/main" id="{313290D6-5B71-4416-9DDC-BD0855603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11" name="BEx5AQZ4ETQ9LMY5EBWVH20Z7VXQ" hidden="1">
          <a:extLst>
            <a:ext uri="{FF2B5EF4-FFF2-40B4-BE49-F238E27FC236}">
              <a16:creationId xmlns:a16="http://schemas.microsoft.com/office/drawing/2014/main" id="{058D1377-DFFC-42D4-A514-08803436E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12" name="BEx1KD7H6UB1VYCJ7O61P562EIUY" descr="IQGV9140X0K0UPBL8OGU3I44J" hidden="1">
          <a:extLst>
            <a:ext uri="{FF2B5EF4-FFF2-40B4-BE49-F238E27FC236}">
              <a16:creationId xmlns:a16="http://schemas.microsoft.com/office/drawing/2014/main" id="{85E6F479-CEF3-47C3-BAB4-55C2E7A35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13" name="BEx5AQZ4ETQ9LMY5EBWVH20Z7VXQ" hidden="1">
          <a:extLst>
            <a:ext uri="{FF2B5EF4-FFF2-40B4-BE49-F238E27FC236}">
              <a16:creationId xmlns:a16="http://schemas.microsoft.com/office/drawing/2014/main" id="{1D4CC2D6-7E6E-4B55-9FC3-E4A507DCA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14" name="BEx1KD7H6UB1VYCJ7O61P562EIUY" descr="IQGV9140X0K0UPBL8OGU3I44J" hidden="1">
          <a:extLst>
            <a:ext uri="{FF2B5EF4-FFF2-40B4-BE49-F238E27FC236}">
              <a16:creationId xmlns:a16="http://schemas.microsoft.com/office/drawing/2014/main" id="{AB3CCEB1-0B5F-4CC4-9FB4-1C1F234E6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15" name="BEx5AQZ4ETQ9LMY5EBWVH20Z7VXQ" hidden="1">
          <a:extLst>
            <a:ext uri="{FF2B5EF4-FFF2-40B4-BE49-F238E27FC236}">
              <a16:creationId xmlns:a16="http://schemas.microsoft.com/office/drawing/2014/main" id="{5140BEC4-07D4-4F8D-8F10-1C6BE44DE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16" name="BEx1KD7H6UB1VYCJ7O61P562EIUY" descr="IQGV9140X0K0UPBL8OGU3I44J" hidden="1">
          <a:extLst>
            <a:ext uri="{FF2B5EF4-FFF2-40B4-BE49-F238E27FC236}">
              <a16:creationId xmlns:a16="http://schemas.microsoft.com/office/drawing/2014/main" id="{994925A4-B2AF-4315-AC41-EDFBF98BF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17" name="BEx5AQZ4ETQ9LMY5EBWVH20Z7VXQ" hidden="1">
          <a:extLst>
            <a:ext uri="{FF2B5EF4-FFF2-40B4-BE49-F238E27FC236}">
              <a16:creationId xmlns:a16="http://schemas.microsoft.com/office/drawing/2014/main" id="{68F50C99-64AB-4754-A848-93315D09C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18" name="BEx1KD7H6UB1VYCJ7O61P562EIUY" descr="IQGV9140X0K0UPBL8OGU3I44J" hidden="1">
          <a:extLst>
            <a:ext uri="{FF2B5EF4-FFF2-40B4-BE49-F238E27FC236}">
              <a16:creationId xmlns:a16="http://schemas.microsoft.com/office/drawing/2014/main" id="{7FA8BB03-BC30-4520-BFC2-8D91AE03E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19" name="BEx5AQZ4ETQ9LMY5EBWVH20Z7VXQ" hidden="1">
          <a:extLst>
            <a:ext uri="{FF2B5EF4-FFF2-40B4-BE49-F238E27FC236}">
              <a16:creationId xmlns:a16="http://schemas.microsoft.com/office/drawing/2014/main" id="{01A87117-BEE0-42D8-BEA7-3770073BC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20" name="BEx1KD7H6UB1VYCJ7O61P562EIUY" descr="IQGV9140X0K0UPBL8OGU3I44J" hidden="1">
          <a:extLst>
            <a:ext uri="{FF2B5EF4-FFF2-40B4-BE49-F238E27FC236}">
              <a16:creationId xmlns:a16="http://schemas.microsoft.com/office/drawing/2014/main" id="{31021743-7B84-4626-A8CC-B67AA4F27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21" name="BEx5AQZ4ETQ9LMY5EBWVH20Z7VXQ" hidden="1">
          <a:extLst>
            <a:ext uri="{FF2B5EF4-FFF2-40B4-BE49-F238E27FC236}">
              <a16:creationId xmlns:a16="http://schemas.microsoft.com/office/drawing/2014/main" id="{FD41DD95-F67C-4A83-BDE7-28181DBD4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22" name="BEx1KD7H6UB1VYCJ7O61P562EIUY" descr="IQGV9140X0K0UPBL8OGU3I44J" hidden="1">
          <a:extLst>
            <a:ext uri="{FF2B5EF4-FFF2-40B4-BE49-F238E27FC236}">
              <a16:creationId xmlns:a16="http://schemas.microsoft.com/office/drawing/2014/main" id="{F0EECD7B-8897-44F3-993F-65AF9F0D6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23" name="BEx5AQZ4ETQ9LMY5EBWVH20Z7VXQ" hidden="1">
          <a:extLst>
            <a:ext uri="{FF2B5EF4-FFF2-40B4-BE49-F238E27FC236}">
              <a16:creationId xmlns:a16="http://schemas.microsoft.com/office/drawing/2014/main" id="{755574E0-F085-4EA7-B1A9-C89A21F51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24" name="BEx1KD7H6UB1VYCJ7O61P562EIUY" descr="IQGV9140X0K0UPBL8OGU3I44J" hidden="1">
          <a:extLst>
            <a:ext uri="{FF2B5EF4-FFF2-40B4-BE49-F238E27FC236}">
              <a16:creationId xmlns:a16="http://schemas.microsoft.com/office/drawing/2014/main" id="{247E871F-DE67-42DF-9CE5-D377309D6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25" name="BEx5AQZ4ETQ9LMY5EBWVH20Z7VXQ" hidden="1">
          <a:extLst>
            <a:ext uri="{FF2B5EF4-FFF2-40B4-BE49-F238E27FC236}">
              <a16:creationId xmlns:a16="http://schemas.microsoft.com/office/drawing/2014/main" id="{28A03EA8-15C5-4F5D-85E4-3A43F8CE2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26" name="BEx1KD7H6UB1VYCJ7O61P562EIUY" descr="IQGV9140X0K0UPBL8OGU3I44J" hidden="1">
          <a:extLst>
            <a:ext uri="{FF2B5EF4-FFF2-40B4-BE49-F238E27FC236}">
              <a16:creationId xmlns:a16="http://schemas.microsoft.com/office/drawing/2014/main" id="{08CCBE4B-FC06-4752-A18A-558E58C43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27" name="BEx5AQZ4ETQ9LMY5EBWVH20Z7VXQ" hidden="1">
          <a:extLst>
            <a:ext uri="{FF2B5EF4-FFF2-40B4-BE49-F238E27FC236}">
              <a16:creationId xmlns:a16="http://schemas.microsoft.com/office/drawing/2014/main" id="{D75EBFF6-2D8D-4ED8-AE69-C4F908691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28" name="BEx1KD7H6UB1VYCJ7O61P562EIUY" descr="IQGV9140X0K0UPBL8OGU3I44J" hidden="1">
          <a:extLst>
            <a:ext uri="{FF2B5EF4-FFF2-40B4-BE49-F238E27FC236}">
              <a16:creationId xmlns:a16="http://schemas.microsoft.com/office/drawing/2014/main" id="{E046509D-F073-4E89-9F25-4CC9940C2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29" name="BEx5AQZ4ETQ9LMY5EBWVH20Z7VXQ" hidden="1">
          <a:extLst>
            <a:ext uri="{FF2B5EF4-FFF2-40B4-BE49-F238E27FC236}">
              <a16:creationId xmlns:a16="http://schemas.microsoft.com/office/drawing/2014/main" id="{BF8A5C8A-5E49-4393-A49A-F4AD46A99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30" name="BEx1KD7H6UB1VYCJ7O61P562EIUY" descr="IQGV9140X0K0UPBL8OGU3I44J" hidden="1">
          <a:extLst>
            <a:ext uri="{FF2B5EF4-FFF2-40B4-BE49-F238E27FC236}">
              <a16:creationId xmlns:a16="http://schemas.microsoft.com/office/drawing/2014/main" id="{4646973C-C7A3-49F8-BAEC-C41474993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31" name="BEx5AQZ4ETQ9LMY5EBWVH20Z7VXQ" hidden="1">
          <a:extLst>
            <a:ext uri="{FF2B5EF4-FFF2-40B4-BE49-F238E27FC236}">
              <a16:creationId xmlns:a16="http://schemas.microsoft.com/office/drawing/2014/main" id="{FCE99BA6-905D-43FE-8285-B3BF5ED72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32" name="BEx1KD7H6UB1VYCJ7O61P562EIUY" descr="IQGV9140X0K0UPBL8OGU3I44J" hidden="1">
          <a:extLst>
            <a:ext uri="{FF2B5EF4-FFF2-40B4-BE49-F238E27FC236}">
              <a16:creationId xmlns:a16="http://schemas.microsoft.com/office/drawing/2014/main" id="{D4123768-C657-4E6B-86AF-7CF6FB8AE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33" name="BEx5AQZ4ETQ9LMY5EBWVH20Z7VXQ" hidden="1">
          <a:extLst>
            <a:ext uri="{FF2B5EF4-FFF2-40B4-BE49-F238E27FC236}">
              <a16:creationId xmlns:a16="http://schemas.microsoft.com/office/drawing/2014/main" id="{A4E542EC-C1F8-4F55-806E-D40834157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34" name="BEx1KD7H6UB1VYCJ7O61P562EIUY" descr="IQGV9140X0K0UPBL8OGU3I44J" hidden="1">
          <a:extLst>
            <a:ext uri="{FF2B5EF4-FFF2-40B4-BE49-F238E27FC236}">
              <a16:creationId xmlns:a16="http://schemas.microsoft.com/office/drawing/2014/main" id="{04E90142-D124-446F-A8D6-0E998AEFE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35" name="BEx5AQZ4ETQ9LMY5EBWVH20Z7VXQ" hidden="1">
          <a:extLst>
            <a:ext uri="{FF2B5EF4-FFF2-40B4-BE49-F238E27FC236}">
              <a16:creationId xmlns:a16="http://schemas.microsoft.com/office/drawing/2014/main" id="{C22137E1-1312-4E29-BCB4-5DB1D8FD1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36" name="BEx1KD7H6UB1VYCJ7O61P562EIUY" descr="IQGV9140X0K0UPBL8OGU3I44J" hidden="1">
          <a:extLst>
            <a:ext uri="{FF2B5EF4-FFF2-40B4-BE49-F238E27FC236}">
              <a16:creationId xmlns:a16="http://schemas.microsoft.com/office/drawing/2014/main" id="{9AA89751-7EC9-415A-B618-5F8FD6B1A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37" name="BEx5AQZ4ETQ9LMY5EBWVH20Z7VXQ" hidden="1">
          <a:extLst>
            <a:ext uri="{FF2B5EF4-FFF2-40B4-BE49-F238E27FC236}">
              <a16:creationId xmlns:a16="http://schemas.microsoft.com/office/drawing/2014/main" id="{3AACE3FA-3E7C-45FE-931F-EF8D8E79B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38" name="BEx1KD7H6UB1VYCJ7O61P562EIUY" descr="IQGV9140X0K0UPBL8OGU3I44J" hidden="1">
          <a:extLst>
            <a:ext uri="{FF2B5EF4-FFF2-40B4-BE49-F238E27FC236}">
              <a16:creationId xmlns:a16="http://schemas.microsoft.com/office/drawing/2014/main" id="{7E4CFE8B-BC4C-49A0-88EA-840D8D83C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39" name="BEx5AQZ4ETQ9LMY5EBWVH20Z7VXQ" hidden="1">
          <a:extLst>
            <a:ext uri="{FF2B5EF4-FFF2-40B4-BE49-F238E27FC236}">
              <a16:creationId xmlns:a16="http://schemas.microsoft.com/office/drawing/2014/main" id="{BA1E57E7-B197-4D6A-83F5-66E7CDAA1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40" name="BEx1KD7H6UB1VYCJ7O61P562EIUY" descr="IQGV9140X0K0UPBL8OGU3I44J" hidden="1">
          <a:extLst>
            <a:ext uri="{FF2B5EF4-FFF2-40B4-BE49-F238E27FC236}">
              <a16:creationId xmlns:a16="http://schemas.microsoft.com/office/drawing/2014/main" id="{F07C36E9-7CD8-471E-B195-0AA6FDDA4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41" name="BEx5AQZ4ETQ9LMY5EBWVH20Z7VXQ" hidden="1">
          <a:extLst>
            <a:ext uri="{FF2B5EF4-FFF2-40B4-BE49-F238E27FC236}">
              <a16:creationId xmlns:a16="http://schemas.microsoft.com/office/drawing/2014/main" id="{5EB11ECD-4314-4752-80FB-5992C7C52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42" name="BEx1KD7H6UB1VYCJ7O61P562EIUY" descr="IQGV9140X0K0UPBL8OGU3I44J" hidden="1">
          <a:extLst>
            <a:ext uri="{FF2B5EF4-FFF2-40B4-BE49-F238E27FC236}">
              <a16:creationId xmlns:a16="http://schemas.microsoft.com/office/drawing/2014/main" id="{E6320560-C0A1-46B0-B42B-2942461FE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6743" name="BExVTO5Q8G2M7BPL4B2584LQS0R0" descr="OB6Q8NA4LZFE4GM9Y3V56BPMQ" hidden="1">
          <a:extLst>
            <a:ext uri="{FF2B5EF4-FFF2-40B4-BE49-F238E27FC236}">
              <a16:creationId xmlns:a16="http://schemas.microsoft.com/office/drawing/2014/main" id="{D3F48257-D2F2-47D7-A360-5BBB6E68A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44" name="BEx5AQZ4ETQ9LMY5EBWVH20Z7VXQ" hidden="1">
          <a:extLst>
            <a:ext uri="{FF2B5EF4-FFF2-40B4-BE49-F238E27FC236}">
              <a16:creationId xmlns:a16="http://schemas.microsoft.com/office/drawing/2014/main" id="{AF57D027-B0AB-4FC4-9FD5-5E22DDA35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6745" name="BExUEZCSSJ7RN4J18I2NUIQR2FZS" hidden="1">
          <a:extLst>
            <a:ext uri="{FF2B5EF4-FFF2-40B4-BE49-F238E27FC236}">
              <a16:creationId xmlns:a16="http://schemas.microsoft.com/office/drawing/2014/main" id="{80E1031A-B70F-42E7-A47B-04D23C8EA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543300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46" name="BEx1KD7H6UB1VYCJ7O61P562EIUY" descr="IQGV9140X0K0UPBL8OGU3I44J" hidden="1">
          <a:extLst>
            <a:ext uri="{FF2B5EF4-FFF2-40B4-BE49-F238E27FC236}">
              <a16:creationId xmlns:a16="http://schemas.microsoft.com/office/drawing/2014/main" id="{5B39CA72-5D31-4371-A027-1C064BB4B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47" name="BEx5AQZ4ETQ9LMY5EBWVH20Z7VXQ" hidden="1">
          <a:extLst>
            <a:ext uri="{FF2B5EF4-FFF2-40B4-BE49-F238E27FC236}">
              <a16:creationId xmlns:a16="http://schemas.microsoft.com/office/drawing/2014/main" id="{B32C8CD0-4496-4F22-B7F8-BC28BFBA6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48" name="BEx1KD7H6UB1VYCJ7O61P562EIUY" descr="IQGV9140X0K0UPBL8OGU3I44J" hidden="1">
          <a:extLst>
            <a:ext uri="{FF2B5EF4-FFF2-40B4-BE49-F238E27FC236}">
              <a16:creationId xmlns:a16="http://schemas.microsoft.com/office/drawing/2014/main" id="{8719BE41-9C04-4DCD-88EE-C37C4AAAD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49" name="BEx5AQZ4ETQ9LMY5EBWVH20Z7VXQ" hidden="1">
          <a:extLst>
            <a:ext uri="{FF2B5EF4-FFF2-40B4-BE49-F238E27FC236}">
              <a16:creationId xmlns:a16="http://schemas.microsoft.com/office/drawing/2014/main" id="{2475A4CA-2AAE-4753-8385-1E9EE1AA8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50" name="BEx1KD7H6UB1VYCJ7O61P562EIUY" descr="IQGV9140X0K0UPBL8OGU3I44J" hidden="1">
          <a:extLst>
            <a:ext uri="{FF2B5EF4-FFF2-40B4-BE49-F238E27FC236}">
              <a16:creationId xmlns:a16="http://schemas.microsoft.com/office/drawing/2014/main" id="{F18A0A1D-8704-4555-BA41-6ECFD82EF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51" name="BEx5AQZ4ETQ9LMY5EBWVH20Z7VXQ" hidden="1">
          <a:extLst>
            <a:ext uri="{FF2B5EF4-FFF2-40B4-BE49-F238E27FC236}">
              <a16:creationId xmlns:a16="http://schemas.microsoft.com/office/drawing/2014/main" id="{8957FCC4-6128-4182-ABF1-9C4731D00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52" name="BEx1KD7H6UB1VYCJ7O61P562EIUY" descr="IQGV9140X0K0UPBL8OGU3I44J" hidden="1">
          <a:extLst>
            <a:ext uri="{FF2B5EF4-FFF2-40B4-BE49-F238E27FC236}">
              <a16:creationId xmlns:a16="http://schemas.microsoft.com/office/drawing/2014/main" id="{5984C215-F982-449F-80FD-25DF31768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53" name="BEx5AQZ4ETQ9LMY5EBWVH20Z7VXQ" hidden="1">
          <a:extLst>
            <a:ext uri="{FF2B5EF4-FFF2-40B4-BE49-F238E27FC236}">
              <a16:creationId xmlns:a16="http://schemas.microsoft.com/office/drawing/2014/main" id="{0C75D283-5C8D-4D13-8936-E86AAA9E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54" name="BEx1KD7H6UB1VYCJ7O61P562EIUY" descr="IQGV9140X0K0UPBL8OGU3I44J" hidden="1">
          <a:extLst>
            <a:ext uri="{FF2B5EF4-FFF2-40B4-BE49-F238E27FC236}">
              <a16:creationId xmlns:a16="http://schemas.microsoft.com/office/drawing/2014/main" id="{A1AC92B2-1BA3-4DCC-8949-093664489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55" name="BEx5AQZ4ETQ9LMY5EBWVH20Z7VXQ" hidden="1">
          <a:extLst>
            <a:ext uri="{FF2B5EF4-FFF2-40B4-BE49-F238E27FC236}">
              <a16:creationId xmlns:a16="http://schemas.microsoft.com/office/drawing/2014/main" id="{B80D128E-B15F-4212-82C5-029272A76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56" name="BEx1KD7H6UB1VYCJ7O61P562EIUY" descr="IQGV9140X0K0UPBL8OGU3I44J" hidden="1">
          <a:extLst>
            <a:ext uri="{FF2B5EF4-FFF2-40B4-BE49-F238E27FC236}">
              <a16:creationId xmlns:a16="http://schemas.microsoft.com/office/drawing/2014/main" id="{84144689-7207-4687-97BE-8C5032E2C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57" name="BEx5AQZ4ETQ9LMY5EBWVH20Z7VXQ" hidden="1">
          <a:extLst>
            <a:ext uri="{FF2B5EF4-FFF2-40B4-BE49-F238E27FC236}">
              <a16:creationId xmlns:a16="http://schemas.microsoft.com/office/drawing/2014/main" id="{E3154EF9-841D-42E6-9147-41EBDB77D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58" name="BEx1KD7H6UB1VYCJ7O61P562EIUY" descr="IQGV9140X0K0UPBL8OGU3I44J" hidden="1">
          <a:extLst>
            <a:ext uri="{FF2B5EF4-FFF2-40B4-BE49-F238E27FC236}">
              <a16:creationId xmlns:a16="http://schemas.microsoft.com/office/drawing/2014/main" id="{956DF8EF-EBD9-4AF6-BB16-D029E78F7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59" name="BEx5AQZ4ETQ9LMY5EBWVH20Z7VXQ" hidden="1">
          <a:extLst>
            <a:ext uri="{FF2B5EF4-FFF2-40B4-BE49-F238E27FC236}">
              <a16:creationId xmlns:a16="http://schemas.microsoft.com/office/drawing/2014/main" id="{40A858C2-7B5C-4B8E-BB92-590F6CB4B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60" name="BEx1KD7H6UB1VYCJ7O61P562EIUY" descr="IQGV9140X0K0UPBL8OGU3I44J" hidden="1">
          <a:extLst>
            <a:ext uri="{FF2B5EF4-FFF2-40B4-BE49-F238E27FC236}">
              <a16:creationId xmlns:a16="http://schemas.microsoft.com/office/drawing/2014/main" id="{476E211B-8261-460E-AE2F-FD0489CB0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61" name="BEx5AQZ4ETQ9LMY5EBWVH20Z7VXQ" hidden="1">
          <a:extLst>
            <a:ext uri="{FF2B5EF4-FFF2-40B4-BE49-F238E27FC236}">
              <a16:creationId xmlns:a16="http://schemas.microsoft.com/office/drawing/2014/main" id="{56DA07A2-2675-447D-B2C8-261BAADAD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62" name="BEx1KD7H6UB1VYCJ7O61P562EIUY" descr="IQGV9140X0K0UPBL8OGU3I44J" hidden="1">
          <a:extLst>
            <a:ext uri="{FF2B5EF4-FFF2-40B4-BE49-F238E27FC236}">
              <a16:creationId xmlns:a16="http://schemas.microsoft.com/office/drawing/2014/main" id="{EAD76A73-F80F-4554-AAAB-8729C5EE9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63" name="BEx5AQZ4ETQ9LMY5EBWVH20Z7VXQ" hidden="1">
          <a:extLst>
            <a:ext uri="{FF2B5EF4-FFF2-40B4-BE49-F238E27FC236}">
              <a16:creationId xmlns:a16="http://schemas.microsoft.com/office/drawing/2014/main" id="{E9C81A01-BC8A-484F-98FF-DFF1EA8F4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64" name="BEx1KD7H6UB1VYCJ7O61P562EIUY" descr="IQGV9140X0K0UPBL8OGU3I44J" hidden="1">
          <a:extLst>
            <a:ext uri="{FF2B5EF4-FFF2-40B4-BE49-F238E27FC236}">
              <a16:creationId xmlns:a16="http://schemas.microsoft.com/office/drawing/2014/main" id="{02FC4EB0-43F6-43F0-8F19-AEB004B48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65" name="BEx5AQZ4ETQ9LMY5EBWVH20Z7VXQ" hidden="1">
          <a:extLst>
            <a:ext uri="{FF2B5EF4-FFF2-40B4-BE49-F238E27FC236}">
              <a16:creationId xmlns:a16="http://schemas.microsoft.com/office/drawing/2014/main" id="{EF1C2B63-FADC-4174-B94F-CCDC58087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66" name="BEx1KD7H6UB1VYCJ7O61P562EIUY" descr="IQGV9140X0K0UPBL8OGU3I44J" hidden="1">
          <a:extLst>
            <a:ext uri="{FF2B5EF4-FFF2-40B4-BE49-F238E27FC236}">
              <a16:creationId xmlns:a16="http://schemas.microsoft.com/office/drawing/2014/main" id="{F83A4C36-C560-4E9C-9032-BB2AD5F4A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67" name="BEx5AQZ4ETQ9LMY5EBWVH20Z7VXQ" hidden="1">
          <a:extLst>
            <a:ext uri="{FF2B5EF4-FFF2-40B4-BE49-F238E27FC236}">
              <a16:creationId xmlns:a16="http://schemas.microsoft.com/office/drawing/2014/main" id="{5EBADDA6-3CF2-4CFD-959D-D271E31C7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68" name="BEx1KD7H6UB1VYCJ7O61P562EIUY" descr="IQGV9140X0K0UPBL8OGU3I44J" hidden="1">
          <a:extLst>
            <a:ext uri="{FF2B5EF4-FFF2-40B4-BE49-F238E27FC236}">
              <a16:creationId xmlns:a16="http://schemas.microsoft.com/office/drawing/2014/main" id="{5E4C0FE8-C75C-4682-9C74-26DC078E1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69" name="BEx5AQZ4ETQ9LMY5EBWVH20Z7VXQ" hidden="1">
          <a:extLst>
            <a:ext uri="{FF2B5EF4-FFF2-40B4-BE49-F238E27FC236}">
              <a16:creationId xmlns:a16="http://schemas.microsoft.com/office/drawing/2014/main" id="{C4E7CD0A-73F0-43B8-9DEA-0143E48B2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70" name="BEx1KD7H6UB1VYCJ7O61P562EIUY" descr="IQGV9140X0K0UPBL8OGU3I44J" hidden="1">
          <a:extLst>
            <a:ext uri="{FF2B5EF4-FFF2-40B4-BE49-F238E27FC236}">
              <a16:creationId xmlns:a16="http://schemas.microsoft.com/office/drawing/2014/main" id="{9F1414E2-A8E5-4B46-8ACA-6C702B621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71" name="BEx5AQZ4ETQ9LMY5EBWVH20Z7VXQ" hidden="1">
          <a:extLst>
            <a:ext uri="{FF2B5EF4-FFF2-40B4-BE49-F238E27FC236}">
              <a16:creationId xmlns:a16="http://schemas.microsoft.com/office/drawing/2014/main" id="{B58615DF-0869-4CEC-AC39-5E2CD5FCD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72" name="BEx1KD7H6UB1VYCJ7O61P562EIUY" descr="IQGV9140X0K0UPBL8OGU3I44J" hidden="1">
          <a:extLst>
            <a:ext uri="{FF2B5EF4-FFF2-40B4-BE49-F238E27FC236}">
              <a16:creationId xmlns:a16="http://schemas.microsoft.com/office/drawing/2014/main" id="{90781F3E-9C61-4889-BD9A-EE2347223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73" name="BEx5AQZ4ETQ9LMY5EBWVH20Z7VXQ" hidden="1">
          <a:extLst>
            <a:ext uri="{FF2B5EF4-FFF2-40B4-BE49-F238E27FC236}">
              <a16:creationId xmlns:a16="http://schemas.microsoft.com/office/drawing/2014/main" id="{216BC7EA-C428-48AE-B80B-3CCDD6E56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74" name="BEx1KD7H6UB1VYCJ7O61P562EIUY" descr="IQGV9140X0K0UPBL8OGU3I44J" hidden="1">
          <a:extLst>
            <a:ext uri="{FF2B5EF4-FFF2-40B4-BE49-F238E27FC236}">
              <a16:creationId xmlns:a16="http://schemas.microsoft.com/office/drawing/2014/main" id="{3C96FDCF-F655-4D33-AB01-2BBEA4B3A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75" name="BEx5AQZ4ETQ9LMY5EBWVH20Z7VXQ" hidden="1">
          <a:extLst>
            <a:ext uri="{FF2B5EF4-FFF2-40B4-BE49-F238E27FC236}">
              <a16:creationId xmlns:a16="http://schemas.microsoft.com/office/drawing/2014/main" id="{22F806DF-BF8E-4349-89A0-2FAD8274D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76" name="BEx1KD7H6UB1VYCJ7O61P562EIUY" descr="IQGV9140X0K0UPBL8OGU3I44J" hidden="1">
          <a:extLst>
            <a:ext uri="{FF2B5EF4-FFF2-40B4-BE49-F238E27FC236}">
              <a16:creationId xmlns:a16="http://schemas.microsoft.com/office/drawing/2014/main" id="{9E2B842E-7AF9-4F95-A649-FEA8B79C8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77" name="BEx5AQZ4ETQ9LMY5EBWVH20Z7VXQ" hidden="1">
          <a:extLst>
            <a:ext uri="{FF2B5EF4-FFF2-40B4-BE49-F238E27FC236}">
              <a16:creationId xmlns:a16="http://schemas.microsoft.com/office/drawing/2014/main" id="{4DC87FA4-5EB4-4CD4-8371-934BFABAE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78" name="BEx1KD7H6UB1VYCJ7O61P562EIUY" descr="IQGV9140X0K0UPBL8OGU3I44J" hidden="1">
          <a:extLst>
            <a:ext uri="{FF2B5EF4-FFF2-40B4-BE49-F238E27FC236}">
              <a16:creationId xmlns:a16="http://schemas.microsoft.com/office/drawing/2014/main" id="{9ED83107-0FF5-4318-BA81-0F44AD081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79" name="BEx5AQZ4ETQ9LMY5EBWVH20Z7VXQ" hidden="1">
          <a:extLst>
            <a:ext uri="{FF2B5EF4-FFF2-40B4-BE49-F238E27FC236}">
              <a16:creationId xmlns:a16="http://schemas.microsoft.com/office/drawing/2014/main" id="{BA40FC06-C486-47E2-95AD-D8196F180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80" name="BEx1KD7H6UB1VYCJ7O61P562EIUY" descr="IQGV9140X0K0UPBL8OGU3I44J" hidden="1">
          <a:extLst>
            <a:ext uri="{FF2B5EF4-FFF2-40B4-BE49-F238E27FC236}">
              <a16:creationId xmlns:a16="http://schemas.microsoft.com/office/drawing/2014/main" id="{7B2C7EF0-DC9E-4D95-A6CA-4EF16C9A7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81" name="BEx5AQZ4ETQ9LMY5EBWVH20Z7VXQ" hidden="1">
          <a:extLst>
            <a:ext uri="{FF2B5EF4-FFF2-40B4-BE49-F238E27FC236}">
              <a16:creationId xmlns:a16="http://schemas.microsoft.com/office/drawing/2014/main" id="{7D13938A-9107-4719-A895-1F939D6B6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82" name="BEx1KD7H6UB1VYCJ7O61P562EIUY" descr="IQGV9140X0K0UPBL8OGU3I44J" hidden="1">
          <a:extLst>
            <a:ext uri="{FF2B5EF4-FFF2-40B4-BE49-F238E27FC236}">
              <a16:creationId xmlns:a16="http://schemas.microsoft.com/office/drawing/2014/main" id="{BA0B515D-16C9-4025-B574-DD67B7EB4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83" name="BEx5AQZ4ETQ9LMY5EBWVH20Z7VXQ" hidden="1">
          <a:extLst>
            <a:ext uri="{FF2B5EF4-FFF2-40B4-BE49-F238E27FC236}">
              <a16:creationId xmlns:a16="http://schemas.microsoft.com/office/drawing/2014/main" id="{B5716058-B4F6-4654-85F0-1F8905187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84" name="BEx1KD7H6UB1VYCJ7O61P562EIUY" descr="IQGV9140X0K0UPBL8OGU3I44J" hidden="1">
          <a:extLst>
            <a:ext uri="{FF2B5EF4-FFF2-40B4-BE49-F238E27FC236}">
              <a16:creationId xmlns:a16="http://schemas.microsoft.com/office/drawing/2014/main" id="{0E73F67E-DEF4-445C-948F-18A7ED9C8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6785" name="BExVTO5Q8G2M7BPL4B2584LQS0R0" descr="OB6Q8NA4LZFE4GM9Y3V56BPMQ" hidden="1">
          <a:extLst>
            <a:ext uri="{FF2B5EF4-FFF2-40B4-BE49-F238E27FC236}">
              <a16:creationId xmlns:a16="http://schemas.microsoft.com/office/drawing/2014/main" id="{9BA9383E-A64A-458A-8C35-62AA608E4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86" name="BEx5AQZ4ETQ9LMY5EBWVH20Z7VXQ" hidden="1">
          <a:extLst>
            <a:ext uri="{FF2B5EF4-FFF2-40B4-BE49-F238E27FC236}">
              <a16:creationId xmlns:a16="http://schemas.microsoft.com/office/drawing/2014/main" id="{80F6FEA3-7AF9-4FEA-8C96-33196A034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6787" name="BExUEZCSSJ7RN4J18I2NUIQR2FZS" hidden="1">
          <a:extLst>
            <a:ext uri="{FF2B5EF4-FFF2-40B4-BE49-F238E27FC236}">
              <a16:creationId xmlns:a16="http://schemas.microsoft.com/office/drawing/2014/main" id="{E6CB71BB-9D49-4340-97EB-6D5D834A2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543300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88" name="BEx1KD7H6UB1VYCJ7O61P562EIUY" descr="IQGV9140X0K0UPBL8OGU3I44J" hidden="1">
          <a:extLst>
            <a:ext uri="{FF2B5EF4-FFF2-40B4-BE49-F238E27FC236}">
              <a16:creationId xmlns:a16="http://schemas.microsoft.com/office/drawing/2014/main" id="{3DD02AAD-1E1A-4BED-8AFF-C6F010EC9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89" name="BEx5AQZ4ETQ9LMY5EBWVH20Z7VXQ" hidden="1">
          <a:extLst>
            <a:ext uri="{FF2B5EF4-FFF2-40B4-BE49-F238E27FC236}">
              <a16:creationId xmlns:a16="http://schemas.microsoft.com/office/drawing/2014/main" id="{56BB454D-3F6B-4E93-BA9F-0389C915B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90" name="BEx1KD7H6UB1VYCJ7O61P562EIUY" descr="IQGV9140X0K0UPBL8OGU3I44J" hidden="1">
          <a:extLst>
            <a:ext uri="{FF2B5EF4-FFF2-40B4-BE49-F238E27FC236}">
              <a16:creationId xmlns:a16="http://schemas.microsoft.com/office/drawing/2014/main" id="{FE3B1016-60F2-4A4B-A551-C3A052FBC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91" name="BEx5AQZ4ETQ9LMY5EBWVH20Z7VXQ" hidden="1">
          <a:extLst>
            <a:ext uri="{FF2B5EF4-FFF2-40B4-BE49-F238E27FC236}">
              <a16:creationId xmlns:a16="http://schemas.microsoft.com/office/drawing/2014/main" id="{2B867DE8-62A7-488C-A51C-2B1D61FC2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92" name="BEx1KD7H6UB1VYCJ7O61P562EIUY" descr="IQGV9140X0K0UPBL8OGU3I44J" hidden="1">
          <a:extLst>
            <a:ext uri="{FF2B5EF4-FFF2-40B4-BE49-F238E27FC236}">
              <a16:creationId xmlns:a16="http://schemas.microsoft.com/office/drawing/2014/main" id="{F4EEA42E-6D4A-4A6C-A8F8-47730170B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93" name="BEx5AQZ4ETQ9LMY5EBWVH20Z7VXQ" hidden="1">
          <a:extLst>
            <a:ext uri="{FF2B5EF4-FFF2-40B4-BE49-F238E27FC236}">
              <a16:creationId xmlns:a16="http://schemas.microsoft.com/office/drawing/2014/main" id="{B1A3A009-7151-4AA8-9EB9-4CF5A8884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94" name="BEx1KD7H6UB1VYCJ7O61P562EIUY" descr="IQGV9140X0K0UPBL8OGU3I44J" hidden="1">
          <a:extLst>
            <a:ext uri="{FF2B5EF4-FFF2-40B4-BE49-F238E27FC236}">
              <a16:creationId xmlns:a16="http://schemas.microsoft.com/office/drawing/2014/main" id="{3988F1D4-2A77-4B17-9444-073C080E4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95" name="BEx5AQZ4ETQ9LMY5EBWVH20Z7VXQ" hidden="1">
          <a:extLst>
            <a:ext uri="{FF2B5EF4-FFF2-40B4-BE49-F238E27FC236}">
              <a16:creationId xmlns:a16="http://schemas.microsoft.com/office/drawing/2014/main" id="{0466E8A3-6773-4409-982A-AAC2004EF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96" name="BEx1KD7H6UB1VYCJ7O61P562EIUY" descr="IQGV9140X0K0UPBL8OGU3I44J" hidden="1">
          <a:extLst>
            <a:ext uri="{FF2B5EF4-FFF2-40B4-BE49-F238E27FC236}">
              <a16:creationId xmlns:a16="http://schemas.microsoft.com/office/drawing/2014/main" id="{6D225266-31F0-4733-9626-DEAA6D0A2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97" name="BEx5AQZ4ETQ9LMY5EBWVH20Z7VXQ" hidden="1">
          <a:extLst>
            <a:ext uri="{FF2B5EF4-FFF2-40B4-BE49-F238E27FC236}">
              <a16:creationId xmlns:a16="http://schemas.microsoft.com/office/drawing/2014/main" id="{B797E1D1-3A55-433F-8FAB-FFBEE9E25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98" name="BEx1KD7H6UB1VYCJ7O61P562EIUY" descr="IQGV9140X0K0UPBL8OGU3I44J" hidden="1">
          <a:extLst>
            <a:ext uri="{FF2B5EF4-FFF2-40B4-BE49-F238E27FC236}">
              <a16:creationId xmlns:a16="http://schemas.microsoft.com/office/drawing/2014/main" id="{E1989C90-E648-4363-8B94-61EF60016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799" name="BEx5AQZ4ETQ9LMY5EBWVH20Z7VXQ" hidden="1">
          <a:extLst>
            <a:ext uri="{FF2B5EF4-FFF2-40B4-BE49-F238E27FC236}">
              <a16:creationId xmlns:a16="http://schemas.microsoft.com/office/drawing/2014/main" id="{419E9A6D-18BE-450F-868A-45353F470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00" name="BEx1KD7H6UB1VYCJ7O61P562EIUY" descr="IQGV9140X0K0UPBL8OGU3I44J" hidden="1">
          <a:extLst>
            <a:ext uri="{FF2B5EF4-FFF2-40B4-BE49-F238E27FC236}">
              <a16:creationId xmlns:a16="http://schemas.microsoft.com/office/drawing/2014/main" id="{724F80DE-4892-43B9-8935-82F7C55B2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01" name="BEx5AQZ4ETQ9LMY5EBWVH20Z7VXQ" hidden="1">
          <a:extLst>
            <a:ext uri="{FF2B5EF4-FFF2-40B4-BE49-F238E27FC236}">
              <a16:creationId xmlns:a16="http://schemas.microsoft.com/office/drawing/2014/main" id="{2FD55B3E-1342-4E0E-A36B-81CA3D5EB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02" name="BEx1KD7H6UB1VYCJ7O61P562EIUY" descr="IQGV9140X0K0UPBL8OGU3I44J" hidden="1">
          <a:extLst>
            <a:ext uri="{FF2B5EF4-FFF2-40B4-BE49-F238E27FC236}">
              <a16:creationId xmlns:a16="http://schemas.microsoft.com/office/drawing/2014/main" id="{1B776A64-F9E8-467D-9D85-9ABB7D16A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03" name="BEx5AQZ4ETQ9LMY5EBWVH20Z7VXQ" hidden="1">
          <a:extLst>
            <a:ext uri="{FF2B5EF4-FFF2-40B4-BE49-F238E27FC236}">
              <a16:creationId xmlns:a16="http://schemas.microsoft.com/office/drawing/2014/main" id="{6D9A5A47-E441-4079-8575-19D9A72CA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04" name="BEx1KD7H6UB1VYCJ7O61P562EIUY" descr="IQGV9140X0K0UPBL8OGU3I44J" hidden="1">
          <a:extLst>
            <a:ext uri="{FF2B5EF4-FFF2-40B4-BE49-F238E27FC236}">
              <a16:creationId xmlns:a16="http://schemas.microsoft.com/office/drawing/2014/main" id="{23F6E869-C200-48D1-BA3E-42C539BDD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05" name="BEx5AQZ4ETQ9LMY5EBWVH20Z7VXQ" hidden="1">
          <a:extLst>
            <a:ext uri="{FF2B5EF4-FFF2-40B4-BE49-F238E27FC236}">
              <a16:creationId xmlns:a16="http://schemas.microsoft.com/office/drawing/2014/main" id="{1AC1EFEE-E29E-438A-82E4-15A3C3737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06" name="BEx1KD7H6UB1VYCJ7O61P562EIUY" descr="IQGV9140X0K0UPBL8OGU3I44J" hidden="1">
          <a:extLst>
            <a:ext uri="{FF2B5EF4-FFF2-40B4-BE49-F238E27FC236}">
              <a16:creationId xmlns:a16="http://schemas.microsoft.com/office/drawing/2014/main" id="{A0B8380D-158C-4816-8410-009392D00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07" name="BEx5AQZ4ETQ9LMY5EBWVH20Z7VXQ" hidden="1">
          <a:extLst>
            <a:ext uri="{FF2B5EF4-FFF2-40B4-BE49-F238E27FC236}">
              <a16:creationId xmlns:a16="http://schemas.microsoft.com/office/drawing/2014/main" id="{CDA2EB56-43A8-4AD9-95B3-F13EFB959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08" name="BEx1KD7H6UB1VYCJ7O61P562EIUY" descr="IQGV9140X0K0UPBL8OGU3I44J" hidden="1">
          <a:extLst>
            <a:ext uri="{FF2B5EF4-FFF2-40B4-BE49-F238E27FC236}">
              <a16:creationId xmlns:a16="http://schemas.microsoft.com/office/drawing/2014/main" id="{F992E391-F12F-42B4-A5E0-2F9B4FB62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09" name="BEx5AQZ4ETQ9LMY5EBWVH20Z7VXQ" hidden="1">
          <a:extLst>
            <a:ext uri="{FF2B5EF4-FFF2-40B4-BE49-F238E27FC236}">
              <a16:creationId xmlns:a16="http://schemas.microsoft.com/office/drawing/2014/main" id="{49FB28A0-2194-4681-8BAB-948EC8977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10" name="BEx1KD7H6UB1VYCJ7O61P562EIUY" descr="IQGV9140X0K0UPBL8OGU3I44J" hidden="1">
          <a:extLst>
            <a:ext uri="{FF2B5EF4-FFF2-40B4-BE49-F238E27FC236}">
              <a16:creationId xmlns:a16="http://schemas.microsoft.com/office/drawing/2014/main" id="{67A3E943-0B05-4360-98C1-15AE6E9FF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11" name="BEx5AQZ4ETQ9LMY5EBWVH20Z7VXQ" hidden="1">
          <a:extLst>
            <a:ext uri="{FF2B5EF4-FFF2-40B4-BE49-F238E27FC236}">
              <a16:creationId xmlns:a16="http://schemas.microsoft.com/office/drawing/2014/main" id="{EA53969E-986A-44F2-9AD5-AF16D4BB2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12" name="BEx1KD7H6UB1VYCJ7O61P562EIUY" descr="IQGV9140X0K0UPBL8OGU3I44J" hidden="1">
          <a:extLst>
            <a:ext uri="{FF2B5EF4-FFF2-40B4-BE49-F238E27FC236}">
              <a16:creationId xmlns:a16="http://schemas.microsoft.com/office/drawing/2014/main" id="{CD90348F-28AE-40B7-8654-3371155A0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13" name="BEx5AQZ4ETQ9LMY5EBWVH20Z7VXQ" hidden="1">
          <a:extLst>
            <a:ext uri="{FF2B5EF4-FFF2-40B4-BE49-F238E27FC236}">
              <a16:creationId xmlns:a16="http://schemas.microsoft.com/office/drawing/2014/main" id="{8B0504EA-4F4F-4A3E-9B5C-4796DA88E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14" name="BEx1KD7H6UB1VYCJ7O61P562EIUY" descr="IQGV9140X0K0UPBL8OGU3I44J" hidden="1">
          <a:extLst>
            <a:ext uri="{FF2B5EF4-FFF2-40B4-BE49-F238E27FC236}">
              <a16:creationId xmlns:a16="http://schemas.microsoft.com/office/drawing/2014/main" id="{45BF5DA3-F2DF-4C4E-8260-B275EA2C9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15" name="BEx5AQZ4ETQ9LMY5EBWVH20Z7VXQ" hidden="1">
          <a:extLst>
            <a:ext uri="{FF2B5EF4-FFF2-40B4-BE49-F238E27FC236}">
              <a16:creationId xmlns:a16="http://schemas.microsoft.com/office/drawing/2014/main" id="{FD297790-912C-4ADF-AB8C-4ADDC8855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16" name="BEx1KD7H6UB1VYCJ7O61P562EIUY" descr="IQGV9140X0K0UPBL8OGU3I44J" hidden="1">
          <a:extLst>
            <a:ext uri="{FF2B5EF4-FFF2-40B4-BE49-F238E27FC236}">
              <a16:creationId xmlns:a16="http://schemas.microsoft.com/office/drawing/2014/main" id="{C5D9B84E-6756-4C6B-9A79-88236D992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17" name="BEx5AQZ4ETQ9LMY5EBWVH20Z7VXQ" hidden="1">
          <a:extLst>
            <a:ext uri="{FF2B5EF4-FFF2-40B4-BE49-F238E27FC236}">
              <a16:creationId xmlns:a16="http://schemas.microsoft.com/office/drawing/2014/main" id="{63927E0F-B449-4322-84DB-5D4DD0FEF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18" name="BEx1KD7H6UB1VYCJ7O61P562EIUY" descr="IQGV9140X0K0UPBL8OGU3I44J" hidden="1">
          <a:extLst>
            <a:ext uri="{FF2B5EF4-FFF2-40B4-BE49-F238E27FC236}">
              <a16:creationId xmlns:a16="http://schemas.microsoft.com/office/drawing/2014/main" id="{C8DB3842-BEC6-4619-A222-AD8782711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19" name="BEx5AQZ4ETQ9LMY5EBWVH20Z7VXQ" hidden="1">
          <a:extLst>
            <a:ext uri="{FF2B5EF4-FFF2-40B4-BE49-F238E27FC236}">
              <a16:creationId xmlns:a16="http://schemas.microsoft.com/office/drawing/2014/main" id="{F3B138F9-320C-4CE4-B3C3-242DB082A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20" name="BEx1KD7H6UB1VYCJ7O61P562EIUY" descr="IQGV9140X0K0UPBL8OGU3I44J" hidden="1">
          <a:extLst>
            <a:ext uri="{FF2B5EF4-FFF2-40B4-BE49-F238E27FC236}">
              <a16:creationId xmlns:a16="http://schemas.microsoft.com/office/drawing/2014/main" id="{24C13C59-84F5-4ED7-AC83-12C9D30CA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21" name="BEx5AQZ4ETQ9LMY5EBWVH20Z7VXQ" hidden="1">
          <a:extLst>
            <a:ext uri="{FF2B5EF4-FFF2-40B4-BE49-F238E27FC236}">
              <a16:creationId xmlns:a16="http://schemas.microsoft.com/office/drawing/2014/main" id="{DC1FF495-B0B2-4F78-B2D3-AED522793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22" name="BEx1KD7H6UB1VYCJ7O61P562EIUY" descr="IQGV9140X0K0UPBL8OGU3I44J" hidden="1">
          <a:extLst>
            <a:ext uri="{FF2B5EF4-FFF2-40B4-BE49-F238E27FC236}">
              <a16:creationId xmlns:a16="http://schemas.microsoft.com/office/drawing/2014/main" id="{8D2F32D4-184B-489F-B3FB-3C4E18C94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23" name="BEx5AQZ4ETQ9LMY5EBWVH20Z7VXQ" hidden="1">
          <a:extLst>
            <a:ext uri="{FF2B5EF4-FFF2-40B4-BE49-F238E27FC236}">
              <a16:creationId xmlns:a16="http://schemas.microsoft.com/office/drawing/2014/main" id="{F324706E-F2E0-4D56-831C-F5F7F50EE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24" name="BEx1KD7H6UB1VYCJ7O61P562EIUY" descr="IQGV9140X0K0UPBL8OGU3I44J" hidden="1">
          <a:extLst>
            <a:ext uri="{FF2B5EF4-FFF2-40B4-BE49-F238E27FC236}">
              <a16:creationId xmlns:a16="http://schemas.microsoft.com/office/drawing/2014/main" id="{51DAA68D-02FB-4EEE-B294-16387427A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25" name="BEx5AQZ4ETQ9LMY5EBWVH20Z7VXQ" hidden="1">
          <a:extLst>
            <a:ext uri="{FF2B5EF4-FFF2-40B4-BE49-F238E27FC236}">
              <a16:creationId xmlns:a16="http://schemas.microsoft.com/office/drawing/2014/main" id="{FA3C3452-83C6-48D7-94F7-18DE544BA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26" name="BEx1KD7H6UB1VYCJ7O61P562EIUY" descr="IQGV9140X0K0UPBL8OGU3I44J" hidden="1">
          <a:extLst>
            <a:ext uri="{FF2B5EF4-FFF2-40B4-BE49-F238E27FC236}">
              <a16:creationId xmlns:a16="http://schemas.microsoft.com/office/drawing/2014/main" id="{D4E0E6B9-2D4B-4AB7-AEC6-D9A898907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27" name="BEx5AQZ4ETQ9LMY5EBWVH20Z7VXQ" hidden="1">
          <a:extLst>
            <a:ext uri="{FF2B5EF4-FFF2-40B4-BE49-F238E27FC236}">
              <a16:creationId xmlns:a16="http://schemas.microsoft.com/office/drawing/2014/main" id="{DD3C6C60-44E8-4018-B944-FE8636F01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28" name="BEx1KD7H6UB1VYCJ7O61P562EIUY" descr="IQGV9140X0K0UPBL8OGU3I44J" hidden="1">
          <a:extLst>
            <a:ext uri="{FF2B5EF4-FFF2-40B4-BE49-F238E27FC236}">
              <a16:creationId xmlns:a16="http://schemas.microsoft.com/office/drawing/2014/main" id="{3EB7E842-7405-475F-8793-48C36F070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29" name="BEx5AQZ4ETQ9LMY5EBWVH20Z7VXQ" hidden="1">
          <a:extLst>
            <a:ext uri="{FF2B5EF4-FFF2-40B4-BE49-F238E27FC236}">
              <a16:creationId xmlns:a16="http://schemas.microsoft.com/office/drawing/2014/main" id="{8D30C247-CBB6-44AF-82B7-BA15BDFCD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30" name="BEx1KD7H6UB1VYCJ7O61P562EIUY" descr="IQGV9140X0K0UPBL8OGU3I44J" hidden="1">
          <a:extLst>
            <a:ext uri="{FF2B5EF4-FFF2-40B4-BE49-F238E27FC236}">
              <a16:creationId xmlns:a16="http://schemas.microsoft.com/office/drawing/2014/main" id="{0E7048E8-BE4D-4749-AED8-3B0FEF73C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31" name="BEx5AQZ4ETQ9LMY5EBWVH20Z7VXQ" hidden="1">
          <a:extLst>
            <a:ext uri="{FF2B5EF4-FFF2-40B4-BE49-F238E27FC236}">
              <a16:creationId xmlns:a16="http://schemas.microsoft.com/office/drawing/2014/main" id="{A51BA1FC-8938-4165-80C9-92CA6DDF5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32" name="BEx1KD7H6UB1VYCJ7O61P562EIUY" descr="IQGV9140X0K0UPBL8OGU3I44J" hidden="1">
          <a:extLst>
            <a:ext uri="{FF2B5EF4-FFF2-40B4-BE49-F238E27FC236}">
              <a16:creationId xmlns:a16="http://schemas.microsoft.com/office/drawing/2014/main" id="{CB5EC5CF-ED1C-4BF8-9D43-D8B877251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33" name="BEx5AQZ4ETQ9LMY5EBWVH20Z7VXQ" hidden="1">
          <a:extLst>
            <a:ext uri="{FF2B5EF4-FFF2-40B4-BE49-F238E27FC236}">
              <a16:creationId xmlns:a16="http://schemas.microsoft.com/office/drawing/2014/main" id="{FC321F8F-0DF2-4FF4-8802-6430B239E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34" name="BEx1KD7H6UB1VYCJ7O61P562EIUY" descr="IQGV9140X0K0UPBL8OGU3I44J" hidden="1">
          <a:extLst>
            <a:ext uri="{FF2B5EF4-FFF2-40B4-BE49-F238E27FC236}">
              <a16:creationId xmlns:a16="http://schemas.microsoft.com/office/drawing/2014/main" id="{249AE7E8-C4A7-4E76-BD7D-D61434154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35" name="BEx5AQZ4ETQ9LMY5EBWVH20Z7VXQ" hidden="1">
          <a:extLst>
            <a:ext uri="{FF2B5EF4-FFF2-40B4-BE49-F238E27FC236}">
              <a16:creationId xmlns:a16="http://schemas.microsoft.com/office/drawing/2014/main" id="{9064924A-1C34-42A4-83DA-A48D5020E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36" name="BEx1KD7H6UB1VYCJ7O61P562EIUY" descr="IQGV9140X0K0UPBL8OGU3I44J" hidden="1">
          <a:extLst>
            <a:ext uri="{FF2B5EF4-FFF2-40B4-BE49-F238E27FC236}">
              <a16:creationId xmlns:a16="http://schemas.microsoft.com/office/drawing/2014/main" id="{525CEC94-5CDB-4284-88B7-22EF4AA03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37" name="BEx5AQZ4ETQ9LMY5EBWVH20Z7VXQ" hidden="1">
          <a:extLst>
            <a:ext uri="{FF2B5EF4-FFF2-40B4-BE49-F238E27FC236}">
              <a16:creationId xmlns:a16="http://schemas.microsoft.com/office/drawing/2014/main" id="{70254B60-8153-411B-B8AC-733680C24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38" name="BEx1KD7H6UB1VYCJ7O61P562EIUY" descr="IQGV9140X0K0UPBL8OGU3I44J" hidden="1">
          <a:extLst>
            <a:ext uri="{FF2B5EF4-FFF2-40B4-BE49-F238E27FC236}">
              <a16:creationId xmlns:a16="http://schemas.microsoft.com/office/drawing/2014/main" id="{0BFBEA5B-C3CC-4A00-852B-62BDEDCA7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39" name="BEx5AQZ4ETQ9LMY5EBWVH20Z7VXQ" hidden="1">
          <a:extLst>
            <a:ext uri="{FF2B5EF4-FFF2-40B4-BE49-F238E27FC236}">
              <a16:creationId xmlns:a16="http://schemas.microsoft.com/office/drawing/2014/main" id="{CCB4B763-6D45-445D-BA4C-F209AFB96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40" name="BEx1KD7H6UB1VYCJ7O61P562EIUY" descr="IQGV9140X0K0UPBL8OGU3I44J" hidden="1">
          <a:extLst>
            <a:ext uri="{FF2B5EF4-FFF2-40B4-BE49-F238E27FC236}">
              <a16:creationId xmlns:a16="http://schemas.microsoft.com/office/drawing/2014/main" id="{58756644-0B61-4BEB-A425-60AE9BAAC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41" name="BEx5AQZ4ETQ9LMY5EBWVH20Z7VXQ" hidden="1">
          <a:extLst>
            <a:ext uri="{FF2B5EF4-FFF2-40B4-BE49-F238E27FC236}">
              <a16:creationId xmlns:a16="http://schemas.microsoft.com/office/drawing/2014/main" id="{B768E5E5-924C-4B55-95CF-0085BE956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42" name="BEx1KD7H6UB1VYCJ7O61P562EIUY" descr="IQGV9140X0K0UPBL8OGU3I44J" hidden="1">
          <a:extLst>
            <a:ext uri="{FF2B5EF4-FFF2-40B4-BE49-F238E27FC236}">
              <a16:creationId xmlns:a16="http://schemas.microsoft.com/office/drawing/2014/main" id="{62B5772C-B235-4F97-89B2-92D9EA99F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43" name="BEx5AQZ4ETQ9LMY5EBWVH20Z7VXQ" hidden="1">
          <a:extLst>
            <a:ext uri="{FF2B5EF4-FFF2-40B4-BE49-F238E27FC236}">
              <a16:creationId xmlns:a16="http://schemas.microsoft.com/office/drawing/2014/main" id="{D4303219-B28C-4461-91F7-F032130D0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44" name="BEx1KD7H6UB1VYCJ7O61P562EIUY" descr="IQGV9140X0K0UPBL8OGU3I44J" hidden="1">
          <a:extLst>
            <a:ext uri="{FF2B5EF4-FFF2-40B4-BE49-F238E27FC236}">
              <a16:creationId xmlns:a16="http://schemas.microsoft.com/office/drawing/2014/main" id="{7CB9275F-6916-48D0-81EA-C3E269DF8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45" name="BEx5AQZ4ETQ9LMY5EBWVH20Z7VXQ" hidden="1">
          <a:extLst>
            <a:ext uri="{FF2B5EF4-FFF2-40B4-BE49-F238E27FC236}">
              <a16:creationId xmlns:a16="http://schemas.microsoft.com/office/drawing/2014/main" id="{66B3F218-8531-4E86-8806-1BABFE4EE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46" name="BEx1KD7H6UB1VYCJ7O61P562EIUY" descr="IQGV9140X0K0UPBL8OGU3I44J" hidden="1">
          <a:extLst>
            <a:ext uri="{FF2B5EF4-FFF2-40B4-BE49-F238E27FC236}">
              <a16:creationId xmlns:a16="http://schemas.microsoft.com/office/drawing/2014/main" id="{14D7088E-33F2-4D29-A2F9-676180A01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47" name="BEx5AQZ4ETQ9LMY5EBWVH20Z7VXQ" hidden="1">
          <a:extLst>
            <a:ext uri="{FF2B5EF4-FFF2-40B4-BE49-F238E27FC236}">
              <a16:creationId xmlns:a16="http://schemas.microsoft.com/office/drawing/2014/main" id="{B1CD00A5-87E0-4082-B607-B0FD2D685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48" name="BEx1KD7H6UB1VYCJ7O61P562EIUY" descr="IQGV9140X0K0UPBL8OGU3I44J" hidden="1">
          <a:extLst>
            <a:ext uri="{FF2B5EF4-FFF2-40B4-BE49-F238E27FC236}">
              <a16:creationId xmlns:a16="http://schemas.microsoft.com/office/drawing/2014/main" id="{1CA190D2-1B43-4A68-8967-C655D17F4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49" name="BEx5AQZ4ETQ9LMY5EBWVH20Z7VXQ" hidden="1">
          <a:extLst>
            <a:ext uri="{FF2B5EF4-FFF2-40B4-BE49-F238E27FC236}">
              <a16:creationId xmlns:a16="http://schemas.microsoft.com/office/drawing/2014/main" id="{9F52F7E8-BFCB-4BE1-B4A1-91A8E5421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50" name="BEx1KD7H6UB1VYCJ7O61P562EIUY" descr="IQGV9140X0K0UPBL8OGU3I44J" hidden="1">
          <a:extLst>
            <a:ext uri="{FF2B5EF4-FFF2-40B4-BE49-F238E27FC236}">
              <a16:creationId xmlns:a16="http://schemas.microsoft.com/office/drawing/2014/main" id="{A6D04073-8ACE-44B3-A9D8-57FA153A2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51" name="BEx5AQZ4ETQ9LMY5EBWVH20Z7VXQ" hidden="1">
          <a:extLst>
            <a:ext uri="{FF2B5EF4-FFF2-40B4-BE49-F238E27FC236}">
              <a16:creationId xmlns:a16="http://schemas.microsoft.com/office/drawing/2014/main" id="{3EB8DF50-6B19-4168-B44B-352412177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52" name="BEx1KD7H6UB1VYCJ7O61P562EIUY" descr="IQGV9140X0K0UPBL8OGU3I44J" hidden="1">
          <a:extLst>
            <a:ext uri="{FF2B5EF4-FFF2-40B4-BE49-F238E27FC236}">
              <a16:creationId xmlns:a16="http://schemas.microsoft.com/office/drawing/2014/main" id="{D8A4D828-D5F3-4A1D-9957-DB33070C0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53" name="BEx5AQZ4ETQ9LMY5EBWVH20Z7VXQ" hidden="1">
          <a:extLst>
            <a:ext uri="{FF2B5EF4-FFF2-40B4-BE49-F238E27FC236}">
              <a16:creationId xmlns:a16="http://schemas.microsoft.com/office/drawing/2014/main" id="{A4075A91-AFA1-48C3-8823-5FBF55B48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54" name="BEx1KD7H6UB1VYCJ7O61P562EIUY" descr="IQGV9140X0K0UPBL8OGU3I44J" hidden="1">
          <a:extLst>
            <a:ext uri="{FF2B5EF4-FFF2-40B4-BE49-F238E27FC236}">
              <a16:creationId xmlns:a16="http://schemas.microsoft.com/office/drawing/2014/main" id="{DB05B40C-18DD-401A-8B38-3CE69947A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55" name="BEx5AQZ4ETQ9LMY5EBWVH20Z7VXQ" hidden="1">
          <a:extLst>
            <a:ext uri="{FF2B5EF4-FFF2-40B4-BE49-F238E27FC236}">
              <a16:creationId xmlns:a16="http://schemas.microsoft.com/office/drawing/2014/main" id="{827C407C-D8C0-47F3-82A1-44FD1C65C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56" name="BEx1KD7H6UB1VYCJ7O61P562EIUY" descr="IQGV9140X0K0UPBL8OGU3I44J" hidden="1">
          <a:extLst>
            <a:ext uri="{FF2B5EF4-FFF2-40B4-BE49-F238E27FC236}">
              <a16:creationId xmlns:a16="http://schemas.microsoft.com/office/drawing/2014/main" id="{29A121DA-5995-469C-B2EC-F6A0DF6CA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57" name="BEx5AQZ4ETQ9LMY5EBWVH20Z7VXQ" hidden="1">
          <a:extLst>
            <a:ext uri="{FF2B5EF4-FFF2-40B4-BE49-F238E27FC236}">
              <a16:creationId xmlns:a16="http://schemas.microsoft.com/office/drawing/2014/main" id="{06CD9562-1130-44E4-8AF1-0F899DA25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58" name="BEx1KD7H6UB1VYCJ7O61P562EIUY" descr="IQGV9140X0K0UPBL8OGU3I44J" hidden="1">
          <a:extLst>
            <a:ext uri="{FF2B5EF4-FFF2-40B4-BE49-F238E27FC236}">
              <a16:creationId xmlns:a16="http://schemas.microsoft.com/office/drawing/2014/main" id="{E4312547-60E3-49C8-AD89-F3A792F52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59" name="BEx5AQZ4ETQ9LMY5EBWVH20Z7VXQ" hidden="1">
          <a:extLst>
            <a:ext uri="{FF2B5EF4-FFF2-40B4-BE49-F238E27FC236}">
              <a16:creationId xmlns:a16="http://schemas.microsoft.com/office/drawing/2014/main" id="{09BDFE96-1AC9-4253-B8A6-99D994A2F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60" name="BEx1KD7H6UB1VYCJ7O61P562EIUY" descr="IQGV9140X0K0UPBL8OGU3I44J" hidden="1">
          <a:extLst>
            <a:ext uri="{FF2B5EF4-FFF2-40B4-BE49-F238E27FC236}">
              <a16:creationId xmlns:a16="http://schemas.microsoft.com/office/drawing/2014/main" id="{9BFC89C2-A44A-41EA-A7BC-AE4657CA1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61" name="BEx5AQZ4ETQ9LMY5EBWVH20Z7VXQ" hidden="1">
          <a:extLst>
            <a:ext uri="{FF2B5EF4-FFF2-40B4-BE49-F238E27FC236}">
              <a16:creationId xmlns:a16="http://schemas.microsoft.com/office/drawing/2014/main" id="{49953F4C-F513-447F-B983-010D02A41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62" name="BEx1KD7H6UB1VYCJ7O61P562EIUY" descr="IQGV9140X0K0UPBL8OGU3I44J" hidden="1">
          <a:extLst>
            <a:ext uri="{FF2B5EF4-FFF2-40B4-BE49-F238E27FC236}">
              <a16:creationId xmlns:a16="http://schemas.microsoft.com/office/drawing/2014/main" id="{D7E4BF44-FBC1-4BA6-A01E-ABD11F264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63" name="BEx5AQZ4ETQ9LMY5EBWVH20Z7VXQ" hidden="1">
          <a:extLst>
            <a:ext uri="{FF2B5EF4-FFF2-40B4-BE49-F238E27FC236}">
              <a16:creationId xmlns:a16="http://schemas.microsoft.com/office/drawing/2014/main" id="{A9F8D806-21F3-4DC2-8B44-F73166106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64" name="BEx1KD7H6UB1VYCJ7O61P562EIUY" descr="IQGV9140X0K0UPBL8OGU3I44J" hidden="1">
          <a:extLst>
            <a:ext uri="{FF2B5EF4-FFF2-40B4-BE49-F238E27FC236}">
              <a16:creationId xmlns:a16="http://schemas.microsoft.com/office/drawing/2014/main" id="{0FD9B80D-E3BE-4C2E-B4AF-E0AF145BD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65" name="BEx5AQZ4ETQ9LMY5EBWVH20Z7VXQ" hidden="1">
          <a:extLst>
            <a:ext uri="{FF2B5EF4-FFF2-40B4-BE49-F238E27FC236}">
              <a16:creationId xmlns:a16="http://schemas.microsoft.com/office/drawing/2014/main" id="{5EA30583-704C-4DD4-A044-A220A00B3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66" name="BEx1KD7H6UB1VYCJ7O61P562EIUY" descr="IQGV9140X0K0UPBL8OGU3I44J" hidden="1">
          <a:extLst>
            <a:ext uri="{FF2B5EF4-FFF2-40B4-BE49-F238E27FC236}">
              <a16:creationId xmlns:a16="http://schemas.microsoft.com/office/drawing/2014/main" id="{ED08149E-C05D-4D24-819E-23BC97A5F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67" name="BEx5AQZ4ETQ9LMY5EBWVH20Z7VXQ" hidden="1">
          <a:extLst>
            <a:ext uri="{FF2B5EF4-FFF2-40B4-BE49-F238E27FC236}">
              <a16:creationId xmlns:a16="http://schemas.microsoft.com/office/drawing/2014/main" id="{01B28568-5768-4426-81E6-9556B7D5C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68" name="BEx1KD7H6UB1VYCJ7O61P562EIUY" descr="IQGV9140X0K0UPBL8OGU3I44J" hidden="1">
          <a:extLst>
            <a:ext uri="{FF2B5EF4-FFF2-40B4-BE49-F238E27FC236}">
              <a16:creationId xmlns:a16="http://schemas.microsoft.com/office/drawing/2014/main" id="{D5C8598F-56EF-47E1-90F3-B27954DAA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69" name="BEx5AQZ4ETQ9LMY5EBWVH20Z7VXQ" hidden="1">
          <a:extLst>
            <a:ext uri="{FF2B5EF4-FFF2-40B4-BE49-F238E27FC236}">
              <a16:creationId xmlns:a16="http://schemas.microsoft.com/office/drawing/2014/main" id="{B4299E96-BE3A-4E05-9C86-894CF1FD2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70" name="BEx1KD7H6UB1VYCJ7O61P562EIUY" descr="IQGV9140X0K0UPBL8OGU3I44J" hidden="1">
          <a:extLst>
            <a:ext uri="{FF2B5EF4-FFF2-40B4-BE49-F238E27FC236}">
              <a16:creationId xmlns:a16="http://schemas.microsoft.com/office/drawing/2014/main" id="{90CC2ED1-1C25-4677-AB63-A5259CA29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71" name="BEx5AQZ4ETQ9LMY5EBWVH20Z7VXQ" hidden="1">
          <a:extLst>
            <a:ext uri="{FF2B5EF4-FFF2-40B4-BE49-F238E27FC236}">
              <a16:creationId xmlns:a16="http://schemas.microsoft.com/office/drawing/2014/main" id="{54DD68CD-7530-443E-90A0-7DB8B74F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72" name="BEx1KD7H6UB1VYCJ7O61P562EIUY" descr="IQGV9140X0K0UPBL8OGU3I44J" hidden="1">
          <a:extLst>
            <a:ext uri="{FF2B5EF4-FFF2-40B4-BE49-F238E27FC236}">
              <a16:creationId xmlns:a16="http://schemas.microsoft.com/office/drawing/2014/main" id="{0BA925A9-0F53-443D-A156-D0BDDF02A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73" name="BEx5AQZ4ETQ9LMY5EBWVH20Z7VXQ" hidden="1">
          <a:extLst>
            <a:ext uri="{FF2B5EF4-FFF2-40B4-BE49-F238E27FC236}">
              <a16:creationId xmlns:a16="http://schemas.microsoft.com/office/drawing/2014/main" id="{02A2F9B2-577A-4105-BBDD-38E49589F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74" name="BEx1KD7H6UB1VYCJ7O61P562EIUY" descr="IQGV9140X0K0UPBL8OGU3I44J" hidden="1">
          <a:extLst>
            <a:ext uri="{FF2B5EF4-FFF2-40B4-BE49-F238E27FC236}">
              <a16:creationId xmlns:a16="http://schemas.microsoft.com/office/drawing/2014/main" id="{510210D1-012C-46F5-9A51-4CC16E7A1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75" name="BEx5AQZ4ETQ9LMY5EBWVH20Z7VXQ" hidden="1">
          <a:extLst>
            <a:ext uri="{FF2B5EF4-FFF2-40B4-BE49-F238E27FC236}">
              <a16:creationId xmlns:a16="http://schemas.microsoft.com/office/drawing/2014/main" id="{3B8F9E4B-7F9E-4BC1-8F60-E3F155B6C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76" name="BEx1KD7H6UB1VYCJ7O61P562EIUY" descr="IQGV9140X0K0UPBL8OGU3I44J" hidden="1">
          <a:extLst>
            <a:ext uri="{FF2B5EF4-FFF2-40B4-BE49-F238E27FC236}">
              <a16:creationId xmlns:a16="http://schemas.microsoft.com/office/drawing/2014/main" id="{E67D59DA-7373-40E9-950F-557E68EF9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77" name="BEx5AQZ4ETQ9LMY5EBWVH20Z7VXQ" hidden="1">
          <a:extLst>
            <a:ext uri="{FF2B5EF4-FFF2-40B4-BE49-F238E27FC236}">
              <a16:creationId xmlns:a16="http://schemas.microsoft.com/office/drawing/2014/main" id="{91B8C14B-DAD6-4EFA-8256-4B0787A4D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78" name="BEx1KD7H6UB1VYCJ7O61P562EIUY" descr="IQGV9140X0K0UPBL8OGU3I44J" hidden="1">
          <a:extLst>
            <a:ext uri="{FF2B5EF4-FFF2-40B4-BE49-F238E27FC236}">
              <a16:creationId xmlns:a16="http://schemas.microsoft.com/office/drawing/2014/main" id="{0D88DB79-B7A7-4D5A-896A-C31C2E66C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79" name="BEx5AQZ4ETQ9LMY5EBWVH20Z7VXQ" hidden="1">
          <a:extLst>
            <a:ext uri="{FF2B5EF4-FFF2-40B4-BE49-F238E27FC236}">
              <a16:creationId xmlns:a16="http://schemas.microsoft.com/office/drawing/2014/main" id="{C555236A-66E7-4AC0-BBBE-DD62DED4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80" name="BEx1KD7H6UB1VYCJ7O61P562EIUY" descr="IQGV9140X0K0UPBL8OGU3I44J" hidden="1">
          <a:extLst>
            <a:ext uri="{FF2B5EF4-FFF2-40B4-BE49-F238E27FC236}">
              <a16:creationId xmlns:a16="http://schemas.microsoft.com/office/drawing/2014/main" id="{A3A9D5D2-B9C0-42B3-B2CD-589B78C64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81" name="BEx5AQZ4ETQ9LMY5EBWVH20Z7VXQ" hidden="1">
          <a:extLst>
            <a:ext uri="{FF2B5EF4-FFF2-40B4-BE49-F238E27FC236}">
              <a16:creationId xmlns:a16="http://schemas.microsoft.com/office/drawing/2014/main" id="{CC377368-97E0-4609-920E-DF5CF5E21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82" name="BEx1KD7H6UB1VYCJ7O61P562EIUY" descr="IQGV9140X0K0UPBL8OGU3I44J" hidden="1">
          <a:extLst>
            <a:ext uri="{FF2B5EF4-FFF2-40B4-BE49-F238E27FC236}">
              <a16:creationId xmlns:a16="http://schemas.microsoft.com/office/drawing/2014/main" id="{D6D7DCCD-7927-4DD7-87F8-89B1E23A4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83" name="BEx5AQZ4ETQ9LMY5EBWVH20Z7VXQ" hidden="1">
          <a:extLst>
            <a:ext uri="{FF2B5EF4-FFF2-40B4-BE49-F238E27FC236}">
              <a16:creationId xmlns:a16="http://schemas.microsoft.com/office/drawing/2014/main" id="{58D3DCE0-BCE9-480B-A260-3A5255173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84" name="BEx1KD7H6UB1VYCJ7O61P562EIUY" descr="IQGV9140X0K0UPBL8OGU3I44J" hidden="1">
          <a:extLst>
            <a:ext uri="{FF2B5EF4-FFF2-40B4-BE49-F238E27FC236}">
              <a16:creationId xmlns:a16="http://schemas.microsoft.com/office/drawing/2014/main" id="{0E4FEF09-1229-4667-BC14-95FC61BDF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85" name="BEx5AQZ4ETQ9LMY5EBWVH20Z7VXQ" hidden="1">
          <a:extLst>
            <a:ext uri="{FF2B5EF4-FFF2-40B4-BE49-F238E27FC236}">
              <a16:creationId xmlns:a16="http://schemas.microsoft.com/office/drawing/2014/main" id="{17F45951-F3E8-4F70-98A2-4F47509A4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86" name="BEx1KD7H6UB1VYCJ7O61P562EIUY" descr="IQGV9140X0K0UPBL8OGU3I44J" hidden="1">
          <a:extLst>
            <a:ext uri="{FF2B5EF4-FFF2-40B4-BE49-F238E27FC236}">
              <a16:creationId xmlns:a16="http://schemas.microsoft.com/office/drawing/2014/main" id="{E3ED50C4-0233-4321-9391-DED954E8C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87" name="BEx5AQZ4ETQ9LMY5EBWVH20Z7VXQ" hidden="1">
          <a:extLst>
            <a:ext uri="{FF2B5EF4-FFF2-40B4-BE49-F238E27FC236}">
              <a16:creationId xmlns:a16="http://schemas.microsoft.com/office/drawing/2014/main" id="{6BE28897-863C-4833-8D39-CAF4A46EB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88" name="BEx1KD7H6UB1VYCJ7O61P562EIUY" descr="IQGV9140X0K0UPBL8OGU3I44J" hidden="1">
          <a:extLst>
            <a:ext uri="{FF2B5EF4-FFF2-40B4-BE49-F238E27FC236}">
              <a16:creationId xmlns:a16="http://schemas.microsoft.com/office/drawing/2014/main" id="{7D26523D-5AAF-4AEB-A276-27A7141C7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89" name="BEx5AQZ4ETQ9LMY5EBWVH20Z7VXQ" hidden="1">
          <a:extLst>
            <a:ext uri="{FF2B5EF4-FFF2-40B4-BE49-F238E27FC236}">
              <a16:creationId xmlns:a16="http://schemas.microsoft.com/office/drawing/2014/main" id="{C19BDE8B-8EA9-4204-B88F-155C08C4A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90" name="BEx1KD7H6UB1VYCJ7O61P562EIUY" descr="IQGV9140X0K0UPBL8OGU3I44J" hidden="1">
          <a:extLst>
            <a:ext uri="{FF2B5EF4-FFF2-40B4-BE49-F238E27FC236}">
              <a16:creationId xmlns:a16="http://schemas.microsoft.com/office/drawing/2014/main" id="{C304F9D2-147F-4CA0-A2AE-F97EA342C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91" name="BEx5AQZ4ETQ9LMY5EBWVH20Z7VXQ" hidden="1">
          <a:extLst>
            <a:ext uri="{FF2B5EF4-FFF2-40B4-BE49-F238E27FC236}">
              <a16:creationId xmlns:a16="http://schemas.microsoft.com/office/drawing/2014/main" id="{0C912600-ADD3-477A-A330-650C1CD51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92" name="BEx1KD7H6UB1VYCJ7O61P562EIUY" descr="IQGV9140X0K0UPBL8OGU3I44J" hidden="1">
          <a:extLst>
            <a:ext uri="{FF2B5EF4-FFF2-40B4-BE49-F238E27FC236}">
              <a16:creationId xmlns:a16="http://schemas.microsoft.com/office/drawing/2014/main" id="{B22E4DF7-CE69-4B33-95A3-CC1AC23C1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6893" name="BExVTO5Q8G2M7BPL4B2584LQS0R0" descr="OB6Q8NA4LZFE4GM9Y3V56BPMQ" hidden="1">
          <a:extLst>
            <a:ext uri="{FF2B5EF4-FFF2-40B4-BE49-F238E27FC236}">
              <a16:creationId xmlns:a16="http://schemas.microsoft.com/office/drawing/2014/main" id="{29D0F623-DA55-40A0-8968-359B33A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94" name="BEx5AQZ4ETQ9LMY5EBWVH20Z7VXQ" hidden="1">
          <a:extLst>
            <a:ext uri="{FF2B5EF4-FFF2-40B4-BE49-F238E27FC236}">
              <a16:creationId xmlns:a16="http://schemas.microsoft.com/office/drawing/2014/main" id="{6B645E36-2925-4711-AE43-4D35D3B87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6895" name="BExUEZCSSJ7RN4J18I2NUIQR2FZS" hidden="1">
          <a:extLst>
            <a:ext uri="{FF2B5EF4-FFF2-40B4-BE49-F238E27FC236}">
              <a16:creationId xmlns:a16="http://schemas.microsoft.com/office/drawing/2014/main" id="{CFB4AB9D-DDDA-4D2E-9727-9F902EBA3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543300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96" name="BEx1KD7H6UB1VYCJ7O61P562EIUY" descr="IQGV9140X0K0UPBL8OGU3I44J" hidden="1">
          <a:extLst>
            <a:ext uri="{FF2B5EF4-FFF2-40B4-BE49-F238E27FC236}">
              <a16:creationId xmlns:a16="http://schemas.microsoft.com/office/drawing/2014/main" id="{3A0E2D7D-26A4-42D6-A149-5306D8642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97" name="BEx5AQZ4ETQ9LMY5EBWVH20Z7VXQ" hidden="1">
          <a:extLst>
            <a:ext uri="{FF2B5EF4-FFF2-40B4-BE49-F238E27FC236}">
              <a16:creationId xmlns:a16="http://schemas.microsoft.com/office/drawing/2014/main" id="{2EAE1500-0FC4-45B0-983C-8D4A95509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98" name="BEx1KD7H6UB1VYCJ7O61P562EIUY" descr="IQGV9140X0K0UPBL8OGU3I44J" hidden="1">
          <a:extLst>
            <a:ext uri="{FF2B5EF4-FFF2-40B4-BE49-F238E27FC236}">
              <a16:creationId xmlns:a16="http://schemas.microsoft.com/office/drawing/2014/main" id="{B3B54420-FD57-4B05-B8E3-BCA9780AF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899" name="BEx5AQZ4ETQ9LMY5EBWVH20Z7VXQ" hidden="1">
          <a:extLst>
            <a:ext uri="{FF2B5EF4-FFF2-40B4-BE49-F238E27FC236}">
              <a16:creationId xmlns:a16="http://schemas.microsoft.com/office/drawing/2014/main" id="{6E556D2B-550D-4391-94C0-842F81191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00" name="BEx1KD7H6UB1VYCJ7O61P562EIUY" descr="IQGV9140X0K0UPBL8OGU3I44J" hidden="1">
          <a:extLst>
            <a:ext uri="{FF2B5EF4-FFF2-40B4-BE49-F238E27FC236}">
              <a16:creationId xmlns:a16="http://schemas.microsoft.com/office/drawing/2014/main" id="{F5F7F9AB-5AC9-4679-9141-EF0489C79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01" name="BEx5AQZ4ETQ9LMY5EBWVH20Z7VXQ" hidden="1">
          <a:extLst>
            <a:ext uri="{FF2B5EF4-FFF2-40B4-BE49-F238E27FC236}">
              <a16:creationId xmlns:a16="http://schemas.microsoft.com/office/drawing/2014/main" id="{930492E3-536A-4B62-92A6-34C76B6F9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02" name="BEx1KD7H6UB1VYCJ7O61P562EIUY" descr="IQGV9140X0K0UPBL8OGU3I44J" hidden="1">
          <a:extLst>
            <a:ext uri="{FF2B5EF4-FFF2-40B4-BE49-F238E27FC236}">
              <a16:creationId xmlns:a16="http://schemas.microsoft.com/office/drawing/2014/main" id="{08E68161-A757-4382-982E-89F6D83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03" name="BEx5AQZ4ETQ9LMY5EBWVH20Z7VXQ" hidden="1">
          <a:extLst>
            <a:ext uri="{FF2B5EF4-FFF2-40B4-BE49-F238E27FC236}">
              <a16:creationId xmlns:a16="http://schemas.microsoft.com/office/drawing/2014/main" id="{104C7EF7-10AB-4C59-92E2-302115A63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04" name="BEx1KD7H6UB1VYCJ7O61P562EIUY" descr="IQGV9140X0K0UPBL8OGU3I44J" hidden="1">
          <a:extLst>
            <a:ext uri="{FF2B5EF4-FFF2-40B4-BE49-F238E27FC236}">
              <a16:creationId xmlns:a16="http://schemas.microsoft.com/office/drawing/2014/main" id="{8AE43882-0087-4432-8675-895250977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05" name="BEx5AQZ4ETQ9LMY5EBWVH20Z7VXQ" hidden="1">
          <a:extLst>
            <a:ext uri="{FF2B5EF4-FFF2-40B4-BE49-F238E27FC236}">
              <a16:creationId xmlns:a16="http://schemas.microsoft.com/office/drawing/2014/main" id="{7FB02F3A-D52B-460A-B21A-36AA181F8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06" name="BEx1KD7H6UB1VYCJ7O61P562EIUY" descr="IQGV9140X0K0UPBL8OGU3I44J" hidden="1">
          <a:extLst>
            <a:ext uri="{FF2B5EF4-FFF2-40B4-BE49-F238E27FC236}">
              <a16:creationId xmlns:a16="http://schemas.microsoft.com/office/drawing/2014/main" id="{522B47BE-121C-4698-9558-88EF7E735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07" name="BEx5AQZ4ETQ9LMY5EBWVH20Z7VXQ" hidden="1">
          <a:extLst>
            <a:ext uri="{FF2B5EF4-FFF2-40B4-BE49-F238E27FC236}">
              <a16:creationId xmlns:a16="http://schemas.microsoft.com/office/drawing/2014/main" id="{2CE5E448-4419-4F85-8FF6-43B54D3AA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08" name="BEx1KD7H6UB1VYCJ7O61P562EIUY" descr="IQGV9140X0K0UPBL8OGU3I44J" hidden="1">
          <a:extLst>
            <a:ext uri="{FF2B5EF4-FFF2-40B4-BE49-F238E27FC236}">
              <a16:creationId xmlns:a16="http://schemas.microsoft.com/office/drawing/2014/main" id="{883A359A-73F7-462F-AF63-F7DF17286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09" name="BEx5AQZ4ETQ9LMY5EBWVH20Z7VXQ" hidden="1">
          <a:extLst>
            <a:ext uri="{FF2B5EF4-FFF2-40B4-BE49-F238E27FC236}">
              <a16:creationId xmlns:a16="http://schemas.microsoft.com/office/drawing/2014/main" id="{D5D68736-2E18-4FBD-B633-1C7C72461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10" name="BEx1KD7H6UB1VYCJ7O61P562EIUY" descr="IQGV9140X0K0UPBL8OGU3I44J" hidden="1">
          <a:extLst>
            <a:ext uri="{FF2B5EF4-FFF2-40B4-BE49-F238E27FC236}">
              <a16:creationId xmlns:a16="http://schemas.microsoft.com/office/drawing/2014/main" id="{CAF3577D-F1A3-4593-9485-972189665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11" name="BEx5AQZ4ETQ9LMY5EBWVH20Z7VXQ" hidden="1">
          <a:extLst>
            <a:ext uri="{FF2B5EF4-FFF2-40B4-BE49-F238E27FC236}">
              <a16:creationId xmlns:a16="http://schemas.microsoft.com/office/drawing/2014/main" id="{F0BCADB1-F46B-4694-BA77-2AC4B238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12" name="BEx1KD7H6UB1VYCJ7O61P562EIUY" descr="IQGV9140X0K0UPBL8OGU3I44J" hidden="1">
          <a:extLst>
            <a:ext uri="{FF2B5EF4-FFF2-40B4-BE49-F238E27FC236}">
              <a16:creationId xmlns:a16="http://schemas.microsoft.com/office/drawing/2014/main" id="{C1137521-53FA-4EE3-B8B4-043943F0D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13" name="BEx5AQZ4ETQ9LMY5EBWVH20Z7VXQ" hidden="1">
          <a:extLst>
            <a:ext uri="{FF2B5EF4-FFF2-40B4-BE49-F238E27FC236}">
              <a16:creationId xmlns:a16="http://schemas.microsoft.com/office/drawing/2014/main" id="{5640F034-2020-4432-86A3-B44F8F495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14" name="BEx1KD7H6UB1VYCJ7O61P562EIUY" descr="IQGV9140X0K0UPBL8OGU3I44J" hidden="1">
          <a:extLst>
            <a:ext uri="{FF2B5EF4-FFF2-40B4-BE49-F238E27FC236}">
              <a16:creationId xmlns:a16="http://schemas.microsoft.com/office/drawing/2014/main" id="{652CF3E3-3F38-4D6B-9986-8986D6137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15" name="BEx5AQZ4ETQ9LMY5EBWVH20Z7VXQ" hidden="1">
          <a:extLst>
            <a:ext uri="{FF2B5EF4-FFF2-40B4-BE49-F238E27FC236}">
              <a16:creationId xmlns:a16="http://schemas.microsoft.com/office/drawing/2014/main" id="{5DDD9DC5-1F51-4249-B9D1-C787067B6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16" name="BEx1KD7H6UB1VYCJ7O61P562EIUY" descr="IQGV9140X0K0UPBL8OGU3I44J" hidden="1">
          <a:extLst>
            <a:ext uri="{FF2B5EF4-FFF2-40B4-BE49-F238E27FC236}">
              <a16:creationId xmlns:a16="http://schemas.microsoft.com/office/drawing/2014/main" id="{76D17F7B-4516-4815-AAA3-FA23F3526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17" name="BEx5AQZ4ETQ9LMY5EBWVH20Z7VXQ" hidden="1">
          <a:extLst>
            <a:ext uri="{FF2B5EF4-FFF2-40B4-BE49-F238E27FC236}">
              <a16:creationId xmlns:a16="http://schemas.microsoft.com/office/drawing/2014/main" id="{E7B7FAE2-B5A6-4670-BE52-37F274565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18" name="BEx1KD7H6UB1VYCJ7O61P562EIUY" descr="IQGV9140X0K0UPBL8OGU3I44J" hidden="1">
          <a:extLst>
            <a:ext uri="{FF2B5EF4-FFF2-40B4-BE49-F238E27FC236}">
              <a16:creationId xmlns:a16="http://schemas.microsoft.com/office/drawing/2014/main" id="{9D170796-6A12-48EE-ABDE-4263FD6D1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19" name="BEx5AQZ4ETQ9LMY5EBWVH20Z7VXQ" hidden="1">
          <a:extLst>
            <a:ext uri="{FF2B5EF4-FFF2-40B4-BE49-F238E27FC236}">
              <a16:creationId xmlns:a16="http://schemas.microsoft.com/office/drawing/2014/main" id="{42F25B19-DAAF-4490-9566-41082C4EE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20" name="BEx1KD7H6UB1VYCJ7O61P562EIUY" descr="IQGV9140X0K0UPBL8OGU3I44J" hidden="1">
          <a:extLst>
            <a:ext uri="{FF2B5EF4-FFF2-40B4-BE49-F238E27FC236}">
              <a16:creationId xmlns:a16="http://schemas.microsoft.com/office/drawing/2014/main" id="{C1646229-585D-491D-BE36-0A2D71CE2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21" name="BEx5AQZ4ETQ9LMY5EBWVH20Z7VXQ" hidden="1">
          <a:extLst>
            <a:ext uri="{FF2B5EF4-FFF2-40B4-BE49-F238E27FC236}">
              <a16:creationId xmlns:a16="http://schemas.microsoft.com/office/drawing/2014/main" id="{44F4F645-B7B6-48A1-BE29-E64A9EE67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22" name="BEx1KD7H6UB1VYCJ7O61P562EIUY" descr="IQGV9140X0K0UPBL8OGU3I44J" hidden="1">
          <a:extLst>
            <a:ext uri="{FF2B5EF4-FFF2-40B4-BE49-F238E27FC236}">
              <a16:creationId xmlns:a16="http://schemas.microsoft.com/office/drawing/2014/main" id="{0F00F065-73ED-49B4-85EB-560577D12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23" name="BEx5AQZ4ETQ9LMY5EBWVH20Z7VXQ" hidden="1">
          <a:extLst>
            <a:ext uri="{FF2B5EF4-FFF2-40B4-BE49-F238E27FC236}">
              <a16:creationId xmlns:a16="http://schemas.microsoft.com/office/drawing/2014/main" id="{B9F9B9EB-D62C-47D4-8B51-5376019BC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24" name="BEx1KD7H6UB1VYCJ7O61P562EIUY" descr="IQGV9140X0K0UPBL8OGU3I44J" hidden="1">
          <a:extLst>
            <a:ext uri="{FF2B5EF4-FFF2-40B4-BE49-F238E27FC236}">
              <a16:creationId xmlns:a16="http://schemas.microsoft.com/office/drawing/2014/main" id="{B02F4C56-A7B5-4BE2-9555-2483B75A0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25" name="BEx5AQZ4ETQ9LMY5EBWVH20Z7VXQ" hidden="1">
          <a:extLst>
            <a:ext uri="{FF2B5EF4-FFF2-40B4-BE49-F238E27FC236}">
              <a16:creationId xmlns:a16="http://schemas.microsoft.com/office/drawing/2014/main" id="{B5B3119C-7FF1-4A46-960D-7501E111E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26" name="BEx1KD7H6UB1VYCJ7O61P562EIUY" descr="IQGV9140X0K0UPBL8OGU3I44J" hidden="1">
          <a:extLst>
            <a:ext uri="{FF2B5EF4-FFF2-40B4-BE49-F238E27FC236}">
              <a16:creationId xmlns:a16="http://schemas.microsoft.com/office/drawing/2014/main" id="{77B37CBD-1E3F-48D9-AEA8-17B6654DD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27" name="BEx5AQZ4ETQ9LMY5EBWVH20Z7VXQ" hidden="1">
          <a:extLst>
            <a:ext uri="{FF2B5EF4-FFF2-40B4-BE49-F238E27FC236}">
              <a16:creationId xmlns:a16="http://schemas.microsoft.com/office/drawing/2014/main" id="{342E58E2-E427-4866-AF63-B3DBCB83A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28" name="BEx1KD7H6UB1VYCJ7O61P562EIUY" descr="IQGV9140X0K0UPBL8OGU3I44J" hidden="1">
          <a:extLst>
            <a:ext uri="{FF2B5EF4-FFF2-40B4-BE49-F238E27FC236}">
              <a16:creationId xmlns:a16="http://schemas.microsoft.com/office/drawing/2014/main" id="{EDD585F9-D8EE-4B63-AE5D-96E570E7E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29" name="BEx5AQZ4ETQ9LMY5EBWVH20Z7VXQ" hidden="1">
          <a:extLst>
            <a:ext uri="{FF2B5EF4-FFF2-40B4-BE49-F238E27FC236}">
              <a16:creationId xmlns:a16="http://schemas.microsoft.com/office/drawing/2014/main" id="{8322CEAE-4BA1-4853-9456-35EE5A321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30" name="BEx1KD7H6UB1VYCJ7O61P562EIUY" descr="IQGV9140X0K0UPBL8OGU3I44J" hidden="1">
          <a:extLst>
            <a:ext uri="{FF2B5EF4-FFF2-40B4-BE49-F238E27FC236}">
              <a16:creationId xmlns:a16="http://schemas.microsoft.com/office/drawing/2014/main" id="{91E0BCBB-F409-4F0E-9FC3-9EC3BC483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31" name="BEx5AQZ4ETQ9LMY5EBWVH20Z7VXQ" hidden="1">
          <a:extLst>
            <a:ext uri="{FF2B5EF4-FFF2-40B4-BE49-F238E27FC236}">
              <a16:creationId xmlns:a16="http://schemas.microsoft.com/office/drawing/2014/main" id="{77690755-D5F0-41CB-9DFF-F307A30A8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32" name="BEx1KD7H6UB1VYCJ7O61P562EIUY" descr="IQGV9140X0K0UPBL8OGU3I44J" hidden="1">
          <a:extLst>
            <a:ext uri="{FF2B5EF4-FFF2-40B4-BE49-F238E27FC236}">
              <a16:creationId xmlns:a16="http://schemas.microsoft.com/office/drawing/2014/main" id="{16C9907F-85AA-4ABD-8A9A-FF2682AE4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33" name="BEx5AQZ4ETQ9LMY5EBWVH20Z7VXQ" hidden="1">
          <a:extLst>
            <a:ext uri="{FF2B5EF4-FFF2-40B4-BE49-F238E27FC236}">
              <a16:creationId xmlns:a16="http://schemas.microsoft.com/office/drawing/2014/main" id="{7D885443-539E-47DD-B7EE-FEE397C7C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34" name="BEx1KD7H6UB1VYCJ7O61P562EIUY" descr="IQGV9140X0K0UPBL8OGU3I44J" hidden="1">
          <a:extLst>
            <a:ext uri="{FF2B5EF4-FFF2-40B4-BE49-F238E27FC236}">
              <a16:creationId xmlns:a16="http://schemas.microsoft.com/office/drawing/2014/main" id="{83988E6D-4414-43A6-ABA7-6DAFDDBF2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35" name="BEx5AQZ4ETQ9LMY5EBWVH20Z7VXQ" hidden="1">
          <a:extLst>
            <a:ext uri="{FF2B5EF4-FFF2-40B4-BE49-F238E27FC236}">
              <a16:creationId xmlns:a16="http://schemas.microsoft.com/office/drawing/2014/main" id="{AB20AA51-D85C-4387-B9FC-B00E7EBD9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36" name="BEx1KD7H6UB1VYCJ7O61P562EIUY" descr="IQGV9140X0K0UPBL8OGU3I44J" hidden="1">
          <a:extLst>
            <a:ext uri="{FF2B5EF4-FFF2-40B4-BE49-F238E27FC236}">
              <a16:creationId xmlns:a16="http://schemas.microsoft.com/office/drawing/2014/main" id="{A308735B-7F9A-4180-A9EC-364BE310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37" name="BEx5AQZ4ETQ9LMY5EBWVH20Z7VXQ" hidden="1">
          <a:extLst>
            <a:ext uri="{FF2B5EF4-FFF2-40B4-BE49-F238E27FC236}">
              <a16:creationId xmlns:a16="http://schemas.microsoft.com/office/drawing/2014/main" id="{D365BA1C-DE74-4443-B5F9-C4EEB49A0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38" name="BEx1KD7H6UB1VYCJ7O61P562EIUY" descr="IQGV9140X0K0UPBL8OGU3I44J" hidden="1">
          <a:extLst>
            <a:ext uri="{FF2B5EF4-FFF2-40B4-BE49-F238E27FC236}">
              <a16:creationId xmlns:a16="http://schemas.microsoft.com/office/drawing/2014/main" id="{2539F6A7-439C-41CF-8CDC-201695250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39" name="BEx5AQZ4ETQ9LMY5EBWVH20Z7VXQ" hidden="1">
          <a:extLst>
            <a:ext uri="{FF2B5EF4-FFF2-40B4-BE49-F238E27FC236}">
              <a16:creationId xmlns:a16="http://schemas.microsoft.com/office/drawing/2014/main" id="{0680D46E-5491-4357-8E6B-48A47A996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40" name="BEx1KD7H6UB1VYCJ7O61P562EIUY" descr="IQGV9140X0K0UPBL8OGU3I44J" hidden="1">
          <a:extLst>
            <a:ext uri="{FF2B5EF4-FFF2-40B4-BE49-F238E27FC236}">
              <a16:creationId xmlns:a16="http://schemas.microsoft.com/office/drawing/2014/main" id="{E797E438-C648-41C5-9DFF-D385ABF78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41" name="BEx5AQZ4ETQ9LMY5EBWVH20Z7VXQ" hidden="1">
          <a:extLst>
            <a:ext uri="{FF2B5EF4-FFF2-40B4-BE49-F238E27FC236}">
              <a16:creationId xmlns:a16="http://schemas.microsoft.com/office/drawing/2014/main" id="{2714955E-F3EC-4997-BD58-C1F9D24D6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42" name="BEx1KD7H6UB1VYCJ7O61P562EIUY" descr="IQGV9140X0K0UPBL8OGU3I44J" hidden="1">
          <a:extLst>
            <a:ext uri="{FF2B5EF4-FFF2-40B4-BE49-F238E27FC236}">
              <a16:creationId xmlns:a16="http://schemas.microsoft.com/office/drawing/2014/main" id="{72121758-14B1-414F-929F-D72FADAF8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43" name="BEx5AQZ4ETQ9LMY5EBWVH20Z7VXQ" hidden="1">
          <a:extLst>
            <a:ext uri="{FF2B5EF4-FFF2-40B4-BE49-F238E27FC236}">
              <a16:creationId xmlns:a16="http://schemas.microsoft.com/office/drawing/2014/main" id="{48BA1A52-480C-4F20-95FF-5C6C7E2DA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44" name="BEx1KD7H6UB1VYCJ7O61P562EIUY" descr="IQGV9140X0K0UPBL8OGU3I44J" hidden="1">
          <a:extLst>
            <a:ext uri="{FF2B5EF4-FFF2-40B4-BE49-F238E27FC236}">
              <a16:creationId xmlns:a16="http://schemas.microsoft.com/office/drawing/2014/main" id="{87BB2B6A-9C82-43DE-9FDC-FA7618C69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45" name="BEx5AQZ4ETQ9LMY5EBWVH20Z7VXQ" hidden="1">
          <a:extLst>
            <a:ext uri="{FF2B5EF4-FFF2-40B4-BE49-F238E27FC236}">
              <a16:creationId xmlns:a16="http://schemas.microsoft.com/office/drawing/2014/main" id="{751FF17D-2468-4AE2-BA6D-3DBDB4FAB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46" name="BEx1KD7H6UB1VYCJ7O61P562EIUY" descr="IQGV9140X0K0UPBL8OGU3I44J" hidden="1">
          <a:extLst>
            <a:ext uri="{FF2B5EF4-FFF2-40B4-BE49-F238E27FC236}">
              <a16:creationId xmlns:a16="http://schemas.microsoft.com/office/drawing/2014/main" id="{FDD7D15D-0256-42E1-9F27-2F95FD8B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47" name="BEx5AQZ4ETQ9LMY5EBWVH20Z7VXQ" hidden="1">
          <a:extLst>
            <a:ext uri="{FF2B5EF4-FFF2-40B4-BE49-F238E27FC236}">
              <a16:creationId xmlns:a16="http://schemas.microsoft.com/office/drawing/2014/main" id="{2A0243F6-5117-4DB6-BACC-59FF2FE5B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48" name="BEx1KD7H6UB1VYCJ7O61P562EIUY" descr="IQGV9140X0K0UPBL8OGU3I44J" hidden="1">
          <a:extLst>
            <a:ext uri="{FF2B5EF4-FFF2-40B4-BE49-F238E27FC236}">
              <a16:creationId xmlns:a16="http://schemas.microsoft.com/office/drawing/2014/main" id="{E1C04FEC-1E8E-4394-83CC-19FF672A4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49" name="BEx5AQZ4ETQ9LMY5EBWVH20Z7VXQ" hidden="1">
          <a:extLst>
            <a:ext uri="{FF2B5EF4-FFF2-40B4-BE49-F238E27FC236}">
              <a16:creationId xmlns:a16="http://schemas.microsoft.com/office/drawing/2014/main" id="{2151C3F7-2046-423A-81EC-CD38B32B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50" name="BEx1KD7H6UB1VYCJ7O61P562EIUY" descr="IQGV9140X0K0UPBL8OGU3I44J" hidden="1">
          <a:extLst>
            <a:ext uri="{FF2B5EF4-FFF2-40B4-BE49-F238E27FC236}">
              <a16:creationId xmlns:a16="http://schemas.microsoft.com/office/drawing/2014/main" id="{CCBE3178-E05E-4510-BD88-746AE8F6B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51" name="BEx5AQZ4ETQ9LMY5EBWVH20Z7VXQ" hidden="1">
          <a:extLst>
            <a:ext uri="{FF2B5EF4-FFF2-40B4-BE49-F238E27FC236}">
              <a16:creationId xmlns:a16="http://schemas.microsoft.com/office/drawing/2014/main" id="{04263DC8-0192-443E-BE3E-DAF788D45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52" name="BEx1KD7H6UB1VYCJ7O61P562EIUY" descr="IQGV9140X0K0UPBL8OGU3I44J" hidden="1">
          <a:extLst>
            <a:ext uri="{FF2B5EF4-FFF2-40B4-BE49-F238E27FC236}">
              <a16:creationId xmlns:a16="http://schemas.microsoft.com/office/drawing/2014/main" id="{588DB088-1F83-4CC9-B6DF-FB57B97B2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53" name="BEx5AQZ4ETQ9LMY5EBWVH20Z7VXQ" hidden="1">
          <a:extLst>
            <a:ext uri="{FF2B5EF4-FFF2-40B4-BE49-F238E27FC236}">
              <a16:creationId xmlns:a16="http://schemas.microsoft.com/office/drawing/2014/main" id="{D733BF66-DB66-417D-9635-4448F0D2A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54" name="BEx1KD7H6UB1VYCJ7O61P562EIUY" descr="IQGV9140X0K0UPBL8OGU3I44J" hidden="1">
          <a:extLst>
            <a:ext uri="{FF2B5EF4-FFF2-40B4-BE49-F238E27FC236}">
              <a16:creationId xmlns:a16="http://schemas.microsoft.com/office/drawing/2014/main" id="{07DFAA06-05FF-4E84-8402-3181259BA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55" name="BEx5AQZ4ETQ9LMY5EBWVH20Z7VXQ" hidden="1">
          <a:extLst>
            <a:ext uri="{FF2B5EF4-FFF2-40B4-BE49-F238E27FC236}">
              <a16:creationId xmlns:a16="http://schemas.microsoft.com/office/drawing/2014/main" id="{F4E2D151-4A6F-4AC1-86FD-1EF910134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56" name="BEx1KD7H6UB1VYCJ7O61P562EIUY" descr="IQGV9140X0K0UPBL8OGU3I44J" hidden="1">
          <a:extLst>
            <a:ext uri="{FF2B5EF4-FFF2-40B4-BE49-F238E27FC236}">
              <a16:creationId xmlns:a16="http://schemas.microsoft.com/office/drawing/2014/main" id="{E5BAABFC-1E1B-4BBB-A0BB-63F0BB558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57" name="BEx5AQZ4ETQ9LMY5EBWVH20Z7VXQ" hidden="1">
          <a:extLst>
            <a:ext uri="{FF2B5EF4-FFF2-40B4-BE49-F238E27FC236}">
              <a16:creationId xmlns:a16="http://schemas.microsoft.com/office/drawing/2014/main" id="{58656048-CFA9-4131-913B-6D1C9C763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58" name="BEx1KD7H6UB1VYCJ7O61P562EIUY" descr="IQGV9140X0K0UPBL8OGU3I44J" hidden="1">
          <a:extLst>
            <a:ext uri="{FF2B5EF4-FFF2-40B4-BE49-F238E27FC236}">
              <a16:creationId xmlns:a16="http://schemas.microsoft.com/office/drawing/2014/main" id="{BCB152AA-B2A1-4011-8868-BD85E2BA9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59" name="BEx5AQZ4ETQ9LMY5EBWVH20Z7VXQ" hidden="1">
          <a:extLst>
            <a:ext uri="{FF2B5EF4-FFF2-40B4-BE49-F238E27FC236}">
              <a16:creationId xmlns:a16="http://schemas.microsoft.com/office/drawing/2014/main" id="{E94FF76D-EF08-4CAC-AFBD-D7EC3AB92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60" name="BEx1KD7H6UB1VYCJ7O61P562EIUY" descr="IQGV9140X0K0UPBL8OGU3I44J" hidden="1">
          <a:extLst>
            <a:ext uri="{FF2B5EF4-FFF2-40B4-BE49-F238E27FC236}">
              <a16:creationId xmlns:a16="http://schemas.microsoft.com/office/drawing/2014/main" id="{73FB3CE1-F0B4-494E-B59B-534B6973D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61" name="BEx5AQZ4ETQ9LMY5EBWVH20Z7VXQ" hidden="1">
          <a:extLst>
            <a:ext uri="{FF2B5EF4-FFF2-40B4-BE49-F238E27FC236}">
              <a16:creationId xmlns:a16="http://schemas.microsoft.com/office/drawing/2014/main" id="{2EA82B41-38B8-4F2F-8866-5852DB17B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62" name="BEx1KD7H6UB1VYCJ7O61P562EIUY" descr="IQGV9140X0K0UPBL8OGU3I44J" hidden="1">
          <a:extLst>
            <a:ext uri="{FF2B5EF4-FFF2-40B4-BE49-F238E27FC236}">
              <a16:creationId xmlns:a16="http://schemas.microsoft.com/office/drawing/2014/main" id="{41D24D35-8B18-4858-AA74-8C8AC8DE3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63" name="BEx5AQZ4ETQ9LMY5EBWVH20Z7VXQ" hidden="1">
          <a:extLst>
            <a:ext uri="{FF2B5EF4-FFF2-40B4-BE49-F238E27FC236}">
              <a16:creationId xmlns:a16="http://schemas.microsoft.com/office/drawing/2014/main" id="{EB17DF89-3B33-421D-8074-F551BB22B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64" name="BEx1KD7H6UB1VYCJ7O61P562EIUY" descr="IQGV9140X0K0UPBL8OGU3I44J" hidden="1">
          <a:extLst>
            <a:ext uri="{FF2B5EF4-FFF2-40B4-BE49-F238E27FC236}">
              <a16:creationId xmlns:a16="http://schemas.microsoft.com/office/drawing/2014/main" id="{2B5000C7-93A8-47BF-B3ED-2EC3BE3D9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65" name="BEx5AQZ4ETQ9LMY5EBWVH20Z7VXQ" hidden="1">
          <a:extLst>
            <a:ext uri="{FF2B5EF4-FFF2-40B4-BE49-F238E27FC236}">
              <a16:creationId xmlns:a16="http://schemas.microsoft.com/office/drawing/2014/main" id="{71A39521-9AAE-4DD9-AA84-BF4B15042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66" name="BEx1KD7H6UB1VYCJ7O61P562EIUY" descr="IQGV9140X0K0UPBL8OGU3I44J" hidden="1">
          <a:extLst>
            <a:ext uri="{FF2B5EF4-FFF2-40B4-BE49-F238E27FC236}">
              <a16:creationId xmlns:a16="http://schemas.microsoft.com/office/drawing/2014/main" id="{4FE7AAB1-260B-4FF0-9D81-DF6C60D58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67" name="BEx5AQZ4ETQ9LMY5EBWVH20Z7VXQ" hidden="1">
          <a:extLst>
            <a:ext uri="{FF2B5EF4-FFF2-40B4-BE49-F238E27FC236}">
              <a16:creationId xmlns:a16="http://schemas.microsoft.com/office/drawing/2014/main" id="{CDBEB453-73B3-4835-95D2-858AA7A85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68" name="BEx1KD7H6UB1VYCJ7O61P562EIUY" descr="IQGV9140X0K0UPBL8OGU3I44J" hidden="1">
          <a:extLst>
            <a:ext uri="{FF2B5EF4-FFF2-40B4-BE49-F238E27FC236}">
              <a16:creationId xmlns:a16="http://schemas.microsoft.com/office/drawing/2014/main" id="{D7218D58-6B8B-4149-80D2-D4C3AC92C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69" name="BEx5AQZ4ETQ9LMY5EBWVH20Z7VXQ" hidden="1">
          <a:extLst>
            <a:ext uri="{FF2B5EF4-FFF2-40B4-BE49-F238E27FC236}">
              <a16:creationId xmlns:a16="http://schemas.microsoft.com/office/drawing/2014/main" id="{1A290C51-DC4F-449F-A68B-A5F8CDE64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70" name="BEx1KD7H6UB1VYCJ7O61P562EIUY" descr="IQGV9140X0K0UPBL8OGU3I44J" hidden="1">
          <a:extLst>
            <a:ext uri="{FF2B5EF4-FFF2-40B4-BE49-F238E27FC236}">
              <a16:creationId xmlns:a16="http://schemas.microsoft.com/office/drawing/2014/main" id="{EE74F2CC-AEEB-4ADE-B210-09ADC0C05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11430</xdr:colOff>
      <xdr:row>19</xdr:row>
      <xdr:rowOff>0</xdr:rowOff>
    </xdr:from>
    <xdr:ext cx="59531" cy="829901"/>
    <xdr:pic>
      <xdr:nvPicPr>
        <xdr:cNvPr id="6971" name="BExVTO5Q8G2M7BPL4B2584LQS0R0" descr="OB6Q8NA4LZFE4GM9Y3V56BPMQ" hidden="1">
          <a:extLst>
            <a:ext uri="{FF2B5EF4-FFF2-40B4-BE49-F238E27FC236}">
              <a16:creationId xmlns:a16="http://schemas.microsoft.com/office/drawing/2014/main" id="{B7279127-E19C-4C3E-A632-9326096C5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68980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72" name="BEx5AQZ4ETQ9LMY5EBWVH20Z7VXQ" hidden="1">
          <a:extLst>
            <a:ext uri="{FF2B5EF4-FFF2-40B4-BE49-F238E27FC236}">
              <a16:creationId xmlns:a16="http://schemas.microsoft.com/office/drawing/2014/main" id="{147C619D-6B2A-4D24-AD65-42D3A755A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4</xdr:col>
      <xdr:colOff>30480</xdr:colOff>
      <xdr:row>19</xdr:row>
      <xdr:rowOff>0</xdr:rowOff>
    </xdr:from>
    <xdr:ext cx="47625" cy="829901"/>
    <xdr:pic>
      <xdr:nvPicPr>
        <xdr:cNvPr id="6973" name="BExUEZCSSJ7RN4J18I2NUIQR2FZS" hidden="1">
          <a:extLst>
            <a:ext uri="{FF2B5EF4-FFF2-40B4-BE49-F238E27FC236}">
              <a16:creationId xmlns:a16="http://schemas.microsoft.com/office/drawing/2014/main" id="{8B1D73BA-74D2-4DF9-89F0-6448B9B63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88030" y="3543300"/>
          <a:ext cx="47625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74" name="BEx1KD7H6UB1VYCJ7O61P562EIUY" descr="IQGV9140X0K0UPBL8OGU3I44J" hidden="1">
          <a:extLst>
            <a:ext uri="{FF2B5EF4-FFF2-40B4-BE49-F238E27FC236}">
              <a16:creationId xmlns:a16="http://schemas.microsoft.com/office/drawing/2014/main" id="{0CA8111A-BC58-4804-A105-1FE4A6060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75" name="BEx5AQZ4ETQ9LMY5EBWVH20Z7VXQ" hidden="1">
          <a:extLst>
            <a:ext uri="{FF2B5EF4-FFF2-40B4-BE49-F238E27FC236}">
              <a16:creationId xmlns:a16="http://schemas.microsoft.com/office/drawing/2014/main" id="{EE5B0282-A30D-4040-AAA9-865AF1E22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76" name="BEx1KD7H6UB1VYCJ7O61P562EIUY" descr="IQGV9140X0K0UPBL8OGU3I44J" hidden="1">
          <a:extLst>
            <a:ext uri="{FF2B5EF4-FFF2-40B4-BE49-F238E27FC236}">
              <a16:creationId xmlns:a16="http://schemas.microsoft.com/office/drawing/2014/main" id="{0AB04640-A330-4CB2-95BF-6653406DC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77" name="BEx5AQZ4ETQ9LMY5EBWVH20Z7VXQ" hidden="1">
          <a:extLst>
            <a:ext uri="{FF2B5EF4-FFF2-40B4-BE49-F238E27FC236}">
              <a16:creationId xmlns:a16="http://schemas.microsoft.com/office/drawing/2014/main" id="{E0A10CA9-3DB6-4A73-BD5B-8C2956F6C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78" name="BEx1KD7H6UB1VYCJ7O61P562EIUY" descr="IQGV9140X0K0UPBL8OGU3I44J" hidden="1">
          <a:extLst>
            <a:ext uri="{FF2B5EF4-FFF2-40B4-BE49-F238E27FC236}">
              <a16:creationId xmlns:a16="http://schemas.microsoft.com/office/drawing/2014/main" id="{E1337D89-79B4-4034-81DA-7D840539D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79" name="BEx5AQZ4ETQ9LMY5EBWVH20Z7VXQ" hidden="1">
          <a:extLst>
            <a:ext uri="{FF2B5EF4-FFF2-40B4-BE49-F238E27FC236}">
              <a16:creationId xmlns:a16="http://schemas.microsoft.com/office/drawing/2014/main" id="{8DFB17CA-A0F9-49A3-98E8-C09ADA779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80" name="BEx1KD7H6UB1VYCJ7O61P562EIUY" descr="IQGV9140X0K0UPBL8OGU3I44J" hidden="1">
          <a:extLst>
            <a:ext uri="{FF2B5EF4-FFF2-40B4-BE49-F238E27FC236}">
              <a16:creationId xmlns:a16="http://schemas.microsoft.com/office/drawing/2014/main" id="{C90990DD-61CF-473C-B4C0-F8B1BC5F9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81" name="BEx5AQZ4ETQ9LMY5EBWVH20Z7VXQ" hidden="1">
          <a:extLst>
            <a:ext uri="{FF2B5EF4-FFF2-40B4-BE49-F238E27FC236}">
              <a16:creationId xmlns:a16="http://schemas.microsoft.com/office/drawing/2014/main" id="{62F96622-2072-431E-B323-594F6B63C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82" name="BEx1KD7H6UB1VYCJ7O61P562EIUY" descr="IQGV9140X0K0UPBL8OGU3I44J" hidden="1">
          <a:extLst>
            <a:ext uri="{FF2B5EF4-FFF2-40B4-BE49-F238E27FC236}">
              <a16:creationId xmlns:a16="http://schemas.microsoft.com/office/drawing/2014/main" id="{7CF0E386-89CA-4B31-AFAE-BD28C9065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  <xdr:oneCellAnchor>
    <xdr:from>
      <xdr:col>2</xdr:col>
      <xdr:colOff>11430</xdr:colOff>
      <xdr:row>19</xdr:row>
      <xdr:rowOff>0</xdr:rowOff>
    </xdr:from>
    <xdr:ext cx="59531" cy="829901"/>
    <xdr:pic>
      <xdr:nvPicPr>
        <xdr:cNvPr id="6983" name="BEx5AQZ4ETQ9LMY5EBWVH20Z7VXQ" hidden="1">
          <a:extLst>
            <a:ext uri="{FF2B5EF4-FFF2-40B4-BE49-F238E27FC236}">
              <a16:creationId xmlns:a16="http://schemas.microsoft.com/office/drawing/2014/main" id="{589BBDED-EE0A-48DC-A6BA-64002B34E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8855" y="3543300"/>
          <a:ext cx="59531" cy="829901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 fPrint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amatuszewska\Moje%20dokumenty\!Bud&#380;et\2011\Instrukcja\Bud&#380;et\Zarz&#261;dzenie\Materia&#322;y%20pomocnicze\Programy%20bud&#380;etowe%20-%20wydatki%20maj&#261;tkowe%20(DP04%20R2009V0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ministrator\Pulpit\DANE-QWARK\Dane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nejman/AppData/Local/Temp/BW/Analyzer/Workbooks/Bud&#380;et-wydatki%20maj&#261;tkowe%20(BM01%20R2019V0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akaminski\Desktop\DOKUMENTY\2015\PLANY\0917-UR\0917_WPF-INW-2015-050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2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STA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makaminski\Desktop\DOKUMENTY\2015\PLANY\0917-UR\0917-%20Zmiany-wydatki%20maj&#261;tkow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!NAJNAJFAJNIEJSZY%20REFERAT\2019\0125%20UCHWALA%20BUDZETOWA\INWESTYCJE%20201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M\Baza\PDOF\pdo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Table"/>
      <sheetName val="Tech"/>
      <sheetName val="Program"/>
      <sheetName val="Wydruk"/>
      <sheetName val="Pomocniczy"/>
      <sheetName val="ListaPB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ownik"/>
      <sheetName val="Dane"/>
      <sheetName val="R"/>
      <sheetName val="W"/>
      <sheetName val="W (2)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Table"/>
      <sheetName val="Tech"/>
      <sheetName val="Program"/>
      <sheetName val="Wydruk"/>
      <sheetName val="Pomocniczy"/>
      <sheetName val="ListaSF"/>
      <sheetName val="ListaPB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ListaPB"/>
      <sheetName val="ListaSF"/>
      <sheetName val="Program"/>
      <sheetName val="Wydruk"/>
      <sheetName val="Table"/>
      <sheetName val="ZM_URW"/>
      <sheetName val="Pomocnicz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table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Table"/>
      <sheetName val="Tech"/>
      <sheetName val="Program"/>
      <sheetName val="Wydruk"/>
      <sheetName val="Pomocniczy"/>
      <sheetName val="ListaPB"/>
      <sheetName val="ListaSF"/>
      <sheetName val="Graph"/>
      <sheetName val="0917- Zmiany-wydatki majątkowe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DW5"/>
      <sheetName val="DW2"/>
      <sheetName val="N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Tech"/>
      <sheetName val="Program"/>
      <sheetName val="ListaSF"/>
      <sheetName val="2019 INWESTYCJE"/>
      <sheetName val="2018"/>
      <sheetName val="Arkusz2"/>
      <sheetName val="Arkusz3"/>
      <sheetName val="2019"/>
      <sheetName val="Arkusz6"/>
      <sheetName val="ZARUBY"/>
      <sheetName val="Arkusz4"/>
      <sheetName val="Arkusz1"/>
      <sheetName val="ListaPB2"/>
      <sheetName val="Pomocniczy"/>
      <sheetName val="Graph"/>
      <sheetName val="ListaPB"/>
      <sheetName val="BUDZ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za"/>
      <sheetName val="DANE_PROGN"/>
      <sheetName val="MODEL"/>
      <sheetName val="06_75621_0010"/>
      <sheetName val="06_75622_0010"/>
      <sheetName val="06_0010"/>
      <sheetName val="07_75621_0010"/>
      <sheetName val="07_75622_0010"/>
      <sheetName val="07_0010"/>
      <sheetName val="08_75621_0010"/>
      <sheetName val="08_75622_0010"/>
      <sheetName val="08_0010"/>
      <sheetName val="TREND_2"/>
      <sheetName val="POM"/>
      <sheetName val="Dane_STRUKTURA"/>
      <sheetName val="Wykres_STRUKTURA"/>
      <sheetName val="Tab 2"/>
      <sheetName val="dane 1"/>
      <sheetName val="Wykres1"/>
      <sheetName val="Wykres1 (2)"/>
      <sheetName val="dane2"/>
      <sheetName val="Wykres5"/>
      <sheetName val="Tab 1"/>
      <sheetName val="Tab 3"/>
      <sheetName val="Tab 4"/>
      <sheetName val="DANE "/>
      <sheetName val="Wykres "/>
      <sheetName val="Wykres2"/>
      <sheetName val="Tab 5"/>
      <sheetName val="Wykres3"/>
      <sheetName val="06_75621_0010 DZIELN"/>
      <sheetName val="DANE 4"/>
      <sheetName val="Wykres4"/>
      <sheetName val="PODS (2)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5">
          <cell r="G5">
            <v>235943305</v>
          </cell>
        </row>
        <row r="6">
          <cell r="G6">
            <v>205860652</v>
          </cell>
        </row>
        <row r="7">
          <cell r="G7">
            <v>200145985</v>
          </cell>
        </row>
        <row r="8">
          <cell r="G8">
            <v>418134992</v>
          </cell>
        </row>
        <row r="9">
          <cell r="G9">
            <v>220112517</v>
          </cell>
        </row>
        <row r="10">
          <cell r="G10">
            <v>207195356</v>
          </cell>
        </row>
        <row r="11">
          <cell r="G11">
            <v>242170158</v>
          </cell>
        </row>
        <row r="12">
          <cell r="G12">
            <v>286706163</v>
          </cell>
        </row>
        <row r="13">
          <cell r="G13">
            <v>285191761</v>
          </cell>
        </row>
        <row r="14">
          <cell r="G14">
            <v>303915835</v>
          </cell>
        </row>
        <row r="15">
          <cell r="G15">
            <v>333391071</v>
          </cell>
        </row>
        <row r="16">
          <cell r="G16">
            <v>354699376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zklanko Krzysztof" refreshedDate="45453.373880555555" missingItemsLimit="0" createdVersion="6" refreshedVersion="6" minRefreshableVersion="3" recordCount="876" xr:uid="{A73990F5-F537-486C-9CC4-0B351C012B3D}">
  <cacheSource type="worksheet">
    <worksheetSource ref="AD9:BC885" sheet="INWESTYCJE PM"/>
  </cacheSource>
  <cacheFields count="26">
    <cacheField name="Rodzaj zmian" numFmtId="3">
      <sharedItems count="4">
        <s v=""/>
        <s v="PRZED ZMIANĄ"/>
        <s v="PROPONOWANA ZMIANA"/>
        <s v="PO ZMIANIE"/>
      </sharedItems>
    </cacheField>
    <cacheField name="Zadanie " numFmtId="3">
      <sharedItems count="53">
        <s v=""/>
        <s v="C/USN/I/1/1"/>
        <s v="C/USN/I/1/8"/>
        <s v="C/USN/I/P2/10"/>
        <s v="C/USN/I/P2/21"/>
        <s v="C/USN/I/P2/22"/>
        <s v="C/USN/I/P2/33"/>
        <s v="C/USN/I/P2/35"/>
        <s v="C/USN/I/P2/36"/>
        <s v="C/USN/I/P2/37"/>
        <s v="C/USN/I/P2/41"/>
        <s v="C/USN/I/P2/43"/>
        <s v="C/USN/I/P2/44"/>
        <s v="C/USN/I/P2/45"/>
        <s v="C/USN/II/P5/4"/>
        <s v="C/USN/III/3/7"/>
        <s v="C/USN/III/P3/38"/>
        <s v="C/USN/III/P3/39"/>
        <s v="C/USN/III/P3/40"/>
        <s v="C/USN/III/P3/41"/>
        <s v="C/USN/III/P3/42"/>
        <s v="C/USN/III/P3/43"/>
        <s v="C/USN/III/P4/31"/>
        <s v="C/USN/III/P4/32"/>
        <s v="C/USN/III/P4/34"/>
        <s v="C/USN/III/P4/35"/>
        <s v="C/USN/III/P4/36"/>
        <s v="C/USN/III/P4/37"/>
        <s v="C/USN/III/P4/39"/>
        <s v="C/USN/III/P4/40"/>
        <s v="C/USN/IV/P3/1"/>
        <s v="C/USN/V/P1/4"/>
        <s v="C/USN/V/P1/65"/>
        <s v="C/USN/V/P1/66"/>
        <s v="C/USN/V/P1/68"/>
        <s v="C/USN/V/P1/70"/>
        <s v="C/USN/V/P1/86"/>
        <s v="C/USN/V/P1/87"/>
        <s v="C/USN/V/P1/92"/>
        <s v="C/USN/V/P1/93"/>
        <s v="C/USN/V/P1/94"/>
        <s v="C/USN/V/P1/95"/>
        <s v="C/USN/V/P1/96"/>
        <s v="C/USN/V/P1/103"/>
        <s v="C/USN/V/P1/nowy 1"/>
        <s v="C/USN/V/P1/nowy 2"/>
        <s v="C/USN/VI/P3/4"/>
        <s v="C/USN/VI/P3/7"/>
        <s v="C/USN/VI/P3/10"/>
        <s v="C/USN/VII/P3/9"/>
        <s v="C/USN/VII/P3/11"/>
        <s v="C/USN/VIII/P1/24"/>
        <s v="C/USN/X/P2/7"/>
      </sharedItems>
    </cacheField>
    <cacheField name="Nazwa zadania" numFmtId="3">
      <sharedItems count="51">
        <s v=""/>
        <s v="Modernizacja ul. Rosoła (etap I Ciszewskiego - Płaskowickiej, etap II Płaskowickiej - Jeżewskiego, etap III Jeżewskiego - Rosnowskiego)"/>
        <s v="Przebudowa ul. Baletowej na odc. ul. Puławska - granica miasta"/>
        <s v="Budowa ul. Kurantów - rozliczenie z deweloperem"/>
        <s v="Nabycie gruntów pod budowę ul. Wędrowców - rozliczenie z deweloperem"/>
        <s v="Budowa ulicy 26aKD-D z m.p.z.p. Zachodniego Pasma Pyrskiego w rejonie ul. Poleczki"/>
        <s v="Budowa dróg publicznych ul. Flamenco i ul. Mazura - rozliczenie z deweloperem"/>
        <s v="Wykup nieruchomości z mpzp osiedla Stokłosy"/>
        <s v="Budowa i modernizacja infrastruktury drogowej na terenie Zielonego Ursynowa"/>
        <s v="Rozbudowa i modernizacja sieci dróg rowerowych na terenie Ursynowa"/>
        <s v="Rozświetlmy Ursynów! Oświetlenie ciemnych miejsc na Ursynowie"/>
        <s v="Budowa i modernizacja infrastruktury drogowej na terenie Wysokiego Ursynowa"/>
        <s v="Budowa ul. Lelka i ul. Herbsta - rozliczenie z deweloperem"/>
        <s v="Łączymy rowerowe szlaki - uzupełnienie sieci dróg rowerowych na Ursynowie o brakujące odcinki - edycja II"/>
        <s v="Budowa Miejsca Aktywności Lokalnej przy ul. Karczunkowskiej 138 wraz z zagospodarowaniem terenu"/>
        <s v="Budowa systemów kanalizacji deszczowej na terenie Zielonego Ursynowa"/>
        <s v="Budowa &quot;Parku Polskich Wynalazców&quot;"/>
        <s v="Budowa Parku R. Kozłowskiego"/>
        <s v="Budowa Parku Przy Bażantarni - część wschodnia wraz z modernizacją części zachodniej"/>
        <s v="Zielona Oś Ursynowa - Nowy Park i fontanna w otoczeniu pięknych kwiatów i ziół - obok Ratusza"/>
        <s v="Budowa Parku przy ul. Cynamonowej"/>
        <s v="Zagospodarowanie zachodniej części terenu Parku Moczydełko wraz z renaturalizacją zbiornika wodnego &quot;Moczydło nr 3&quot; przy ul. Wełnianej"/>
        <s v="Ursynowska ekologia - butelkomaty"/>
        <s v="Zielone skwery na Ursynowie (kontynuacja)"/>
        <s v="Modernizacja urządzeń wodnych i zbiorników wodnych"/>
        <s v="Tężnia solankowa na Natolinie"/>
        <s v="Budowa targowiska miejskiego u zbiegu ul. Płaskowickiej i ul. Braci Wagów nad tunelem Południowej Obwodnicy Warszawy"/>
        <s v="Modernizacja ogólnodostępnych placów zabaw, dostosowanie do potrzeb różnych grup użytkowników"/>
        <s v="Poprawa bezpieczeństwa - zakup systemu monitoringu i montaż kamer na terenach przeznaczonych do rekreacji i zabaw"/>
        <s v="Zakupy inwestycyjne dla przedszkoli"/>
        <s v="Modernizacja budynku B Szkoły Podstawowej nr 340 wraz z adaptacją pomieszczeń na potrzeby Poradni Psychologiczno - Pedagogicznej nr 19 wraz z termomodernizacją"/>
        <s v="Modernizacja budynku Szkoły Podstawowej nr 319 przy ul. Wokalnej"/>
        <s v="Modernizacja budynków Szkoły Podstawowej nr 336 przy ul. Małcużyńskiego i Szkoły Podstawowej nr 405 przy ul. Na Uboczu 9"/>
        <s v="Modernizacja budynku Szkoły Podstawowej nr 96 przy ul. Sarabandy 16/22"/>
        <s v="Adaptacja pomieszczeń LXX LO przy ul. Dembowskiego 1 dla potrzeb FabLab wraz z modernizacją instalacji elektrycznej budynku"/>
        <s v="Termomodernizacja budynku Szkoły Podstawowej nr 343 przy ul. Kopcińskiego 7"/>
        <s v="Program wdrożenia systemu do zarządzania energią wraz z poprawą efektywności energetycznej w obiektach oświatowych"/>
        <s v="Panele fotowoltaiczne na dachach budynków szkół podstawowych"/>
        <s v="Panele fotowoltaiczne na dachach przedszkoli"/>
        <s v="Panele fotowoltaiczne na dachu budynku Przedszkola Specjalnego nr 213 przy ul. Teligi 1"/>
        <s v="Panele fotowoltaiczne na dachach liceów ogólnokształcących"/>
        <s v="Modernizacje terenów zewnętrznych przy placówkach oświatowych"/>
        <s v="Modernizacja Szkoły Podstawowej nr 323 przy ul. Hirszfelda 11"/>
        <s v="Modernizacja Szkoły Podstawowej nr 313 przy ul. Cybisa 1"/>
        <s v="Budowa żłobka przy ul. Kazury wraz z infrastrukturą komunikacyjną"/>
        <s v="Budowa Centrum Opiekuńczo-Mieszkalnego &quot;Ursynów&quot;"/>
        <s v="Modernizacja budynku Ośrodka Pomocy Społecznej"/>
        <s v="Aranżacja wraz z adaptacją pomieszczeń i wyposażenie Ursynowskiego Centrum Kultury &quot;Alternatywy&quot;"/>
        <s v="Adaptacja pomieszczeń dla potrzeb Ursynoteki po przedszkolu przy ul. Polnej Róży"/>
        <s v="Budowa instalacji fotowoltaicznych w obiektach Ursynowskiego Centrum Sportu i Rekreacji"/>
        <s v="Modernizacja siedziby Urzędu Dzielnicy"/>
      </sharedItems>
    </cacheField>
    <cacheField name="Rozdział" numFmtId="0">
      <sharedItems containsMixedTypes="1" containsNumber="1" containsInteger="1" minValue="50095" maxValue="92601" count="24">
        <s v=""/>
        <n v="60014"/>
        <n v="60016"/>
        <n v="60095"/>
        <n v="90015"/>
        <n v="71095"/>
        <n v="90001"/>
        <n v="90004"/>
        <n v="90026"/>
        <n v="90095"/>
        <n v="50095"/>
        <n v="75495"/>
        <n v="80104"/>
        <n v="80101"/>
        <n v="80120"/>
        <n v="80195"/>
        <n v="80105"/>
        <n v="85516"/>
        <n v="85202"/>
        <n v="85219"/>
        <n v="92109"/>
        <n v="92116"/>
        <n v="92601"/>
        <n v="75023"/>
      </sharedItems>
    </cacheField>
    <cacheField name="Paragraf" numFmtId="0">
      <sharedItems count="7">
        <s v=""/>
        <s v="6050"/>
        <s v="6060"/>
        <s v="6056"/>
        <s v="6057"/>
        <s v="6220"/>
        <s v="6210"/>
      </sharedItems>
    </cacheField>
    <cacheField name="Obszar funkcjonalny" numFmtId="0">
      <sharedItems count="22">
        <s v=""/>
        <s v="GMMW"/>
        <s v="BO/22/12/0240"/>
        <s v="BO/23/12/0224"/>
        <s v="GPOS"/>
        <s v="MWPO"/>
        <s v="MWPO/0027"/>
        <s v="BO/22/12/0232"/>
        <s v="BO/21/12/0246"/>
        <s v="BO/21/12/0240"/>
        <s v="BO/22/12/0239"/>
        <s v="BO/22/12/0236"/>
        <s v="BO/23/12/0218"/>
        <s v="MWPO/0021"/>
        <s v="MWPO/0025"/>
        <s v="MWPO/0026"/>
        <s v="MWPO/0023"/>
        <s v="MWPO/0022"/>
        <s v="SFUE/7/23"/>
        <s v="SMOG"/>
        <s v="ZLOB"/>
        <s v="MWPO/0024"/>
      </sharedItems>
    </cacheField>
    <cacheField name="Planowane, czy realizowane?" numFmtId="1">
      <sharedItems count="4">
        <s v=""/>
        <s v="WPF, w tym"/>
        <s v="WPF/PM"/>
        <s v="WPF/UM"/>
      </sharedItems>
    </cacheField>
    <cacheField name="Klasyf. szczegółowa" numFmtId="0">
      <sharedItems count="70">
        <s v=""/>
        <s v="C/USN/I/1/1 60014 6050 GMMW"/>
        <s v="C/USN/I/1/8 60014 6050 GMMW"/>
        <s v="C/USN/I/P2/10 60016 6050 GMMW"/>
        <s v="C/USN/I/P2/21 60016 6060 GMMW"/>
        <s v="C/USN/I/P2/22 60016 6050 GMMW"/>
        <s v="C/USN/I/P2/33 60016 6060 GMMW"/>
        <s v="C/USN/I/P2/35 60016 6060 GMMW"/>
        <s v="C/USN/I/P2/36 60016 6050 GMMW"/>
        <s v="C/USN/I/P2/37 60095 6050 GMMW"/>
        <s v="C/USN/I/P2/41 90015 6050 BO/22/12/0240"/>
        <s v="C/USN/I/P2/43 60016 6050 GMMW"/>
        <s v="C/USN/I/P2/44 60016 6060 GMMW"/>
        <s v="C/USN/I/P2/45 60095 6050 BO/23/12/0224"/>
        <s v="C/USN/II/P5/4 71095 6050 GMMW"/>
        <s v="C/USN/III/3/7 90001 6050 GMMW"/>
        <s v="C/USN/III/P3/38 90004 6050 GMMW"/>
        <s v="C/USN/III/P3/38 90004 6050 GPOS"/>
        <s v="C/USN/III/P3/39 90004 6050 GMMW"/>
        <s v="C/USN/III/P3/39 90004 6050 MWPO"/>
        <s v="C/USN/III/P3/40 90004 6050 GMMW"/>
        <s v="C/USN/III/P3/40 90004 6050 MWPO/0027"/>
        <s v="C/USN/III/P3/41 90004 6050 BO/22/12/0232"/>
        <s v="C/USN/III/P3/42 90004 6050 GMMW"/>
        <s v="C/USN/III/P3/42 90004 6050 GPOS"/>
        <s v="C/USN/III/P3/43 90004 6050 GMMW"/>
        <s v="C/USN/III/P3/43 90004 6050 GPOS"/>
        <s v="C/USN/III/P4/31 90026 6050 BO/21/12/0246"/>
        <s v="C/USN/III/P4/32 90095 6050 BO/21/12/0240"/>
        <s v="C/USN/III/P4/34 90001 6050 GMMW"/>
        <s v="C/USN/III/P4/35 90095 6050 BO/22/12/0239"/>
        <s v="C/USN/III/P4/36 90095 6050 BO/22/12/0236"/>
        <s v="C/USN/III/P4/37 50095 6050 GMMW"/>
        <s v="C/USN/III/P4/39 90095 6050 BO/23/12/0218"/>
        <s v="C/USN/III/P4/40 90095 6050 GMMW"/>
        <s v="C/USN/IV/P3/1 75495 6050 GMMW"/>
        <s v="C/USN/V/P1/4 80104 6060 GMMW"/>
        <s v="C/USN/V/P1/65 80101 6050 GMMW"/>
        <s v="C/USN/V/P1/66 80101 6050 GMMW"/>
        <s v="C/USN/V/P1/66 80101 6050 MWPO/0021"/>
        <s v="C/USN/V/P1/68 80101 6050 GMMW"/>
        <s v="C/USN/V/P1/68 80101 6050 MWPO/0025"/>
        <s v="C/USN/V/P1/70 80101 6050 GMMW"/>
        <s v="C/USN/V/P1/70 80101 6050 MWPO/0026"/>
        <s v="C/USN/V/P1/86 80120 6050 GMMW"/>
        <s v="C/USN/V/P1/86 80120 6050 MWPO/0023"/>
        <s v="C/USN/V/P1/87 80101 6050 GMMW"/>
        <s v="C/USN/V/P1/87 80101 6050 MWPO/0022"/>
        <s v="C/USN/V/P1/87 80101 6050 SFUE/7/23"/>
        <s v="C/USN/V/P1/87 80101 6056 SFUE/7/23"/>
        <s v="C/USN/V/P1/87 80101 6057 SFUE/7/23"/>
        <s v="C/USN/V/P1/92 80195 6050 GMMW"/>
        <s v="C/USN/V/P1/93 80101 6050 GMMW"/>
        <s v="C/USN/V/P1/93 80101 6050 SMOG"/>
        <s v="C/USN/V/P1/94 80104 6050 GMMW"/>
        <s v="C/USN/V/P1/95 80105 6050 GMMW"/>
        <s v="C/USN/V/P1/96 80120 6050 GMMW"/>
        <s v="C/USN/V/P1/103 80195 6050 GMMW"/>
        <s v="C/USN/V/P1/nowy 1 80101 6050 GMMW"/>
        <s v="C/USN/V/P1/nowy 2 80101 6050 GMMW"/>
        <s v="C/USN/VI/P3/4 85516 6050 ZLOB"/>
        <s v="C/USN/VI/P3/4 85516 6050 GMMW"/>
        <s v="C/USN/VI/P3/7 85202 6050 GMMW"/>
        <s v="C/USN/VI/P3/10 85219 6050 GMMW"/>
        <s v="C/USN/VII/P3/9 92109 6220 GMMW"/>
        <s v="C/USN/VII/P3/11 92116 6050 GMMW"/>
        <s v="C/USN/VII/P3/11 92116 6050 MWPO/0024"/>
        <s v="C/USN/VIII/P1/24 92601 6210 SMOG"/>
        <s v="C/USN/X/P2/7 75023 6050 GMMW"/>
        <s v="C/USN/X/P2/7 75023 6050 SMOG"/>
      </sharedItems>
    </cacheField>
    <cacheField name="Klasyf. do wyliczeń 1" numFmtId="0">
      <sharedItems/>
    </cacheField>
    <cacheField name="Klasyf. do wyliczeń 2" numFmtId="0">
      <sharedItems count="208">
        <s v=""/>
        <s v="C/USN/I/1/1 60014 6050 GMMW WPF, w tym"/>
        <s v="C/USN/I/1/1 60014 6050 GMMW WPF/PM"/>
        <s v="C/USN/I/1/1 60014 6050 GMMW WPF/UM"/>
        <s v="C/USN/I/1/8 60014 6050 GMMW WPF, w tym"/>
        <s v="C/USN/I/1/8 60014 6050 GMMW WPF/PM"/>
        <s v="C/USN/I/1/8 60014 6050 GMMW WPF/UM"/>
        <s v="C/USN/I/P2/10 60016 6050 GMMW WPF, w tym"/>
        <s v="C/USN/I/P2/10 60016 6050 GMMW WPF/PM"/>
        <s v="C/USN/I/P2/10 60016 6050 GMMW WPF/UM"/>
        <s v="C/USN/I/P2/21 60016 6060 GMMW WPF, w tym"/>
        <s v="C/USN/I/P2/21 60016 6060 GMMW WPF/PM"/>
        <s v="C/USN/I/P2/21 60016 6060 GMMW WPF/UM"/>
        <s v="C/USN/I/P2/22 60016 6050 GMMW WPF, w tym"/>
        <s v="C/USN/I/P2/22 60016 6050 GMMW WPF/PM"/>
        <s v="C/USN/I/P2/22 60016 6050 GMMW WPF/UM"/>
        <s v="C/USN/I/P2/33 60016 6060 GMMW WPF, w tym"/>
        <s v="C/USN/I/P2/33 60016 6060 GMMW WPF/PM"/>
        <s v="C/USN/I/P2/33 60016 6060 GMMW WPF/UM"/>
        <s v="C/USN/I/P2/35 60016 6060 GMMW WPF, w tym"/>
        <s v="C/USN/I/P2/35 60016 6060 GMMW WPF/PM"/>
        <s v="C/USN/I/P2/35 60016 6060 GMMW WPF/UM"/>
        <s v="C/USN/I/P2/36 60016 6050 GMMW WPF, w tym"/>
        <s v="C/USN/I/P2/36 60016 6050 GMMW WPF/PM"/>
        <s v="C/USN/I/P2/36 60016 6050 GMMW WPF/UM"/>
        <s v="C/USN/I/P2/37 60095 6050 GMMW WPF, w tym"/>
        <s v="C/USN/I/P2/37 60095 6050 GMMW WPF/PM"/>
        <s v="C/USN/I/P2/37 60095 6050 GMMW WPF/UM"/>
        <s v="C/USN/I/P2/41 90015 6050 BO/22/12/0240 WPF, w tym"/>
        <s v="C/USN/I/P2/41 90015 6050 BO/22/12/0240 WPF/PM"/>
        <s v="C/USN/I/P2/41 90015 6050 BO/22/12/0240 WPF/UM"/>
        <s v="C/USN/I/P2/43 60016 6050 GMMW WPF, w tym"/>
        <s v="C/USN/I/P2/43 60016 6050 GMMW WPF/PM"/>
        <s v="C/USN/I/P2/43 60016 6050 GMMW WPF/UM"/>
        <s v="C/USN/I/P2/44 60016 6060 GMMW WPF, w tym"/>
        <s v="C/USN/I/P2/44 60016 6060 GMMW WPF/PM"/>
        <s v="C/USN/I/P2/44 60016 6060 GMMW WPF/UM"/>
        <s v="C/USN/I/P2/45 60095 6050 BO/23/12/0224 WPF, w tym"/>
        <s v="C/USN/I/P2/45 60095 6050 BO/23/12/0224 WPF/PM"/>
        <s v="C/USN/I/P2/45 60095 6050 BO/23/12/0224 WPF/UM"/>
        <s v="C/USN/II/P5/4 71095 6050 GMMW WPF, w tym"/>
        <s v="C/USN/II/P5/4 71095 6050 GMMW WPF/PM"/>
        <s v="C/USN/II/P5/4 71095 6050 GMMW WPF/UM"/>
        <s v="C/USN/III/3/7 90001 6050 GMMW WPF, w tym"/>
        <s v="C/USN/III/3/7 90001 6050 GMMW WPF/PM"/>
        <s v="C/USN/III/3/7 90001 6050 GMMW WPF/UM"/>
        <s v="C/USN/III/P3/38 90004 6050 GMMW WPF, w tym"/>
        <s v="C/USN/III/P3/38 90004 6050 GMMW WPF/PM"/>
        <s v="C/USN/III/P3/38 90004 6050 GMMW WPF/UM"/>
        <s v="C/USN/III/P3/38 90004 6050 GPOS WPF, w tym"/>
        <s v="C/USN/III/P3/38 90004 6050 GPOS WPF/PM"/>
        <s v="C/USN/III/P3/38 90004 6050 GPOS WPF/UM"/>
        <s v="C/USN/III/P3/39 90004 6050 GMMW WPF, w tym"/>
        <s v="C/USN/III/P3/39 90004 6050 GMMW WPF/PM"/>
        <s v="C/USN/III/P3/39 90004 6050 GMMW WPF/UM"/>
        <s v="C/USN/III/P3/39 90004 6050 MWPO WPF, w tym"/>
        <s v="C/USN/III/P3/39 90004 6050 MWPO WPF/PM"/>
        <s v="C/USN/III/P3/39 90004 6050 MWPO WPF/UM"/>
        <s v="C/USN/III/P3/40 90004 6050 GMMW WPF, w tym"/>
        <s v="C/USN/III/P3/40 90004 6050 GMMW WPF/PM"/>
        <s v="C/USN/III/P3/40 90004 6050 GMMW WPF/UM"/>
        <s v="C/USN/III/P3/40 90004 6050 MWPO/0027 WPF, w tym"/>
        <s v="C/USN/III/P3/40 90004 6050 MWPO/0027 WPF/PM"/>
        <s v="C/USN/III/P3/40 90004 6050 MWPO/0027 WPF/UM"/>
        <s v="C/USN/III/P3/41 90004 6050 BO/22/12/0232 WPF, w tym"/>
        <s v="C/USN/III/P3/41 90004 6050 BO/22/12/0232 WPF/PM"/>
        <s v="C/USN/III/P3/41 90004 6050 BO/22/12/0232 WPF/UM"/>
        <s v="C/USN/III/P3/42 90004 6050 GMMW WPF, w tym"/>
        <s v="C/USN/III/P3/42 90004 6050 GMMW WPF/PM"/>
        <s v="C/USN/III/P3/42 90004 6050 GMMW WPF/UM"/>
        <s v="C/USN/III/P3/42 90004 6050 GPOS WPF, w tym"/>
        <s v="C/USN/III/P3/42 90004 6050 GPOS WPF/PM"/>
        <s v="C/USN/III/P3/42 90004 6050 GPOS WPF/UM"/>
        <s v="C/USN/III/P3/43 90004 6050 GMMW WPF, w tym"/>
        <s v="C/USN/III/P3/43 90004 6050 GMMW WPF/PM"/>
        <s v="C/USN/III/P3/43 90004 6050 GMMW WPF/UM"/>
        <s v="C/USN/III/P3/43 90004 6050 GPOS WPF, w tym"/>
        <s v="C/USN/III/P3/43 90004 6050 GPOS WPF/PM"/>
        <s v="C/USN/III/P3/43 90004 6050 GPOS WPF/UM"/>
        <s v="C/USN/III/P4/31 90026 6050 BO/21/12/0246 WPF, w tym"/>
        <s v="C/USN/III/P4/31 90026 6050 BO/21/12/0246 WPF/PM"/>
        <s v="C/USN/III/P4/31 90026 6050 BO/21/12/0246 WPF/UM"/>
        <s v="C/USN/III/P4/32 90095 6050 BO/21/12/0240 WPF, w tym"/>
        <s v="C/USN/III/P4/32 90095 6050 BO/21/12/0240 WPF/PM"/>
        <s v="C/USN/III/P4/32 90095 6050 BO/21/12/0240 WPF/UM"/>
        <s v="C/USN/III/P4/34 90001 6050 GMMW WPF, w tym"/>
        <s v="C/USN/III/P4/34 90001 6050 GMMW WPF/PM"/>
        <s v="C/USN/III/P4/34 90001 6050 GMMW WPF/UM"/>
        <s v="C/USN/III/P4/35 90095 6050 BO/22/12/0239 WPF, w tym"/>
        <s v="C/USN/III/P4/35 90095 6050 BO/22/12/0239 WPF/PM"/>
        <s v="C/USN/III/P4/35 90095 6050 BO/22/12/0239 WPF/UM"/>
        <s v="C/USN/III/P4/36 90095 6050 BO/22/12/0236 WPF, w tym"/>
        <s v="C/USN/III/P4/36 90095 6050 BO/22/12/0236 WPF/PM"/>
        <s v="C/USN/III/P4/36 90095 6050 BO/22/12/0236 WPF/UM"/>
        <s v="C/USN/III/P4/37 50095 6050 GMMW WPF, w tym"/>
        <s v="C/USN/III/P4/37 50095 6050 GMMW WPF/PM"/>
        <s v="C/USN/III/P4/37 50095 6050 GMMW WPF/UM"/>
        <s v="C/USN/III/P4/39 90095 6050 BO/23/12/0218 WPF, w tym"/>
        <s v="C/USN/III/P4/39 90095 6050 BO/23/12/0218 WPF/PM"/>
        <s v="C/USN/III/P4/39 90095 6050 BO/23/12/0218 WPF/UM"/>
        <s v="C/USN/III/P4/40 90095 6050 GMMW WPF, w tym"/>
        <s v="C/USN/III/P4/40 90095 6050 GMMW WPF/PM"/>
        <s v="C/USN/III/P4/40 90095 6050 GMMW WPF/UM"/>
        <s v="C/USN/IV/P3/1 75495 6050 GMMW WPF, w tym"/>
        <s v="C/USN/IV/P3/1 75495 6050 GMMW WPF/PM"/>
        <s v="C/USN/IV/P3/1 75495 6050 GMMW WPF/UM"/>
        <s v="C/USN/V/P1/4 80104 6060 GMMW WPF, w tym"/>
        <s v="C/USN/V/P1/4 80104 6060 GMMW WPF/PM"/>
        <s v="C/USN/V/P1/4 80104 6060 GMMW WPF/UM"/>
        <s v="C/USN/V/P1/65 80101 6050 GMMW WPF, w tym"/>
        <s v="C/USN/V/P1/65 80101 6050 GMMW WPF/PM"/>
        <s v="C/USN/V/P1/65 80101 6050 GMMW WPF/UM"/>
        <s v="C/USN/V/P1/66 80101 6050 GMMW WPF, w tym"/>
        <s v="C/USN/V/P1/66 80101 6050 GMMW WPF/PM"/>
        <s v="C/USN/V/P1/66 80101 6050 GMMW WPF/UM"/>
        <s v="C/USN/V/P1/66 80101 6050 MWPO/0021 WPF, w tym"/>
        <s v="C/USN/V/P1/66 80101 6050 MWPO/0021 WPF/PM"/>
        <s v="C/USN/V/P1/66 80101 6050 MWPO/0021 WPF/UM"/>
        <s v="C/USN/V/P1/68 80101 6050 GMMW WPF, w tym"/>
        <s v="C/USN/V/P1/68 80101 6050 GMMW WPF/PM"/>
        <s v="C/USN/V/P1/68 80101 6050 GMMW WPF/UM"/>
        <s v="C/USN/V/P1/68 80101 6050 MWPO/0025 WPF, w tym"/>
        <s v="C/USN/V/P1/68 80101 6050 MWPO/0025 WPF/PM"/>
        <s v="C/USN/V/P1/68 80101 6050 MWPO/0025 WPF/UM"/>
        <s v="C/USN/V/P1/70 80101 6050 GMMW WPF, w tym"/>
        <s v="C/USN/V/P1/70 80101 6050 GMMW WPF/PM"/>
        <s v="C/USN/V/P1/70 80101 6050 GMMW WPF/UM"/>
        <s v="C/USN/V/P1/70 80101 6050 MWPO/0026 WPF, w tym"/>
        <s v="C/USN/V/P1/70 80101 6050 MWPO/0026 WPF/PM"/>
        <s v="C/USN/V/P1/70 80101 6050 MWPO/0026 WPF/UM"/>
        <s v="C/USN/V/P1/86 80120 6050 GMMW WPF, w tym"/>
        <s v="C/USN/V/P1/86 80120 6050 GMMW WPF/PM"/>
        <s v="C/USN/V/P1/86 80120 6050 GMMW WPF/UM"/>
        <s v="C/USN/V/P1/86 80120 6050 MWPO/0023 WPF, w tym"/>
        <s v="C/USN/V/P1/86 80120 6050 MWPO/0023 WPF/PM"/>
        <s v="C/USN/V/P1/86 80120 6050 MWPO/0023 WPF/UM"/>
        <s v="C/USN/V/P1/87 80101 6050 GMMW WPF, w tym"/>
        <s v="C/USN/V/P1/87 80101 6050 GMMW WPF/PM"/>
        <s v="C/USN/V/P1/87 80101 6050 GMMW WPF/UM"/>
        <s v="C/USN/V/P1/87 80101 6050 MWPO/0022 WPF, w tym"/>
        <s v="C/USN/V/P1/87 80101 6050 MWPO/0022 WPF/PM"/>
        <s v="C/USN/V/P1/87 80101 6050 MWPO/0022 WPF/UM"/>
        <s v="C/USN/V/P1/87 80101 6050 SFUE/7/23 WPF, w tym"/>
        <s v="C/USN/V/P1/87 80101 6050 SFUE/7/23 WPF/PM"/>
        <s v="C/USN/V/P1/87 80101 6050 SFUE/7/23 WPF/UM"/>
        <s v="C/USN/V/P1/87 80101 6056 SFUE/7/23 WPF, w tym"/>
        <s v="C/USN/V/P1/87 80101 6056 SFUE/7/23 WPF/PM"/>
        <s v="C/USN/V/P1/87 80101 6056 SFUE/7/23 WPF/UM"/>
        <s v="C/USN/V/P1/87 80101 6057 SFUE/7/23 WPF, w tym"/>
        <s v="C/USN/V/P1/87 80101 6057 SFUE/7/23 WPF/PM"/>
        <s v="C/USN/V/P1/87 80101 6057 SFUE/7/23 WPF/UM"/>
        <s v="C/USN/V/P1/92 80195 6050 GMMW WPF, w tym"/>
        <s v="C/USN/V/P1/92 80195 6050 GMMW WPF/PM"/>
        <s v="C/USN/V/P1/92 80195 6050 GMMW WPF/UM"/>
        <s v="C/USN/V/P1/93 80101 6050 GMMW WPF, w tym"/>
        <s v="C/USN/V/P1/93 80101 6050 GMMW WPF/PM"/>
        <s v="C/USN/V/P1/93 80101 6050 GMMW WPF/UM"/>
        <s v="C/USN/V/P1/93 80101 6050 SMOG WPF, w tym"/>
        <s v="C/USN/V/P1/93 80101 6050 SMOG WPF/PM"/>
        <s v="C/USN/V/P1/93 80101 6050 SMOG WPF/UM"/>
        <s v="C/USN/V/P1/94 80104 6050 GMMW WPF, w tym"/>
        <s v="C/USN/V/P1/94 80104 6050 GMMW WPF/PM"/>
        <s v="C/USN/V/P1/94 80104 6050 GMMW WPF/UM"/>
        <s v="C/USN/V/P1/95 80105 6050 GMMW WPF, w tym"/>
        <s v="C/USN/V/P1/95 80105 6050 GMMW WPF/PM"/>
        <s v="C/USN/V/P1/95 80105 6050 GMMW WPF/UM"/>
        <s v="C/USN/V/P1/96 80120 6050 GMMW WPF, w tym"/>
        <s v="C/USN/V/P1/96 80120 6050 GMMW WPF/PM"/>
        <s v="C/USN/V/P1/96 80120 6050 GMMW WPF/UM"/>
        <s v="C/USN/V/P1/103 80195 6050 GMMW WPF, w tym"/>
        <s v="C/USN/V/P1/103 80195 6050 GMMW WPF/PM"/>
        <s v="C/USN/V/P1/103 80195 6050 GMMW WPF/UM"/>
        <s v="C/USN/V/P1/nowy 1 80101 6050 GMMW WPF, w tym"/>
        <s v="C/USN/V/P1/nowy 1 80101 6050 GMMW WPF/PM"/>
        <s v="C/USN/V/P1/nowy 1 80101 6050 GMMW WPF/UM"/>
        <s v="C/USN/V/P1/nowy 2 80101 6050 GMMW WPF, w tym"/>
        <s v="C/USN/V/P1/nowy 2 80101 6050 GMMW WPF/PM"/>
        <s v="C/USN/V/P1/nowy 2 80101 6050 GMMW WPF/UM"/>
        <s v="C/USN/VI/P3/4 85516 6050 ZLOB WPF, w tym"/>
        <s v="C/USN/VI/P3/4 85516 6050 ZLOB WPF/PM"/>
        <s v="C/USN/VI/P3/4 85516 6050 ZLOB WPF/UM"/>
        <s v="C/USN/VI/P3/4 85516 6050 GMMW WPF, w tym"/>
        <s v="C/USN/VI/P3/4 85516 6050 GMMW WPF/PM"/>
        <s v="C/USN/VI/P3/4 85516 6050 GMMW WPF/UM"/>
        <s v="C/USN/VI/P3/7 85202 6050 GMMW WPF, w tym"/>
        <s v="C/USN/VI/P3/7 85202 6050 GMMW WPF/PM"/>
        <s v="C/USN/VI/P3/7 85202 6050 GMMW WPF/UM"/>
        <s v="C/USN/VI/P3/10 85219 6050 GMMW WPF, w tym"/>
        <s v="C/USN/VI/P3/10 85219 6050 GMMW WPF/PM"/>
        <s v="C/USN/VI/P3/10 85219 6050 GMMW WPF/UM"/>
        <s v="C/USN/VII/P3/9 92109 6220 GMMW WPF, w tym"/>
        <s v="C/USN/VII/P3/9 92109 6220 GMMW WPF/PM"/>
        <s v="C/USN/VII/P3/9 92109 6220 GMMW WPF/UM"/>
        <s v="C/USN/VII/P3/11 92116 6050 GMMW WPF, w tym"/>
        <s v="C/USN/VII/P3/11 92116 6050 GMMW WPF/PM"/>
        <s v="C/USN/VII/P3/11 92116 6050 GMMW WPF/UM"/>
        <s v="C/USN/VII/P3/11 92116 6050 MWPO/0024 WPF, w tym"/>
        <s v="C/USN/VII/P3/11 92116 6050 MWPO/0024 WPF/PM"/>
        <s v="C/USN/VII/P3/11 92116 6050 MWPO/0024 WPF/UM"/>
        <s v="C/USN/VIII/P1/24 92601 6210 SMOG WPF, w tym"/>
        <s v="C/USN/VIII/P1/24 92601 6210 SMOG WPF/PM"/>
        <s v="C/USN/VIII/P1/24 92601 6210 SMOG WPF/UM"/>
        <s v="C/USN/X/P2/7 75023 6050 GMMW WPF, w tym"/>
        <s v="C/USN/X/P2/7 75023 6050 GMMW WPF/PM"/>
        <s v="C/USN/X/P2/7 75023 6050 GMMW WPF/UM"/>
        <s v="C/USN/X/P2/7 75023 6050 SMOG WPF, w tym"/>
        <s v="C/USN/X/P2/7 75023 6050 SMOG WPF/PM"/>
        <s v="C/USN/X/P2/7 75023 6050 SMOG WPF/UM"/>
      </sharedItems>
    </cacheField>
    <cacheField name="Łączne nakłady finansowe" numFmtId="3">
      <sharedItems containsMixedTypes="1" containsNumber="1" containsInteger="1" minValue="0" maxValue="22222322"/>
    </cacheField>
    <cacheField name="do 2022" numFmtId="3">
      <sharedItems containsMixedTypes="1" containsNumber="1" containsInteger="1" minValue="0" maxValue="13946038"/>
    </cacheField>
    <cacheField name="2023" numFmtId="3">
      <sharedItems containsMixedTypes="1" containsNumber="1" containsInteger="1" minValue="0" maxValue="9862366"/>
    </cacheField>
    <cacheField name="2024" numFmtId="3">
      <sharedItems containsMixedTypes="1" containsNumber="1" containsInteger="1" minValue="0" maxValue="5158782"/>
    </cacheField>
    <cacheField name="2025" numFmtId="3">
      <sharedItems containsMixedTypes="1" containsNumber="1" containsInteger="1" minValue="0" maxValue="12301215"/>
    </cacheField>
    <cacheField name="2026" numFmtId="3">
      <sharedItems containsMixedTypes="1" containsNumber="1" containsInteger="1" minValue="0" maxValue="5888085"/>
    </cacheField>
    <cacheField name="2027" numFmtId="3">
      <sharedItems containsMixedTypes="1" containsNumber="1" containsInteger="1" minValue="0" maxValue="0"/>
    </cacheField>
    <cacheField name="2028" numFmtId="3">
      <sharedItems containsMixedTypes="1" containsNumber="1" containsInteger="1" minValue="0" maxValue="0"/>
    </cacheField>
    <cacheField name="2029" numFmtId="3">
      <sharedItems containsMixedTypes="1" containsNumber="1" containsInteger="1" minValue="0" maxValue="0"/>
    </cacheField>
    <cacheField name="2030" numFmtId="3">
      <sharedItems containsMixedTypes="1" containsNumber="1" containsInteger="1" minValue="0" maxValue="0"/>
    </cacheField>
    <cacheField name="2031" numFmtId="3">
      <sharedItems containsMixedTypes="1" containsNumber="1" containsInteger="1" minValue="0" maxValue="0"/>
    </cacheField>
    <cacheField name="2032" numFmtId="3">
      <sharedItems containsMixedTypes="1" containsNumber="1" containsInteger="1" minValue="0" maxValue="0"/>
    </cacheField>
    <cacheField name="2033" numFmtId="3">
      <sharedItems containsMixedTypes="1" containsNumber="1" containsInteger="1" minValue="0" maxValue="0"/>
    </cacheField>
    <cacheField name="Zmieniane zadania" numFmtId="3">
      <sharedItems count="2">
        <s v="nie"/>
        <s v="tak"/>
      </sharedItems>
    </cacheField>
    <cacheField name="Kolumna robocza" numFmtId="3">
      <sharedItems/>
    </cacheField>
    <cacheField name="Tylko zmieniane pozycje!!!" numFmtId="3">
      <sharedItems count="2">
        <s v="nie"/>
        <s v="tak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6"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1"/>
    <x v="1"/>
    <x v="1"/>
    <x v="1"/>
    <x v="1"/>
    <x v="1"/>
    <x v="1"/>
    <s v="C/USN/I/1/1 60014 6050 WPF, w tym"/>
    <x v="1"/>
    <n v="4810713"/>
    <n v="3550900"/>
    <n v="0"/>
    <n v="215642"/>
    <n v="1044171"/>
    <n v="0"/>
    <n v="0"/>
    <n v="0"/>
    <n v="0"/>
    <n v="0"/>
    <n v="0"/>
    <n v="0"/>
    <n v="0"/>
    <x v="0"/>
    <s v="-"/>
    <x v="0"/>
  </r>
  <r>
    <x v="1"/>
    <x v="1"/>
    <x v="1"/>
    <x v="1"/>
    <x v="1"/>
    <x v="1"/>
    <x v="2"/>
    <x v="1"/>
    <s v="C/USN/I/1/1 60014 6050 WPF/PM"/>
    <x v="2"/>
    <n v="1259813"/>
    <n v="0"/>
    <n v="0"/>
    <n v="215642"/>
    <n v="1044171"/>
    <n v="0"/>
    <n v="0"/>
    <n v="0"/>
    <n v="0"/>
    <n v="0"/>
    <n v="0"/>
    <n v="0"/>
    <n v="0"/>
    <x v="0"/>
    <s v="-"/>
    <x v="0"/>
  </r>
  <r>
    <x v="1"/>
    <x v="1"/>
    <x v="1"/>
    <x v="1"/>
    <x v="1"/>
    <x v="1"/>
    <x v="3"/>
    <x v="1"/>
    <s v="C/USN/I/1/1 60014 6050 WPF/UM"/>
    <x v="3"/>
    <n v="3550900"/>
    <n v="355090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1"/>
    <x v="1"/>
    <x v="1"/>
    <x v="1"/>
    <x v="1"/>
    <x v="1"/>
    <x v="1"/>
    <s v="C/USN/I/1/1 60014 6050 WPF, w tym"/>
    <x v="1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"/>
    <x v="1"/>
    <x v="1"/>
    <x v="1"/>
    <x v="1"/>
    <x v="2"/>
    <x v="1"/>
    <s v="C/USN/I/1/1 60014 6050 WPF/PM"/>
    <x v="2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"/>
    <x v="1"/>
    <x v="1"/>
    <x v="1"/>
    <x v="1"/>
    <x v="3"/>
    <x v="1"/>
    <s v="C/USN/I/1/1 60014 6050 WPF/UM"/>
    <x v="3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1"/>
    <x v="1"/>
    <x v="1"/>
    <x v="1"/>
    <x v="1"/>
    <x v="1"/>
    <x v="1"/>
    <s v="C/USN/I/1/1 60014 6050 WPF, w tym"/>
    <x v="1"/>
    <n v="4810713"/>
    <n v="3550900"/>
    <n v="0"/>
    <n v="215642"/>
    <n v="1044171"/>
    <n v="0"/>
    <n v="0"/>
    <n v="0"/>
    <n v="0"/>
    <n v="0"/>
    <n v="0"/>
    <n v="0"/>
    <n v="0"/>
    <x v="0"/>
    <s v="-"/>
    <x v="0"/>
  </r>
  <r>
    <x v="3"/>
    <x v="1"/>
    <x v="1"/>
    <x v="1"/>
    <x v="1"/>
    <x v="1"/>
    <x v="2"/>
    <x v="1"/>
    <s v="C/USN/I/1/1 60014 6050 WPF/PM"/>
    <x v="2"/>
    <n v="1259813"/>
    <n v="0"/>
    <n v="0"/>
    <n v="215642"/>
    <n v="1044171"/>
    <n v="0"/>
    <n v="0"/>
    <n v="0"/>
    <n v="0"/>
    <n v="0"/>
    <n v="0"/>
    <n v="0"/>
    <n v="0"/>
    <x v="0"/>
    <s v="-"/>
    <x v="0"/>
  </r>
  <r>
    <x v="3"/>
    <x v="1"/>
    <x v="1"/>
    <x v="1"/>
    <x v="1"/>
    <x v="1"/>
    <x v="3"/>
    <x v="1"/>
    <s v="C/USN/I/1/1 60014 6050 WPF/UM"/>
    <x v="3"/>
    <n v="3550900"/>
    <n v="355090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2"/>
    <x v="2"/>
    <x v="1"/>
    <x v="1"/>
    <x v="1"/>
    <x v="1"/>
    <x v="2"/>
    <s v="C/USN/I/1/8 60014 6050 WPF, w tym"/>
    <x v="4"/>
    <n v="13951425"/>
    <n v="13946038"/>
    <n v="0"/>
    <n v="5387"/>
    <n v="0"/>
    <n v="0"/>
    <n v="0"/>
    <n v="0"/>
    <n v="0"/>
    <n v="0"/>
    <n v="0"/>
    <n v="0"/>
    <n v="0"/>
    <x v="0"/>
    <s v="-"/>
    <x v="0"/>
  </r>
  <r>
    <x v="1"/>
    <x v="2"/>
    <x v="2"/>
    <x v="1"/>
    <x v="1"/>
    <x v="1"/>
    <x v="2"/>
    <x v="2"/>
    <s v="C/USN/I/1/8 60014 6050 WPF/PM"/>
    <x v="5"/>
    <n v="5387"/>
    <n v="0"/>
    <n v="0"/>
    <n v="5387"/>
    <n v="0"/>
    <n v="0"/>
    <n v="0"/>
    <n v="0"/>
    <n v="0"/>
    <n v="0"/>
    <n v="0"/>
    <n v="0"/>
    <n v="0"/>
    <x v="0"/>
    <s v="-"/>
    <x v="0"/>
  </r>
  <r>
    <x v="1"/>
    <x v="2"/>
    <x v="2"/>
    <x v="1"/>
    <x v="1"/>
    <x v="1"/>
    <x v="3"/>
    <x v="2"/>
    <s v="C/USN/I/1/8 60014 6050 WPF/UM"/>
    <x v="6"/>
    <n v="13946038"/>
    <n v="13946038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2"/>
    <x v="2"/>
    <x v="1"/>
    <x v="1"/>
    <x v="1"/>
    <x v="1"/>
    <x v="2"/>
    <s v="C/USN/I/1/8 60014 6050 WPF, w tym"/>
    <x v="4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"/>
    <x v="2"/>
    <x v="1"/>
    <x v="1"/>
    <x v="1"/>
    <x v="2"/>
    <x v="2"/>
    <s v="C/USN/I/1/8 60014 6050 WPF/PM"/>
    <x v="5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"/>
    <x v="2"/>
    <x v="1"/>
    <x v="1"/>
    <x v="1"/>
    <x v="3"/>
    <x v="2"/>
    <s v="C/USN/I/1/8 60014 6050 WPF/UM"/>
    <x v="6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2"/>
    <x v="2"/>
    <x v="1"/>
    <x v="1"/>
    <x v="1"/>
    <x v="1"/>
    <x v="2"/>
    <s v="C/USN/I/1/8 60014 6050 WPF, w tym"/>
    <x v="4"/>
    <n v="13951425"/>
    <n v="13946038"/>
    <n v="0"/>
    <n v="5387"/>
    <n v="0"/>
    <n v="0"/>
    <n v="0"/>
    <n v="0"/>
    <n v="0"/>
    <n v="0"/>
    <n v="0"/>
    <n v="0"/>
    <n v="0"/>
    <x v="0"/>
    <s v="-"/>
    <x v="0"/>
  </r>
  <r>
    <x v="3"/>
    <x v="2"/>
    <x v="2"/>
    <x v="1"/>
    <x v="1"/>
    <x v="1"/>
    <x v="2"/>
    <x v="2"/>
    <s v="C/USN/I/1/8 60014 6050 WPF/PM"/>
    <x v="5"/>
    <n v="5387"/>
    <n v="0"/>
    <n v="0"/>
    <n v="5387"/>
    <n v="0"/>
    <n v="0"/>
    <n v="0"/>
    <n v="0"/>
    <n v="0"/>
    <n v="0"/>
    <n v="0"/>
    <n v="0"/>
    <n v="0"/>
    <x v="0"/>
    <s v="-"/>
    <x v="0"/>
  </r>
  <r>
    <x v="3"/>
    <x v="2"/>
    <x v="2"/>
    <x v="1"/>
    <x v="1"/>
    <x v="1"/>
    <x v="3"/>
    <x v="2"/>
    <s v="C/USN/I/1/8 60014 6050 WPF/UM"/>
    <x v="6"/>
    <n v="13946038"/>
    <n v="13946038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3"/>
    <x v="3"/>
    <x v="2"/>
    <x v="1"/>
    <x v="1"/>
    <x v="1"/>
    <x v="3"/>
    <s v="C/USN/I/P2/10 60016 6050 WPF, w tym"/>
    <x v="7"/>
    <n v="66382"/>
    <n v="21614"/>
    <n v="0"/>
    <n v="4768"/>
    <n v="40000"/>
    <n v="0"/>
    <n v="0"/>
    <n v="0"/>
    <n v="0"/>
    <n v="0"/>
    <n v="0"/>
    <n v="0"/>
    <n v="0"/>
    <x v="0"/>
    <s v="-"/>
    <x v="0"/>
  </r>
  <r>
    <x v="1"/>
    <x v="3"/>
    <x v="3"/>
    <x v="2"/>
    <x v="1"/>
    <x v="1"/>
    <x v="2"/>
    <x v="3"/>
    <s v="C/USN/I/P2/10 60016 6050 WPF/PM"/>
    <x v="8"/>
    <n v="44768"/>
    <n v="0"/>
    <n v="0"/>
    <n v="4768"/>
    <n v="40000"/>
    <n v="0"/>
    <n v="0"/>
    <n v="0"/>
    <n v="0"/>
    <n v="0"/>
    <n v="0"/>
    <n v="0"/>
    <n v="0"/>
    <x v="0"/>
    <s v="-"/>
    <x v="0"/>
  </r>
  <r>
    <x v="1"/>
    <x v="3"/>
    <x v="3"/>
    <x v="2"/>
    <x v="1"/>
    <x v="1"/>
    <x v="3"/>
    <x v="3"/>
    <s v="C/USN/I/P2/10 60016 6050 WPF/UM"/>
    <x v="9"/>
    <n v="21614"/>
    <n v="21614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3"/>
    <x v="3"/>
    <x v="2"/>
    <x v="1"/>
    <x v="1"/>
    <x v="1"/>
    <x v="3"/>
    <s v="C/USN/I/P2/10 60016 6050 WPF, w tym"/>
    <x v="7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"/>
    <x v="3"/>
    <x v="2"/>
    <x v="1"/>
    <x v="1"/>
    <x v="2"/>
    <x v="3"/>
    <s v="C/USN/I/P2/10 60016 6050 WPF/PM"/>
    <x v="8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"/>
    <x v="3"/>
    <x v="2"/>
    <x v="1"/>
    <x v="1"/>
    <x v="3"/>
    <x v="3"/>
    <s v="C/USN/I/P2/10 60016 6050 WPF/UM"/>
    <x v="9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3"/>
    <x v="3"/>
    <x v="2"/>
    <x v="1"/>
    <x v="1"/>
    <x v="1"/>
    <x v="3"/>
    <s v="C/USN/I/P2/10 60016 6050 WPF, w tym"/>
    <x v="7"/>
    <n v="66382"/>
    <n v="21614"/>
    <n v="0"/>
    <n v="4768"/>
    <n v="40000"/>
    <n v="0"/>
    <n v="0"/>
    <n v="0"/>
    <n v="0"/>
    <n v="0"/>
    <n v="0"/>
    <n v="0"/>
    <n v="0"/>
    <x v="0"/>
    <s v="-"/>
    <x v="0"/>
  </r>
  <r>
    <x v="3"/>
    <x v="3"/>
    <x v="3"/>
    <x v="2"/>
    <x v="1"/>
    <x v="1"/>
    <x v="2"/>
    <x v="3"/>
    <s v="C/USN/I/P2/10 60016 6050 WPF/PM"/>
    <x v="8"/>
    <n v="44768"/>
    <n v="0"/>
    <n v="0"/>
    <n v="4768"/>
    <n v="40000"/>
    <n v="0"/>
    <n v="0"/>
    <n v="0"/>
    <n v="0"/>
    <n v="0"/>
    <n v="0"/>
    <n v="0"/>
    <n v="0"/>
    <x v="0"/>
    <s v="-"/>
    <x v="0"/>
  </r>
  <r>
    <x v="3"/>
    <x v="3"/>
    <x v="3"/>
    <x v="2"/>
    <x v="1"/>
    <x v="1"/>
    <x v="3"/>
    <x v="3"/>
    <s v="C/USN/I/P2/10 60016 6050 WPF/UM"/>
    <x v="9"/>
    <n v="21614"/>
    <n v="21614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4"/>
    <x v="4"/>
    <x v="2"/>
    <x v="2"/>
    <x v="1"/>
    <x v="1"/>
    <x v="4"/>
    <s v="C/USN/I/P2/21 60016 6060 WPF, w tym"/>
    <x v="10"/>
    <n v="856197"/>
    <n v="850879"/>
    <n v="0"/>
    <n v="5318"/>
    <n v="0"/>
    <n v="0"/>
    <n v="0"/>
    <n v="0"/>
    <n v="0"/>
    <n v="0"/>
    <n v="0"/>
    <n v="0"/>
    <n v="0"/>
    <x v="0"/>
    <s v="-"/>
    <x v="0"/>
  </r>
  <r>
    <x v="1"/>
    <x v="4"/>
    <x v="4"/>
    <x v="2"/>
    <x v="2"/>
    <x v="1"/>
    <x v="2"/>
    <x v="4"/>
    <s v="C/USN/I/P2/21 60016 6060 WPF/PM"/>
    <x v="11"/>
    <n v="5318"/>
    <n v="0"/>
    <n v="0"/>
    <n v="5318"/>
    <n v="0"/>
    <n v="0"/>
    <n v="0"/>
    <n v="0"/>
    <n v="0"/>
    <n v="0"/>
    <n v="0"/>
    <n v="0"/>
    <n v="0"/>
    <x v="0"/>
    <s v="-"/>
    <x v="0"/>
  </r>
  <r>
    <x v="1"/>
    <x v="4"/>
    <x v="4"/>
    <x v="2"/>
    <x v="2"/>
    <x v="1"/>
    <x v="3"/>
    <x v="4"/>
    <s v="C/USN/I/P2/21 60016 6060 WPF/UM"/>
    <x v="12"/>
    <n v="850879"/>
    <n v="850879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4"/>
    <x v="4"/>
    <x v="2"/>
    <x v="2"/>
    <x v="1"/>
    <x v="1"/>
    <x v="4"/>
    <s v="C/USN/I/P2/21 60016 6060 WPF, w tym"/>
    <x v="10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4"/>
    <x v="4"/>
    <x v="2"/>
    <x v="2"/>
    <x v="1"/>
    <x v="2"/>
    <x v="4"/>
    <s v="C/USN/I/P2/21 60016 6060 WPF/PM"/>
    <x v="11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4"/>
    <x v="4"/>
    <x v="2"/>
    <x v="2"/>
    <x v="1"/>
    <x v="3"/>
    <x v="4"/>
    <s v="C/USN/I/P2/21 60016 6060 WPF/UM"/>
    <x v="12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4"/>
    <x v="4"/>
    <x v="2"/>
    <x v="2"/>
    <x v="1"/>
    <x v="1"/>
    <x v="4"/>
    <s v="C/USN/I/P2/21 60016 6060 WPF, w tym"/>
    <x v="10"/>
    <n v="856197"/>
    <n v="850879"/>
    <n v="0"/>
    <n v="5318"/>
    <n v="0"/>
    <n v="0"/>
    <n v="0"/>
    <n v="0"/>
    <n v="0"/>
    <n v="0"/>
    <n v="0"/>
    <n v="0"/>
    <n v="0"/>
    <x v="0"/>
    <s v="-"/>
    <x v="0"/>
  </r>
  <r>
    <x v="3"/>
    <x v="4"/>
    <x v="4"/>
    <x v="2"/>
    <x v="2"/>
    <x v="1"/>
    <x v="2"/>
    <x v="4"/>
    <s v="C/USN/I/P2/21 60016 6060 WPF/PM"/>
    <x v="11"/>
    <n v="5318"/>
    <n v="0"/>
    <n v="0"/>
    <n v="5318"/>
    <n v="0"/>
    <n v="0"/>
    <n v="0"/>
    <n v="0"/>
    <n v="0"/>
    <n v="0"/>
    <n v="0"/>
    <n v="0"/>
    <n v="0"/>
    <x v="0"/>
    <s v="-"/>
    <x v="0"/>
  </r>
  <r>
    <x v="3"/>
    <x v="4"/>
    <x v="4"/>
    <x v="2"/>
    <x v="2"/>
    <x v="1"/>
    <x v="3"/>
    <x v="4"/>
    <s v="C/USN/I/P2/21 60016 6060 WPF/UM"/>
    <x v="12"/>
    <n v="850879"/>
    <n v="850879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5"/>
    <x v="5"/>
    <x v="2"/>
    <x v="1"/>
    <x v="1"/>
    <x v="1"/>
    <x v="5"/>
    <s v="C/USN/I/P2/22 60016 6050 WPF, w tym"/>
    <x v="13"/>
    <n v="801710"/>
    <n v="715003"/>
    <n v="0"/>
    <n v="30000"/>
    <n v="56707"/>
    <n v="0"/>
    <n v="0"/>
    <n v="0"/>
    <n v="0"/>
    <n v="0"/>
    <n v="0"/>
    <n v="0"/>
    <n v="0"/>
    <x v="0"/>
    <s v="-"/>
    <x v="0"/>
  </r>
  <r>
    <x v="1"/>
    <x v="5"/>
    <x v="5"/>
    <x v="2"/>
    <x v="1"/>
    <x v="1"/>
    <x v="2"/>
    <x v="5"/>
    <s v="C/USN/I/P2/22 60016 6050 WPF/PM"/>
    <x v="14"/>
    <n v="86707"/>
    <n v="0"/>
    <n v="0"/>
    <n v="30000"/>
    <n v="56707"/>
    <n v="0"/>
    <n v="0"/>
    <n v="0"/>
    <n v="0"/>
    <n v="0"/>
    <n v="0"/>
    <n v="0"/>
    <n v="0"/>
    <x v="0"/>
    <s v="-"/>
    <x v="0"/>
  </r>
  <r>
    <x v="1"/>
    <x v="5"/>
    <x v="5"/>
    <x v="2"/>
    <x v="1"/>
    <x v="1"/>
    <x v="3"/>
    <x v="5"/>
    <s v="C/USN/I/P2/22 60016 6050 WPF/UM"/>
    <x v="15"/>
    <n v="715003"/>
    <n v="715003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5"/>
    <x v="5"/>
    <x v="2"/>
    <x v="1"/>
    <x v="1"/>
    <x v="1"/>
    <x v="5"/>
    <s v="C/USN/I/P2/22 60016 6050 WPF, w tym"/>
    <x v="13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5"/>
    <x v="5"/>
    <x v="2"/>
    <x v="1"/>
    <x v="1"/>
    <x v="2"/>
    <x v="5"/>
    <s v="C/USN/I/P2/22 60016 6050 WPF/PM"/>
    <x v="14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5"/>
    <x v="5"/>
    <x v="2"/>
    <x v="1"/>
    <x v="1"/>
    <x v="3"/>
    <x v="5"/>
    <s v="C/USN/I/P2/22 60016 6050 WPF/UM"/>
    <x v="15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5"/>
    <x v="5"/>
    <x v="2"/>
    <x v="1"/>
    <x v="1"/>
    <x v="1"/>
    <x v="5"/>
    <s v="C/USN/I/P2/22 60016 6050 WPF, w tym"/>
    <x v="13"/>
    <n v="801710"/>
    <n v="715003"/>
    <n v="0"/>
    <n v="30000"/>
    <n v="56707"/>
    <n v="0"/>
    <n v="0"/>
    <n v="0"/>
    <n v="0"/>
    <n v="0"/>
    <n v="0"/>
    <n v="0"/>
    <n v="0"/>
    <x v="0"/>
    <s v="-"/>
    <x v="0"/>
  </r>
  <r>
    <x v="3"/>
    <x v="5"/>
    <x v="5"/>
    <x v="2"/>
    <x v="1"/>
    <x v="1"/>
    <x v="2"/>
    <x v="5"/>
    <s v="C/USN/I/P2/22 60016 6050 WPF/PM"/>
    <x v="14"/>
    <n v="86707"/>
    <n v="0"/>
    <n v="0"/>
    <n v="30000"/>
    <n v="56707"/>
    <n v="0"/>
    <n v="0"/>
    <n v="0"/>
    <n v="0"/>
    <n v="0"/>
    <n v="0"/>
    <n v="0"/>
    <n v="0"/>
    <x v="0"/>
    <s v="-"/>
    <x v="0"/>
  </r>
  <r>
    <x v="3"/>
    <x v="5"/>
    <x v="5"/>
    <x v="2"/>
    <x v="1"/>
    <x v="1"/>
    <x v="3"/>
    <x v="5"/>
    <s v="C/USN/I/P2/22 60016 6050 WPF/UM"/>
    <x v="15"/>
    <n v="715003"/>
    <n v="715003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6"/>
    <x v="6"/>
    <x v="2"/>
    <x v="2"/>
    <x v="1"/>
    <x v="1"/>
    <x v="6"/>
    <s v="C/USN/I/P2/33 60016 6060 WPF, w tym"/>
    <x v="16"/>
    <n v="4227894"/>
    <n v="0"/>
    <n v="0"/>
    <n v="200000"/>
    <n v="4027894"/>
    <n v="0"/>
    <n v="0"/>
    <n v="0"/>
    <n v="0"/>
    <n v="0"/>
    <n v="0"/>
    <n v="0"/>
    <n v="0"/>
    <x v="0"/>
    <s v="-"/>
    <x v="0"/>
  </r>
  <r>
    <x v="1"/>
    <x v="6"/>
    <x v="6"/>
    <x v="2"/>
    <x v="2"/>
    <x v="1"/>
    <x v="2"/>
    <x v="6"/>
    <s v="C/USN/I/P2/33 60016 6060 WPF/PM"/>
    <x v="17"/>
    <n v="4227894"/>
    <n v="0"/>
    <n v="0"/>
    <n v="200000"/>
    <n v="4027894"/>
    <n v="0"/>
    <n v="0"/>
    <n v="0"/>
    <n v="0"/>
    <n v="0"/>
    <n v="0"/>
    <n v="0"/>
    <n v="0"/>
    <x v="0"/>
    <s v="-"/>
    <x v="0"/>
  </r>
  <r>
    <x v="1"/>
    <x v="6"/>
    <x v="6"/>
    <x v="2"/>
    <x v="2"/>
    <x v="1"/>
    <x v="3"/>
    <x v="6"/>
    <s v="C/USN/I/P2/33 60016 6060 WPF/UM"/>
    <x v="18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6"/>
    <x v="6"/>
    <x v="2"/>
    <x v="2"/>
    <x v="1"/>
    <x v="1"/>
    <x v="6"/>
    <s v="C/USN/I/P2/33 60016 6060 WPF, w tym"/>
    <x v="16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6"/>
    <x v="6"/>
    <x v="2"/>
    <x v="2"/>
    <x v="1"/>
    <x v="2"/>
    <x v="6"/>
    <s v="C/USN/I/P2/33 60016 6060 WPF/PM"/>
    <x v="17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6"/>
    <x v="6"/>
    <x v="2"/>
    <x v="2"/>
    <x v="1"/>
    <x v="3"/>
    <x v="6"/>
    <s v="C/USN/I/P2/33 60016 6060 WPF/UM"/>
    <x v="18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6"/>
    <x v="6"/>
    <x v="2"/>
    <x v="2"/>
    <x v="1"/>
    <x v="1"/>
    <x v="6"/>
    <s v="C/USN/I/P2/33 60016 6060 WPF, w tym"/>
    <x v="16"/>
    <n v="4227894"/>
    <n v="0"/>
    <n v="0"/>
    <n v="200000"/>
    <n v="4027894"/>
    <n v="0"/>
    <n v="0"/>
    <n v="0"/>
    <n v="0"/>
    <n v="0"/>
    <n v="0"/>
    <n v="0"/>
    <n v="0"/>
    <x v="0"/>
    <s v="-"/>
    <x v="0"/>
  </r>
  <r>
    <x v="3"/>
    <x v="6"/>
    <x v="6"/>
    <x v="2"/>
    <x v="2"/>
    <x v="1"/>
    <x v="2"/>
    <x v="6"/>
    <s v="C/USN/I/P2/33 60016 6060 WPF/PM"/>
    <x v="17"/>
    <n v="4227894"/>
    <n v="0"/>
    <n v="0"/>
    <n v="200000"/>
    <n v="4027894"/>
    <n v="0"/>
    <n v="0"/>
    <n v="0"/>
    <n v="0"/>
    <n v="0"/>
    <n v="0"/>
    <n v="0"/>
    <n v="0"/>
    <x v="0"/>
    <s v="-"/>
    <x v="0"/>
  </r>
  <r>
    <x v="3"/>
    <x v="6"/>
    <x v="6"/>
    <x v="2"/>
    <x v="2"/>
    <x v="1"/>
    <x v="3"/>
    <x v="6"/>
    <s v="C/USN/I/P2/33 60016 6060 WPF/UM"/>
    <x v="18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7"/>
    <x v="7"/>
    <x v="2"/>
    <x v="2"/>
    <x v="1"/>
    <x v="1"/>
    <x v="7"/>
    <s v="C/USN/I/P2/35 60016 6060 WPF, w tym"/>
    <x v="19"/>
    <n v="315000"/>
    <n v="0"/>
    <n v="0"/>
    <n v="265000"/>
    <n v="50000"/>
    <n v="0"/>
    <n v="0"/>
    <n v="0"/>
    <n v="0"/>
    <n v="0"/>
    <n v="0"/>
    <n v="0"/>
    <n v="0"/>
    <x v="0"/>
    <s v="-"/>
    <x v="0"/>
  </r>
  <r>
    <x v="1"/>
    <x v="7"/>
    <x v="7"/>
    <x v="2"/>
    <x v="2"/>
    <x v="1"/>
    <x v="2"/>
    <x v="7"/>
    <s v="C/USN/I/P2/35 60016 6060 WPF/PM"/>
    <x v="20"/>
    <n v="315000"/>
    <n v="0"/>
    <n v="0"/>
    <n v="265000"/>
    <n v="50000"/>
    <n v="0"/>
    <n v="0"/>
    <n v="0"/>
    <n v="0"/>
    <n v="0"/>
    <n v="0"/>
    <n v="0"/>
    <n v="0"/>
    <x v="0"/>
    <s v="-"/>
    <x v="0"/>
  </r>
  <r>
    <x v="1"/>
    <x v="7"/>
    <x v="7"/>
    <x v="2"/>
    <x v="2"/>
    <x v="1"/>
    <x v="3"/>
    <x v="7"/>
    <s v="C/USN/I/P2/35 60016 6060 WPF/UM"/>
    <x v="21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7"/>
    <x v="7"/>
    <x v="2"/>
    <x v="2"/>
    <x v="1"/>
    <x v="1"/>
    <x v="7"/>
    <s v="C/USN/I/P2/35 60016 6060 WPF, w tym"/>
    <x v="19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7"/>
    <x v="7"/>
    <x v="2"/>
    <x v="2"/>
    <x v="1"/>
    <x v="2"/>
    <x v="7"/>
    <s v="C/USN/I/P2/35 60016 6060 WPF/PM"/>
    <x v="20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7"/>
    <x v="7"/>
    <x v="2"/>
    <x v="2"/>
    <x v="1"/>
    <x v="3"/>
    <x v="7"/>
    <s v="C/USN/I/P2/35 60016 6060 WPF/UM"/>
    <x v="21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7"/>
    <x v="7"/>
    <x v="2"/>
    <x v="2"/>
    <x v="1"/>
    <x v="1"/>
    <x v="7"/>
    <s v="C/USN/I/P2/35 60016 6060 WPF, w tym"/>
    <x v="19"/>
    <n v="315000"/>
    <n v="0"/>
    <n v="0"/>
    <n v="265000"/>
    <n v="50000"/>
    <n v="0"/>
    <n v="0"/>
    <n v="0"/>
    <n v="0"/>
    <n v="0"/>
    <n v="0"/>
    <n v="0"/>
    <n v="0"/>
    <x v="0"/>
    <s v="-"/>
    <x v="0"/>
  </r>
  <r>
    <x v="3"/>
    <x v="7"/>
    <x v="7"/>
    <x v="2"/>
    <x v="2"/>
    <x v="1"/>
    <x v="2"/>
    <x v="7"/>
    <s v="C/USN/I/P2/35 60016 6060 WPF/PM"/>
    <x v="20"/>
    <n v="315000"/>
    <n v="0"/>
    <n v="0"/>
    <n v="265000"/>
    <n v="50000"/>
    <n v="0"/>
    <n v="0"/>
    <n v="0"/>
    <n v="0"/>
    <n v="0"/>
    <n v="0"/>
    <n v="0"/>
    <n v="0"/>
    <x v="0"/>
    <s v="-"/>
    <x v="0"/>
  </r>
  <r>
    <x v="3"/>
    <x v="7"/>
    <x v="7"/>
    <x v="2"/>
    <x v="2"/>
    <x v="1"/>
    <x v="3"/>
    <x v="7"/>
    <s v="C/USN/I/P2/35 60016 6060 WPF/UM"/>
    <x v="21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8"/>
    <x v="8"/>
    <x v="2"/>
    <x v="1"/>
    <x v="1"/>
    <x v="1"/>
    <x v="8"/>
    <s v="C/USN/I/P2/36 60016 6050 WPF, w tym"/>
    <x v="22"/>
    <n v="22222322"/>
    <n v="50381"/>
    <n v="1241453"/>
    <n v="2741188"/>
    <n v="12301215"/>
    <n v="5888085"/>
    <n v="0"/>
    <n v="0"/>
    <n v="0"/>
    <n v="0"/>
    <n v="0"/>
    <n v="0"/>
    <n v="0"/>
    <x v="0"/>
    <s v="-"/>
    <x v="0"/>
  </r>
  <r>
    <x v="1"/>
    <x v="8"/>
    <x v="8"/>
    <x v="2"/>
    <x v="1"/>
    <x v="1"/>
    <x v="2"/>
    <x v="8"/>
    <s v="C/USN/I/P2/36 60016 6050 WPF/PM"/>
    <x v="23"/>
    <n v="19583424"/>
    <n v="0"/>
    <n v="0"/>
    <n v="1416694"/>
    <n v="12278645"/>
    <n v="5888085"/>
    <n v="0"/>
    <n v="0"/>
    <n v="0"/>
    <n v="0"/>
    <n v="0"/>
    <n v="0"/>
    <n v="0"/>
    <x v="0"/>
    <s v="-"/>
    <x v="0"/>
  </r>
  <r>
    <x v="1"/>
    <x v="8"/>
    <x v="8"/>
    <x v="2"/>
    <x v="1"/>
    <x v="1"/>
    <x v="3"/>
    <x v="8"/>
    <s v="C/USN/I/P2/36 60016 6050 WPF/UM"/>
    <x v="24"/>
    <n v="2638898"/>
    <n v="50381"/>
    <n v="1241453"/>
    <n v="1324494"/>
    <n v="2257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8"/>
    <x v="8"/>
    <x v="2"/>
    <x v="1"/>
    <x v="1"/>
    <x v="1"/>
    <x v="8"/>
    <s v="C/USN/I/P2/36 60016 6050 WPF, w tym"/>
    <x v="22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8"/>
    <x v="8"/>
    <x v="2"/>
    <x v="1"/>
    <x v="1"/>
    <x v="2"/>
    <x v="8"/>
    <s v="C/USN/I/P2/36 60016 6050 WPF/PM"/>
    <x v="23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8"/>
    <x v="8"/>
    <x v="2"/>
    <x v="1"/>
    <x v="1"/>
    <x v="3"/>
    <x v="8"/>
    <s v="C/USN/I/P2/36 60016 6050 WPF/UM"/>
    <x v="24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8"/>
    <x v="8"/>
    <x v="2"/>
    <x v="1"/>
    <x v="1"/>
    <x v="1"/>
    <x v="8"/>
    <s v="C/USN/I/P2/36 60016 6050 WPF, w tym"/>
    <x v="22"/>
    <n v="22222322"/>
    <n v="50381"/>
    <n v="1241453"/>
    <n v="2741188"/>
    <n v="12301215"/>
    <n v="5888085"/>
    <n v="0"/>
    <n v="0"/>
    <n v="0"/>
    <n v="0"/>
    <n v="0"/>
    <n v="0"/>
    <n v="0"/>
    <x v="0"/>
    <s v="-"/>
    <x v="0"/>
  </r>
  <r>
    <x v="3"/>
    <x v="8"/>
    <x v="8"/>
    <x v="2"/>
    <x v="1"/>
    <x v="1"/>
    <x v="2"/>
    <x v="8"/>
    <s v="C/USN/I/P2/36 60016 6050 WPF/PM"/>
    <x v="23"/>
    <n v="19583424"/>
    <n v="0"/>
    <n v="0"/>
    <n v="1416694"/>
    <n v="12278645"/>
    <n v="5888085"/>
    <n v="0"/>
    <n v="0"/>
    <n v="0"/>
    <n v="0"/>
    <n v="0"/>
    <n v="0"/>
    <n v="0"/>
    <x v="0"/>
    <s v="-"/>
    <x v="0"/>
  </r>
  <r>
    <x v="3"/>
    <x v="8"/>
    <x v="8"/>
    <x v="2"/>
    <x v="1"/>
    <x v="1"/>
    <x v="3"/>
    <x v="8"/>
    <s v="C/USN/I/P2/36 60016 6050 WPF/UM"/>
    <x v="24"/>
    <n v="2638898"/>
    <n v="50381"/>
    <n v="1241453"/>
    <n v="1324494"/>
    <n v="2257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9"/>
    <x v="9"/>
    <x v="3"/>
    <x v="1"/>
    <x v="1"/>
    <x v="1"/>
    <x v="9"/>
    <s v="C/USN/I/P2/37 60095 6050 WPF, w tym"/>
    <x v="25"/>
    <n v="2910001"/>
    <n v="209124"/>
    <n v="217069"/>
    <n v="1983808"/>
    <n v="500000"/>
    <n v="0"/>
    <n v="0"/>
    <n v="0"/>
    <n v="0"/>
    <n v="0"/>
    <n v="0"/>
    <n v="0"/>
    <n v="0"/>
    <x v="0"/>
    <s v="-"/>
    <x v="0"/>
  </r>
  <r>
    <x v="1"/>
    <x v="9"/>
    <x v="9"/>
    <x v="3"/>
    <x v="1"/>
    <x v="1"/>
    <x v="2"/>
    <x v="9"/>
    <s v="C/USN/I/P2/37 60095 6050 WPF/PM"/>
    <x v="26"/>
    <n v="2467732"/>
    <n v="0"/>
    <n v="0"/>
    <n v="1967732"/>
    <n v="500000"/>
    <n v="0"/>
    <n v="0"/>
    <n v="0"/>
    <n v="0"/>
    <n v="0"/>
    <n v="0"/>
    <n v="0"/>
    <n v="0"/>
    <x v="0"/>
    <s v="-"/>
    <x v="0"/>
  </r>
  <r>
    <x v="1"/>
    <x v="9"/>
    <x v="9"/>
    <x v="3"/>
    <x v="1"/>
    <x v="1"/>
    <x v="3"/>
    <x v="9"/>
    <s v="C/USN/I/P2/37 60095 6050 WPF/UM"/>
    <x v="27"/>
    <n v="442269"/>
    <n v="209124"/>
    <n v="217069"/>
    <n v="16076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9"/>
    <x v="9"/>
    <x v="3"/>
    <x v="1"/>
    <x v="1"/>
    <x v="1"/>
    <x v="9"/>
    <s v="C/USN/I/P2/37 60095 6050 WPF, w tym"/>
    <x v="25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9"/>
    <x v="9"/>
    <x v="3"/>
    <x v="1"/>
    <x v="1"/>
    <x v="2"/>
    <x v="9"/>
    <s v="C/USN/I/P2/37 60095 6050 WPF/PM"/>
    <x v="26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9"/>
    <x v="9"/>
    <x v="3"/>
    <x v="1"/>
    <x v="1"/>
    <x v="3"/>
    <x v="9"/>
    <s v="C/USN/I/P2/37 60095 6050 WPF/UM"/>
    <x v="27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9"/>
    <x v="9"/>
    <x v="3"/>
    <x v="1"/>
    <x v="1"/>
    <x v="1"/>
    <x v="9"/>
    <s v="C/USN/I/P2/37 60095 6050 WPF, w tym"/>
    <x v="25"/>
    <n v="2910001"/>
    <n v="209124"/>
    <n v="217069"/>
    <n v="1983808"/>
    <n v="500000"/>
    <n v="0"/>
    <n v="0"/>
    <n v="0"/>
    <n v="0"/>
    <n v="0"/>
    <n v="0"/>
    <n v="0"/>
    <n v="0"/>
    <x v="0"/>
    <s v="-"/>
    <x v="0"/>
  </r>
  <r>
    <x v="3"/>
    <x v="9"/>
    <x v="9"/>
    <x v="3"/>
    <x v="1"/>
    <x v="1"/>
    <x v="2"/>
    <x v="9"/>
    <s v="C/USN/I/P2/37 60095 6050 WPF/PM"/>
    <x v="26"/>
    <n v="2467732"/>
    <n v="0"/>
    <n v="0"/>
    <n v="1967732"/>
    <n v="500000"/>
    <n v="0"/>
    <n v="0"/>
    <n v="0"/>
    <n v="0"/>
    <n v="0"/>
    <n v="0"/>
    <n v="0"/>
    <n v="0"/>
    <x v="0"/>
    <s v="-"/>
    <x v="0"/>
  </r>
  <r>
    <x v="3"/>
    <x v="9"/>
    <x v="9"/>
    <x v="3"/>
    <x v="1"/>
    <x v="1"/>
    <x v="3"/>
    <x v="9"/>
    <s v="C/USN/I/P2/37 60095 6050 WPF/UM"/>
    <x v="27"/>
    <n v="442269"/>
    <n v="209124"/>
    <n v="217069"/>
    <n v="16076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10"/>
    <x v="10"/>
    <x v="4"/>
    <x v="1"/>
    <x v="2"/>
    <x v="1"/>
    <x v="10"/>
    <s v="C/USN/I/P2/41 90015 6050 WPF, w tym"/>
    <x v="28"/>
    <n v="574000"/>
    <n v="163277"/>
    <n v="367159"/>
    <n v="3564"/>
    <n v="40000"/>
    <n v="0"/>
    <n v="0"/>
    <n v="0"/>
    <n v="0"/>
    <n v="0"/>
    <n v="0"/>
    <n v="0"/>
    <n v="0"/>
    <x v="0"/>
    <s v="-"/>
    <x v="0"/>
  </r>
  <r>
    <x v="1"/>
    <x v="10"/>
    <x v="10"/>
    <x v="4"/>
    <x v="1"/>
    <x v="2"/>
    <x v="2"/>
    <x v="10"/>
    <s v="C/USN/I/P2/41 90015 6050 WPF/PM"/>
    <x v="29"/>
    <n v="43564"/>
    <n v="0"/>
    <n v="0"/>
    <n v="3564"/>
    <n v="40000"/>
    <n v="0"/>
    <n v="0"/>
    <n v="0"/>
    <n v="0"/>
    <n v="0"/>
    <n v="0"/>
    <n v="0"/>
    <n v="0"/>
    <x v="0"/>
    <s v="-"/>
    <x v="0"/>
  </r>
  <r>
    <x v="1"/>
    <x v="10"/>
    <x v="10"/>
    <x v="4"/>
    <x v="1"/>
    <x v="2"/>
    <x v="3"/>
    <x v="10"/>
    <s v="C/USN/I/P2/41 90015 6050 WPF/UM"/>
    <x v="30"/>
    <n v="530436"/>
    <n v="163277"/>
    <n v="367159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10"/>
    <x v="10"/>
    <x v="4"/>
    <x v="1"/>
    <x v="2"/>
    <x v="1"/>
    <x v="10"/>
    <s v="C/USN/I/P2/41 90015 6050 WPF, w tym"/>
    <x v="28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0"/>
    <x v="10"/>
    <x v="4"/>
    <x v="1"/>
    <x v="2"/>
    <x v="2"/>
    <x v="10"/>
    <s v="C/USN/I/P2/41 90015 6050 WPF/PM"/>
    <x v="29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0"/>
    <x v="10"/>
    <x v="4"/>
    <x v="1"/>
    <x v="2"/>
    <x v="3"/>
    <x v="10"/>
    <s v="C/USN/I/P2/41 90015 6050 WPF/UM"/>
    <x v="30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10"/>
    <x v="10"/>
    <x v="4"/>
    <x v="1"/>
    <x v="2"/>
    <x v="1"/>
    <x v="10"/>
    <s v="C/USN/I/P2/41 90015 6050 WPF, w tym"/>
    <x v="28"/>
    <n v="574000"/>
    <n v="163277"/>
    <n v="367159"/>
    <n v="3564"/>
    <n v="40000"/>
    <n v="0"/>
    <n v="0"/>
    <n v="0"/>
    <n v="0"/>
    <n v="0"/>
    <n v="0"/>
    <n v="0"/>
    <n v="0"/>
    <x v="0"/>
    <s v="-"/>
    <x v="0"/>
  </r>
  <r>
    <x v="3"/>
    <x v="10"/>
    <x v="10"/>
    <x v="4"/>
    <x v="1"/>
    <x v="2"/>
    <x v="2"/>
    <x v="10"/>
    <s v="C/USN/I/P2/41 90015 6050 WPF/PM"/>
    <x v="29"/>
    <n v="43564"/>
    <n v="0"/>
    <n v="0"/>
    <n v="3564"/>
    <n v="40000"/>
    <n v="0"/>
    <n v="0"/>
    <n v="0"/>
    <n v="0"/>
    <n v="0"/>
    <n v="0"/>
    <n v="0"/>
    <n v="0"/>
    <x v="0"/>
    <s v="-"/>
    <x v="0"/>
  </r>
  <r>
    <x v="3"/>
    <x v="10"/>
    <x v="10"/>
    <x v="4"/>
    <x v="1"/>
    <x v="2"/>
    <x v="3"/>
    <x v="10"/>
    <s v="C/USN/I/P2/41 90015 6050 WPF/UM"/>
    <x v="30"/>
    <n v="530436"/>
    <n v="163277"/>
    <n v="367159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11"/>
    <x v="11"/>
    <x v="2"/>
    <x v="1"/>
    <x v="1"/>
    <x v="1"/>
    <x v="11"/>
    <s v="C/USN/I/P2/43 60016 6050 WPF, w tym"/>
    <x v="31"/>
    <n v="1134794"/>
    <n v="590027"/>
    <n v="329081"/>
    <n v="215686"/>
    <n v="0"/>
    <n v="0"/>
    <n v="0"/>
    <n v="0"/>
    <n v="0"/>
    <n v="0"/>
    <n v="0"/>
    <n v="0"/>
    <n v="0"/>
    <x v="0"/>
    <s v="-"/>
    <x v="0"/>
  </r>
  <r>
    <x v="1"/>
    <x v="11"/>
    <x v="11"/>
    <x v="2"/>
    <x v="1"/>
    <x v="1"/>
    <x v="2"/>
    <x v="11"/>
    <s v="C/USN/I/P2/43 60016 6050 WPF/PM"/>
    <x v="32"/>
    <n v="215686"/>
    <n v="0"/>
    <n v="0"/>
    <n v="215686"/>
    <n v="0"/>
    <n v="0"/>
    <n v="0"/>
    <n v="0"/>
    <n v="0"/>
    <n v="0"/>
    <n v="0"/>
    <n v="0"/>
    <n v="0"/>
    <x v="0"/>
    <s v="-"/>
    <x v="0"/>
  </r>
  <r>
    <x v="1"/>
    <x v="11"/>
    <x v="11"/>
    <x v="2"/>
    <x v="1"/>
    <x v="1"/>
    <x v="3"/>
    <x v="11"/>
    <s v="C/USN/I/P2/43 60016 6050 WPF/UM"/>
    <x v="33"/>
    <n v="919108"/>
    <n v="590027"/>
    <n v="329081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11"/>
    <x v="11"/>
    <x v="2"/>
    <x v="1"/>
    <x v="1"/>
    <x v="1"/>
    <x v="11"/>
    <s v="C/USN/I/P2/43 60016 6050 WPF, w tym"/>
    <x v="31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1"/>
    <x v="11"/>
    <x v="2"/>
    <x v="1"/>
    <x v="1"/>
    <x v="2"/>
    <x v="11"/>
    <s v="C/USN/I/P2/43 60016 6050 WPF/PM"/>
    <x v="32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1"/>
    <x v="11"/>
    <x v="2"/>
    <x v="1"/>
    <x v="1"/>
    <x v="3"/>
    <x v="11"/>
    <s v="C/USN/I/P2/43 60016 6050 WPF/UM"/>
    <x v="33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11"/>
    <x v="11"/>
    <x v="2"/>
    <x v="1"/>
    <x v="1"/>
    <x v="1"/>
    <x v="11"/>
    <s v="C/USN/I/P2/43 60016 6050 WPF, w tym"/>
    <x v="31"/>
    <n v="1134794"/>
    <n v="590027"/>
    <n v="329081"/>
    <n v="215686"/>
    <n v="0"/>
    <n v="0"/>
    <n v="0"/>
    <n v="0"/>
    <n v="0"/>
    <n v="0"/>
    <n v="0"/>
    <n v="0"/>
    <n v="0"/>
    <x v="0"/>
    <s v="-"/>
    <x v="0"/>
  </r>
  <r>
    <x v="3"/>
    <x v="11"/>
    <x v="11"/>
    <x v="2"/>
    <x v="1"/>
    <x v="1"/>
    <x v="2"/>
    <x v="11"/>
    <s v="C/USN/I/P2/43 60016 6050 WPF/PM"/>
    <x v="32"/>
    <n v="215686"/>
    <n v="0"/>
    <n v="0"/>
    <n v="215686"/>
    <n v="0"/>
    <n v="0"/>
    <n v="0"/>
    <n v="0"/>
    <n v="0"/>
    <n v="0"/>
    <n v="0"/>
    <n v="0"/>
    <n v="0"/>
    <x v="0"/>
    <s v="-"/>
    <x v="0"/>
  </r>
  <r>
    <x v="3"/>
    <x v="11"/>
    <x v="11"/>
    <x v="2"/>
    <x v="1"/>
    <x v="1"/>
    <x v="3"/>
    <x v="11"/>
    <s v="C/USN/I/P2/43 60016 6050 WPF/UM"/>
    <x v="33"/>
    <n v="919108"/>
    <n v="590027"/>
    <n v="329081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12"/>
    <x v="12"/>
    <x v="2"/>
    <x v="2"/>
    <x v="1"/>
    <x v="1"/>
    <x v="12"/>
    <s v="C/USN/I/P2/44 60016 6060 WPF, w tym"/>
    <x v="34"/>
    <n v="2418263"/>
    <n v="0"/>
    <n v="0"/>
    <n v="40000"/>
    <n v="2378263"/>
    <n v="0"/>
    <n v="0"/>
    <n v="0"/>
    <n v="0"/>
    <n v="0"/>
    <n v="0"/>
    <n v="0"/>
    <n v="0"/>
    <x v="0"/>
    <s v="-"/>
    <x v="0"/>
  </r>
  <r>
    <x v="1"/>
    <x v="12"/>
    <x v="12"/>
    <x v="2"/>
    <x v="2"/>
    <x v="1"/>
    <x v="2"/>
    <x v="12"/>
    <s v="C/USN/I/P2/44 60016 6060 WPF/PM"/>
    <x v="35"/>
    <n v="2418263"/>
    <n v="0"/>
    <n v="0"/>
    <n v="40000"/>
    <n v="2378263"/>
    <n v="0"/>
    <n v="0"/>
    <n v="0"/>
    <n v="0"/>
    <n v="0"/>
    <n v="0"/>
    <n v="0"/>
    <n v="0"/>
    <x v="0"/>
    <s v="-"/>
    <x v="0"/>
  </r>
  <r>
    <x v="1"/>
    <x v="12"/>
    <x v="12"/>
    <x v="2"/>
    <x v="2"/>
    <x v="1"/>
    <x v="3"/>
    <x v="12"/>
    <s v="C/USN/I/P2/44 60016 6060 WPF/UM"/>
    <x v="36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12"/>
    <x v="12"/>
    <x v="2"/>
    <x v="2"/>
    <x v="1"/>
    <x v="1"/>
    <x v="12"/>
    <s v="C/USN/I/P2/44 60016 6060 WPF, w tym"/>
    <x v="34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2"/>
    <x v="12"/>
    <x v="2"/>
    <x v="2"/>
    <x v="1"/>
    <x v="2"/>
    <x v="12"/>
    <s v="C/USN/I/P2/44 60016 6060 WPF/PM"/>
    <x v="35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2"/>
    <x v="12"/>
    <x v="2"/>
    <x v="2"/>
    <x v="1"/>
    <x v="3"/>
    <x v="12"/>
    <s v="C/USN/I/P2/44 60016 6060 WPF/UM"/>
    <x v="36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12"/>
    <x v="12"/>
    <x v="2"/>
    <x v="2"/>
    <x v="1"/>
    <x v="1"/>
    <x v="12"/>
    <s v="C/USN/I/P2/44 60016 6060 WPF, w tym"/>
    <x v="34"/>
    <n v="2418263"/>
    <n v="0"/>
    <n v="0"/>
    <n v="40000"/>
    <n v="2378263"/>
    <n v="0"/>
    <n v="0"/>
    <n v="0"/>
    <n v="0"/>
    <n v="0"/>
    <n v="0"/>
    <n v="0"/>
    <n v="0"/>
    <x v="0"/>
    <s v="-"/>
    <x v="0"/>
  </r>
  <r>
    <x v="3"/>
    <x v="12"/>
    <x v="12"/>
    <x v="2"/>
    <x v="2"/>
    <x v="1"/>
    <x v="2"/>
    <x v="12"/>
    <s v="C/USN/I/P2/44 60016 6060 WPF/PM"/>
    <x v="35"/>
    <n v="2418263"/>
    <n v="0"/>
    <n v="0"/>
    <n v="40000"/>
    <n v="2378263"/>
    <n v="0"/>
    <n v="0"/>
    <n v="0"/>
    <n v="0"/>
    <n v="0"/>
    <n v="0"/>
    <n v="0"/>
    <n v="0"/>
    <x v="0"/>
    <s v="-"/>
    <x v="0"/>
  </r>
  <r>
    <x v="3"/>
    <x v="12"/>
    <x v="12"/>
    <x v="2"/>
    <x v="2"/>
    <x v="1"/>
    <x v="3"/>
    <x v="12"/>
    <s v="C/USN/I/P2/44 60016 6060 WPF/UM"/>
    <x v="36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13"/>
    <x v="13"/>
    <x v="3"/>
    <x v="1"/>
    <x v="3"/>
    <x v="1"/>
    <x v="13"/>
    <s v="C/USN/I/P2/45 60095 6050 WPF, w tym"/>
    <x v="37"/>
    <n v="190000"/>
    <n v="0"/>
    <n v="0"/>
    <n v="90000"/>
    <n v="100000"/>
    <n v="0"/>
    <n v="0"/>
    <n v="0"/>
    <n v="0"/>
    <n v="0"/>
    <n v="0"/>
    <n v="0"/>
    <n v="0"/>
    <x v="0"/>
    <s v="-"/>
    <x v="0"/>
  </r>
  <r>
    <x v="1"/>
    <x v="13"/>
    <x v="13"/>
    <x v="3"/>
    <x v="1"/>
    <x v="3"/>
    <x v="2"/>
    <x v="13"/>
    <s v="C/USN/I/P2/45 60095 6050 WPF/PM"/>
    <x v="38"/>
    <n v="190000"/>
    <n v="0"/>
    <n v="0"/>
    <n v="90000"/>
    <n v="100000"/>
    <n v="0"/>
    <n v="0"/>
    <n v="0"/>
    <n v="0"/>
    <n v="0"/>
    <n v="0"/>
    <n v="0"/>
    <n v="0"/>
    <x v="0"/>
    <s v="-"/>
    <x v="0"/>
  </r>
  <r>
    <x v="1"/>
    <x v="13"/>
    <x v="13"/>
    <x v="3"/>
    <x v="1"/>
    <x v="3"/>
    <x v="3"/>
    <x v="13"/>
    <s v="C/USN/I/P2/45 60095 6050 WPF/UM"/>
    <x v="39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13"/>
    <x v="13"/>
    <x v="3"/>
    <x v="1"/>
    <x v="3"/>
    <x v="1"/>
    <x v="13"/>
    <s v="C/USN/I/P2/45 60095 6050 WPF, w tym"/>
    <x v="37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3"/>
    <x v="13"/>
    <x v="3"/>
    <x v="1"/>
    <x v="3"/>
    <x v="2"/>
    <x v="13"/>
    <s v="C/USN/I/P2/45 60095 6050 WPF/PM"/>
    <x v="38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3"/>
    <x v="13"/>
    <x v="3"/>
    <x v="1"/>
    <x v="3"/>
    <x v="3"/>
    <x v="13"/>
    <s v="C/USN/I/P2/45 60095 6050 WPF/UM"/>
    <x v="39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13"/>
    <x v="13"/>
    <x v="3"/>
    <x v="1"/>
    <x v="3"/>
    <x v="1"/>
    <x v="13"/>
    <s v="C/USN/I/P2/45 60095 6050 WPF, w tym"/>
    <x v="37"/>
    <n v="190000"/>
    <n v="0"/>
    <n v="0"/>
    <n v="90000"/>
    <n v="100000"/>
    <n v="0"/>
    <n v="0"/>
    <n v="0"/>
    <n v="0"/>
    <n v="0"/>
    <n v="0"/>
    <n v="0"/>
    <n v="0"/>
    <x v="0"/>
    <s v="-"/>
    <x v="0"/>
  </r>
  <r>
    <x v="3"/>
    <x v="13"/>
    <x v="13"/>
    <x v="3"/>
    <x v="1"/>
    <x v="3"/>
    <x v="2"/>
    <x v="13"/>
    <s v="C/USN/I/P2/45 60095 6050 WPF/PM"/>
    <x v="38"/>
    <n v="190000"/>
    <n v="0"/>
    <n v="0"/>
    <n v="90000"/>
    <n v="100000"/>
    <n v="0"/>
    <n v="0"/>
    <n v="0"/>
    <n v="0"/>
    <n v="0"/>
    <n v="0"/>
    <n v="0"/>
    <n v="0"/>
    <x v="0"/>
    <s v="-"/>
    <x v="0"/>
  </r>
  <r>
    <x v="3"/>
    <x v="13"/>
    <x v="13"/>
    <x v="3"/>
    <x v="1"/>
    <x v="3"/>
    <x v="3"/>
    <x v="13"/>
    <s v="C/USN/I/P2/45 60095 6050 WPF/UM"/>
    <x v="39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14"/>
    <x v="14"/>
    <x v="5"/>
    <x v="1"/>
    <x v="1"/>
    <x v="1"/>
    <x v="14"/>
    <s v="C/USN/II/P5/4 71095 6050 WPF, w tym"/>
    <x v="40"/>
    <n v="2650000"/>
    <n v="13653"/>
    <n v="8303"/>
    <n v="628044"/>
    <n v="2000000"/>
    <n v="0"/>
    <n v="0"/>
    <n v="0"/>
    <n v="0"/>
    <n v="0"/>
    <n v="0"/>
    <n v="0"/>
    <n v="0"/>
    <x v="0"/>
    <s v="-"/>
    <x v="0"/>
  </r>
  <r>
    <x v="1"/>
    <x v="14"/>
    <x v="14"/>
    <x v="5"/>
    <x v="1"/>
    <x v="1"/>
    <x v="2"/>
    <x v="14"/>
    <s v="C/USN/II/P5/4 71095 6050 WPF/PM"/>
    <x v="41"/>
    <n v="2628044"/>
    <n v="0"/>
    <n v="0"/>
    <n v="628044"/>
    <n v="2000000"/>
    <n v="0"/>
    <n v="0"/>
    <n v="0"/>
    <n v="0"/>
    <n v="0"/>
    <n v="0"/>
    <n v="0"/>
    <n v="0"/>
    <x v="0"/>
    <s v="-"/>
    <x v="0"/>
  </r>
  <r>
    <x v="1"/>
    <x v="14"/>
    <x v="14"/>
    <x v="5"/>
    <x v="1"/>
    <x v="1"/>
    <x v="3"/>
    <x v="14"/>
    <s v="C/USN/II/P5/4 71095 6050 WPF/UM"/>
    <x v="42"/>
    <n v="21956"/>
    <n v="13653"/>
    <n v="8303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14"/>
    <x v="14"/>
    <x v="5"/>
    <x v="1"/>
    <x v="1"/>
    <x v="1"/>
    <x v="14"/>
    <s v="C/USN/II/P5/4 71095 6050 WPF, w tym"/>
    <x v="40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4"/>
    <x v="14"/>
    <x v="5"/>
    <x v="1"/>
    <x v="1"/>
    <x v="2"/>
    <x v="14"/>
    <s v="C/USN/II/P5/4 71095 6050 WPF/PM"/>
    <x v="41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4"/>
    <x v="14"/>
    <x v="5"/>
    <x v="1"/>
    <x v="1"/>
    <x v="3"/>
    <x v="14"/>
    <s v="C/USN/II/P5/4 71095 6050 WPF/UM"/>
    <x v="42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14"/>
    <x v="14"/>
    <x v="5"/>
    <x v="1"/>
    <x v="1"/>
    <x v="1"/>
    <x v="14"/>
    <s v="C/USN/II/P5/4 71095 6050 WPF, w tym"/>
    <x v="40"/>
    <n v="2650000"/>
    <n v="13653"/>
    <n v="8303"/>
    <n v="628044"/>
    <n v="2000000"/>
    <n v="0"/>
    <n v="0"/>
    <n v="0"/>
    <n v="0"/>
    <n v="0"/>
    <n v="0"/>
    <n v="0"/>
    <n v="0"/>
    <x v="0"/>
    <s v="-"/>
    <x v="0"/>
  </r>
  <r>
    <x v="3"/>
    <x v="14"/>
    <x v="14"/>
    <x v="5"/>
    <x v="1"/>
    <x v="1"/>
    <x v="2"/>
    <x v="14"/>
    <s v="C/USN/II/P5/4 71095 6050 WPF/PM"/>
    <x v="41"/>
    <n v="2628044"/>
    <n v="0"/>
    <n v="0"/>
    <n v="628044"/>
    <n v="2000000"/>
    <n v="0"/>
    <n v="0"/>
    <n v="0"/>
    <n v="0"/>
    <n v="0"/>
    <n v="0"/>
    <n v="0"/>
    <n v="0"/>
    <x v="0"/>
    <s v="-"/>
    <x v="0"/>
  </r>
  <r>
    <x v="3"/>
    <x v="14"/>
    <x v="14"/>
    <x v="5"/>
    <x v="1"/>
    <x v="1"/>
    <x v="3"/>
    <x v="14"/>
    <s v="C/USN/II/P5/4 71095 6050 WPF/UM"/>
    <x v="42"/>
    <n v="21956"/>
    <n v="13653"/>
    <n v="8303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15"/>
    <x v="15"/>
    <x v="6"/>
    <x v="1"/>
    <x v="1"/>
    <x v="1"/>
    <x v="15"/>
    <s v="C/USN/III/3/7 90001 6050 WPF, w tym"/>
    <x v="43"/>
    <n v="9753881"/>
    <n v="5926558"/>
    <n v="194728"/>
    <n v="2455188"/>
    <n v="1177407"/>
    <n v="0"/>
    <n v="0"/>
    <n v="0"/>
    <n v="0"/>
    <n v="0"/>
    <n v="0"/>
    <n v="0"/>
    <n v="0"/>
    <x v="0"/>
    <s v="-"/>
    <x v="0"/>
  </r>
  <r>
    <x v="1"/>
    <x v="15"/>
    <x v="15"/>
    <x v="6"/>
    <x v="1"/>
    <x v="1"/>
    <x v="2"/>
    <x v="15"/>
    <s v="C/USN/III/3/7 90001 6050 WPF/PM"/>
    <x v="44"/>
    <n v="3591812"/>
    <n v="0"/>
    <n v="0"/>
    <n v="2414405"/>
    <n v="1177407"/>
    <n v="0"/>
    <n v="0"/>
    <n v="0"/>
    <n v="0"/>
    <n v="0"/>
    <n v="0"/>
    <n v="0"/>
    <n v="0"/>
    <x v="0"/>
    <s v="-"/>
    <x v="0"/>
  </r>
  <r>
    <x v="1"/>
    <x v="15"/>
    <x v="15"/>
    <x v="6"/>
    <x v="1"/>
    <x v="1"/>
    <x v="3"/>
    <x v="15"/>
    <s v="C/USN/III/3/7 90001 6050 WPF/UM"/>
    <x v="45"/>
    <n v="6162069"/>
    <n v="5926558"/>
    <n v="194728"/>
    <n v="40783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15"/>
    <x v="15"/>
    <x v="6"/>
    <x v="1"/>
    <x v="1"/>
    <x v="1"/>
    <x v="15"/>
    <s v="C/USN/III/3/7 90001 6050 WPF, w tym"/>
    <x v="43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5"/>
    <x v="15"/>
    <x v="6"/>
    <x v="1"/>
    <x v="1"/>
    <x v="2"/>
    <x v="15"/>
    <s v="C/USN/III/3/7 90001 6050 WPF/PM"/>
    <x v="44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5"/>
    <x v="15"/>
    <x v="6"/>
    <x v="1"/>
    <x v="1"/>
    <x v="3"/>
    <x v="15"/>
    <s v="C/USN/III/3/7 90001 6050 WPF/UM"/>
    <x v="45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15"/>
    <x v="15"/>
    <x v="6"/>
    <x v="1"/>
    <x v="1"/>
    <x v="1"/>
    <x v="15"/>
    <s v="C/USN/III/3/7 90001 6050 WPF, w tym"/>
    <x v="43"/>
    <n v="9753881"/>
    <n v="5926558"/>
    <n v="194728"/>
    <n v="2455188"/>
    <n v="1177407"/>
    <n v="0"/>
    <n v="0"/>
    <n v="0"/>
    <n v="0"/>
    <n v="0"/>
    <n v="0"/>
    <n v="0"/>
    <n v="0"/>
    <x v="0"/>
    <s v="-"/>
    <x v="0"/>
  </r>
  <r>
    <x v="3"/>
    <x v="15"/>
    <x v="15"/>
    <x v="6"/>
    <x v="1"/>
    <x v="1"/>
    <x v="2"/>
    <x v="15"/>
    <s v="C/USN/III/3/7 90001 6050 WPF/PM"/>
    <x v="44"/>
    <n v="3591812"/>
    <n v="0"/>
    <n v="0"/>
    <n v="2414405"/>
    <n v="1177407"/>
    <n v="0"/>
    <n v="0"/>
    <n v="0"/>
    <n v="0"/>
    <n v="0"/>
    <n v="0"/>
    <n v="0"/>
    <n v="0"/>
    <x v="0"/>
    <s v="-"/>
    <x v="0"/>
  </r>
  <r>
    <x v="3"/>
    <x v="15"/>
    <x v="15"/>
    <x v="6"/>
    <x v="1"/>
    <x v="1"/>
    <x v="3"/>
    <x v="15"/>
    <s v="C/USN/III/3/7 90001 6050 WPF/UM"/>
    <x v="45"/>
    <n v="6162069"/>
    <n v="5926558"/>
    <n v="194728"/>
    <n v="40783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16"/>
    <x v="16"/>
    <x v="7"/>
    <x v="1"/>
    <x v="1"/>
    <x v="1"/>
    <x v="16"/>
    <s v="C/USN/III/P3/38 90004 6050 WPF, w tym"/>
    <x v="46"/>
    <n v="1703746"/>
    <n v="313878"/>
    <n v="17142"/>
    <n v="211895"/>
    <n v="1160831"/>
    <n v="0"/>
    <n v="0"/>
    <n v="0"/>
    <n v="0"/>
    <n v="0"/>
    <n v="0"/>
    <n v="0"/>
    <n v="0"/>
    <x v="0"/>
    <s v="-"/>
    <x v="0"/>
  </r>
  <r>
    <x v="1"/>
    <x v="16"/>
    <x v="16"/>
    <x v="7"/>
    <x v="1"/>
    <x v="1"/>
    <x v="2"/>
    <x v="16"/>
    <s v="C/USN/III/P3/38 90004 6050 WPF/PM"/>
    <x v="47"/>
    <n v="1255224"/>
    <n v="0"/>
    <n v="0"/>
    <n v="94393"/>
    <n v="1160831"/>
    <n v="0"/>
    <n v="0"/>
    <n v="0"/>
    <n v="0"/>
    <n v="0"/>
    <n v="0"/>
    <n v="0"/>
    <n v="0"/>
    <x v="0"/>
    <s v="-"/>
    <x v="0"/>
  </r>
  <r>
    <x v="1"/>
    <x v="16"/>
    <x v="16"/>
    <x v="7"/>
    <x v="1"/>
    <x v="1"/>
    <x v="3"/>
    <x v="16"/>
    <s v="C/USN/III/P3/38 90004 6050 WPF/UM"/>
    <x v="48"/>
    <n v="448522"/>
    <n v="313878"/>
    <n v="17142"/>
    <n v="117502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16"/>
    <x v="16"/>
    <x v="7"/>
    <x v="1"/>
    <x v="1"/>
    <x v="1"/>
    <x v="16"/>
    <s v="C/USN/III/P3/38 90004 6050 WPF, w tym"/>
    <x v="46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6"/>
    <x v="16"/>
    <x v="7"/>
    <x v="1"/>
    <x v="1"/>
    <x v="2"/>
    <x v="16"/>
    <s v="C/USN/III/P3/38 90004 6050 WPF/PM"/>
    <x v="47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6"/>
    <x v="16"/>
    <x v="7"/>
    <x v="1"/>
    <x v="1"/>
    <x v="3"/>
    <x v="16"/>
    <s v="C/USN/III/P3/38 90004 6050 WPF/UM"/>
    <x v="48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16"/>
    <x v="16"/>
    <x v="7"/>
    <x v="1"/>
    <x v="1"/>
    <x v="1"/>
    <x v="16"/>
    <s v="C/USN/III/P3/38 90004 6050 WPF, w tym"/>
    <x v="46"/>
    <n v="1703746"/>
    <n v="313878"/>
    <n v="17142"/>
    <n v="211895"/>
    <n v="1160831"/>
    <n v="0"/>
    <n v="0"/>
    <n v="0"/>
    <n v="0"/>
    <n v="0"/>
    <n v="0"/>
    <n v="0"/>
    <n v="0"/>
    <x v="0"/>
    <s v="-"/>
    <x v="0"/>
  </r>
  <r>
    <x v="3"/>
    <x v="16"/>
    <x v="16"/>
    <x v="7"/>
    <x v="1"/>
    <x v="1"/>
    <x v="2"/>
    <x v="16"/>
    <s v="C/USN/III/P3/38 90004 6050 WPF/PM"/>
    <x v="47"/>
    <n v="1255224"/>
    <n v="0"/>
    <n v="0"/>
    <n v="94393"/>
    <n v="1160831"/>
    <n v="0"/>
    <n v="0"/>
    <n v="0"/>
    <n v="0"/>
    <n v="0"/>
    <n v="0"/>
    <n v="0"/>
    <n v="0"/>
    <x v="0"/>
    <s v="-"/>
    <x v="0"/>
  </r>
  <r>
    <x v="3"/>
    <x v="16"/>
    <x v="16"/>
    <x v="7"/>
    <x v="1"/>
    <x v="1"/>
    <x v="3"/>
    <x v="16"/>
    <s v="C/USN/III/P3/38 90004 6050 WPF/UM"/>
    <x v="48"/>
    <n v="448522"/>
    <n v="313878"/>
    <n v="17142"/>
    <n v="117502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16"/>
    <x v="16"/>
    <x v="7"/>
    <x v="1"/>
    <x v="4"/>
    <x v="1"/>
    <x v="17"/>
    <s v="C/USN/III/P3/38 90004 6050 WPF, w tym"/>
    <x v="49"/>
    <n v="441127"/>
    <n v="118127"/>
    <n v="0"/>
    <n v="81000"/>
    <n v="242000"/>
    <n v="0"/>
    <n v="0"/>
    <n v="0"/>
    <n v="0"/>
    <n v="0"/>
    <n v="0"/>
    <n v="0"/>
    <n v="0"/>
    <x v="0"/>
    <s v="-"/>
    <x v="0"/>
  </r>
  <r>
    <x v="1"/>
    <x v="16"/>
    <x v="16"/>
    <x v="7"/>
    <x v="1"/>
    <x v="4"/>
    <x v="2"/>
    <x v="17"/>
    <s v="C/USN/III/P3/38 90004 6050 WPF/PM"/>
    <x v="50"/>
    <n v="323000"/>
    <n v="0"/>
    <n v="0"/>
    <n v="81000"/>
    <n v="242000"/>
    <n v="0"/>
    <n v="0"/>
    <n v="0"/>
    <n v="0"/>
    <n v="0"/>
    <n v="0"/>
    <n v="0"/>
    <n v="0"/>
    <x v="0"/>
    <s v="-"/>
    <x v="0"/>
  </r>
  <r>
    <x v="1"/>
    <x v="16"/>
    <x v="16"/>
    <x v="7"/>
    <x v="1"/>
    <x v="4"/>
    <x v="3"/>
    <x v="17"/>
    <s v="C/USN/III/P3/38 90004 6050 WPF/UM"/>
    <x v="51"/>
    <n v="118127"/>
    <n v="118127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16"/>
    <x v="16"/>
    <x v="7"/>
    <x v="1"/>
    <x v="4"/>
    <x v="1"/>
    <x v="17"/>
    <s v="C/USN/III/P3/38 90004 6050 WPF, w tym"/>
    <x v="49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6"/>
    <x v="16"/>
    <x v="7"/>
    <x v="1"/>
    <x v="4"/>
    <x v="2"/>
    <x v="17"/>
    <s v="C/USN/III/P3/38 90004 6050 WPF/PM"/>
    <x v="50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6"/>
    <x v="16"/>
    <x v="7"/>
    <x v="1"/>
    <x v="4"/>
    <x v="3"/>
    <x v="17"/>
    <s v="C/USN/III/P3/38 90004 6050 WPF/UM"/>
    <x v="51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16"/>
    <x v="16"/>
    <x v="7"/>
    <x v="1"/>
    <x v="4"/>
    <x v="1"/>
    <x v="17"/>
    <s v="C/USN/III/P3/38 90004 6050 WPF, w tym"/>
    <x v="49"/>
    <n v="441127"/>
    <n v="118127"/>
    <n v="0"/>
    <n v="81000"/>
    <n v="242000"/>
    <n v="0"/>
    <n v="0"/>
    <n v="0"/>
    <n v="0"/>
    <n v="0"/>
    <n v="0"/>
    <n v="0"/>
    <n v="0"/>
    <x v="0"/>
    <s v="-"/>
    <x v="0"/>
  </r>
  <r>
    <x v="3"/>
    <x v="16"/>
    <x v="16"/>
    <x v="7"/>
    <x v="1"/>
    <x v="4"/>
    <x v="2"/>
    <x v="17"/>
    <s v="C/USN/III/P3/38 90004 6050 WPF/PM"/>
    <x v="50"/>
    <n v="323000"/>
    <n v="0"/>
    <n v="0"/>
    <n v="81000"/>
    <n v="242000"/>
    <n v="0"/>
    <n v="0"/>
    <n v="0"/>
    <n v="0"/>
    <n v="0"/>
    <n v="0"/>
    <n v="0"/>
    <n v="0"/>
    <x v="0"/>
    <s v="-"/>
    <x v="0"/>
  </r>
  <r>
    <x v="3"/>
    <x v="16"/>
    <x v="16"/>
    <x v="7"/>
    <x v="1"/>
    <x v="4"/>
    <x v="3"/>
    <x v="17"/>
    <s v="C/USN/III/P3/38 90004 6050 WPF/UM"/>
    <x v="51"/>
    <n v="118127"/>
    <n v="118127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17"/>
    <x v="17"/>
    <x v="7"/>
    <x v="1"/>
    <x v="1"/>
    <x v="1"/>
    <x v="18"/>
    <s v="C/USN/III/P3/39 90004 6050 WPF, w tym"/>
    <x v="52"/>
    <n v="4525501"/>
    <n v="419444"/>
    <n v="3161386"/>
    <n v="480000"/>
    <n v="464671"/>
    <n v="0"/>
    <n v="0"/>
    <n v="0"/>
    <n v="0"/>
    <n v="0"/>
    <n v="0"/>
    <n v="0"/>
    <n v="0"/>
    <x v="0"/>
    <s v="-"/>
    <x v="0"/>
  </r>
  <r>
    <x v="1"/>
    <x v="17"/>
    <x v="17"/>
    <x v="7"/>
    <x v="1"/>
    <x v="1"/>
    <x v="2"/>
    <x v="18"/>
    <s v="C/USN/III/P3/39 90004 6050 WPF/PM"/>
    <x v="53"/>
    <n v="944671"/>
    <n v="0"/>
    <n v="0"/>
    <n v="480000"/>
    <n v="464671"/>
    <n v="0"/>
    <n v="0"/>
    <n v="0"/>
    <n v="0"/>
    <n v="0"/>
    <n v="0"/>
    <n v="0"/>
    <n v="0"/>
    <x v="0"/>
    <s v="-"/>
    <x v="0"/>
  </r>
  <r>
    <x v="1"/>
    <x v="17"/>
    <x v="17"/>
    <x v="7"/>
    <x v="1"/>
    <x v="1"/>
    <x v="3"/>
    <x v="18"/>
    <s v="C/USN/III/P3/39 90004 6050 WPF/UM"/>
    <x v="54"/>
    <n v="3580830"/>
    <n v="419444"/>
    <n v="3161386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17"/>
    <x v="17"/>
    <x v="7"/>
    <x v="1"/>
    <x v="1"/>
    <x v="1"/>
    <x v="18"/>
    <s v="C/USN/III/P3/39 90004 6050 WPF, w tym"/>
    <x v="52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7"/>
    <x v="17"/>
    <x v="7"/>
    <x v="1"/>
    <x v="1"/>
    <x v="2"/>
    <x v="18"/>
    <s v="C/USN/III/P3/39 90004 6050 WPF/PM"/>
    <x v="53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7"/>
    <x v="17"/>
    <x v="7"/>
    <x v="1"/>
    <x v="1"/>
    <x v="3"/>
    <x v="18"/>
    <s v="C/USN/III/P3/39 90004 6050 WPF/UM"/>
    <x v="54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17"/>
    <x v="17"/>
    <x v="7"/>
    <x v="1"/>
    <x v="1"/>
    <x v="1"/>
    <x v="18"/>
    <s v="C/USN/III/P3/39 90004 6050 WPF, w tym"/>
    <x v="52"/>
    <n v="4525501"/>
    <n v="419444"/>
    <n v="3161386"/>
    <n v="480000"/>
    <n v="464671"/>
    <n v="0"/>
    <n v="0"/>
    <n v="0"/>
    <n v="0"/>
    <n v="0"/>
    <n v="0"/>
    <n v="0"/>
    <n v="0"/>
    <x v="0"/>
    <s v="-"/>
    <x v="0"/>
  </r>
  <r>
    <x v="3"/>
    <x v="17"/>
    <x v="17"/>
    <x v="7"/>
    <x v="1"/>
    <x v="1"/>
    <x v="2"/>
    <x v="18"/>
    <s v="C/USN/III/P3/39 90004 6050 WPF/PM"/>
    <x v="53"/>
    <n v="944671"/>
    <n v="0"/>
    <n v="0"/>
    <n v="480000"/>
    <n v="464671"/>
    <n v="0"/>
    <n v="0"/>
    <n v="0"/>
    <n v="0"/>
    <n v="0"/>
    <n v="0"/>
    <n v="0"/>
    <n v="0"/>
    <x v="0"/>
    <s v="-"/>
    <x v="0"/>
  </r>
  <r>
    <x v="3"/>
    <x v="17"/>
    <x v="17"/>
    <x v="7"/>
    <x v="1"/>
    <x v="1"/>
    <x v="3"/>
    <x v="18"/>
    <s v="C/USN/III/P3/39 90004 6050 WPF/UM"/>
    <x v="54"/>
    <n v="3580830"/>
    <n v="419444"/>
    <n v="3161386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17"/>
    <x v="17"/>
    <x v="7"/>
    <x v="1"/>
    <x v="5"/>
    <x v="1"/>
    <x v="19"/>
    <s v="C/USN/III/P3/39 90004 6050 WPF, w tym"/>
    <x v="55"/>
    <n v="2500000"/>
    <n v="500000"/>
    <n v="2000000"/>
    <n v="0"/>
    <n v="0"/>
    <n v="0"/>
    <n v="0"/>
    <n v="0"/>
    <n v="0"/>
    <n v="0"/>
    <n v="0"/>
    <n v="0"/>
    <n v="0"/>
    <x v="0"/>
    <s v="-"/>
    <x v="0"/>
  </r>
  <r>
    <x v="1"/>
    <x v="17"/>
    <x v="17"/>
    <x v="7"/>
    <x v="1"/>
    <x v="5"/>
    <x v="2"/>
    <x v="19"/>
    <s v="C/USN/III/P3/39 90004 6050 WPF/PM"/>
    <x v="56"/>
    <n v="0"/>
    <n v="0"/>
    <n v="0"/>
    <n v="0"/>
    <n v="0"/>
    <n v="0"/>
    <n v="0"/>
    <n v="0"/>
    <n v="0"/>
    <n v="0"/>
    <n v="0"/>
    <n v="0"/>
    <n v="0"/>
    <x v="0"/>
    <s v="-"/>
    <x v="0"/>
  </r>
  <r>
    <x v="1"/>
    <x v="17"/>
    <x v="17"/>
    <x v="7"/>
    <x v="1"/>
    <x v="5"/>
    <x v="3"/>
    <x v="19"/>
    <s v="C/USN/III/P3/39 90004 6050 WPF/UM"/>
    <x v="57"/>
    <n v="2500000"/>
    <n v="500000"/>
    <n v="200000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17"/>
    <x v="17"/>
    <x v="7"/>
    <x v="1"/>
    <x v="5"/>
    <x v="1"/>
    <x v="19"/>
    <s v="C/USN/III/P3/39 90004 6050 WPF, w tym"/>
    <x v="55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7"/>
    <x v="17"/>
    <x v="7"/>
    <x v="1"/>
    <x v="5"/>
    <x v="2"/>
    <x v="19"/>
    <s v="C/USN/III/P3/39 90004 6050 WPF/PM"/>
    <x v="56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7"/>
    <x v="17"/>
    <x v="7"/>
    <x v="1"/>
    <x v="5"/>
    <x v="3"/>
    <x v="19"/>
    <s v="C/USN/III/P3/39 90004 6050 WPF/UM"/>
    <x v="57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17"/>
    <x v="17"/>
    <x v="7"/>
    <x v="1"/>
    <x v="5"/>
    <x v="1"/>
    <x v="19"/>
    <s v="C/USN/III/P3/39 90004 6050 WPF, w tym"/>
    <x v="55"/>
    <n v="2500000"/>
    <n v="500000"/>
    <n v="2000000"/>
    <n v="0"/>
    <n v="0"/>
    <n v="0"/>
    <n v="0"/>
    <n v="0"/>
    <n v="0"/>
    <n v="0"/>
    <n v="0"/>
    <n v="0"/>
    <n v="0"/>
    <x v="0"/>
    <s v="-"/>
    <x v="0"/>
  </r>
  <r>
    <x v="3"/>
    <x v="17"/>
    <x v="17"/>
    <x v="7"/>
    <x v="1"/>
    <x v="5"/>
    <x v="2"/>
    <x v="19"/>
    <s v="C/USN/III/P3/39 90004 6050 WPF/PM"/>
    <x v="56"/>
    <n v="0"/>
    <n v="0"/>
    <n v="0"/>
    <n v="0"/>
    <n v="0"/>
    <n v="0"/>
    <n v="0"/>
    <n v="0"/>
    <n v="0"/>
    <n v="0"/>
    <n v="0"/>
    <n v="0"/>
    <n v="0"/>
    <x v="0"/>
    <s v="-"/>
    <x v="0"/>
  </r>
  <r>
    <x v="3"/>
    <x v="17"/>
    <x v="17"/>
    <x v="7"/>
    <x v="1"/>
    <x v="5"/>
    <x v="3"/>
    <x v="19"/>
    <s v="C/USN/III/P3/39 90004 6050 WPF/UM"/>
    <x v="57"/>
    <n v="2500000"/>
    <n v="500000"/>
    <n v="200000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18"/>
    <x v="18"/>
    <x v="7"/>
    <x v="1"/>
    <x v="1"/>
    <x v="1"/>
    <x v="20"/>
    <s v="C/USN/III/P3/40 90004 6050 WPF, w tym"/>
    <x v="58"/>
    <n v="2050000"/>
    <n v="0"/>
    <n v="17220"/>
    <n v="1782780"/>
    <n v="250000"/>
    <n v="0"/>
    <n v="0"/>
    <n v="0"/>
    <n v="0"/>
    <n v="0"/>
    <n v="0"/>
    <n v="0"/>
    <n v="0"/>
    <x v="0"/>
    <s v="-"/>
    <x v="0"/>
  </r>
  <r>
    <x v="1"/>
    <x v="18"/>
    <x v="18"/>
    <x v="7"/>
    <x v="1"/>
    <x v="1"/>
    <x v="2"/>
    <x v="20"/>
    <s v="C/USN/III/P3/40 90004 6050 WPF/PM"/>
    <x v="59"/>
    <n v="2024797"/>
    <n v="0"/>
    <n v="0"/>
    <n v="1774797"/>
    <n v="250000"/>
    <n v="0"/>
    <n v="0"/>
    <n v="0"/>
    <n v="0"/>
    <n v="0"/>
    <n v="0"/>
    <n v="0"/>
    <n v="0"/>
    <x v="0"/>
    <s v="-"/>
    <x v="0"/>
  </r>
  <r>
    <x v="1"/>
    <x v="18"/>
    <x v="18"/>
    <x v="7"/>
    <x v="1"/>
    <x v="1"/>
    <x v="3"/>
    <x v="20"/>
    <s v="C/USN/III/P3/40 90004 6050 WPF/UM"/>
    <x v="60"/>
    <n v="25203"/>
    <n v="0"/>
    <n v="17220"/>
    <n v="7983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18"/>
    <x v="18"/>
    <x v="7"/>
    <x v="1"/>
    <x v="1"/>
    <x v="1"/>
    <x v="20"/>
    <s v="C/USN/III/P3/40 90004 6050 WPF, w tym"/>
    <x v="58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8"/>
    <x v="18"/>
    <x v="7"/>
    <x v="1"/>
    <x v="1"/>
    <x v="2"/>
    <x v="20"/>
    <s v="C/USN/III/P3/40 90004 6050 WPF/PM"/>
    <x v="59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8"/>
    <x v="18"/>
    <x v="7"/>
    <x v="1"/>
    <x v="1"/>
    <x v="3"/>
    <x v="20"/>
    <s v="C/USN/III/P3/40 90004 6050 WPF/UM"/>
    <x v="60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18"/>
    <x v="18"/>
    <x v="7"/>
    <x v="1"/>
    <x v="1"/>
    <x v="1"/>
    <x v="20"/>
    <s v="C/USN/III/P3/40 90004 6050 WPF, w tym"/>
    <x v="58"/>
    <n v="2050000"/>
    <n v="0"/>
    <n v="17220"/>
    <n v="1782780"/>
    <n v="250000"/>
    <n v="0"/>
    <n v="0"/>
    <n v="0"/>
    <n v="0"/>
    <n v="0"/>
    <n v="0"/>
    <n v="0"/>
    <n v="0"/>
    <x v="0"/>
    <s v="-"/>
    <x v="0"/>
  </r>
  <r>
    <x v="3"/>
    <x v="18"/>
    <x v="18"/>
    <x v="7"/>
    <x v="1"/>
    <x v="1"/>
    <x v="2"/>
    <x v="20"/>
    <s v="C/USN/III/P3/40 90004 6050 WPF/PM"/>
    <x v="59"/>
    <n v="2024797"/>
    <n v="0"/>
    <n v="0"/>
    <n v="1774797"/>
    <n v="250000"/>
    <n v="0"/>
    <n v="0"/>
    <n v="0"/>
    <n v="0"/>
    <n v="0"/>
    <n v="0"/>
    <n v="0"/>
    <n v="0"/>
    <x v="0"/>
    <s v="-"/>
    <x v="0"/>
  </r>
  <r>
    <x v="3"/>
    <x v="18"/>
    <x v="18"/>
    <x v="7"/>
    <x v="1"/>
    <x v="1"/>
    <x v="3"/>
    <x v="20"/>
    <s v="C/USN/III/P3/40 90004 6050 WPF/UM"/>
    <x v="60"/>
    <n v="25203"/>
    <n v="0"/>
    <n v="17220"/>
    <n v="7983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18"/>
    <x v="18"/>
    <x v="7"/>
    <x v="1"/>
    <x v="6"/>
    <x v="1"/>
    <x v="21"/>
    <s v="C/USN/III/P3/40 90004 6050 WPF, w tym"/>
    <x v="61"/>
    <n v="500000"/>
    <n v="0"/>
    <n v="89175"/>
    <n v="410825"/>
    <n v="0"/>
    <n v="0"/>
    <n v="0"/>
    <n v="0"/>
    <n v="0"/>
    <n v="0"/>
    <n v="0"/>
    <n v="0"/>
    <n v="0"/>
    <x v="0"/>
    <s v="-"/>
    <x v="0"/>
  </r>
  <r>
    <x v="1"/>
    <x v="18"/>
    <x v="18"/>
    <x v="7"/>
    <x v="1"/>
    <x v="6"/>
    <x v="2"/>
    <x v="21"/>
    <s v="C/USN/III/P3/40 90004 6050 WPF/PM"/>
    <x v="62"/>
    <n v="410825"/>
    <n v="0"/>
    <n v="0"/>
    <n v="410825"/>
    <n v="0"/>
    <n v="0"/>
    <n v="0"/>
    <n v="0"/>
    <n v="0"/>
    <n v="0"/>
    <n v="0"/>
    <n v="0"/>
    <n v="0"/>
    <x v="0"/>
    <s v="-"/>
    <x v="0"/>
  </r>
  <r>
    <x v="1"/>
    <x v="18"/>
    <x v="18"/>
    <x v="7"/>
    <x v="1"/>
    <x v="6"/>
    <x v="3"/>
    <x v="21"/>
    <s v="C/USN/III/P3/40 90004 6050 WPF/UM"/>
    <x v="63"/>
    <n v="89175"/>
    <n v="0"/>
    <n v="89175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18"/>
    <x v="18"/>
    <x v="7"/>
    <x v="1"/>
    <x v="6"/>
    <x v="1"/>
    <x v="21"/>
    <s v="C/USN/III/P3/40 90004 6050 WPF, w tym"/>
    <x v="61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8"/>
    <x v="18"/>
    <x v="7"/>
    <x v="1"/>
    <x v="6"/>
    <x v="2"/>
    <x v="21"/>
    <s v="C/USN/III/P3/40 90004 6050 WPF/PM"/>
    <x v="62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8"/>
    <x v="18"/>
    <x v="7"/>
    <x v="1"/>
    <x v="6"/>
    <x v="3"/>
    <x v="21"/>
    <s v="C/USN/III/P3/40 90004 6050 WPF/UM"/>
    <x v="63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18"/>
    <x v="18"/>
    <x v="7"/>
    <x v="1"/>
    <x v="6"/>
    <x v="1"/>
    <x v="21"/>
    <s v="C/USN/III/P3/40 90004 6050 WPF, w tym"/>
    <x v="61"/>
    <n v="500000"/>
    <n v="0"/>
    <n v="89175"/>
    <n v="410825"/>
    <n v="0"/>
    <n v="0"/>
    <n v="0"/>
    <n v="0"/>
    <n v="0"/>
    <n v="0"/>
    <n v="0"/>
    <n v="0"/>
    <n v="0"/>
    <x v="0"/>
    <s v="-"/>
    <x v="0"/>
  </r>
  <r>
    <x v="3"/>
    <x v="18"/>
    <x v="18"/>
    <x v="7"/>
    <x v="1"/>
    <x v="6"/>
    <x v="2"/>
    <x v="21"/>
    <s v="C/USN/III/P3/40 90004 6050 WPF/PM"/>
    <x v="62"/>
    <n v="410825"/>
    <n v="0"/>
    <n v="0"/>
    <n v="410825"/>
    <n v="0"/>
    <n v="0"/>
    <n v="0"/>
    <n v="0"/>
    <n v="0"/>
    <n v="0"/>
    <n v="0"/>
    <n v="0"/>
    <n v="0"/>
    <x v="0"/>
    <s v="-"/>
    <x v="0"/>
  </r>
  <r>
    <x v="3"/>
    <x v="18"/>
    <x v="18"/>
    <x v="7"/>
    <x v="1"/>
    <x v="6"/>
    <x v="3"/>
    <x v="21"/>
    <s v="C/USN/III/P3/40 90004 6050 WPF/UM"/>
    <x v="63"/>
    <n v="89175"/>
    <n v="0"/>
    <n v="89175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19"/>
    <x v="19"/>
    <x v="7"/>
    <x v="1"/>
    <x v="7"/>
    <x v="1"/>
    <x v="22"/>
    <s v="C/USN/III/P3/41 90004 6050 WPF, w tym"/>
    <x v="64"/>
    <n v="1555875"/>
    <n v="62577"/>
    <n v="1035175"/>
    <n v="458123"/>
    <n v="0"/>
    <n v="0"/>
    <n v="0"/>
    <n v="0"/>
    <n v="0"/>
    <n v="0"/>
    <n v="0"/>
    <n v="0"/>
    <n v="0"/>
    <x v="0"/>
    <s v="-"/>
    <x v="0"/>
  </r>
  <r>
    <x v="1"/>
    <x v="19"/>
    <x v="19"/>
    <x v="7"/>
    <x v="1"/>
    <x v="7"/>
    <x v="2"/>
    <x v="22"/>
    <s v="C/USN/III/P3/41 90004 6050 WPF/PM"/>
    <x v="65"/>
    <n v="458123"/>
    <n v="0"/>
    <n v="0"/>
    <n v="458123"/>
    <n v="0"/>
    <n v="0"/>
    <n v="0"/>
    <n v="0"/>
    <n v="0"/>
    <n v="0"/>
    <n v="0"/>
    <n v="0"/>
    <n v="0"/>
    <x v="0"/>
    <s v="-"/>
    <x v="0"/>
  </r>
  <r>
    <x v="1"/>
    <x v="19"/>
    <x v="19"/>
    <x v="7"/>
    <x v="1"/>
    <x v="7"/>
    <x v="3"/>
    <x v="22"/>
    <s v="C/USN/III/P3/41 90004 6050 WPF/UM"/>
    <x v="66"/>
    <n v="1097752"/>
    <n v="62577"/>
    <n v="1035175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19"/>
    <x v="19"/>
    <x v="7"/>
    <x v="1"/>
    <x v="7"/>
    <x v="1"/>
    <x v="22"/>
    <s v="C/USN/III/P3/41 90004 6050 WPF, w tym"/>
    <x v="64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9"/>
    <x v="19"/>
    <x v="7"/>
    <x v="1"/>
    <x v="7"/>
    <x v="2"/>
    <x v="22"/>
    <s v="C/USN/III/P3/41 90004 6050 WPF/PM"/>
    <x v="65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19"/>
    <x v="19"/>
    <x v="7"/>
    <x v="1"/>
    <x v="7"/>
    <x v="3"/>
    <x v="22"/>
    <s v="C/USN/III/P3/41 90004 6050 WPF/UM"/>
    <x v="66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19"/>
    <x v="19"/>
    <x v="7"/>
    <x v="1"/>
    <x v="7"/>
    <x v="1"/>
    <x v="22"/>
    <s v="C/USN/III/P3/41 90004 6050 WPF, w tym"/>
    <x v="64"/>
    <n v="1555875"/>
    <n v="62577"/>
    <n v="1035175"/>
    <n v="458123"/>
    <n v="0"/>
    <n v="0"/>
    <n v="0"/>
    <n v="0"/>
    <n v="0"/>
    <n v="0"/>
    <n v="0"/>
    <n v="0"/>
    <n v="0"/>
    <x v="0"/>
    <s v="-"/>
    <x v="0"/>
  </r>
  <r>
    <x v="3"/>
    <x v="19"/>
    <x v="19"/>
    <x v="7"/>
    <x v="1"/>
    <x v="7"/>
    <x v="2"/>
    <x v="22"/>
    <s v="C/USN/III/P3/41 90004 6050 WPF/PM"/>
    <x v="65"/>
    <n v="458123"/>
    <n v="0"/>
    <n v="0"/>
    <n v="458123"/>
    <n v="0"/>
    <n v="0"/>
    <n v="0"/>
    <n v="0"/>
    <n v="0"/>
    <n v="0"/>
    <n v="0"/>
    <n v="0"/>
    <n v="0"/>
    <x v="0"/>
    <s v="-"/>
    <x v="0"/>
  </r>
  <r>
    <x v="3"/>
    <x v="19"/>
    <x v="19"/>
    <x v="7"/>
    <x v="1"/>
    <x v="7"/>
    <x v="3"/>
    <x v="22"/>
    <s v="C/USN/III/P3/41 90004 6050 WPF/UM"/>
    <x v="66"/>
    <n v="1097752"/>
    <n v="62577"/>
    <n v="1035175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20"/>
    <x v="20"/>
    <x v="7"/>
    <x v="1"/>
    <x v="1"/>
    <x v="1"/>
    <x v="23"/>
    <s v="C/USN/III/P3/42 90004 6050 WPF, w tym"/>
    <x v="67"/>
    <n v="989797"/>
    <n v="0"/>
    <n v="24475"/>
    <n v="965322"/>
    <n v="0"/>
    <n v="0"/>
    <n v="0"/>
    <n v="0"/>
    <n v="0"/>
    <n v="0"/>
    <n v="0"/>
    <n v="0"/>
    <n v="0"/>
    <x v="0"/>
    <s v="-"/>
    <x v="0"/>
  </r>
  <r>
    <x v="1"/>
    <x v="20"/>
    <x v="20"/>
    <x v="7"/>
    <x v="1"/>
    <x v="1"/>
    <x v="2"/>
    <x v="23"/>
    <s v="C/USN/III/P3/42 90004 6050 WPF/PM"/>
    <x v="68"/>
    <n v="219737"/>
    <n v="0"/>
    <n v="0"/>
    <n v="219737"/>
    <n v="0"/>
    <n v="0"/>
    <n v="0"/>
    <n v="0"/>
    <n v="0"/>
    <n v="0"/>
    <n v="0"/>
    <n v="0"/>
    <n v="0"/>
    <x v="0"/>
    <s v="-"/>
    <x v="0"/>
  </r>
  <r>
    <x v="1"/>
    <x v="20"/>
    <x v="20"/>
    <x v="7"/>
    <x v="1"/>
    <x v="1"/>
    <x v="3"/>
    <x v="23"/>
    <s v="C/USN/III/P3/42 90004 6050 WPF/UM"/>
    <x v="69"/>
    <n v="770060"/>
    <n v="0"/>
    <n v="24475"/>
    <n v="745585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20"/>
    <x v="20"/>
    <x v="7"/>
    <x v="1"/>
    <x v="1"/>
    <x v="1"/>
    <x v="23"/>
    <s v="C/USN/III/P3/42 90004 6050 WPF, w tym"/>
    <x v="67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0"/>
    <x v="20"/>
    <x v="7"/>
    <x v="1"/>
    <x v="1"/>
    <x v="2"/>
    <x v="23"/>
    <s v="C/USN/III/P3/42 90004 6050 WPF/PM"/>
    <x v="68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0"/>
    <x v="20"/>
    <x v="7"/>
    <x v="1"/>
    <x v="1"/>
    <x v="3"/>
    <x v="23"/>
    <s v="C/USN/III/P3/42 90004 6050 WPF/UM"/>
    <x v="69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20"/>
    <x v="20"/>
    <x v="7"/>
    <x v="1"/>
    <x v="1"/>
    <x v="1"/>
    <x v="23"/>
    <s v="C/USN/III/P3/42 90004 6050 WPF, w tym"/>
    <x v="67"/>
    <n v="989797"/>
    <n v="0"/>
    <n v="24475"/>
    <n v="965322"/>
    <n v="0"/>
    <n v="0"/>
    <n v="0"/>
    <n v="0"/>
    <n v="0"/>
    <n v="0"/>
    <n v="0"/>
    <n v="0"/>
    <n v="0"/>
    <x v="0"/>
    <s v="-"/>
    <x v="0"/>
  </r>
  <r>
    <x v="3"/>
    <x v="20"/>
    <x v="20"/>
    <x v="7"/>
    <x v="1"/>
    <x v="1"/>
    <x v="2"/>
    <x v="23"/>
    <s v="C/USN/III/P3/42 90004 6050 WPF/PM"/>
    <x v="68"/>
    <n v="219737"/>
    <n v="0"/>
    <n v="0"/>
    <n v="219737"/>
    <n v="0"/>
    <n v="0"/>
    <n v="0"/>
    <n v="0"/>
    <n v="0"/>
    <n v="0"/>
    <n v="0"/>
    <n v="0"/>
    <n v="0"/>
    <x v="0"/>
    <s v="-"/>
    <x v="0"/>
  </r>
  <r>
    <x v="3"/>
    <x v="20"/>
    <x v="20"/>
    <x v="7"/>
    <x v="1"/>
    <x v="1"/>
    <x v="3"/>
    <x v="23"/>
    <s v="C/USN/III/P3/42 90004 6050 WPF/UM"/>
    <x v="69"/>
    <n v="770060"/>
    <n v="0"/>
    <n v="24475"/>
    <n v="745585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20"/>
    <x v="20"/>
    <x v="7"/>
    <x v="1"/>
    <x v="4"/>
    <x v="1"/>
    <x v="24"/>
    <s v="C/USN/III/P3/42 90004 6050 WPF, w tym"/>
    <x v="70"/>
    <n v="588370"/>
    <n v="0"/>
    <n v="173688"/>
    <n v="414682"/>
    <n v="0"/>
    <n v="0"/>
    <n v="0"/>
    <n v="0"/>
    <n v="0"/>
    <n v="0"/>
    <n v="0"/>
    <n v="0"/>
    <n v="0"/>
    <x v="0"/>
    <s v="-"/>
    <x v="0"/>
  </r>
  <r>
    <x v="1"/>
    <x v="20"/>
    <x v="20"/>
    <x v="7"/>
    <x v="1"/>
    <x v="4"/>
    <x v="2"/>
    <x v="24"/>
    <s v="C/USN/III/P3/42 90004 6050 WPF/PM"/>
    <x v="71"/>
    <n v="0"/>
    <n v="0"/>
    <n v="0"/>
    <n v="0"/>
    <n v="0"/>
    <n v="0"/>
    <n v="0"/>
    <n v="0"/>
    <n v="0"/>
    <n v="0"/>
    <n v="0"/>
    <n v="0"/>
    <n v="0"/>
    <x v="0"/>
    <s v="-"/>
    <x v="0"/>
  </r>
  <r>
    <x v="1"/>
    <x v="20"/>
    <x v="20"/>
    <x v="7"/>
    <x v="1"/>
    <x v="4"/>
    <x v="3"/>
    <x v="24"/>
    <s v="C/USN/III/P3/42 90004 6050 WPF/UM"/>
    <x v="72"/>
    <n v="588370"/>
    <n v="0"/>
    <n v="173688"/>
    <n v="414682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20"/>
    <x v="20"/>
    <x v="7"/>
    <x v="1"/>
    <x v="4"/>
    <x v="1"/>
    <x v="24"/>
    <s v="C/USN/III/P3/42 90004 6050 WPF, w tym"/>
    <x v="70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0"/>
    <x v="20"/>
    <x v="7"/>
    <x v="1"/>
    <x v="4"/>
    <x v="2"/>
    <x v="24"/>
    <s v="C/USN/III/P3/42 90004 6050 WPF/PM"/>
    <x v="71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0"/>
    <x v="20"/>
    <x v="7"/>
    <x v="1"/>
    <x v="4"/>
    <x v="3"/>
    <x v="24"/>
    <s v="C/USN/III/P3/42 90004 6050 WPF/UM"/>
    <x v="72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20"/>
    <x v="20"/>
    <x v="7"/>
    <x v="1"/>
    <x v="4"/>
    <x v="1"/>
    <x v="24"/>
    <s v="C/USN/III/P3/42 90004 6050 WPF, w tym"/>
    <x v="70"/>
    <n v="588370"/>
    <n v="0"/>
    <n v="173688"/>
    <n v="414682"/>
    <n v="0"/>
    <n v="0"/>
    <n v="0"/>
    <n v="0"/>
    <n v="0"/>
    <n v="0"/>
    <n v="0"/>
    <n v="0"/>
    <n v="0"/>
    <x v="0"/>
    <s v="-"/>
    <x v="0"/>
  </r>
  <r>
    <x v="3"/>
    <x v="20"/>
    <x v="20"/>
    <x v="7"/>
    <x v="1"/>
    <x v="4"/>
    <x v="2"/>
    <x v="24"/>
    <s v="C/USN/III/P3/42 90004 6050 WPF/PM"/>
    <x v="71"/>
    <n v="0"/>
    <n v="0"/>
    <n v="0"/>
    <n v="0"/>
    <n v="0"/>
    <n v="0"/>
    <n v="0"/>
    <n v="0"/>
    <n v="0"/>
    <n v="0"/>
    <n v="0"/>
    <n v="0"/>
    <n v="0"/>
    <x v="0"/>
    <s v="-"/>
    <x v="0"/>
  </r>
  <r>
    <x v="3"/>
    <x v="20"/>
    <x v="20"/>
    <x v="7"/>
    <x v="1"/>
    <x v="4"/>
    <x v="3"/>
    <x v="24"/>
    <s v="C/USN/III/P3/42 90004 6050 WPF/UM"/>
    <x v="72"/>
    <n v="588370"/>
    <n v="0"/>
    <n v="173688"/>
    <n v="414682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21"/>
    <x v="21"/>
    <x v="7"/>
    <x v="1"/>
    <x v="1"/>
    <x v="1"/>
    <x v="25"/>
    <s v="C/USN/III/P3/43 90004 6050 WPF, w tym"/>
    <x v="73"/>
    <n v="744200"/>
    <n v="0"/>
    <n v="0"/>
    <n v="598200"/>
    <n v="146000"/>
    <n v="0"/>
    <n v="0"/>
    <n v="0"/>
    <n v="0"/>
    <n v="0"/>
    <n v="0"/>
    <n v="0"/>
    <n v="0"/>
    <x v="0"/>
    <s v="-"/>
    <x v="0"/>
  </r>
  <r>
    <x v="1"/>
    <x v="21"/>
    <x v="21"/>
    <x v="7"/>
    <x v="1"/>
    <x v="1"/>
    <x v="2"/>
    <x v="25"/>
    <s v="C/USN/III/P3/43 90004 6050 WPF/PM"/>
    <x v="74"/>
    <n v="744200"/>
    <n v="0"/>
    <n v="0"/>
    <n v="598200"/>
    <n v="146000"/>
    <n v="0"/>
    <n v="0"/>
    <n v="0"/>
    <n v="0"/>
    <n v="0"/>
    <n v="0"/>
    <n v="0"/>
    <n v="0"/>
    <x v="0"/>
    <s v="-"/>
    <x v="0"/>
  </r>
  <r>
    <x v="1"/>
    <x v="21"/>
    <x v="21"/>
    <x v="7"/>
    <x v="1"/>
    <x v="1"/>
    <x v="3"/>
    <x v="25"/>
    <s v="C/USN/III/P3/43 90004 6050 WPF/UM"/>
    <x v="75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21"/>
    <x v="21"/>
    <x v="7"/>
    <x v="1"/>
    <x v="1"/>
    <x v="1"/>
    <x v="25"/>
    <s v="C/USN/III/P3/43 90004 6050 WPF, w tym"/>
    <x v="73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1"/>
    <x v="21"/>
    <x v="7"/>
    <x v="1"/>
    <x v="1"/>
    <x v="2"/>
    <x v="25"/>
    <s v="C/USN/III/P3/43 90004 6050 WPF/PM"/>
    <x v="74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1"/>
    <x v="21"/>
    <x v="7"/>
    <x v="1"/>
    <x v="1"/>
    <x v="3"/>
    <x v="25"/>
    <s v="C/USN/III/P3/43 90004 6050 WPF/UM"/>
    <x v="75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21"/>
    <x v="21"/>
    <x v="7"/>
    <x v="1"/>
    <x v="1"/>
    <x v="1"/>
    <x v="25"/>
    <s v="C/USN/III/P3/43 90004 6050 WPF, w tym"/>
    <x v="73"/>
    <n v="744200"/>
    <n v="0"/>
    <n v="0"/>
    <n v="598200"/>
    <n v="146000"/>
    <n v="0"/>
    <n v="0"/>
    <n v="0"/>
    <n v="0"/>
    <n v="0"/>
    <n v="0"/>
    <n v="0"/>
    <n v="0"/>
    <x v="0"/>
    <s v="-"/>
    <x v="0"/>
  </r>
  <r>
    <x v="3"/>
    <x v="21"/>
    <x v="21"/>
    <x v="7"/>
    <x v="1"/>
    <x v="1"/>
    <x v="2"/>
    <x v="25"/>
    <s v="C/USN/III/P3/43 90004 6050 WPF/PM"/>
    <x v="74"/>
    <n v="744200"/>
    <n v="0"/>
    <n v="0"/>
    <n v="598200"/>
    <n v="146000"/>
    <n v="0"/>
    <n v="0"/>
    <n v="0"/>
    <n v="0"/>
    <n v="0"/>
    <n v="0"/>
    <n v="0"/>
    <n v="0"/>
    <x v="0"/>
    <s v="-"/>
    <x v="0"/>
  </r>
  <r>
    <x v="3"/>
    <x v="21"/>
    <x v="21"/>
    <x v="7"/>
    <x v="1"/>
    <x v="1"/>
    <x v="3"/>
    <x v="25"/>
    <s v="C/USN/III/P3/43 90004 6050 WPF/UM"/>
    <x v="75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21"/>
    <x v="21"/>
    <x v="7"/>
    <x v="1"/>
    <x v="4"/>
    <x v="1"/>
    <x v="26"/>
    <s v="C/USN/III/P3/43 90004 6050 WPF, w tym"/>
    <x v="76"/>
    <n v="861800"/>
    <n v="0"/>
    <n v="0"/>
    <n v="861800"/>
    <n v="0"/>
    <n v="0"/>
    <n v="0"/>
    <n v="0"/>
    <n v="0"/>
    <n v="0"/>
    <n v="0"/>
    <n v="0"/>
    <n v="0"/>
    <x v="0"/>
    <s v="-"/>
    <x v="0"/>
  </r>
  <r>
    <x v="1"/>
    <x v="21"/>
    <x v="21"/>
    <x v="7"/>
    <x v="1"/>
    <x v="4"/>
    <x v="2"/>
    <x v="26"/>
    <s v="C/USN/III/P3/43 90004 6050 WPF/PM"/>
    <x v="77"/>
    <n v="861800"/>
    <n v="0"/>
    <n v="0"/>
    <n v="861800"/>
    <n v="0"/>
    <n v="0"/>
    <n v="0"/>
    <n v="0"/>
    <n v="0"/>
    <n v="0"/>
    <n v="0"/>
    <n v="0"/>
    <n v="0"/>
    <x v="0"/>
    <s v="-"/>
    <x v="0"/>
  </r>
  <r>
    <x v="1"/>
    <x v="21"/>
    <x v="21"/>
    <x v="7"/>
    <x v="1"/>
    <x v="4"/>
    <x v="3"/>
    <x v="26"/>
    <s v="C/USN/III/P3/43 90004 6050 WPF/UM"/>
    <x v="78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21"/>
    <x v="21"/>
    <x v="7"/>
    <x v="1"/>
    <x v="4"/>
    <x v="1"/>
    <x v="26"/>
    <s v="C/USN/III/P3/43 90004 6050 WPF, w tym"/>
    <x v="76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1"/>
    <x v="21"/>
    <x v="7"/>
    <x v="1"/>
    <x v="4"/>
    <x v="2"/>
    <x v="26"/>
    <s v="C/USN/III/P3/43 90004 6050 WPF/PM"/>
    <x v="77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1"/>
    <x v="21"/>
    <x v="7"/>
    <x v="1"/>
    <x v="4"/>
    <x v="3"/>
    <x v="26"/>
    <s v="C/USN/III/P3/43 90004 6050 WPF/UM"/>
    <x v="78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21"/>
    <x v="21"/>
    <x v="7"/>
    <x v="1"/>
    <x v="4"/>
    <x v="1"/>
    <x v="26"/>
    <s v="C/USN/III/P3/43 90004 6050 WPF, w tym"/>
    <x v="76"/>
    <n v="861800"/>
    <n v="0"/>
    <n v="0"/>
    <n v="861800"/>
    <n v="0"/>
    <n v="0"/>
    <n v="0"/>
    <n v="0"/>
    <n v="0"/>
    <n v="0"/>
    <n v="0"/>
    <n v="0"/>
    <n v="0"/>
    <x v="0"/>
    <s v="-"/>
    <x v="0"/>
  </r>
  <r>
    <x v="3"/>
    <x v="21"/>
    <x v="21"/>
    <x v="7"/>
    <x v="1"/>
    <x v="4"/>
    <x v="2"/>
    <x v="26"/>
    <s v="C/USN/III/P3/43 90004 6050 WPF/PM"/>
    <x v="77"/>
    <n v="861800"/>
    <n v="0"/>
    <n v="0"/>
    <n v="861800"/>
    <n v="0"/>
    <n v="0"/>
    <n v="0"/>
    <n v="0"/>
    <n v="0"/>
    <n v="0"/>
    <n v="0"/>
    <n v="0"/>
    <n v="0"/>
    <x v="0"/>
    <s v="-"/>
    <x v="0"/>
  </r>
  <r>
    <x v="3"/>
    <x v="21"/>
    <x v="21"/>
    <x v="7"/>
    <x v="1"/>
    <x v="4"/>
    <x v="3"/>
    <x v="26"/>
    <s v="C/USN/III/P3/43 90004 6050 WPF/UM"/>
    <x v="78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22"/>
    <x v="22"/>
    <x v="8"/>
    <x v="1"/>
    <x v="8"/>
    <x v="1"/>
    <x v="27"/>
    <s v="C/USN/III/P4/31 90026 6050 WPF, w tym"/>
    <x v="79"/>
    <n v="880000"/>
    <n v="17428"/>
    <n v="0"/>
    <n v="0"/>
    <n v="862572"/>
    <n v="0"/>
    <n v="0"/>
    <n v="0"/>
    <n v="0"/>
    <n v="0"/>
    <n v="0"/>
    <n v="0"/>
    <n v="0"/>
    <x v="0"/>
    <s v="-"/>
    <x v="0"/>
  </r>
  <r>
    <x v="1"/>
    <x v="22"/>
    <x v="22"/>
    <x v="8"/>
    <x v="1"/>
    <x v="8"/>
    <x v="2"/>
    <x v="27"/>
    <s v="C/USN/III/P4/31 90026 6050 WPF/PM"/>
    <x v="80"/>
    <n v="862572"/>
    <n v="0"/>
    <n v="0"/>
    <n v="0"/>
    <n v="862572"/>
    <n v="0"/>
    <n v="0"/>
    <n v="0"/>
    <n v="0"/>
    <n v="0"/>
    <n v="0"/>
    <n v="0"/>
    <n v="0"/>
    <x v="0"/>
    <s v="-"/>
    <x v="0"/>
  </r>
  <r>
    <x v="1"/>
    <x v="22"/>
    <x v="22"/>
    <x v="8"/>
    <x v="1"/>
    <x v="8"/>
    <x v="3"/>
    <x v="27"/>
    <s v="C/USN/III/P4/31 90026 6050 WPF/UM"/>
    <x v="81"/>
    <n v="17428"/>
    <n v="17428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22"/>
    <x v="22"/>
    <x v="8"/>
    <x v="1"/>
    <x v="8"/>
    <x v="1"/>
    <x v="27"/>
    <s v="C/USN/III/P4/31 90026 6050 WPF, w tym"/>
    <x v="79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2"/>
    <x v="22"/>
    <x v="8"/>
    <x v="1"/>
    <x v="8"/>
    <x v="2"/>
    <x v="27"/>
    <s v="C/USN/III/P4/31 90026 6050 WPF/PM"/>
    <x v="80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2"/>
    <x v="22"/>
    <x v="8"/>
    <x v="1"/>
    <x v="8"/>
    <x v="3"/>
    <x v="27"/>
    <s v="C/USN/III/P4/31 90026 6050 WPF/UM"/>
    <x v="81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22"/>
    <x v="22"/>
    <x v="8"/>
    <x v="1"/>
    <x v="8"/>
    <x v="1"/>
    <x v="27"/>
    <s v="C/USN/III/P4/31 90026 6050 WPF, w tym"/>
    <x v="79"/>
    <n v="880000"/>
    <n v="17428"/>
    <n v="0"/>
    <n v="0"/>
    <n v="862572"/>
    <n v="0"/>
    <n v="0"/>
    <n v="0"/>
    <n v="0"/>
    <n v="0"/>
    <n v="0"/>
    <n v="0"/>
    <n v="0"/>
    <x v="0"/>
    <s v="-"/>
    <x v="0"/>
  </r>
  <r>
    <x v="3"/>
    <x v="22"/>
    <x v="22"/>
    <x v="8"/>
    <x v="1"/>
    <x v="8"/>
    <x v="2"/>
    <x v="27"/>
    <s v="C/USN/III/P4/31 90026 6050 WPF/PM"/>
    <x v="80"/>
    <n v="862572"/>
    <n v="0"/>
    <n v="0"/>
    <n v="0"/>
    <n v="862572"/>
    <n v="0"/>
    <n v="0"/>
    <n v="0"/>
    <n v="0"/>
    <n v="0"/>
    <n v="0"/>
    <n v="0"/>
    <n v="0"/>
    <x v="0"/>
    <s v="-"/>
    <x v="0"/>
  </r>
  <r>
    <x v="3"/>
    <x v="22"/>
    <x v="22"/>
    <x v="8"/>
    <x v="1"/>
    <x v="8"/>
    <x v="3"/>
    <x v="27"/>
    <s v="C/USN/III/P4/31 90026 6050 WPF/UM"/>
    <x v="81"/>
    <n v="17428"/>
    <n v="17428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23"/>
    <x v="23"/>
    <x v="9"/>
    <x v="1"/>
    <x v="9"/>
    <x v="1"/>
    <x v="28"/>
    <s v="C/USN/III/P4/32 90095 6050 WPF, w tym"/>
    <x v="82"/>
    <n v="594300"/>
    <n v="402100"/>
    <n v="159378"/>
    <n v="32822"/>
    <n v="0"/>
    <n v="0"/>
    <n v="0"/>
    <n v="0"/>
    <n v="0"/>
    <n v="0"/>
    <n v="0"/>
    <n v="0"/>
    <n v="0"/>
    <x v="0"/>
    <s v="-"/>
    <x v="0"/>
  </r>
  <r>
    <x v="1"/>
    <x v="23"/>
    <x v="23"/>
    <x v="9"/>
    <x v="1"/>
    <x v="9"/>
    <x v="2"/>
    <x v="28"/>
    <s v="C/USN/III/P4/32 90095 6050 WPF/PM"/>
    <x v="83"/>
    <n v="32822"/>
    <n v="0"/>
    <n v="0"/>
    <n v="32822"/>
    <n v="0"/>
    <n v="0"/>
    <n v="0"/>
    <n v="0"/>
    <n v="0"/>
    <n v="0"/>
    <n v="0"/>
    <n v="0"/>
    <n v="0"/>
    <x v="0"/>
    <s v="-"/>
    <x v="0"/>
  </r>
  <r>
    <x v="1"/>
    <x v="23"/>
    <x v="23"/>
    <x v="9"/>
    <x v="1"/>
    <x v="9"/>
    <x v="3"/>
    <x v="28"/>
    <s v="C/USN/III/P4/32 90095 6050 WPF/UM"/>
    <x v="84"/>
    <n v="561478"/>
    <n v="402100"/>
    <n v="159378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23"/>
    <x v="23"/>
    <x v="9"/>
    <x v="1"/>
    <x v="9"/>
    <x v="1"/>
    <x v="28"/>
    <s v="C/USN/III/P4/32 90095 6050 WPF, w tym"/>
    <x v="82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3"/>
    <x v="23"/>
    <x v="9"/>
    <x v="1"/>
    <x v="9"/>
    <x v="2"/>
    <x v="28"/>
    <s v="C/USN/III/P4/32 90095 6050 WPF/PM"/>
    <x v="83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3"/>
    <x v="23"/>
    <x v="9"/>
    <x v="1"/>
    <x v="9"/>
    <x v="3"/>
    <x v="28"/>
    <s v="C/USN/III/P4/32 90095 6050 WPF/UM"/>
    <x v="84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23"/>
    <x v="23"/>
    <x v="9"/>
    <x v="1"/>
    <x v="9"/>
    <x v="1"/>
    <x v="28"/>
    <s v="C/USN/III/P4/32 90095 6050 WPF, w tym"/>
    <x v="82"/>
    <n v="594300"/>
    <n v="402100"/>
    <n v="159378"/>
    <n v="32822"/>
    <n v="0"/>
    <n v="0"/>
    <n v="0"/>
    <n v="0"/>
    <n v="0"/>
    <n v="0"/>
    <n v="0"/>
    <n v="0"/>
    <n v="0"/>
    <x v="0"/>
    <s v="-"/>
    <x v="0"/>
  </r>
  <r>
    <x v="3"/>
    <x v="23"/>
    <x v="23"/>
    <x v="9"/>
    <x v="1"/>
    <x v="9"/>
    <x v="2"/>
    <x v="28"/>
    <s v="C/USN/III/P4/32 90095 6050 WPF/PM"/>
    <x v="83"/>
    <n v="32822"/>
    <n v="0"/>
    <n v="0"/>
    <n v="32822"/>
    <n v="0"/>
    <n v="0"/>
    <n v="0"/>
    <n v="0"/>
    <n v="0"/>
    <n v="0"/>
    <n v="0"/>
    <n v="0"/>
    <n v="0"/>
    <x v="0"/>
    <s v="-"/>
    <x v="0"/>
  </r>
  <r>
    <x v="3"/>
    <x v="23"/>
    <x v="23"/>
    <x v="9"/>
    <x v="1"/>
    <x v="9"/>
    <x v="3"/>
    <x v="28"/>
    <s v="C/USN/III/P4/32 90095 6050 WPF/UM"/>
    <x v="84"/>
    <n v="561478"/>
    <n v="402100"/>
    <n v="159378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24"/>
    <x v="24"/>
    <x v="6"/>
    <x v="1"/>
    <x v="1"/>
    <x v="1"/>
    <x v="29"/>
    <s v="C/USN/III/P4/34 90001 6050 WPF, w tym"/>
    <x v="85"/>
    <n v="1100000"/>
    <n v="0"/>
    <n v="15626"/>
    <n v="1007424"/>
    <n v="76950"/>
    <n v="0"/>
    <n v="0"/>
    <n v="0"/>
    <n v="0"/>
    <n v="0"/>
    <n v="0"/>
    <n v="0"/>
    <n v="0"/>
    <x v="0"/>
    <s v="-"/>
    <x v="0"/>
  </r>
  <r>
    <x v="1"/>
    <x v="24"/>
    <x v="24"/>
    <x v="6"/>
    <x v="1"/>
    <x v="1"/>
    <x v="2"/>
    <x v="29"/>
    <s v="C/USN/III/P4/34 90001 6050 WPF/PM"/>
    <x v="86"/>
    <n v="1084374"/>
    <n v="0"/>
    <n v="0"/>
    <n v="1007424"/>
    <n v="76950"/>
    <n v="0"/>
    <n v="0"/>
    <n v="0"/>
    <n v="0"/>
    <n v="0"/>
    <n v="0"/>
    <n v="0"/>
    <n v="0"/>
    <x v="0"/>
    <s v="-"/>
    <x v="0"/>
  </r>
  <r>
    <x v="1"/>
    <x v="24"/>
    <x v="24"/>
    <x v="6"/>
    <x v="1"/>
    <x v="1"/>
    <x v="3"/>
    <x v="29"/>
    <s v="C/USN/III/P4/34 90001 6050 WPF/UM"/>
    <x v="87"/>
    <n v="15626"/>
    <n v="0"/>
    <n v="15626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24"/>
    <x v="24"/>
    <x v="6"/>
    <x v="1"/>
    <x v="1"/>
    <x v="1"/>
    <x v="29"/>
    <s v="C/USN/III/P4/34 90001 6050 WPF, w tym"/>
    <x v="85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4"/>
    <x v="24"/>
    <x v="6"/>
    <x v="1"/>
    <x v="1"/>
    <x v="2"/>
    <x v="29"/>
    <s v="C/USN/III/P4/34 90001 6050 WPF/PM"/>
    <x v="86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4"/>
    <x v="24"/>
    <x v="6"/>
    <x v="1"/>
    <x v="1"/>
    <x v="3"/>
    <x v="29"/>
    <s v="C/USN/III/P4/34 90001 6050 WPF/UM"/>
    <x v="87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24"/>
    <x v="24"/>
    <x v="6"/>
    <x v="1"/>
    <x v="1"/>
    <x v="1"/>
    <x v="29"/>
    <s v="C/USN/III/P4/34 90001 6050 WPF, w tym"/>
    <x v="85"/>
    <n v="1100000"/>
    <n v="0"/>
    <n v="15626"/>
    <n v="1007424"/>
    <n v="76950"/>
    <n v="0"/>
    <n v="0"/>
    <n v="0"/>
    <n v="0"/>
    <n v="0"/>
    <n v="0"/>
    <n v="0"/>
    <n v="0"/>
    <x v="0"/>
    <s v="-"/>
    <x v="0"/>
  </r>
  <r>
    <x v="3"/>
    <x v="24"/>
    <x v="24"/>
    <x v="6"/>
    <x v="1"/>
    <x v="1"/>
    <x v="2"/>
    <x v="29"/>
    <s v="C/USN/III/P4/34 90001 6050 WPF/PM"/>
    <x v="86"/>
    <n v="1084374"/>
    <n v="0"/>
    <n v="0"/>
    <n v="1007424"/>
    <n v="76950"/>
    <n v="0"/>
    <n v="0"/>
    <n v="0"/>
    <n v="0"/>
    <n v="0"/>
    <n v="0"/>
    <n v="0"/>
    <n v="0"/>
    <x v="0"/>
    <s v="-"/>
    <x v="0"/>
  </r>
  <r>
    <x v="3"/>
    <x v="24"/>
    <x v="24"/>
    <x v="6"/>
    <x v="1"/>
    <x v="1"/>
    <x v="3"/>
    <x v="29"/>
    <s v="C/USN/III/P4/34 90001 6050 WPF/UM"/>
    <x v="87"/>
    <n v="15626"/>
    <n v="0"/>
    <n v="15626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25"/>
    <x v="25"/>
    <x v="9"/>
    <x v="1"/>
    <x v="10"/>
    <x v="1"/>
    <x v="30"/>
    <s v="C/USN/III/P4/35 90095 6050 WPF, w tym"/>
    <x v="88"/>
    <n v="529999"/>
    <n v="43050"/>
    <n v="381809"/>
    <n v="105140"/>
    <n v="0"/>
    <n v="0"/>
    <n v="0"/>
    <n v="0"/>
    <n v="0"/>
    <n v="0"/>
    <n v="0"/>
    <n v="0"/>
    <n v="0"/>
    <x v="0"/>
    <s v="-"/>
    <x v="0"/>
  </r>
  <r>
    <x v="1"/>
    <x v="25"/>
    <x v="25"/>
    <x v="9"/>
    <x v="1"/>
    <x v="10"/>
    <x v="2"/>
    <x v="30"/>
    <s v="C/USN/III/P4/35 90095 6050 WPF/PM"/>
    <x v="89"/>
    <n v="105140"/>
    <n v="0"/>
    <n v="0"/>
    <n v="105140"/>
    <n v="0"/>
    <n v="0"/>
    <n v="0"/>
    <n v="0"/>
    <n v="0"/>
    <n v="0"/>
    <n v="0"/>
    <n v="0"/>
    <n v="0"/>
    <x v="0"/>
    <s v="-"/>
    <x v="0"/>
  </r>
  <r>
    <x v="1"/>
    <x v="25"/>
    <x v="25"/>
    <x v="9"/>
    <x v="1"/>
    <x v="10"/>
    <x v="3"/>
    <x v="30"/>
    <s v="C/USN/III/P4/35 90095 6050 WPF/UM"/>
    <x v="90"/>
    <n v="424859"/>
    <n v="43050"/>
    <n v="381809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25"/>
    <x v="25"/>
    <x v="9"/>
    <x v="1"/>
    <x v="10"/>
    <x v="1"/>
    <x v="30"/>
    <s v="C/USN/III/P4/35 90095 6050 WPF, w tym"/>
    <x v="88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5"/>
    <x v="25"/>
    <x v="9"/>
    <x v="1"/>
    <x v="10"/>
    <x v="2"/>
    <x v="30"/>
    <s v="C/USN/III/P4/35 90095 6050 WPF/PM"/>
    <x v="89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5"/>
    <x v="25"/>
    <x v="9"/>
    <x v="1"/>
    <x v="10"/>
    <x v="3"/>
    <x v="30"/>
    <s v="C/USN/III/P4/35 90095 6050 WPF/UM"/>
    <x v="90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25"/>
    <x v="25"/>
    <x v="9"/>
    <x v="1"/>
    <x v="10"/>
    <x v="1"/>
    <x v="30"/>
    <s v="C/USN/III/P4/35 90095 6050 WPF, w tym"/>
    <x v="88"/>
    <n v="529999"/>
    <n v="43050"/>
    <n v="381809"/>
    <n v="105140"/>
    <n v="0"/>
    <n v="0"/>
    <n v="0"/>
    <n v="0"/>
    <n v="0"/>
    <n v="0"/>
    <n v="0"/>
    <n v="0"/>
    <n v="0"/>
    <x v="0"/>
    <s v="-"/>
    <x v="0"/>
  </r>
  <r>
    <x v="3"/>
    <x v="25"/>
    <x v="25"/>
    <x v="9"/>
    <x v="1"/>
    <x v="10"/>
    <x v="2"/>
    <x v="30"/>
    <s v="C/USN/III/P4/35 90095 6050 WPF/PM"/>
    <x v="89"/>
    <n v="105140"/>
    <n v="0"/>
    <n v="0"/>
    <n v="105140"/>
    <n v="0"/>
    <n v="0"/>
    <n v="0"/>
    <n v="0"/>
    <n v="0"/>
    <n v="0"/>
    <n v="0"/>
    <n v="0"/>
    <n v="0"/>
    <x v="0"/>
    <s v="-"/>
    <x v="0"/>
  </r>
  <r>
    <x v="3"/>
    <x v="25"/>
    <x v="25"/>
    <x v="9"/>
    <x v="1"/>
    <x v="10"/>
    <x v="3"/>
    <x v="30"/>
    <s v="C/USN/III/P4/35 90095 6050 WPF/UM"/>
    <x v="90"/>
    <n v="424859"/>
    <n v="43050"/>
    <n v="381809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26"/>
    <x v="23"/>
    <x v="9"/>
    <x v="1"/>
    <x v="11"/>
    <x v="1"/>
    <x v="31"/>
    <s v="C/USN/III/P4/36 90095 6050 WPF, w tym"/>
    <x v="91"/>
    <n v="259335"/>
    <n v="0"/>
    <n v="7800"/>
    <n v="251535"/>
    <n v="0"/>
    <n v="0"/>
    <n v="0"/>
    <n v="0"/>
    <n v="0"/>
    <n v="0"/>
    <n v="0"/>
    <n v="0"/>
    <n v="0"/>
    <x v="0"/>
    <s v="-"/>
    <x v="0"/>
  </r>
  <r>
    <x v="1"/>
    <x v="26"/>
    <x v="23"/>
    <x v="9"/>
    <x v="1"/>
    <x v="11"/>
    <x v="2"/>
    <x v="31"/>
    <s v="C/USN/III/P4/36 90095 6050 WPF/PM"/>
    <x v="92"/>
    <n v="251535"/>
    <n v="0"/>
    <n v="0"/>
    <n v="251535"/>
    <n v="0"/>
    <n v="0"/>
    <n v="0"/>
    <n v="0"/>
    <n v="0"/>
    <n v="0"/>
    <n v="0"/>
    <n v="0"/>
    <n v="0"/>
    <x v="0"/>
    <s v="-"/>
    <x v="0"/>
  </r>
  <r>
    <x v="1"/>
    <x v="26"/>
    <x v="23"/>
    <x v="9"/>
    <x v="1"/>
    <x v="11"/>
    <x v="3"/>
    <x v="31"/>
    <s v="C/USN/III/P4/36 90095 6050 WPF/UM"/>
    <x v="93"/>
    <n v="7800"/>
    <n v="0"/>
    <n v="780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26"/>
    <x v="23"/>
    <x v="9"/>
    <x v="1"/>
    <x v="11"/>
    <x v="1"/>
    <x v="31"/>
    <s v="C/USN/III/P4/36 90095 6050 WPF, w tym"/>
    <x v="91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6"/>
    <x v="23"/>
    <x v="9"/>
    <x v="1"/>
    <x v="11"/>
    <x v="2"/>
    <x v="31"/>
    <s v="C/USN/III/P4/36 90095 6050 WPF/PM"/>
    <x v="92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6"/>
    <x v="23"/>
    <x v="9"/>
    <x v="1"/>
    <x v="11"/>
    <x v="3"/>
    <x v="31"/>
    <s v="C/USN/III/P4/36 90095 6050 WPF/UM"/>
    <x v="93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26"/>
    <x v="23"/>
    <x v="9"/>
    <x v="1"/>
    <x v="11"/>
    <x v="1"/>
    <x v="31"/>
    <s v="C/USN/III/P4/36 90095 6050 WPF, w tym"/>
    <x v="91"/>
    <n v="259335"/>
    <n v="0"/>
    <n v="7800"/>
    <n v="251535"/>
    <n v="0"/>
    <n v="0"/>
    <n v="0"/>
    <n v="0"/>
    <n v="0"/>
    <n v="0"/>
    <n v="0"/>
    <n v="0"/>
    <n v="0"/>
    <x v="0"/>
    <s v="-"/>
    <x v="0"/>
  </r>
  <r>
    <x v="3"/>
    <x v="26"/>
    <x v="23"/>
    <x v="9"/>
    <x v="1"/>
    <x v="11"/>
    <x v="2"/>
    <x v="31"/>
    <s v="C/USN/III/P4/36 90095 6050 WPF/PM"/>
    <x v="92"/>
    <n v="251535"/>
    <n v="0"/>
    <n v="0"/>
    <n v="251535"/>
    <n v="0"/>
    <n v="0"/>
    <n v="0"/>
    <n v="0"/>
    <n v="0"/>
    <n v="0"/>
    <n v="0"/>
    <n v="0"/>
    <n v="0"/>
    <x v="0"/>
    <s v="-"/>
    <x v="0"/>
  </r>
  <r>
    <x v="3"/>
    <x v="26"/>
    <x v="23"/>
    <x v="9"/>
    <x v="1"/>
    <x v="11"/>
    <x v="3"/>
    <x v="31"/>
    <s v="C/USN/III/P4/36 90095 6050 WPF/UM"/>
    <x v="93"/>
    <n v="7800"/>
    <n v="0"/>
    <n v="780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27"/>
    <x v="26"/>
    <x v="10"/>
    <x v="1"/>
    <x v="1"/>
    <x v="1"/>
    <x v="32"/>
    <s v="C/USN/III/P4/37 50095 6050 WPF, w tym"/>
    <x v="94"/>
    <n v="3470001"/>
    <n v="158747"/>
    <n v="0"/>
    <n v="911254"/>
    <n v="2400000"/>
    <n v="0"/>
    <n v="0"/>
    <n v="0"/>
    <n v="0"/>
    <n v="0"/>
    <n v="0"/>
    <n v="0"/>
    <n v="0"/>
    <x v="0"/>
    <s v="-"/>
    <x v="0"/>
  </r>
  <r>
    <x v="1"/>
    <x v="27"/>
    <x v="26"/>
    <x v="10"/>
    <x v="1"/>
    <x v="1"/>
    <x v="2"/>
    <x v="32"/>
    <s v="C/USN/III/P4/37 50095 6050 WPF/PM"/>
    <x v="95"/>
    <n v="3307487"/>
    <n v="0"/>
    <n v="0"/>
    <n v="907487"/>
    <n v="2400000"/>
    <n v="0"/>
    <n v="0"/>
    <n v="0"/>
    <n v="0"/>
    <n v="0"/>
    <n v="0"/>
    <n v="0"/>
    <n v="0"/>
    <x v="0"/>
    <s v="-"/>
    <x v="0"/>
  </r>
  <r>
    <x v="1"/>
    <x v="27"/>
    <x v="26"/>
    <x v="10"/>
    <x v="1"/>
    <x v="1"/>
    <x v="3"/>
    <x v="32"/>
    <s v="C/USN/III/P4/37 50095 6050 WPF/UM"/>
    <x v="96"/>
    <n v="162514"/>
    <n v="158747"/>
    <n v="0"/>
    <n v="3767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27"/>
    <x v="26"/>
    <x v="10"/>
    <x v="1"/>
    <x v="1"/>
    <x v="1"/>
    <x v="32"/>
    <s v="C/USN/III/P4/37 50095 6050 WPF, w tym"/>
    <x v="94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7"/>
    <x v="26"/>
    <x v="10"/>
    <x v="1"/>
    <x v="1"/>
    <x v="2"/>
    <x v="32"/>
    <s v="C/USN/III/P4/37 50095 6050 WPF/PM"/>
    <x v="95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7"/>
    <x v="26"/>
    <x v="10"/>
    <x v="1"/>
    <x v="1"/>
    <x v="3"/>
    <x v="32"/>
    <s v="C/USN/III/P4/37 50095 6050 WPF/UM"/>
    <x v="96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27"/>
    <x v="26"/>
    <x v="10"/>
    <x v="1"/>
    <x v="1"/>
    <x v="1"/>
    <x v="32"/>
    <s v="C/USN/III/P4/37 50095 6050 WPF, w tym"/>
    <x v="94"/>
    <n v="3470001"/>
    <n v="158747"/>
    <n v="0"/>
    <n v="911254"/>
    <n v="2400000"/>
    <n v="0"/>
    <n v="0"/>
    <n v="0"/>
    <n v="0"/>
    <n v="0"/>
    <n v="0"/>
    <n v="0"/>
    <n v="0"/>
    <x v="0"/>
    <s v="-"/>
    <x v="0"/>
  </r>
  <r>
    <x v="3"/>
    <x v="27"/>
    <x v="26"/>
    <x v="10"/>
    <x v="1"/>
    <x v="1"/>
    <x v="2"/>
    <x v="32"/>
    <s v="C/USN/III/P4/37 50095 6050 WPF/PM"/>
    <x v="95"/>
    <n v="3307487"/>
    <n v="0"/>
    <n v="0"/>
    <n v="907487"/>
    <n v="2400000"/>
    <n v="0"/>
    <n v="0"/>
    <n v="0"/>
    <n v="0"/>
    <n v="0"/>
    <n v="0"/>
    <n v="0"/>
    <n v="0"/>
    <x v="0"/>
    <s v="-"/>
    <x v="0"/>
  </r>
  <r>
    <x v="3"/>
    <x v="27"/>
    <x v="26"/>
    <x v="10"/>
    <x v="1"/>
    <x v="1"/>
    <x v="3"/>
    <x v="32"/>
    <s v="C/USN/III/P4/37 50095 6050 WPF/UM"/>
    <x v="96"/>
    <n v="162514"/>
    <n v="158747"/>
    <n v="0"/>
    <n v="3767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28"/>
    <x v="23"/>
    <x v="9"/>
    <x v="1"/>
    <x v="12"/>
    <x v="1"/>
    <x v="33"/>
    <s v="C/USN/III/P4/39 90095 6050 WPF, w tym"/>
    <x v="97"/>
    <n v="450250"/>
    <n v="0"/>
    <n v="92760"/>
    <n v="357490"/>
    <n v="0"/>
    <n v="0"/>
    <n v="0"/>
    <n v="0"/>
    <n v="0"/>
    <n v="0"/>
    <n v="0"/>
    <n v="0"/>
    <n v="0"/>
    <x v="0"/>
    <s v="-"/>
    <x v="0"/>
  </r>
  <r>
    <x v="1"/>
    <x v="28"/>
    <x v="23"/>
    <x v="9"/>
    <x v="1"/>
    <x v="12"/>
    <x v="2"/>
    <x v="33"/>
    <s v="C/USN/III/P4/39 90095 6050 WPF/PM"/>
    <x v="98"/>
    <n v="357490"/>
    <n v="0"/>
    <n v="0"/>
    <n v="357490"/>
    <n v="0"/>
    <n v="0"/>
    <n v="0"/>
    <n v="0"/>
    <n v="0"/>
    <n v="0"/>
    <n v="0"/>
    <n v="0"/>
    <n v="0"/>
    <x v="0"/>
    <s v="-"/>
    <x v="0"/>
  </r>
  <r>
    <x v="1"/>
    <x v="28"/>
    <x v="23"/>
    <x v="9"/>
    <x v="1"/>
    <x v="12"/>
    <x v="3"/>
    <x v="33"/>
    <s v="C/USN/III/P4/39 90095 6050 WPF/UM"/>
    <x v="99"/>
    <n v="92760"/>
    <n v="0"/>
    <n v="9276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28"/>
    <x v="23"/>
    <x v="9"/>
    <x v="1"/>
    <x v="12"/>
    <x v="1"/>
    <x v="33"/>
    <s v="C/USN/III/P4/39 90095 6050 WPF, w tym"/>
    <x v="97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8"/>
    <x v="23"/>
    <x v="9"/>
    <x v="1"/>
    <x v="12"/>
    <x v="2"/>
    <x v="33"/>
    <s v="C/USN/III/P4/39 90095 6050 WPF/PM"/>
    <x v="98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8"/>
    <x v="23"/>
    <x v="9"/>
    <x v="1"/>
    <x v="12"/>
    <x v="3"/>
    <x v="33"/>
    <s v="C/USN/III/P4/39 90095 6050 WPF/UM"/>
    <x v="99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28"/>
    <x v="23"/>
    <x v="9"/>
    <x v="1"/>
    <x v="12"/>
    <x v="1"/>
    <x v="33"/>
    <s v="C/USN/III/P4/39 90095 6050 WPF, w tym"/>
    <x v="97"/>
    <n v="450250"/>
    <n v="0"/>
    <n v="92760"/>
    <n v="357490"/>
    <n v="0"/>
    <n v="0"/>
    <n v="0"/>
    <n v="0"/>
    <n v="0"/>
    <n v="0"/>
    <n v="0"/>
    <n v="0"/>
    <n v="0"/>
    <x v="0"/>
    <s v="-"/>
    <x v="0"/>
  </r>
  <r>
    <x v="3"/>
    <x v="28"/>
    <x v="23"/>
    <x v="9"/>
    <x v="1"/>
    <x v="12"/>
    <x v="2"/>
    <x v="33"/>
    <s v="C/USN/III/P4/39 90095 6050 WPF/PM"/>
    <x v="98"/>
    <n v="357490"/>
    <n v="0"/>
    <n v="0"/>
    <n v="357490"/>
    <n v="0"/>
    <n v="0"/>
    <n v="0"/>
    <n v="0"/>
    <n v="0"/>
    <n v="0"/>
    <n v="0"/>
    <n v="0"/>
    <n v="0"/>
    <x v="0"/>
    <s v="-"/>
    <x v="0"/>
  </r>
  <r>
    <x v="3"/>
    <x v="28"/>
    <x v="23"/>
    <x v="9"/>
    <x v="1"/>
    <x v="12"/>
    <x v="3"/>
    <x v="33"/>
    <s v="C/USN/III/P4/39 90095 6050 WPF/UM"/>
    <x v="99"/>
    <n v="92760"/>
    <n v="0"/>
    <n v="9276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29"/>
    <x v="27"/>
    <x v="9"/>
    <x v="1"/>
    <x v="1"/>
    <x v="1"/>
    <x v="34"/>
    <s v="C/USN/III/P4/40 90095 6050 WPF, w tym"/>
    <x v="100"/>
    <n v="6781300"/>
    <n v="0"/>
    <n v="0"/>
    <n v="360000"/>
    <n v="1910000"/>
    <n v="4511300"/>
    <n v="0"/>
    <n v="0"/>
    <n v="0"/>
    <n v="0"/>
    <n v="0"/>
    <n v="0"/>
    <n v="0"/>
    <x v="0"/>
    <s v="-"/>
    <x v="0"/>
  </r>
  <r>
    <x v="1"/>
    <x v="29"/>
    <x v="27"/>
    <x v="9"/>
    <x v="1"/>
    <x v="1"/>
    <x v="2"/>
    <x v="34"/>
    <s v="C/USN/III/P4/40 90095 6050 WPF/PM"/>
    <x v="101"/>
    <n v="6781300"/>
    <n v="0"/>
    <n v="0"/>
    <n v="360000"/>
    <n v="1910000"/>
    <n v="4511300"/>
    <n v="0"/>
    <n v="0"/>
    <n v="0"/>
    <n v="0"/>
    <n v="0"/>
    <n v="0"/>
    <n v="0"/>
    <x v="0"/>
    <s v="-"/>
    <x v="0"/>
  </r>
  <r>
    <x v="1"/>
    <x v="29"/>
    <x v="27"/>
    <x v="9"/>
    <x v="1"/>
    <x v="1"/>
    <x v="3"/>
    <x v="34"/>
    <s v="C/USN/III/P4/40 90095 6050 WPF/UM"/>
    <x v="102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29"/>
    <x v="27"/>
    <x v="9"/>
    <x v="1"/>
    <x v="1"/>
    <x v="1"/>
    <x v="34"/>
    <s v="C/USN/III/P4/40 90095 6050 WPF, w tym"/>
    <x v="100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9"/>
    <x v="27"/>
    <x v="9"/>
    <x v="1"/>
    <x v="1"/>
    <x v="2"/>
    <x v="34"/>
    <s v="C/USN/III/P4/40 90095 6050 WPF/PM"/>
    <x v="101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29"/>
    <x v="27"/>
    <x v="9"/>
    <x v="1"/>
    <x v="1"/>
    <x v="3"/>
    <x v="34"/>
    <s v="C/USN/III/P4/40 90095 6050 WPF/UM"/>
    <x v="102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29"/>
    <x v="27"/>
    <x v="9"/>
    <x v="1"/>
    <x v="1"/>
    <x v="1"/>
    <x v="34"/>
    <s v="C/USN/III/P4/40 90095 6050 WPF, w tym"/>
    <x v="100"/>
    <n v="6781300"/>
    <n v="0"/>
    <n v="0"/>
    <n v="360000"/>
    <n v="1910000"/>
    <n v="4511300"/>
    <n v="0"/>
    <n v="0"/>
    <n v="0"/>
    <n v="0"/>
    <n v="0"/>
    <n v="0"/>
    <n v="0"/>
    <x v="0"/>
    <s v="-"/>
    <x v="0"/>
  </r>
  <r>
    <x v="3"/>
    <x v="29"/>
    <x v="27"/>
    <x v="9"/>
    <x v="1"/>
    <x v="1"/>
    <x v="2"/>
    <x v="34"/>
    <s v="C/USN/III/P4/40 90095 6050 WPF/PM"/>
    <x v="101"/>
    <n v="6781300"/>
    <n v="0"/>
    <n v="0"/>
    <n v="360000"/>
    <n v="1910000"/>
    <n v="4511300"/>
    <n v="0"/>
    <n v="0"/>
    <n v="0"/>
    <n v="0"/>
    <n v="0"/>
    <n v="0"/>
    <n v="0"/>
    <x v="0"/>
    <s v="-"/>
    <x v="0"/>
  </r>
  <r>
    <x v="3"/>
    <x v="29"/>
    <x v="27"/>
    <x v="9"/>
    <x v="1"/>
    <x v="1"/>
    <x v="3"/>
    <x v="34"/>
    <s v="C/USN/III/P4/40 90095 6050 WPF/UM"/>
    <x v="102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30"/>
    <x v="28"/>
    <x v="11"/>
    <x v="1"/>
    <x v="1"/>
    <x v="1"/>
    <x v="35"/>
    <s v="C/USN/IV/P3/1 75495 6050 WPF, w tym"/>
    <x v="103"/>
    <n v="570000"/>
    <n v="0"/>
    <n v="179115"/>
    <n v="270885"/>
    <n v="60000"/>
    <n v="60000"/>
    <n v="0"/>
    <n v="0"/>
    <n v="0"/>
    <n v="0"/>
    <n v="0"/>
    <n v="0"/>
    <n v="0"/>
    <x v="0"/>
    <s v="-"/>
    <x v="0"/>
  </r>
  <r>
    <x v="1"/>
    <x v="30"/>
    <x v="28"/>
    <x v="11"/>
    <x v="1"/>
    <x v="1"/>
    <x v="2"/>
    <x v="35"/>
    <s v="C/USN/IV/P3/1 75495 6050 WPF/PM"/>
    <x v="104"/>
    <n v="390885"/>
    <n v="0"/>
    <n v="0"/>
    <n v="270885"/>
    <n v="60000"/>
    <n v="60000"/>
    <n v="0"/>
    <n v="0"/>
    <n v="0"/>
    <n v="0"/>
    <n v="0"/>
    <n v="0"/>
    <n v="0"/>
    <x v="0"/>
    <s v="-"/>
    <x v="0"/>
  </r>
  <r>
    <x v="1"/>
    <x v="30"/>
    <x v="28"/>
    <x v="11"/>
    <x v="1"/>
    <x v="1"/>
    <x v="3"/>
    <x v="35"/>
    <s v="C/USN/IV/P3/1 75495 6050 WPF/UM"/>
    <x v="105"/>
    <n v="179115"/>
    <n v="0"/>
    <n v="179115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30"/>
    <x v="28"/>
    <x v="11"/>
    <x v="1"/>
    <x v="1"/>
    <x v="1"/>
    <x v="35"/>
    <s v="C/USN/IV/P3/1 75495 6050 WPF, w tym"/>
    <x v="103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0"/>
    <x v="28"/>
    <x v="11"/>
    <x v="1"/>
    <x v="1"/>
    <x v="2"/>
    <x v="35"/>
    <s v="C/USN/IV/P3/1 75495 6050 WPF/PM"/>
    <x v="104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0"/>
    <x v="28"/>
    <x v="11"/>
    <x v="1"/>
    <x v="1"/>
    <x v="3"/>
    <x v="35"/>
    <s v="C/USN/IV/P3/1 75495 6050 WPF/UM"/>
    <x v="105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30"/>
    <x v="28"/>
    <x v="11"/>
    <x v="1"/>
    <x v="1"/>
    <x v="1"/>
    <x v="35"/>
    <s v="C/USN/IV/P3/1 75495 6050 WPF, w tym"/>
    <x v="103"/>
    <n v="570000"/>
    <n v="0"/>
    <n v="179115"/>
    <n v="270885"/>
    <n v="60000"/>
    <n v="60000"/>
    <n v="0"/>
    <n v="0"/>
    <n v="0"/>
    <n v="0"/>
    <n v="0"/>
    <n v="0"/>
    <n v="0"/>
    <x v="0"/>
    <s v="-"/>
    <x v="0"/>
  </r>
  <r>
    <x v="3"/>
    <x v="30"/>
    <x v="28"/>
    <x v="11"/>
    <x v="1"/>
    <x v="1"/>
    <x v="2"/>
    <x v="35"/>
    <s v="C/USN/IV/P3/1 75495 6050 WPF/PM"/>
    <x v="104"/>
    <n v="390885"/>
    <n v="0"/>
    <n v="0"/>
    <n v="270885"/>
    <n v="60000"/>
    <n v="60000"/>
    <n v="0"/>
    <n v="0"/>
    <n v="0"/>
    <n v="0"/>
    <n v="0"/>
    <n v="0"/>
    <n v="0"/>
    <x v="0"/>
    <s v="-"/>
    <x v="0"/>
  </r>
  <r>
    <x v="3"/>
    <x v="30"/>
    <x v="28"/>
    <x v="11"/>
    <x v="1"/>
    <x v="1"/>
    <x v="3"/>
    <x v="35"/>
    <s v="C/USN/IV/P3/1 75495 6050 WPF/UM"/>
    <x v="105"/>
    <n v="179115"/>
    <n v="0"/>
    <n v="179115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31"/>
    <x v="29"/>
    <x v="12"/>
    <x v="2"/>
    <x v="1"/>
    <x v="1"/>
    <x v="36"/>
    <s v="C/USN/V/P1/4 80104 6060 WPF, w tym"/>
    <x v="106"/>
    <n v="484044"/>
    <n v="0"/>
    <n v="154044"/>
    <n v="330000"/>
    <n v="0"/>
    <n v="0"/>
    <n v="0"/>
    <n v="0"/>
    <n v="0"/>
    <n v="0"/>
    <n v="0"/>
    <n v="0"/>
    <n v="0"/>
    <x v="0"/>
    <s v="-"/>
    <x v="0"/>
  </r>
  <r>
    <x v="1"/>
    <x v="31"/>
    <x v="29"/>
    <x v="12"/>
    <x v="2"/>
    <x v="1"/>
    <x v="2"/>
    <x v="36"/>
    <s v="C/USN/V/P1/4 80104 6060 WPF/PM"/>
    <x v="107"/>
    <n v="330000"/>
    <n v="0"/>
    <n v="0"/>
    <n v="330000"/>
    <n v="0"/>
    <n v="0"/>
    <n v="0"/>
    <n v="0"/>
    <n v="0"/>
    <n v="0"/>
    <n v="0"/>
    <n v="0"/>
    <n v="0"/>
    <x v="0"/>
    <s v="-"/>
    <x v="0"/>
  </r>
  <r>
    <x v="1"/>
    <x v="31"/>
    <x v="29"/>
    <x v="12"/>
    <x v="2"/>
    <x v="1"/>
    <x v="3"/>
    <x v="36"/>
    <s v="C/USN/V/P1/4 80104 6060 WPF/UM"/>
    <x v="108"/>
    <n v="154044"/>
    <n v="0"/>
    <n v="154044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31"/>
    <x v="29"/>
    <x v="12"/>
    <x v="2"/>
    <x v="1"/>
    <x v="1"/>
    <x v="36"/>
    <s v="C/USN/V/P1/4 80104 6060 WPF, w tym"/>
    <x v="106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1"/>
    <x v="29"/>
    <x v="12"/>
    <x v="2"/>
    <x v="1"/>
    <x v="2"/>
    <x v="36"/>
    <s v="C/USN/V/P1/4 80104 6060 WPF/PM"/>
    <x v="107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1"/>
    <x v="29"/>
    <x v="12"/>
    <x v="2"/>
    <x v="1"/>
    <x v="3"/>
    <x v="36"/>
    <s v="C/USN/V/P1/4 80104 6060 WPF/UM"/>
    <x v="108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31"/>
    <x v="29"/>
    <x v="12"/>
    <x v="2"/>
    <x v="1"/>
    <x v="1"/>
    <x v="36"/>
    <s v="C/USN/V/P1/4 80104 6060 WPF, w tym"/>
    <x v="106"/>
    <n v="484044"/>
    <n v="0"/>
    <n v="154044"/>
    <n v="330000"/>
    <n v="0"/>
    <n v="0"/>
    <n v="0"/>
    <n v="0"/>
    <n v="0"/>
    <n v="0"/>
    <n v="0"/>
    <n v="0"/>
    <n v="0"/>
    <x v="0"/>
    <s v="-"/>
    <x v="0"/>
  </r>
  <r>
    <x v="3"/>
    <x v="31"/>
    <x v="29"/>
    <x v="12"/>
    <x v="2"/>
    <x v="1"/>
    <x v="2"/>
    <x v="36"/>
    <s v="C/USN/V/P1/4 80104 6060 WPF/PM"/>
    <x v="107"/>
    <n v="330000"/>
    <n v="0"/>
    <n v="0"/>
    <n v="330000"/>
    <n v="0"/>
    <n v="0"/>
    <n v="0"/>
    <n v="0"/>
    <n v="0"/>
    <n v="0"/>
    <n v="0"/>
    <n v="0"/>
    <n v="0"/>
    <x v="0"/>
    <s v="-"/>
    <x v="0"/>
  </r>
  <r>
    <x v="3"/>
    <x v="31"/>
    <x v="29"/>
    <x v="12"/>
    <x v="2"/>
    <x v="1"/>
    <x v="3"/>
    <x v="36"/>
    <s v="C/USN/V/P1/4 80104 6060 WPF/UM"/>
    <x v="108"/>
    <n v="154044"/>
    <n v="0"/>
    <n v="154044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32"/>
    <x v="30"/>
    <x v="13"/>
    <x v="1"/>
    <x v="1"/>
    <x v="1"/>
    <x v="37"/>
    <s v="C/USN/V/P1/65 80101 6050 WPF, w tym"/>
    <x v="109"/>
    <n v="15283331"/>
    <n v="11316530"/>
    <n v="2805801"/>
    <n v="1161000"/>
    <n v="0"/>
    <n v="0"/>
    <n v="0"/>
    <n v="0"/>
    <n v="0"/>
    <n v="0"/>
    <n v="0"/>
    <n v="0"/>
    <n v="0"/>
    <x v="0"/>
    <s v="-"/>
    <x v="0"/>
  </r>
  <r>
    <x v="1"/>
    <x v="32"/>
    <x v="30"/>
    <x v="13"/>
    <x v="1"/>
    <x v="1"/>
    <x v="2"/>
    <x v="37"/>
    <s v="C/USN/V/P1/65 80101 6050 WPF/PM"/>
    <x v="110"/>
    <n v="1161000"/>
    <n v="0"/>
    <n v="0"/>
    <n v="1161000"/>
    <n v="0"/>
    <n v="0"/>
    <n v="0"/>
    <n v="0"/>
    <n v="0"/>
    <n v="0"/>
    <n v="0"/>
    <n v="0"/>
    <n v="0"/>
    <x v="0"/>
    <s v="-"/>
    <x v="0"/>
  </r>
  <r>
    <x v="1"/>
    <x v="32"/>
    <x v="30"/>
    <x v="13"/>
    <x v="1"/>
    <x v="1"/>
    <x v="3"/>
    <x v="37"/>
    <s v="C/USN/V/P1/65 80101 6050 WPF/UM"/>
    <x v="111"/>
    <n v="14122331"/>
    <n v="11316530"/>
    <n v="2805801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32"/>
    <x v="30"/>
    <x v="13"/>
    <x v="1"/>
    <x v="1"/>
    <x v="1"/>
    <x v="37"/>
    <s v="C/USN/V/P1/65 80101 6050 WPF, w tym"/>
    <x v="109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2"/>
    <x v="30"/>
    <x v="13"/>
    <x v="1"/>
    <x v="1"/>
    <x v="2"/>
    <x v="37"/>
    <s v="C/USN/V/P1/65 80101 6050 WPF/PM"/>
    <x v="110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2"/>
    <x v="30"/>
    <x v="13"/>
    <x v="1"/>
    <x v="1"/>
    <x v="3"/>
    <x v="37"/>
    <s v="C/USN/V/P1/65 80101 6050 WPF/UM"/>
    <x v="111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32"/>
    <x v="30"/>
    <x v="13"/>
    <x v="1"/>
    <x v="1"/>
    <x v="1"/>
    <x v="37"/>
    <s v="C/USN/V/P1/65 80101 6050 WPF, w tym"/>
    <x v="109"/>
    <n v="15283331"/>
    <n v="11316530"/>
    <n v="2805801"/>
    <n v="1161000"/>
    <n v="0"/>
    <n v="0"/>
    <n v="0"/>
    <n v="0"/>
    <n v="0"/>
    <n v="0"/>
    <n v="0"/>
    <n v="0"/>
    <n v="0"/>
    <x v="0"/>
    <s v="-"/>
    <x v="0"/>
  </r>
  <r>
    <x v="3"/>
    <x v="32"/>
    <x v="30"/>
    <x v="13"/>
    <x v="1"/>
    <x v="1"/>
    <x v="2"/>
    <x v="37"/>
    <s v="C/USN/V/P1/65 80101 6050 WPF/PM"/>
    <x v="110"/>
    <n v="1161000"/>
    <n v="0"/>
    <n v="0"/>
    <n v="1161000"/>
    <n v="0"/>
    <n v="0"/>
    <n v="0"/>
    <n v="0"/>
    <n v="0"/>
    <n v="0"/>
    <n v="0"/>
    <n v="0"/>
    <n v="0"/>
    <x v="0"/>
    <s v="-"/>
    <x v="0"/>
  </r>
  <r>
    <x v="3"/>
    <x v="32"/>
    <x v="30"/>
    <x v="13"/>
    <x v="1"/>
    <x v="1"/>
    <x v="3"/>
    <x v="37"/>
    <s v="C/USN/V/P1/65 80101 6050 WPF/UM"/>
    <x v="111"/>
    <n v="14122331"/>
    <n v="11316530"/>
    <n v="2805801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33"/>
    <x v="31"/>
    <x v="13"/>
    <x v="1"/>
    <x v="1"/>
    <x v="1"/>
    <x v="38"/>
    <s v="C/USN/V/P1/66 80101 6050 WPF, w tym"/>
    <x v="112"/>
    <n v="4069001"/>
    <n v="1539806"/>
    <n v="1458499"/>
    <n v="1070696"/>
    <n v="0"/>
    <n v="0"/>
    <n v="0"/>
    <n v="0"/>
    <n v="0"/>
    <n v="0"/>
    <n v="0"/>
    <n v="0"/>
    <n v="0"/>
    <x v="0"/>
    <s v="-"/>
    <x v="0"/>
  </r>
  <r>
    <x v="1"/>
    <x v="33"/>
    <x v="31"/>
    <x v="13"/>
    <x v="1"/>
    <x v="1"/>
    <x v="2"/>
    <x v="38"/>
    <s v="C/USN/V/P1/66 80101 6050 WPF/PM"/>
    <x v="113"/>
    <n v="1070696"/>
    <n v="0"/>
    <n v="0"/>
    <n v="1070696"/>
    <n v="0"/>
    <n v="0"/>
    <n v="0"/>
    <n v="0"/>
    <n v="0"/>
    <n v="0"/>
    <n v="0"/>
    <n v="0"/>
    <n v="0"/>
    <x v="0"/>
    <s v="-"/>
    <x v="0"/>
  </r>
  <r>
    <x v="1"/>
    <x v="33"/>
    <x v="31"/>
    <x v="13"/>
    <x v="1"/>
    <x v="1"/>
    <x v="3"/>
    <x v="38"/>
    <s v="C/USN/V/P1/66 80101 6050 WPF/UM"/>
    <x v="114"/>
    <n v="2998305"/>
    <n v="1539806"/>
    <n v="1458499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33"/>
    <x v="31"/>
    <x v="13"/>
    <x v="1"/>
    <x v="1"/>
    <x v="1"/>
    <x v="38"/>
    <s v="C/USN/V/P1/66 80101 6050 WPF, w tym"/>
    <x v="112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3"/>
    <x v="31"/>
    <x v="13"/>
    <x v="1"/>
    <x v="1"/>
    <x v="2"/>
    <x v="38"/>
    <s v="C/USN/V/P1/66 80101 6050 WPF/PM"/>
    <x v="113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3"/>
    <x v="31"/>
    <x v="13"/>
    <x v="1"/>
    <x v="1"/>
    <x v="3"/>
    <x v="38"/>
    <s v="C/USN/V/P1/66 80101 6050 WPF/UM"/>
    <x v="114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33"/>
    <x v="31"/>
    <x v="13"/>
    <x v="1"/>
    <x v="1"/>
    <x v="1"/>
    <x v="38"/>
    <s v="C/USN/V/P1/66 80101 6050 WPF, w tym"/>
    <x v="112"/>
    <n v="4069001"/>
    <n v="1539806"/>
    <n v="1458499"/>
    <n v="1070696"/>
    <n v="0"/>
    <n v="0"/>
    <n v="0"/>
    <n v="0"/>
    <n v="0"/>
    <n v="0"/>
    <n v="0"/>
    <n v="0"/>
    <n v="0"/>
    <x v="0"/>
    <s v="-"/>
    <x v="0"/>
  </r>
  <r>
    <x v="3"/>
    <x v="33"/>
    <x v="31"/>
    <x v="13"/>
    <x v="1"/>
    <x v="1"/>
    <x v="2"/>
    <x v="38"/>
    <s v="C/USN/V/P1/66 80101 6050 WPF/PM"/>
    <x v="113"/>
    <n v="1070696"/>
    <n v="0"/>
    <n v="0"/>
    <n v="1070696"/>
    <n v="0"/>
    <n v="0"/>
    <n v="0"/>
    <n v="0"/>
    <n v="0"/>
    <n v="0"/>
    <n v="0"/>
    <n v="0"/>
    <n v="0"/>
    <x v="0"/>
    <s v="-"/>
    <x v="0"/>
  </r>
  <r>
    <x v="3"/>
    <x v="33"/>
    <x v="31"/>
    <x v="13"/>
    <x v="1"/>
    <x v="1"/>
    <x v="3"/>
    <x v="38"/>
    <s v="C/USN/V/P1/66 80101 6050 WPF/UM"/>
    <x v="114"/>
    <n v="2998305"/>
    <n v="1539806"/>
    <n v="1458499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33"/>
    <x v="31"/>
    <x v="13"/>
    <x v="1"/>
    <x v="13"/>
    <x v="1"/>
    <x v="39"/>
    <s v="C/USN/V/P1/66 80101 6050 WPF, w tym"/>
    <x v="115"/>
    <n v="1000000"/>
    <n v="0"/>
    <n v="0"/>
    <n v="1000000"/>
    <n v="0"/>
    <n v="0"/>
    <n v="0"/>
    <n v="0"/>
    <n v="0"/>
    <n v="0"/>
    <n v="0"/>
    <n v="0"/>
    <n v="0"/>
    <x v="0"/>
    <s v="-"/>
    <x v="0"/>
  </r>
  <r>
    <x v="1"/>
    <x v="33"/>
    <x v="31"/>
    <x v="13"/>
    <x v="1"/>
    <x v="13"/>
    <x v="2"/>
    <x v="39"/>
    <s v="C/USN/V/P1/66 80101 6050 WPF/PM"/>
    <x v="116"/>
    <n v="1000000"/>
    <n v="0"/>
    <n v="0"/>
    <n v="1000000"/>
    <n v="0"/>
    <n v="0"/>
    <n v="0"/>
    <n v="0"/>
    <n v="0"/>
    <n v="0"/>
    <n v="0"/>
    <n v="0"/>
    <n v="0"/>
    <x v="0"/>
    <s v="-"/>
    <x v="0"/>
  </r>
  <r>
    <x v="1"/>
    <x v="33"/>
    <x v="31"/>
    <x v="13"/>
    <x v="1"/>
    <x v="13"/>
    <x v="3"/>
    <x v="39"/>
    <s v="C/USN/V/P1/66 80101 6050 WPF/UM"/>
    <x v="117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33"/>
    <x v="31"/>
    <x v="13"/>
    <x v="1"/>
    <x v="13"/>
    <x v="1"/>
    <x v="39"/>
    <s v="C/USN/V/P1/66 80101 6050 WPF, w tym"/>
    <x v="115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3"/>
    <x v="31"/>
    <x v="13"/>
    <x v="1"/>
    <x v="13"/>
    <x v="2"/>
    <x v="39"/>
    <s v="C/USN/V/P1/66 80101 6050 WPF/PM"/>
    <x v="116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3"/>
    <x v="31"/>
    <x v="13"/>
    <x v="1"/>
    <x v="13"/>
    <x v="3"/>
    <x v="39"/>
    <s v="C/USN/V/P1/66 80101 6050 WPF/UM"/>
    <x v="117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33"/>
    <x v="31"/>
    <x v="13"/>
    <x v="1"/>
    <x v="13"/>
    <x v="1"/>
    <x v="39"/>
    <s v="C/USN/V/P1/66 80101 6050 WPF, w tym"/>
    <x v="115"/>
    <n v="1000000"/>
    <n v="0"/>
    <n v="0"/>
    <n v="1000000"/>
    <n v="0"/>
    <n v="0"/>
    <n v="0"/>
    <n v="0"/>
    <n v="0"/>
    <n v="0"/>
    <n v="0"/>
    <n v="0"/>
    <n v="0"/>
    <x v="0"/>
    <s v="-"/>
    <x v="0"/>
  </r>
  <r>
    <x v="3"/>
    <x v="33"/>
    <x v="31"/>
    <x v="13"/>
    <x v="1"/>
    <x v="13"/>
    <x v="2"/>
    <x v="39"/>
    <s v="C/USN/V/P1/66 80101 6050 WPF/PM"/>
    <x v="116"/>
    <n v="1000000"/>
    <n v="0"/>
    <n v="0"/>
    <n v="1000000"/>
    <n v="0"/>
    <n v="0"/>
    <n v="0"/>
    <n v="0"/>
    <n v="0"/>
    <n v="0"/>
    <n v="0"/>
    <n v="0"/>
    <n v="0"/>
    <x v="0"/>
    <s v="-"/>
    <x v="0"/>
  </r>
  <r>
    <x v="3"/>
    <x v="33"/>
    <x v="31"/>
    <x v="13"/>
    <x v="1"/>
    <x v="13"/>
    <x v="3"/>
    <x v="39"/>
    <s v="C/USN/V/P1/66 80101 6050 WPF/UM"/>
    <x v="117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34"/>
    <x v="32"/>
    <x v="13"/>
    <x v="1"/>
    <x v="1"/>
    <x v="1"/>
    <x v="40"/>
    <s v="C/USN/V/P1/68 80101 6050 WPF, w tym"/>
    <x v="118"/>
    <n v="13657458"/>
    <n v="317217"/>
    <n v="7551438"/>
    <n v="5158782"/>
    <n v="630021"/>
    <n v="0"/>
    <n v="0"/>
    <n v="0"/>
    <n v="0"/>
    <n v="0"/>
    <n v="0"/>
    <n v="0"/>
    <n v="0"/>
    <x v="0"/>
    <s v="-"/>
    <x v="0"/>
  </r>
  <r>
    <x v="1"/>
    <x v="34"/>
    <x v="32"/>
    <x v="13"/>
    <x v="1"/>
    <x v="1"/>
    <x v="2"/>
    <x v="40"/>
    <s v="C/USN/V/P1/68 80101 6050 WPF/PM"/>
    <x v="119"/>
    <n v="5788803"/>
    <n v="0"/>
    <n v="0"/>
    <n v="5158782"/>
    <n v="630021"/>
    <n v="0"/>
    <n v="0"/>
    <n v="0"/>
    <n v="0"/>
    <n v="0"/>
    <n v="0"/>
    <n v="0"/>
    <n v="0"/>
    <x v="0"/>
    <s v="-"/>
    <x v="0"/>
  </r>
  <r>
    <x v="1"/>
    <x v="34"/>
    <x v="32"/>
    <x v="13"/>
    <x v="1"/>
    <x v="1"/>
    <x v="3"/>
    <x v="40"/>
    <s v="C/USN/V/P1/68 80101 6050 WPF/UM"/>
    <x v="120"/>
    <n v="7868655"/>
    <n v="317217"/>
    <n v="7551438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34"/>
    <x v="32"/>
    <x v="13"/>
    <x v="1"/>
    <x v="1"/>
    <x v="1"/>
    <x v="40"/>
    <s v="C/USN/V/P1/68 80101 6050 WPF, w tym"/>
    <x v="118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4"/>
    <x v="32"/>
    <x v="13"/>
    <x v="1"/>
    <x v="1"/>
    <x v="2"/>
    <x v="40"/>
    <s v="C/USN/V/P1/68 80101 6050 WPF/PM"/>
    <x v="119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4"/>
    <x v="32"/>
    <x v="13"/>
    <x v="1"/>
    <x v="1"/>
    <x v="3"/>
    <x v="40"/>
    <s v="C/USN/V/P1/68 80101 6050 WPF/UM"/>
    <x v="120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34"/>
    <x v="32"/>
    <x v="13"/>
    <x v="1"/>
    <x v="1"/>
    <x v="1"/>
    <x v="40"/>
    <s v="C/USN/V/P1/68 80101 6050 WPF, w tym"/>
    <x v="118"/>
    <n v="13657458"/>
    <n v="317217"/>
    <n v="7551438"/>
    <n v="5158782"/>
    <n v="630021"/>
    <n v="0"/>
    <n v="0"/>
    <n v="0"/>
    <n v="0"/>
    <n v="0"/>
    <n v="0"/>
    <n v="0"/>
    <n v="0"/>
    <x v="0"/>
    <s v="-"/>
    <x v="0"/>
  </r>
  <r>
    <x v="3"/>
    <x v="34"/>
    <x v="32"/>
    <x v="13"/>
    <x v="1"/>
    <x v="1"/>
    <x v="2"/>
    <x v="40"/>
    <s v="C/USN/V/P1/68 80101 6050 WPF/PM"/>
    <x v="119"/>
    <n v="5788803"/>
    <n v="0"/>
    <n v="0"/>
    <n v="5158782"/>
    <n v="630021"/>
    <n v="0"/>
    <n v="0"/>
    <n v="0"/>
    <n v="0"/>
    <n v="0"/>
    <n v="0"/>
    <n v="0"/>
    <n v="0"/>
    <x v="0"/>
    <s v="-"/>
    <x v="0"/>
  </r>
  <r>
    <x v="3"/>
    <x v="34"/>
    <x v="32"/>
    <x v="13"/>
    <x v="1"/>
    <x v="1"/>
    <x v="3"/>
    <x v="40"/>
    <s v="C/USN/V/P1/68 80101 6050 WPF/UM"/>
    <x v="120"/>
    <n v="7868655"/>
    <n v="317217"/>
    <n v="7551438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34"/>
    <x v="32"/>
    <x v="13"/>
    <x v="1"/>
    <x v="14"/>
    <x v="1"/>
    <x v="41"/>
    <s v="C/USN/V/P1/68 80101 6050 WPF, w tym"/>
    <x v="121"/>
    <n v="2000000"/>
    <n v="0"/>
    <n v="1605000"/>
    <n v="395000"/>
    <n v="0"/>
    <n v="0"/>
    <n v="0"/>
    <n v="0"/>
    <n v="0"/>
    <n v="0"/>
    <n v="0"/>
    <n v="0"/>
    <n v="0"/>
    <x v="0"/>
    <s v="-"/>
    <x v="0"/>
  </r>
  <r>
    <x v="1"/>
    <x v="34"/>
    <x v="32"/>
    <x v="13"/>
    <x v="1"/>
    <x v="14"/>
    <x v="2"/>
    <x v="41"/>
    <s v="C/USN/V/P1/68 80101 6050 WPF/PM"/>
    <x v="122"/>
    <n v="395000"/>
    <n v="0"/>
    <n v="0"/>
    <n v="395000"/>
    <n v="0"/>
    <n v="0"/>
    <n v="0"/>
    <n v="0"/>
    <n v="0"/>
    <n v="0"/>
    <n v="0"/>
    <n v="0"/>
    <n v="0"/>
    <x v="0"/>
    <s v="-"/>
    <x v="0"/>
  </r>
  <r>
    <x v="1"/>
    <x v="34"/>
    <x v="32"/>
    <x v="13"/>
    <x v="1"/>
    <x v="14"/>
    <x v="3"/>
    <x v="41"/>
    <s v="C/USN/V/P1/68 80101 6050 WPF/UM"/>
    <x v="123"/>
    <n v="1605000"/>
    <n v="0"/>
    <n v="160500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34"/>
    <x v="32"/>
    <x v="13"/>
    <x v="1"/>
    <x v="14"/>
    <x v="1"/>
    <x v="41"/>
    <s v="C/USN/V/P1/68 80101 6050 WPF, w tym"/>
    <x v="121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4"/>
    <x v="32"/>
    <x v="13"/>
    <x v="1"/>
    <x v="14"/>
    <x v="2"/>
    <x v="41"/>
    <s v="C/USN/V/P1/68 80101 6050 WPF/PM"/>
    <x v="122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4"/>
    <x v="32"/>
    <x v="13"/>
    <x v="1"/>
    <x v="14"/>
    <x v="3"/>
    <x v="41"/>
    <s v="C/USN/V/P1/68 80101 6050 WPF/UM"/>
    <x v="123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34"/>
    <x v="32"/>
    <x v="13"/>
    <x v="1"/>
    <x v="14"/>
    <x v="1"/>
    <x v="41"/>
    <s v="C/USN/V/P1/68 80101 6050 WPF, w tym"/>
    <x v="121"/>
    <n v="2000000"/>
    <n v="0"/>
    <n v="1605000"/>
    <n v="395000"/>
    <n v="0"/>
    <n v="0"/>
    <n v="0"/>
    <n v="0"/>
    <n v="0"/>
    <n v="0"/>
    <n v="0"/>
    <n v="0"/>
    <n v="0"/>
    <x v="0"/>
    <s v="-"/>
    <x v="0"/>
  </r>
  <r>
    <x v="3"/>
    <x v="34"/>
    <x v="32"/>
    <x v="13"/>
    <x v="1"/>
    <x v="14"/>
    <x v="2"/>
    <x v="41"/>
    <s v="C/USN/V/P1/68 80101 6050 WPF/PM"/>
    <x v="122"/>
    <n v="395000"/>
    <n v="0"/>
    <n v="0"/>
    <n v="395000"/>
    <n v="0"/>
    <n v="0"/>
    <n v="0"/>
    <n v="0"/>
    <n v="0"/>
    <n v="0"/>
    <n v="0"/>
    <n v="0"/>
    <n v="0"/>
    <x v="0"/>
    <s v="-"/>
    <x v="0"/>
  </r>
  <r>
    <x v="3"/>
    <x v="34"/>
    <x v="32"/>
    <x v="13"/>
    <x v="1"/>
    <x v="14"/>
    <x v="3"/>
    <x v="41"/>
    <s v="C/USN/V/P1/68 80101 6050 WPF/UM"/>
    <x v="123"/>
    <n v="1605000"/>
    <n v="0"/>
    <n v="160500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35"/>
    <x v="33"/>
    <x v="13"/>
    <x v="1"/>
    <x v="1"/>
    <x v="1"/>
    <x v="42"/>
    <s v="C/USN/V/P1/70 80101 6050 WPF, w tym"/>
    <x v="124"/>
    <n v="3634103"/>
    <n v="138971"/>
    <n v="895545"/>
    <n v="2599587"/>
    <n v="0"/>
    <n v="0"/>
    <n v="0"/>
    <n v="0"/>
    <n v="0"/>
    <n v="0"/>
    <n v="0"/>
    <n v="0"/>
    <n v="0"/>
    <x v="0"/>
    <s v="-"/>
    <x v="0"/>
  </r>
  <r>
    <x v="1"/>
    <x v="35"/>
    <x v="33"/>
    <x v="13"/>
    <x v="1"/>
    <x v="1"/>
    <x v="2"/>
    <x v="42"/>
    <s v="C/USN/V/P1/70 80101 6050 WPF/PM"/>
    <x v="125"/>
    <n v="2477447"/>
    <n v="0"/>
    <n v="0"/>
    <n v="2477447"/>
    <n v="0"/>
    <n v="0"/>
    <n v="0"/>
    <n v="0"/>
    <n v="0"/>
    <n v="0"/>
    <n v="0"/>
    <n v="0"/>
    <n v="0"/>
    <x v="0"/>
    <s v="-"/>
    <x v="0"/>
  </r>
  <r>
    <x v="1"/>
    <x v="35"/>
    <x v="33"/>
    <x v="13"/>
    <x v="1"/>
    <x v="1"/>
    <x v="3"/>
    <x v="42"/>
    <s v="C/USN/V/P1/70 80101 6050 WPF/UM"/>
    <x v="126"/>
    <n v="1156656"/>
    <n v="138971"/>
    <n v="895545"/>
    <n v="12214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35"/>
    <x v="33"/>
    <x v="13"/>
    <x v="1"/>
    <x v="1"/>
    <x v="1"/>
    <x v="42"/>
    <s v="C/USN/V/P1/70 80101 6050 WPF, w tym"/>
    <x v="124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5"/>
    <x v="33"/>
    <x v="13"/>
    <x v="1"/>
    <x v="1"/>
    <x v="2"/>
    <x v="42"/>
    <s v="C/USN/V/P1/70 80101 6050 WPF/PM"/>
    <x v="125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5"/>
    <x v="33"/>
    <x v="13"/>
    <x v="1"/>
    <x v="1"/>
    <x v="3"/>
    <x v="42"/>
    <s v="C/USN/V/P1/70 80101 6050 WPF/UM"/>
    <x v="126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35"/>
    <x v="33"/>
    <x v="13"/>
    <x v="1"/>
    <x v="1"/>
    <x v="1"/>
    <x v="42"/>
    <s v="C/USN/V/P1/70 80101 6050 WPF, w tym"/>
    <x v="124"/>
    <n v="3634103"/>
    <n v="138971"/>
    <n v="895545"/>
    <n v="2599587"/>
    <n v="0"/>
    <n v="0"/>
    <n v="0"/>
    <n v="0"/>
    <n v="0"/>
    <n v="0"/>
    <n v="0"/>
    <n v="0"/>
    <n v="0"/>
    <x v="0"/>
    <s v="-"/>
    <x v="0"/>
  </r>
  <r>
    <x v="3"/>
    <x v="35"/>
    <x v="33"/>
    <x v="13"/>
    <x v="1"/>
    <x v="1"/>
    <x v="2"/>
    <x v="42"/>
    <s v="C/USN/V/P1/70 80101 6050 WPF/PM"/>
    <x v="125"/>
    <n v="2477447"/>
    <n v="0"/>
    <n v="0"/>
    <n v="2477447"/>
    <n v="0"/>
    <n v="0"/>
    <n v="0"/>
    <n v="0"/>
    <n v="0"/>
    <n v="0"/>
    <n v="0"/>
    <n v="0"/>
    <n v="0"/>
    <x v="0"/>
    <s v="-"/>
    <x v="0"/>
  </r>
  <r>
    <x v="3"/>
    <x v="35"/>
    <x v="33"/>
    <x v="13"/>
    <x v="1"/>
    <x v="1"/>
    <x v="3"/>
    <x v="42"/>
    <s v="C/USN/V/P1/70 80101 6050 WPF/UM"/>
    <x v="126"/>
    <n v="1156656"/>
    <n v="138971"/>
    <n v="895545"/>
    <n v="12214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35"/>
    <x v="33"/>
    <x v="13"/>
    <x v="1"/>
    <x v="15"/>
    <x v="1"/>
    <x v="43"/>
    <s v="C/USN/V/P1/70 80101 6050 WPF, w tym"/>
    <x v="127"/>
    <n v="700000"/>
    <n v="0"/>
    <n v="500000"/>
    <n v="200000"/>
    <n v="0"/>
    <n v="0"/>
    <n v="0"/>
    <n v="0"/>
    <n v="0"/>
    <n v="0"/>
    <n v="0"/>
    <n v="0"/>
    <n v="0"/>
    <x v="0"/>
    <s v="-"/>
    <x v="0"/>
  </r>
  <r>
    <x v="1"/>
    <x v="35"/>
    <x v="33"/>
    <x v="13"/>
    <x v="1"/>
    <x v="15"/>
    <x v="2"/>
    <x v="43"/>
    <s v="C/USN/V/P1/70 80101 6050 WPF/PM"/>
    <x v="128"/>
    <n v="200000"/>
    <n v="0"/>
    <n v="0"/>
    <n v="200000"/>
    <n v="0"/>
    <n v="0"/>
    <n v="0"/>
    <n v="0"/>
    <n v="0"/>
    <n v="0"/>
    <n v="0"/>
    <n v="0"/>
    <n v="0"/>
    <x v="0"/>
    <s v="-"/>
    <x v="0"/>
  </r>
  <r>
    <x v="1"/>
    <x v="35"/>
    <x v="33"/>
    <x v="13"/>
    <x v="1"/>
    <x v="15"/>
    <x v="3"/>
    <x v="43"/>
    <s v="C/USN/V/P1/70 80101 6050 WPF/UM"/>
    <x v="129"/>
    <n v="500000"/>
    <n v="0"/>
    <n v="50000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35"/>
    <x v="33"/>
    <x v="13"/>
    <x v="1"/>
    <x v="15"/>
    <x v="1"/>
    <x v="43"/>
    <s v="C/USN/V/P1/70 80101 6050 WPF, w tym"/>
    <x v="127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5"/>
    <x v="33"/>
    <x v="13"/>
    <x v="1"/>
    <x v="15"/>
    <x v="2"/>
    <x v="43"/>
    <s v="C/USN/V/P1/70 80101 6050 WPF/PM"/>
    <x v="128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5"/>
    <x v="33"/>
    <x v="13"/>
    <x v="1"/>
    <x v="15"/>
    <x v="3"/>
    <x v="43"/>
    <s v="C/USN/V/P1/70 80101 6050 WPF/UM"/>
    <x v="129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35"/>
    <x v="33"/>
    <x v="13"/>
    <x v="1"/>
    <x v="15"/>
    <x v="1"/>
    <x v="43"/>
    <s v="C/USN/V/P1/70 80101 6050 WPF, w tym"/>
    <x v="127"/>
    <n v="700000"/>
    <n v="0"/>
    <n v="500000"/>
    <n v="200000"/>
    <n v="0"/>
    <n v="0"/>
    <n v="0"/>
    <n v="0"/>
    <n v="0"/>
    <n v="0"/>
    <n v="0"/>
    <n v="0"/>
    <n v="0"/>
    <x v="0"/>
    <s v="-"/>
    <x v="0"/>
  </r>
  <r>
    <x v="3"/>
    <x v="35"/>
    <x v="33"/>
    <x v="13"/>
    <x v="1"/>
    <x v="15"/>
    <x v="2"/>
    <x v="43"/>
    <s v="C/USN/V/P1/70 80101 6050 WPF/PM"/>
    <x v="128"/>
    <n v="200000"/>
    <n v="0"/>
    <n v="0"/>
    <n v="200000"/>
    <n v="0"/>
    <n v="0"/>
    <n v="0"/>
    <n v="0"/>
    <n v="0"/>
    <n v="0"/>
    <n v="0"/>
    <n v="0"/>
    <n v="0"/>
    <x v="0"/>
    <s v="-"/>
    <x v="0"/>
  </r>
  <r>
    <x v="3"/>
    <x v="35"/>
    <x v="33"/>
    <x v="13"/>
    <x v="1"/>
    <x v="15"/>
    <x v="3"/>
    <x v="43"/>
    <s v="C/USN/V/P1/70 80101 6050 WPF/UM"/>
    <x v="129"/>
    <n v="500000"/>
    <n v="0"/>
    <n v="50000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36"/>
    <x v="34"/>
    <x v="14"/>
    <x v="1"/>
    <x v="1"/>
    <x v="1"/>
    <x v="44"/>
    <s v="C/USN/V/P1/86 80120 6050 WPF, w tym"/>
    <x v="130"/>
    <n v="5000000"/>
    <n v="0"/>
    <n v="337515"/>
    <n v="4662485"/>
    <n v="0"/>
    <n v="0"/>
    <n v="0"/>
    <n v="0"/>
    <n v="0"/>
    <n v="0"/>
    <n v="0"/>
    <n v="0"/>
    <n v="0"/>
    <x v="0"/>
    <s v="-"/>
    <x v="0"/>
  </r>
  <r>
    <x v="1"/>
    <x v="36"/>
    <x v="34"/>
    <x v="14"/>
    <x v="1"/>
    <x v="1"/>
    <x v="2"/>
    <x v="44"/>
    <s v="C/USN/V/P1/86 80120 6050 WPF/PM"/>
    <x v="131"/>
    <n v="4662485"/>
    <n v="0"/>
    <n v="0"/>
    <n v="4662485"/>
    <n v="0"/>
    <n v="0"/>
    <n v="0"/>
    <n v="0"/>
    <n v="0"/>
    <n v="0"/>
    <n v="0"/>
    <n v="0"/>
    <n v="0"/>
    <x v="0"/>
    <s v="-"/>
    <x v="0"/>
  </r>
  <r>
    <x v="1"/>
    <x v="36"/>
    <x v="34"/>
    <x v="14"/>
    <x v="1"/>
    <x v="1"/>
    <x v="3"/>
    <x v="44"/>
    <s v="C/USN/V/P1/86 80120 6050 WPF/UM"/>
    <x v="132"/>
    <n v="337515"/>
    <n v="0"/>
    <n v="337515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36"/>
    <x v="34"/>
    <x v="14"/>
    <x v="1"/>
    <x v="1"/>
    <x v="1"/>
    <x v="44"/>
    <s v="C/USN/V/P1/86 80120 6050 WPF, w tym"/>
    <x v="130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6"/>
    <x v="34"/>
    <x v="14"/>
    <x v="1"/>
    <x v="1"/>
    <x v="2"/>
    <x v="44"/>
    <s v="C/USN/V/P1/86 80120 6050 WPF/PM"/>
    <x v="131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6"/>
    <x v="34"/>
    <x v="14"/>
    <x v="1"/>
    <x v="1"/>
    <x v="3"/>
    <x v="44"/>
    <s v="C/USN/V/P1/86 80120 6050 WPF/UM"/>
    <x v="132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36"/>
    <x v="34"/>
    <x v="14"/>
    <x v="1"/>
    <x v="1"/>
    <x v="1"/>
    <x v="44"/>
    <s v="C/USN/V/P1/86 80120 6050 WPF, w tym"/>
    <x v="130"/>
    <n v="5000000"/>
    <n v="0"/>
    <n v="337515"/>
    <n v="4662485"/>
    <n v="0"/>
    <n v="0"/>
    <n v="0"/>
    <n v="0"/>
    <n v="0"/>
    <n v="0"/>
    <n v="0"/>
    <n v="0"/>
    <n v="0"/>
    <x v="0"/>
    <s v="-"/>
    <x v="0"/>
  </r>
  <r>
    <x v="3"/>
    <x v="36"/>
    <x v="34"/>
    <x v="14"/>
    <x v="1"/>
    <x v="1"/>
    <x v="2"/>
    <x v="44"/>
    <s v="C/USN/V/P1/86 80120 6050 WPF/PM"/>
    <x v="131"/>
    <n v="4662485"/>
    <n v="0"/>
    <n v="0"/>
    <n v="4662485"/>
    <n v="0"/>
    <n v="0"/>
    <n v="0"/>
    <n v="0"/>
    <n v="0"/>
    <n v="0"/>
    <n v="0"/>
    <n v="0"/>
    <n v="0"/>
    <x v="0"/>
    <s v="-"/>
    <x v="0"/>
  </r>
  <r>
    <x v="3"/>
    <x v="36"/>
    <x v="34"/>
    <x v="14"/>
    <x v="1"/>
    <x v="1"/>
    <x v="3"/>
    <x v="44"/>
    <s v="C/USN/V/P1/86 80120 6050 WPF/UM"/>
    <x v="132"/>
    <n v="337515"/>
    <n v="0"/>
    <n v="337515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36"/>
    <x v="34"/>
    <x v="14"/>
    <x v="1"/>
    <x v="16"/>
    <x v="1"/>
    <x v="45"/>
    <s v="C/USN/V/P1/86 80120 6050 WPF, w tym"/>
    <x v="133"/>
    <n v="2000000"/>
    <n v="0"/>
    <n v="0"/>
    <n v="1100000"/>
    <n v="900000"/>
    <n v="0"/>
    <n v="0"/>
    <n v="0"/>
    <n v="0"/>
    <n v="0"/>
    <n v="0"/>
    <n v="0"/>
    <n v="0"/>
    <x v="0"/>
    <s v="-"/>
    <x v="0"/>
  </r>
  <r>
    <x v="1"/>
    <x v="36"/>
    <x v="34"/>
    <x v="14"/>
    <x v="1"/>
    <x v="16"/>
    <x v="2"/>
    <x v="45"/>
    <s v="C/USN/V/P1/86 80120 6050 WPF/PM"/>
    <x v="134"/>
    <n v="2000000"/>
    <n v="0"/>
    <n v="0"/>
    <n v="1100000"/>
    <n v="900000"/>
    <n v="0"/>
    <n v="0"/>
    <n v="0"/>
    <n v="0"/>
    <n v="0"/>
    <n v="0"/>
    <n v="0"/>
    <n v="0"/>
    <x v="0"/>
    <s v="-"/>
    <x v="0"/>
  </r>
  <r>
    <x v="1"/>
    <x v="36"/>
    <x v="34"/>
    <x v="14"/>
    <x v="1"/>
    <x v="16"/>
    <x v="3"/>
    <x v="45"/>
    <s v="C/USN/V/P1/86 80120 6050 WPF/UM"/>
    <x v="135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36"/>
    <x v="34"/>
    <x v="14"/>
    <x v="1"/>
    <x v="16"/>
    <x v="1"/>
    <x v="45"/>
    <s v="C/USN/V/P1/86 80120 6050 WPF, w tym"/>
    <x v="133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6"/>
    <x v="34"/>
    <x v="14"/>
    <x v="1"/>
    <x v="16"/>
    <x v="2"/>
    <x v="45"/>
    <s v="C/USN/V/P1/86 80120 6050 WPF/PM"/>
    <x v="134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6"/>
    <x v="34"/>
    <x v="14"/>
    <x v="1"/>
    <x v="16"/>
    <x v="3"/>
    <x v="45"/>
    <s v="C/USN/V/P1/86 80120 6050 WPF/UM"/>
    <x v="135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36"/>
    <x v="34"/>
    <x v="14"/>
    <x v="1"/>
    <x v="16"/>
    <x v="1"/>
    <x v="45"/>
    <s v="C/USN/V/P1/86 80120 6050 WPF, w tym"/>
    <x v="133"/>
    <n v="2000000"/>
    <n v="0"/>
    <n v="0"/>
    <n v="1100000"/>
    <n v="900000"/>
    <n v="0"/>
    <n v="0"/>
    <n v="0"/>
    <n v="0"/>
    <n v="0"/>
    <n v="0"/>
    <n v="0"/>
    <n v="0"/>
    <x v="0"/>
    <s v="-"/>
    <x v="0"/>
  </r>
  <r>
    <x v="3"/>
    <x v="36"/>
    <x v="34"/>
    <x v="14"/>
    <x v="1"/>
    <x v="16"/>
    <x v="2"/>
    <x v="45"/>
    <s v="C/USN/V/P1/86 80120 6050 WPF/PM"/>
    <x v="134"/>
    <n v="2000000"/>
    <n v="0"/>
    <n v="0"/>
    <n v="1100000"/>
    <n v="900000"/>
    <n v="0"/>
    <n v="0"/>
    <n v="0"/>
    <n v="0"/>
    <n v="0"/>
    <n v="0"/>
    <n v="0"/>
    <n v="0"/>
    <x v="0"/>
    <s v="-"/>
    <x v="0"/>
  </r>
  <r>
    <x v="3"/>
    <x v="36"/>
    <x v="34"/>
    <x v="14"/>
    <x v="1"/>
    <x v="16"/>
    <x v="3"/>
    <x v="45"/>
    <s v="C/USN/V/P1/86 80120 6050 WPF/UM"/>
    <x v="135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37"/>
    <x v="35"/>
    <x v="13"/>
    <x v="1"/>
    <x v="1"/>
    <x v="1"/>
    <x v="46"/>
    <s v="C/USN/V/P1/87 80101 6050 WPF, w tym"/>
    <x v="136"/>
    <n v="700000"/>
    <n v="0"/>
    <n v="176172"/>
    <n v="523828"/>
    <n v="0"/>
    <n v="0"/>
    <n v="0"/>
    <n v="0"/>
    <n v="0"/>
    <n v="0"/>
    <n v="0"/>
    <n v="0"/>
    <n v="0"/>
    <x v="0"/>
    <s v="-"/>
    <x v="0"/>
  </r>
  <r>
    <x v="1"/>
    <x v="37"/>
    <x v="35"/>
    <x v="13"/>
    <x v="1"/>
    <x v="1"/>
    <x v="2"/>
    <x v="46"/>
    <s v="C/USN/V/P1/87 80101 6050 WPF/PM"/>
    <x v="137"/>
    <n v="523828"/>
    <n v="0"/>
    <n v="0"/>
    <n v="523828"/>
    <n v="0"/>
    <n v="0"/>
    <n v="0"/>
    <n v="0"/>
    <n v="0"/>
    <n v="0"/>
    <n v="0"/>
    <n v="0"/>
    <n v="0"/>
    <x v="0"/>
    <s v="-"/>
    <x v="0"/>
  </r>
  <r>
    <x v="1"/>
    <x v="37"/>
    <x v="35"/>
    <x v="13"/>
    <x v="1"/>
    <x v="1"/>
    <x v="3"/>
    <x v="46"/>
    <s v="C/USN/V/P1/87 80101 6050 WPF/UM"/>
    <x v="138"/>
    <n v="176172"/>
    <n v="0"/>
    <n v="176172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37"/>
    <x v="35"/>
    <x v="13"/>
    <x v="1"/>
    <x v="1"/>
    <x v="1"/>
    <x v="46"/>
    <s v="C/USN/V/P1/87 80101 6050 WPF, w tym"/>
    <x v="136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7"/>
    <x v="35"/>
    <x v="13"/>
    <x v="1"/>
    <x v="1"/>
    <x v="2"/>
    <x v="46"/>
    <s v="C/USN/V/P1/87 80101 6050 WPF/PM"/>
    <x v="137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7"/>
    <x v="35"/>
    <x v="13"/>
    <x v="1"/>
    <x v="1"/>
    <x v="3"/>
    <x v="46"/>
    <s v="C/USN/V/P1/87 80101 6050 WPF/UM"/>
    <x v="138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37"/>
    <x v="35"/>
    <x v="13"/>
    <x v="1"/>
    <x v="1"/>
    <x v="1"/>
    <x v="46"/>
    <s v="C/USN/V/P1/87 80101 6050 WPF, w tym"/>
    <x v="136"/>
    <n v="700000"/>
    <n v="0"/>
    <n v="176172"/>
    <n v="523828"/>
    <n v="0"/>
    <n v="0"/>
    <n v="0"/>
    <n v="0"/>
    <n v="0"/>
    <n v="0"/>
    <n v="0"/>
    <n v="0"/>
    <n v="0"/>
    <x v="0"/>
    <s v="-"/>
    <x v="0"/>
  </r>
  <r>
    <x v="3"/>
    <x v="37"/>
    <x v="35"/>
    <x v="13"/>
    <x v="1"/>
    <x v="1"/>
    <x v="2"/>
    <x v="46"/>
    <s v="C/USN/V/P1/87 80101 6050 WPF/PM"/>
    <x v="137"/>
    <n v="523828"/>
    <n v="0"/>
    <n v="0"/>
    <n v="523828"/>
    <n v="0"/>
    <n v="0"/>
    <n v="0"/>
    <n v="0"/>
    <n v="0"/>
    <n v="0"/>
    <n v="0"/>
    <n v="0"/>
    <n v="0"/>
    <x v="0"/>
    <s v="-"/>
    <x v="0"/>
  </r>
  <r>
    <x v="3"/>
    <x v="37"/>
    <x v="35"/>
    <x v="13"/>
    <x v="1"/>
    <x v="1"/>
    <x v="3"/>
    <x v="46"/>
    <s v="C/USN/V/P1/87 80101 6050 WPF/UM"/>
    <x v="138"/>
    <n v="176172"/>
    <n v="0"/>
    <n v="176172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37"/>
    <x v="35"/>
    <x v="13"/>
    <x v="1"/>
    <x v="17"/>
    <x v="1"/>
    <x v="47"/>
    <s v="C/USN/V/P1/87 80101 6050 WPF, w tym"/>
    <x v="139"/>
    <n v="2796044"/>
    <n v="0"/>
    <n v="2796044"/>
    <n v="0"/>
    <n v="0"/>
    <n v="0"/>
    <n v="0"/>
    <n v="0"/>
    <n v="0"/>
    <n v="0"/>
    <n v="0"/>
    <n v="0"/>
    <n v="0"/>
    <x v="0"/>
    <s v="-"/>
    <x v="0"/>
  </r>
  <r>
    <x v="1"/>
    <x v="37"/>
    <x v="35"/>
    <x v="13"/>
    <x v="1"/>
    <x v="17"/>
    <x v="2"/>
    <x v="47"/>
    <s v="C/USN/V/P1/87 80101 6050 WPF/PM"/>
    <x v="140"/>
    <n v="0"/>
    <n v="0"/>
    <n v="0"/>
    <n v="0"/>
    <n v="0"/>
    <n v="0"/>
    <n v="0"/>
    <n v="0"/>
    <n v="0"/>
    <n v="0"/>
    <n v="0"/>
    <n v="0"/>
    <n v="0"/>
    <x v="0"/>
    <s v="-"/>
    <x v="0"/>
  </r>
  <r>
    <x v="1"/>
    <x v="37"/>
    <x v="35"/>
    <x v="13"/>
    <x v="1"/>
    <x v="17"/>
    <x v="3"/>
    <x v="47"/>
    <s v="C/USN/V/P1/87 80101 6050 WPF/UM"/>
    <x v="141"/>
    <n v="2796044"/>
    <n v="0"/>
    <n v="2796044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37"/>
    <x v="35"/>
    <x v="13"/>
    <x v="1"/>
    <x v="17"/>
    <x v="1"/>
    <x v="47"/>
    <s v="C/USN/V/P1/87 80101 6050 WPF, w tym"/>
    <x v="139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7"/>
    <x v="35"/>
    <x v="13"/>
    <x v="1"/>
    <x v="17"/>
    <x v="2"/>
    <x v="47"/>
    <s v="C/USN/V/P1/87 80101 6050 WPF/PM"/>
    <x v="140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7"/>
    <x v="35"/>
    <x v="13"/>
    <x v="1"/>
    <x v="17"/>
    <x v="3"/>
    <x v="47"/>
    <s v="C/USN/V/P1/87 80101 6050 WPF/UM"/>
    <x v="141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37"/>
    <x v="35"/>
    <x v="13"/>
    <x v="1"/>
    <x v="17"/>
    <x v="1"/>
    <x v="47"/>
    <s v="C/USN/V/P1/87 80101 6050 WPF, w tym"/>
    <x v="139"/>
    <n v="2796044"/>
    <n v="0"/>
    <n v="2796044"/>
    <n v="0"/>
    <n v="0"/>
    <n v="0"/>
    <n v="0"/>
    <n v="0"/>
    <n v="0"/>
    <n v="0"/>
    <n v="0"/>
    <n v="0"/>
    <n v="0"/>
    <x v="0"/>
    <s v="-"/>
    <x v="0"/>
  </r>
  <r>
    <x v="3"/>
    <x v="37"/>
    <x v="35"/>
    <x v="13"/>
    <x v="1"/>
    <x v="17"/>
    <x v="2"/>
    <x v="47"/>
    <s v="C/USN/V/P1/87 80101 6050 WPF/PM"/>
    <x v="140"/>
    <n v="0"/>
    <n v="0"/>
    <n v="0"/>
    <n v="0"/>
    <n v="0"/>
    <n v="0"/>
    <n v="0"/>
    <n v="0"/>
    <n v="0"/>
    <n v="0"/>
    <n v="0"/>
    <n v="0"/>
    <n v="0"/>
    <x v="0"/>
    <s v="-"/>
    <x v="0"/>
  </r>
  <r>
    <x v="3"/>
    <x v="37"/>
    <x v="35"/>
    <x v="13"/>
    <x v="1"/>
    <x v="17"/>
    <x v="3"/>
    <x v="47"/>
    <s v="C/USN/V/P1/87 80101 6050 WPF/UM"/>
    <x v="141"/>
    <n v="2796044"/>
    <n v="0"/>
    <n v="2796044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37"/>
    <x v="35"/>
    <x v="13"/>
    <x v="1"/>
    <x v="18"/>
    <x v="1"/>
    <x v="48"/>
    <s v="C/USN/V/P1/87 80101 6050 WPF, w tym"/>
    <x v="142"/>
    <n v="934960"/>
    <n v="0"/>
    <n v="934960"/>
    <n v="0"/>
    <n v="0"/>
    <n v="0"/>
    <n v="0"/>
    <n v="0"/>
    <n v="0"/>
    <n v="0"/>
    <n v="0"/>
    <n v="0"/>
    <n v="0"/>
    <x v="0"/>
    <s v="-"/>
    <x v="0"/>
  </r>
  <r>
    <x v="1"/>
    <x v="37"/>
    <x v="35"/>
    <x v="13"/>
    <x v="1"/>
    <x v="18"/>
    <x v="2"/>
    <x v="48"/>
    <s v="C/USN/V/P1/87 80101 6050 WPF/PM"/>
    <x v="143"/>
    <n v="0"/>
    <n v="0"/>
    <n v="0"/>
    <n v="0"/>
    <n v="0"/>
    <n v="0"/>
    <n v="0"/>
    <n v="0"/>
    <n v="0"/>
    <n v="0"/>
    <n v="0"/>
    <n v="0"/>
    <n v="0"/>
    <x v="0"/>
    <s v="-"/>
    <x v="0"/>
  </r>
  <r>
    <x v="1"/>
    <x v="37"/>
    <x v="35"/>
    <x v="13"/>
    <x v="1"/>
    <x v="18"/>
    <x v="3"/>
    <x v="48"/>
    <s v="C/USN/V/P1/87 80101 6050 WPF/UM"/>
    <x v="144"/>
    <n v="934960"/>
    <n v="0"/>
    <n v="93496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37"/>
    <x v="35"/>
    <x v="13"/>
    <x v="1"/>
    <x v="18"/>
    <x v="1"/>
    <x v="48"/>
    <s v="C/USN/V/P1/87 80101 6050 WPF, w tym"/>
    <x v="142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7"/>
    <x v="35"/>
    <x v="13"/>
    <x v="1"/>
    <x v="18"/>
    <x v="2"/>
    <x v="48"/>
    <s v="C/USN/V/P1/87 80101 6050 WPF/PM"/>
    <x v="143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7"/>
    <x v="35"/>
    <x v="13"/>
    <x v="1"/>
    <x v="18"/>
    <x v="3"/>
    <x v="48"/>
    <s v="C/USN/V/P1/87 80101 6050 WPF/UM"/>
    <x v="144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37"/>
    <x v="35"/>
    <x v="13"/>
    <x v="1"/>
    <x v="18"/>
    <x v="1"/>
    <x v="48"/>
    <s v="C/USN/V/P1/87 80101 6050 WPF, w tym"/>
    <x v="142"/>
    <n v="934960"/>
    <n v="0"/>
    <n v="934960"/>
    <n v="0"/>
    <n v="0"/>
    <n v="0"/>
    <n v="0"/>
    <n v="0"/>
    <n v="0"/>
    <n v="0"/>
    <n v="0"/>
    <n v="0"/>
    <n v="0"/>
    <x v="0"/>
    <s v="-"/>
    <x v="0"/>
  </r>
  <r>
    <x v="3"/>
    <x v="37"/>
    <x v="35"/>
    <x v="13"/>
    <x v="1"/>
    <x v="18"/>
    <x v="2"/>
    <x v="48"/>
    <s v="C/USN/V/P1/87 80101 6050 WPF/PM"/>
    <x v="143"/>
    <n v="0"/>
    <n v="0"/>
    <n v="0"/>
    <n v="0"/>
    <n v="0"/>
    <n v="0"/>
    <n v="0"/>
    <n v="0"/>
    <n v="0"/>
    <n v="0"/>
    <n v="0"/>
    <n v="0"/>
    <n v="0"/>
    <x v="0"/>
    <s v="-"/>
    <x v="0"/>
  </r>
  <r>
    <x v="3"/>
    <x v="37"/>
    <x v="35"/>
    <x v="13"/>
    <x v="1"/>
    <x v="18"/>
    <x v="3"/>
    <x v="48"/>
    <s v="C/USN/V/P1/87 80101 6050 WPF/UM"/>
    <x v="144"/>
    <n v="934960"/>
    <n v="0"/>
    <n v="93496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37"/>
    <x v="35"/>
    <x v="13"/>
    <x v="3"/>
    <x v="18"/>
    <x v="1"/>
    <x v="49"/>
    <s v="C/USN/V/P1/87 80101 6056 WPF, w tym"/>
    <x v="145"/>
    <n v="1219512"/>
    <n v="0"/>
    <n v="1219512"/>
    <n v="0"/>
    <n v="0"/>
    <n v="0"/>
    <n v="0"/>
    <n v="0"/>
    <n v="0"/>
    <n v="0"/>
    <n v="0"/>
    <n v="0"/>
    <n v="0"/>
    <x v="0"/>
    <s v="-"/>
    <x v="0"/>
  </r>
  <r>
    <x v="1"/>
    <x v="37"/>
    <x v="35"/>
    <x v="13"/>
    <x v="3"/>
    <x v="18"/>
    <x v="2"/>
    <x v="49"/>
    <s v="C/USN/V/P1/87 80101 6056 WPF/PM"/>
    <x v="146"/>
    <n v="0"/>
    <n v="0"/>
    <n v="0"/>
    <n v="0"/>
    <n v="0"/>
    <n v="0"/>
    <n v="0"/>
    <n v="0"/>
    <n v="0"/>
    <n v="0"/>
    <n v="0"/>
    <n v="0"/>
    <n v="0"/>
    <x v="0"/>
    <s v="-"/>
    <x v="0"/>
  </r>
  <r>
    <x v="1"/>
    <x v="37"/>
    <x v="35"/>
    <x v="13"/>
    <x v="3"/>
    <x v="18"/>
    <x v="3"/>
    <x v="49"/>
    <s v="C/USN/V/P1/87 80101 6056 WPF/UM"/>
    <x v="147"/>
    <n v="1219512"/>
    <n v="0"/>
    <n v="1219512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37"/>
    <x v="35"/>
    <x v="13"/>
    <x v="3"/>
    <x v="18"/>
    <x v="1"/>
    <x v="49"/>
    <s v="C/USN/V/P1/87 80101 6056 WPF, w tym"/>
    <x v="145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7"/>
    <x v="35"/>
    <x v="13"/>
    <x v="3"/>
    <x v="18"/>
    <x v="2"/>
    <x v="49"/>
    <s v="C/USN/V/P1/87 80101 6056 WPF/PM"/>
    <x v="146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7"/>
    <x v="35"/>
    <x v="13"/>
    <x v="3"/>
    <x v="18"/>
    <x v="3"/>
    <x v="49"/>
    <s v="C/USN/V/P1/87 80101 6056 WPF/UM"/>
    <x v="147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37"/>
    <x v="35"/>
    <x v="13"/>
    <x v="3"/>
    <x v="18"/>
    <x v="1"/>
    <x v="49"/>
    <s v="C/USN/V/P1/87 80101 6056 WPF, w tym"/>
    <x v="145"/>
    <n v="1219512"/>
    <n v="0"/>
    <n v="1219512"/>
    <n v="0"/>
    <n v="0"/>
    <n v="0"/>
    <n v="0"/>
    <n v="0"/>
    <n v="0"/>
    <n v="0"/>
    <n v="0"/>
    <n v="0"/>
    <n v="0"/>
    <x v="0"/>
    <s v="-"/>
    <x v="0"/>
  </r>
  <r>
    <x v="3"/>
    <x v="37"/>
    <x v="35"/>
    <x v="13"/>
    <x v="3"/>
    <x v="18"/>
    <x v="2"/>
    <x v="49"/>
    <s v="C/USN/V/P1/87 80101 6056 WPF/PM"/>
    <x v="146"/>
    <n v="0"/>
    <n v="0"/>
    <n v="0"/>
    <n v="0"/>
    <n v="0"/>
    <n v="0"/>
    <n v="0"/>
    <n v="0"/>
    <n v="0"/>
    <n v="0"/>
    <n v="0"/>
    <n v="0"/>
    <n v="0"/>
    <x v="0"/>
    <s v="-"/>
    <x v="0"/>
  </r>
  <r>
    <x v="3"/>
    <x v="37"/>
    <x v="35"/>
    <x v="13"/>
    <x v="3"/>
    <x v="18"/>
    <x v="3"/>
    <x v="49"/>
    <s v="C/USN/V/P1/87 80101 6056 WPF/UM"/>
    <x v="147"/>
    <n v="1219512"/>
    <n v="0"/>
    <n v="1219512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37"/>
    <x v="35"/>
    <x v="13"/>
    <x v="3"/>
    <x v="18"/>
    <x v="1"/>
    <x v="49"/>
    <s v="C/USN/V/P1/87 80101 6056 WPF, w tym"/>
    <x v="145"/>
    <n v="426829"/>
    <n v="0"/>
    <n v="426829"/>
    <n v="0"/>
    <n v="0"/>
    <n v="0"/>
    <n v="0"/>
    <n v="0"/>
    <n v="0"/>
    <n v="0"/>
    <n v="0"/>
    <n v="0"/>
    <n v="0"/>
    <x v="0"/>
    <s v="-"/>
    <x v="0"/>
  </r>
  <r>
    <x v="1"/>
    <x v="37"/>
    <x v="35"/>
    <x v="13"/>
    <x v="3"/>
    <x v="18"/>
    <x v="2"/>
    <x v="49"/>
    <s v="C/USN/V/P1/87 80101 6056 WPF/PM"/>
    <x v="146"/>
    <n v="0"/>
    <n v="0"/>
    <n v="0"/>
    <n v="0"/>
    <n v="0"/>
    <n v="0"/>
    <n v="0"/>
    <n v="0"/>
    <n v="0"/>
    <n v="0"/>
    <n v="0"/>
    <n v="0"/>
    <n v="0"/>
    <x v="0"/>
    <s v="-"/>
    <x v="0"/>
  </r>
  <r>
    <x v="1"/>
    <x v="37"/>
    <x v="35"/>
    <x v="13"/>
    <x v="3"/>
    <x v="18"/>
    <x v="3"/>
    <x v="49"/>
    <s v="C/USN/V/P1/87 80101 6056 WPF/UM"/>
    <x v="147"/>
    <n v="426829"/>
    <n v="0"/>
    <n v="426829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37"/>
    <x v="35"/>
    <x v="13"/>
    <x v="3"/>
    <x v="18"/>
    <x v="1"/>
    <x v="49"/>
    <s v="C/USN/V/P1/87 80101 6056 WPF, w tym"/>
    <x v="145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7"/>
    <x v="35"/>
    <x v="13"/>
    <x v="3"/>
    <x v="18"/>
    <x v="2"/>
    <x v="49"/>
    <s v="C/USN/V/P1/87 80101 6056 WPF/PM"/>
    <x v="146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7"/>
    <x v="35"/>
    <x v="13"/>
    <x v="3"/>
    <x v="18"/>
    <x v="3"/>
    <x v="49"/>
    <s v="C/USN/V/P1/87 80101 6056 WPF/UM"/>
    <x v="147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37"/>
    <x v="35"/>
    <x v="13"/>
    <x v="3"/>
    <x v="18"/>
    <x v="1"/>
    <x v="49"/>
    <s v="C/USN/V/P1/87 80101 6056 WPF, w tym"/>
    <x v="145"/>
    <n v="426829"/>
    <n v="0"/>
    <n v="426829"/>
    <n v="0"/>
    <n v="0"/>
    <n v="0"/>
    <n v="0"/>
    <n v="0"/>
    <n v="0"/>
    <n v="0"/>
    <n v="0"/>
    <n v="0"/>
    <n v="0"/>
    <x v="0"/>
    <s v="-"/>
    <x v="0"/>
  </r>
  <r>
    <x v="3"/>
    <x v="37"/>
    <x v="35"/>
    <x v="13"/>
    <x v="3"/>
    <x v="18"/>
    <x v="2"/>
    <x v="49"/>
    <s v="C/USN/V/P1/87 80101 6056 WPF/PM"/>
    <x v="146"/>
    <n v="0"/>
    <n v="0"/>
    <n v="0"/>
    <n v="0"/>
    <n v="0"/>
    <n v="0"/>
    <n v="0"/>
    <n v="0"/>
    <n v="0"/>
    <n v="0"/>
    <n v="0"/>
    <n v="0"/>
    <n v="0"/>
    <x v="0"/>
    <s v="-"/>
    <x v="0"/>
  </r>
  <r>
    <x v="3"/>
    <x v="37"/>
    <x v="35"/>
    <x v="13"/>
    <x v="3"/>
    <x v="18"/>
    <x v="3"/>
    <x v="49"/>
    <s v="C/USN/V/P1/87 80101 6056 WPF/UM"/>
    <x v="147"/>
    <n v="426829"/>
    <n v="0"/>
    <n v="426829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37"/>
    <x v="35"/>
    <x v="13"/>
    <x v="4"/>
    <x v="18"/>
    <x v="1"/>
    <x v="50"/>
    <s v="C/USN/V/P1/87 80101 6057 WPF, w tym"/>
    <x v="148"/>
    <n v="2418699"/>
    <n v="0"/>
    <n v="2418699"/>
    <n v="0"/>
    <n v="0"/>
    <n v="0"/>
    <n v="0"/>
    <n v="0"/>
    <n v="0"/>
    <n v="0"/>
    <n v="0"/>
    <n v="0"/>
    <n v="0"/>
    <x v="0"/>
    <s v="-"/>
    <x v="0"/>
  </r>
  <r>
    <x v="1"/>
    <x v="37"/>
    <x v="35"/>
    <x v="13"/>
    <x v="4"/>
    <x v="18"/>
    <x v="2"/>
    <x v="50"/>
    <s v="C/USN/V/P1/87 80101 6057 WPF/PM"/>
    <x v="149"/>
    <n v="0"/>
    <n v="0"/>
    <n v="0"/>
    <n v="0"/>
    <n v="0"/>
    <n v="0"/>
    <n v="0"/>
    <n v="0"/>
    <n v="0"/>
    <n v="0"/>
    <n v="0"/>
    <n v="0"/>
    <n v="0"/>
    <x v="0"/>
    <s v="-"/>
    <x v="0"/>
  </r>
  <r>
    <x v="1"/>
    <x v="37"/>
    <x v="35"/>
    <x v="13"/>
    <x v="4"/>
    <x v="18"/>
    <x v="3"/>
    <x v="50"/>
    <s v="C/USN/V/P1/87 80101 6057 WPF/UM"/>
    <x v="150"/>
    <n v="2418699"/>
    <n v="0"/>
    <n v="2418699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37"/>
    <x v="35"/>
    <x v="13"/>
    <x v="4"/>
    <x v="18"/>
    <x v="1"/>
    <x v="50"/>
    <s v="C/USN/V/P1/87 80101 6057 WPF, w tym"/>
    <x v="148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7"/>
    <x v="35"/>
    <x v="13"/>
    <x v="4"/>
    <x v="18"/>
    <x v="2"/>
    <x v="50"/>
    <s v="C/USN/V/P1/87 80101 6057 WPF/PM"/>
    <x v="149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7"/>
    <x v="35"/>
    <x v="13"/>
    <x v="4"/>
    <x v="18"/>
    <x v="3"/>
    <x v="50"/>
    <s v="C/USN/V/P1/87 80101 6057 WPF/UM"/>
    <x v="150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37"/>
    <x v="35"/>
    <x v="13"/>
    <x v="4"/>
    <x v="18"/>
    <x v="1"/>
    <x v="50"/>
    <s v="C/USN/V/P1/87 80101 6057 WPF, w tym"/>
    <x v="148"/>
    <n v="2418699"/>
    <n v="0"/>
    <n v="2418699"/>
    <n v="0"/>
    <n v="0"/>
    <n v="0"/>
    <n v="0"/>
    <n v="0"/>
    <n v="0"/>
    <n v="0"/>
    <n v="0"/>
    <n v="0"/>
    <n v="0"/>
    <x v="0"/>
    <s v="-"/>
    <x v="0"/>
  </r>
  <r>
    <x v="3"/>
    <x v="37"/>
    <x v="35"/>
    <x v="13"/>
    <x v="4"/>
    <x v="18"/>
    <x v="2"/>
    <x v="50"/>
    <s v="C/USN/V/P1/87 80101 6057 WPF/PM"/>
    <x v="149"/>
    <n v="0"/>
    <n v="0"/>
    <n v="0"/>
    <n v="0"/>
    <n v="0"/>
    <n v="0"/>
    <n v="0"/>
    <n v="0"/>
    <n v="0"/>
    <n v="0"/>
    <n v="0"/>
    <n v="0"/>
    <n v="0"/>
    <x v="0"/>
    <s v="-"/>
    <x v="0"/>
  </r>
  <r>
    <x v="3"/>
    <x v="37"/>
    <x v="35"/>
    <x v="13"/>
    <x v="4"/>
    <x v="18"/>
    <x v="3"/>
    <x v="50"/>
    <s v="C/USN/V/P1/87 80101 6057 WPF/UM"/>
    <x v="150"/>
    <n v="2418699"/>
    <n v="0"/>
    <n v="2418699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38"/>
    <x v="36"/>
    <x v="15"/>
    <x v="1"/>
    <x v="1"/>
    <x v="1"/>
    <x v="51"/>
    <s v="C/USN/V/P1/92 80195 6050 WPF, w tym"/>
    <x v="151"/>
    <n v="3100000"/>
    <n v="0"/>
    <n v="0"/>
    <n v="3100000"/>
    <n v="0"/>
    <n v="0"/>
    <n v="0"/>
    <n v="0"/>
    <n v="0"/>
    <n v="0"/>
    <n v="0"/>
    <n v="0"/>
    <n v="0"/>
    <x v="0"/>
    <s v="-"/>
    <x v="0"/>
  </r>
  <r>
    <x v="1"/>
    <x v="38"/>
    <x v="36"/>
    <x v="15"/>
    <x v="1"/>
    <x v="1"/>
    <x v="2"/>
    <x v="51"/>
    <s v="C/USN/V/P1/92 80195 6050 WPF/PM"/>
    <x v="152"/>
    <n v="3100000"/>
    <n v="0"/>
    <n v="0"/>
    <n v="3100000"/>
    <n v="0"/>
    <n v="0"/>
    <n v="0"/>
    <n v="0"/>
    <n v="0"/>
    <n v="0"/>
    <n v="0"/>
    <n v="0"/>
    <n v="0"/>
    <x v="0"/>
    <s v="-"/>
    <x v="0"/>
  </r>
  <r>
    <x v="1"/>
    <x v="38"/>
    <x v="36"/>
    <x v="15"/>
    <x v="1"/>
    <x v="1"/>
    <x v="3"/>
    <x v="51"/>
    <s v="C/USN/V/P1/92 80195 6050 WPF/UM"/>
    <x v="153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38"/>
    <x v="36"/>
    <x v="15"/>
    <x v="1"/>
    <x v="1"/>
    <x v="1"/>
    <x v="51"/>
    <s v="C/USN/V/P1/92 80195 6050 WPF, w tym"/>
    <x v="151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8"/>
    <x v="36"/>
    <x v="15"/>
    <x v="1"/>
    <x v="1"/>
    <x v="2"/>
    <x v="51"/>
    <s v="C/USN/V/P1/92 80195 6050 WPF/PM"/>
    <x v="152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8"/>
    <x v="36"/>
    <x v="15"/>
    <x v="1"/>
    <x v="1"/>
    <x v="3"/>
    <x v="51"/>
    <s v="C/USN/V/P1/92 80195 6050 WPF/UM"/>
    <x v="153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38"/>
    <x v="36"/>
    <x v="15"/>
    <x v="1"/>
    <x v="1"/>
    <x v="1"/>
    <x v="51"/>
    <s v="C/USN/V/P1/92 80195 6050 WPF, w tym"/>
    <x v="151"/>
    <n v="3100000"/>
    <n v="0"/>
    <n v="0"/>
    <n v="3100000"/>
    <n v="0"/>
    <n v="0"/>
    <n v="0"/>
    <n v="0"/>
    <n v="0"/>
    <n v="0"/>
    <n v="0"/>
    <n v="0"/>
    <n v="0"/>
    <x v="0"/>
    <s v="-"/>
    <x v="0"/>
  </r>
  <r>
    <x v="3"/>
    <x v="38"/>
    <x v="36"/>
    <x v="15"/>
    <x v="1"/>
    <x v="1"/>
    <x v="2"/>
    <x v="51"/>
    <s v="C/USN/V/P1/92 80195 6050 WPF/PM"/>
    <x v="152"/>
    <n v="3100000"/>
    <n v="0"/>
    <n v="0"/>
    <n v="3100000"/>
    <n v="0"/>
    <n v="0"/>
    <n v="0"/>
    <n v="0"/>
    <n v="0"/>
    <n v="0"/>
    <n v="0"/>
    <n v="0"/>
    <n v="0"/>
    <x v="0"/>
    <s v="-"/>
    <x v="0"/>
  </r>
  <r>
    <x v="3"/>
    <x v="38"/>
    <x v="36"/>
    <x v="15"/>
    <x v="1"/>
    <x v="1"/>
    <x v="3"/>
    <x v="51"/>
    <s v="C/USN/V/P1/92 80195 6050 WPF/UM"/>
    <x v="153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39"/>
    <x v="37"/>
    <x v="13"/>
    <x v="1"/>
    <x v="1"/>
    <x v="1"/>
    <x v="52"/>
    <s v="C/USN/V/P1/93 80101 6050 WPF, w tym"/>
    <x v="154"/>
    <n v="3473927"/>
    <n v="0"/>
    <n v="0"/>
    <n v="2264170"/>
    <n v="1209757"/>
    <n v="0"/>
    <n v="0"/>
    <n v="0"/>
    <n v="0"/>
    <n v="0"/>
    <n v="0"/>
    <n v="0"/>
    <n v="0"/>
    <x v="0"/>
    <s v="-"/>
    <x v="0"/>
  </r>
  <r>
    <x v="1"/>
    <x v="39"/>
    <x v="37"/>
    <x v="13"/>
    <x v="1"/>
    <x v="1"/>
    <x v="2"/>
    <x v="52"/>
    <s v="C/USN/V/P1/93 80101 6050 WPF/PM"/>
    <x v="155"/>
    <n v="3473927"/>
    <n v="0"/>
    <n v="0"/>
    <n v="2264170"/>
    <n v="1209757"/>
    <n v="0"/>
    <n v="0"/>
    <n v="0"/>
    <n v="0"/>
    <n v="0"/>
    <n v="0"/>
    <n v="0"/>
    <n v="0"/>
    <x v="0"/>
    <s v="-"/>
    <x v="0"/>
  </r>
  <r>
    <x v="1"/>
    <x v="39"/>
    <x v="37"/>
    <x v="13"/>
    <x v="1"/>
    <x v="1"/>
    <x v="3"/>
    <x v="52"/>
    <s v="C/USN/V/P1/93 80101 6050 WPF/UM"/>
    <x v="156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39"/>
    <x v="37"/>
    <x v="13"/>
    <x v="1"/>
    <x v="1"/>
    <x v="1"/>
    <x v="52"/>
    <s v="C/USN/V/P1/93 80101 6050 WPF, w tym"/>
    <x v="154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9"/>
    <x v="37"/>
    <x v="13"/>
    <x v="1"/>
    <x v="1"/>
    <x v="2"/>
    <x v="52"/>
    <s v="C/USN/V/P1/93 80101 6050 WPF/PM"/>
    <x v="155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9"/>
    <x v="37"/>
    <x v="13"/>
    <x v="1"/>
    <x v="1"/>
    <x v="3"/>
    <x v="52"/>
    <s v="C/USN/V/P1/93 80101 6050 WPF/UM"/>
    <x v="156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39"/>
    <x v="37"/>
    <x v="13"/>
    <x v="1"/>
    <x v="1"/>
    <x v="1"/>
    <x v="52"/>
    <s v="C/USN/V/P1/93 80101 6050 WPF, w tym"/>
    <x v="154"/>
    <n v="3473927"/>
    <n v="0"/>
    <n v="0"/>
    <n v="2264170"/>
    <n v="1209757"/>
    <n v="0"/>
    <n v="0"/>
    <n v="0"/>
    <n v="0"/>
    <n v="0"/>
    <n v="0"/>
    <n v="0"/>
    <n v="0"/>
    <x v="0"/>
    <s v="-"/>
    <x v="0"/>
  </r>
  <r>
    <x v="3"/>
    <x v="39"/>
    <x v="37"/>
    <x v="13"/>
    <x v="1"/>
    <x v="1"/>
    <x v="2"/>
    <x v="52"/>
    <s v="C/USN/V/P1/93 80101 6050 WPF/PM"/>
    <x v="155"/>
    <n v="3473927"/>
    <n v="0"/>
    <n v="0"/>
    <n v="2264170"/>
    <n v="1209757"/>
    <n v="0"/>
    <n v="0"/>
    <n v="0"/>
    <n v="0"/>
    <n v="0"/>
    <n v="0"/>
    <n v="0"/>
    <n v="0"/>
    <x v="0"/>
    <s v="-"/>
    <x v="0"/>
  </r>
  <r>
    <x v="3"/>
    <x v="39"/>
    <x v="37"/>
    <x v="13"/>
    <x v="1"/>
    <x v="1"/>
    <x v="3"/>
    <x v="52"/>
    <s v="C/USN/V/P1/93 80101 6050 WPF/UM"/>
    <x v="156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39"/>
    <x v="37"/>
    <x v="13"/>
    <x v="1"/>
    <x v="19"/>
    <x v="1"/>
    <x v="53"/>
    <s v="C/USN/V/P1/93 80101 6050 WPF, w tym"/>
    <x v="157"/>
    <n v="53270"/>
    <n v="0"/>
    <n v="0"/>
    <n v="0"/>
    <n v="53270"/>
    <n v="0"/>
    <n v="0"/>
    <n v="0"/>
    <n v="0"/>
    <n v="0"/>
    <n v="0"/>
    <n v="0"/>
    <n v="0"/>
    <x v="0"/>
    <s v="-"/>
    <x v="0"/>
  </r>
  <r>
    <x v="1"/>
    <x v="39"/>
    <x v="37"/>
    <x v="13"/>
    <x v="1"/>
    <x v="19"/>
    <x v="2"/>
    <x v="53"/>
    <s v="C/USN/V/P1/93 80101 6050 WPF/PM"/>
    <x v="158"/>
    <n v="53270"/>
    <n v="0"/>
    <n v="0"/>
    <n v="0"/>
    <n v="53270"/>
    <n v="0"/>
    <n v="0"/>
    <n v="0"/>
    <n v="0"/>
    <n v="0"/>
    <n v="0"/>
    <n v="0"/>
    <n v="0"/>
    <x v="0"/>
    <s v="-"/>
    <x v="0"/>
  </r>
  <r>
    <x v="1"/>
    <x v="39"/>
    <x v="37"/>
    <x v="13"/>
    <x v="1"/>
    <x v="19"/>
    <x v="3"/>
    <x v="53"/>
    <s v="C/USN/V/P1/93 80101 6050 WPF/UM"/>
    <x v="159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39"/>
    <x v="37"/>
    <x v="13"/>
    <x v="1"/>
    <x v="19"/>
    <x v="1"/>
    <x v="53"/>
    <s v="C/USN/V/P1/93 80101 6050 WPF, w tym"/>
    <x v="157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9"/>
    <x v="37"/>
    <x v="13"/>
    <x v="1"/>
    <x v="19"/>
    <x v="2"/>
    <x v="53"/>
    <s v="C/USN/V/P1/93 80101 6050 WPF/PM"/>
    <x v="158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39"/>
    <x v="37"/>
    <x v="13"/>
    <x v="1"/>
    <x v="19"/>
    <x v="3"/>
    <x v="53"/>
    <s v="C/USN/V/P1/93 80101 6050 WPF/UM"/>
    <x v="159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39"/>
    <x v="37"/>
    <x v="13"/>
    <x v="1"/>
    <x v="19"/>
    <x v="1"/>
    <x v="53"/>
    <s v="C/USN/V/P1/93 80101 6050 WPF, w tym"/>
    <x v="157"/>
    <n v="53270"/>
    <n v="0"/>
    <n v="0"/>
    <n v="0"/>
    <n v="53270"/>
    <n v="0"/>
    <n v="0"/>
    <n v="0"/>
    <n v="0"/>
    <n v="0"/>
    <n v="0"/>
    <n v="0"/>
    <n v="0"/>
    <x v="0"/>
    <s v="-"/>
    <x v="0"/>
  </r>
  <r>
    <x v="3"/>
    <x v="39"/>
    <x v="37"/>
    <x v="13"/>
    <x v="1"/>
    <x v="19"/>
    <x v="2"/>
    <x v="53"/>
    <s v="C/USN/V/P1/93 80101 6050 WPF/PM"/>
    <x v="158"/>
    <n v="53270"/>
    <n v="0"/>
    <n v="0"/>
    <n v="0"/>
    <n v="53270"/>
    <n v="0"/>
    <n v="0"/>
    <n v="0"/>
    <n v="0"/>
    <n v="0"/>
    <n v="0"/>
    <n v="0"/>
    <n v="0"/>
    <x v="0"/>
    <s v="-"/>
    <x v="0"/>
  </r>
  <r>
    <x v="3"/>
    <x v="39"/>
    <x v="37"/>
    <x v="13"/>
    <x v="1"/>
    <x v="19"/>
    <x v="3"/>
    <x v="53"/>
    <s v="C/USN/V/P1/93 80101 6050 WPF/UM"/>
    <x v="159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40"/>
    <x v="38"/>
    <x v="12"/>
    <x v="1"/>
    <x v="1"/>
    <x v="1"/>
    <x v="54"/>
    <s v="C/USN/V/P1/94 80104 6050 WPF, w tym"/>
    <x v="160"/>
    <n v="1020000"/>
    <n v="0"/>
    <n v="0"/>
    <n v="749241"/>
    <n v="270759"/>
    <n v="0"/>
    <n v="0"/>
    <n v="0"/>
    <n v="0"/>
    <n v="0"/>
    <n v="0"/>
    <n v="0"/>
    <n v="0"/>
    <x v="0"/>
    <s v="-"/>
    <x v="0"/>
  </r>
  <r>
    <x v="1"/>
    <x v="40"/>
    <x v="38"/>
    <x v="12"/>
    <x v="1"/>
    <x v="1"/>
    <x v="2"/>
    <x v="54"/>
    <s v="C/USN/V/P1/94 80104 6050 WPF/PM"/>
    <x v="161"/>
    <n v="1020000"/>
    <n v="0"/>
    <n v="0"/>
    <n v="749241"/>
    <n v="270759"/>
    <n v="0"/>
    <n v="0"/>
    <n v="0"/>
    <n v="0"/>
    <n v="0"/>
    <n v="0"/>
    <n v="0"/>
    <n v="0"/>
    <x v="0"/>
    <s v="-"/>
    <x v="0"/>
  </r>
  <r>
    <x v="1"/>
    <x v="40"/>
    <x v="38"/>
    <x v="12"/>
    <x v="1"/>
    <x v="1"/>
    <x v="3"/>
    <x v="54"/>
    <s v="C/USN/V/P1/94 80104 6050 WPF/UM"/>
    <x v="162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40"/>
    <x v="38"/>
    <x v="12"/>
    <x v="1"/>
    <x v="1"/>
    <x v="1"/>
    <x v="54"/>
    <s v="C/USN/V/P1/94 80104 6050 WPF, w tym"/>
    <x v="160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40"/>
    <x v="38"/>
    <x v="12"/>
    <x v="1"/>
    <x v="1"/>
    <x v="2"/>
    <x v="54"/>
    <s v="C/USN/V/P1/94 80104 6050 WPF/PM"/>
    <x v="161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40"/>
    <x v="38"/>
    <x v="12"/>
    <x v="1"/>
    <x v="1"/>
    <x v="3"/>
    <x v="54"/>
    <s v="C/USN/V/P1/94 80104 6050 WPF/UM"/>
    <x v="162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40"/>
    <x v="38"/>
    <x v="12"/>
    <x v="1"/>
    <x v="1"/>
    <x v="1"/>
    <x v="54"/>
    <s v="C/USN/V/P1/94 80104 6050 WPF, w tym"/>
    <x v="160"/>
    <n v="1020000"/>
    <n v="0"/>
    <n v="0"/>
    <n v="749241"/>
    <n v="270759"/>
    <n v="0"/>
    <n v="0"/>
    <n v="0"/>
    <n v="0"/>
    <n v="0"/>
    <n v="0"/>
    <n v="0"/>
    <n v="0"/>
    <x v="0"/>
    <s v="-"/>
    <x v="0"/>
  </r>
  <r>
    <x v="3"/>
    <x v="40"/>
    <x v="38"/>
    <x v="12"/>
    <x v="1"/>
    <x v="1"/>
    <x v="2"/>
    <x v="54"/>
    <s v="C/USN/V/P1/94 80104 6050 WPF/PM"/>
    <x v="161"/>
    <n v="1020000"/>
    <n v="0"/>
    <n v="0"/>
    <n v="749241"/>
    <n v="270759"/>
    <n v="0"/>
    <n v="0"/>
    <n v="0"/>
    <n v="0"/>
    <n v="0"/>
    <n v="0"/>
    <n v="0"/>
    <n v="0"/>
    <x v="0"/>
    <s v="-"/>
    <x v="0"/>
  </r>
  <r>
    <x v="3"/>
    <x v="40"/>
    <x v="38"/>
    <x v="12"/>
    <x v="1"/>
    <x v="1"/>
    <x v="3"/>
    <x v="54"/>
    <s v="C/USN/V/P1/94 80104 6050 WPF/UM"/>
    <x v="162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41"/>
    <x v="39"/>
    <x v="16"/>
    <x v="1"/>
    <x v="1"/>
    <x v="1"/>
    <x v="55"/>
    <s v="C/USN/V/P1/95 80105 6050 WPF, w tym"/>
    <x v="163"/>
    <n v="202612"/>
    <n v="0"/>
    <n v="0"/>
    <n v="202612"/>
    <n v="0"/>
    <n v="0"/>
    <n v="0"/>
    <n v="0"/>
    <n v="0"/>
    <n v="0"/>
    <n v="0"/>
    <n v="0"/>
    <n v="0"/>
    <x v="0"/>
    <s v="-"/>
    <x v="0"/>
  </r>
  <r>
    <x v="1"/>
    <x v="41"/>
    <x v="39"/>
    <x v="16"/>
    <x v="1"/>
    <x v="1"/>
    <x v="2"/>
    <x v="55"/>
    <s v="C/USN/V/P1/95 80105 6050 WPF/PM"/>
    <x v="164"/>
    <n v="202612"/>
    <n v="0"/>
    <n v="0"/>
    <n v="202612"/>
    <n v="0"/>
    <n v="0"/>
    <n v="0"/>
    <n v="0"/>
    <n v="0"/>
    <n v="0"/>
    <n v="0"/>
    <n v="0"/>
    <n v="0"/>
    <x v="0"/>
    <s v="-"/>
    <x v="0"/>
  </r>
  <r>
    <x v="1"/>
    <x v="41"/>
    <x v="39"/>
    <x v="16"/>
    <x v="1"/>
    <x v="1"/>
    <x v="3"/>
    <x v="55"/>
    <s v="C/USN/V/P1/95 80105 6050 WPF/UM"/>
    <x v="165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41"/>
    <x v="39"/>
    <x v="16"/>
    <x v="1"/>
    <x v="1"/>
    <x v="1"/>
    <x v="55"/>
    <s v="C/USN/V/P1/95 80105 6050 WPF, w tym"/>
    <x v="163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41"/>
    <x v="39"/>
    <x v="16"/>
    <x v="1"/>
    <x v="1"/>
    <x v="2"/>
    <x v="55"/>
    <s v="C/USN/V/P1/95 80105 6050 WPF/PM"/>
    <x v="164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41"/>
    <x v="39"/>
    <x v="16"/>
    <x v="1"/>
    <x v="1"/>
    <x v="3"/>
    <x v="55"/>
    <s v="C/USN/V/P1/95 80105 6050 WPF/UM"/>
    <x v="165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41"/>
    <x v="39"/>
    <x v="16"/>
    <x v="1"/>
    <x v="1"/>
    <x v="1"/>
    <x v="55"/>
    <s v="C/USN/V/P1/95 80105 6050 WPF, w tym"/>
    <x v="163"/>
    <n v="202612"/>
    <n v="0"/>
    <n v="0"/>
    <n v="202612"/>
    <n v="0"/>
    <n v="0"/>
    <n v="0"/>
    <n v="0"/>
    <n v="0"/>
    <n v="0"/>
    <n v="0"/>
    <n v="0"/>
    <n v="0"/>
    <x v="0"/>
    <s v="-"/>
    <x v="0"/>
  </r>
  <r>
    <x v="3"/>
    <x v="41"/>
    <x v="39"/>
    <x v="16"/>
    <x v="1"/>
    <x v="1"/>
    <x v="2"/>
    <x v="55"/>
    <s v="C/USN/V/P1/95 80105 6050 WPF/PM"/>
    <x v="164"/>
    <n v="202612"/>
    <n v="0"/>
    <n v="0"/>
    <n v="202612"/>
    <n v="0"/>
    <n v="0"/>
    <n v="0"/>
    <n v="0"/>
    <n v="0"/>
    <n v="0"/>
    <n v="0"/>
    <n v="0"/>
    <n v="0"/>
    <x v="0"/>
    <s v="-"/>
    <x v="0"/>
  </r>
  <r>
    <x v="3"/>
    <x v="41"/>
    <x v="39"/>
    <x v="16"/>
    <x v="1"/>
    <x v="1"/>
    <x v="3"/>
    <x v="55"/>
    <s v="C/USN/V/P1/95 80105 6050 WPF/UM"/>
    <x v="165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42"/>
    <x v="40"/>
    <x v="14"/>
    <x v="1"/>
    <x v="1"/>
    <x v="1"/>
    <x v="56"/>
    <s v="C/USN/V/P1/96 80120 6050 WPF, w tym"/>
    <x v="166"/>
    <n v="833915"/>
    <n v="0"/>
    <n v="0"/>
    <n v="833915"/>
    <n v="0"/>
    <n v="0"/>
    <n v="0"/>
    <n v="0"/>
    <n v="0"/>
    <n v="0"/>
    <n v="0"/>
    <n v="0"/>
    <n v="0"/>
    <x v="0"/>
    <s v="-"/>
    <x v="0"/>
  </r>
  <r>
    <x v="1"/>
    <x v="42"/>
    <x v="40"/>
    <x v="14"/>
    <x v="1"/>
    <x v="1"/>
    <x v="2"/>
    <x v="56"/>
    <s v="C/USN/V/P1/96 80120 6050 WPF/PM"/>
    <x v="167"/>
    <n v="833915"/>
    <n v="0"/>
    <n v="0"/>
    <n v="833915"/>
    <n v="0"/>
    <n v="0"/>
    <n v="0"/>
    <n v="0"/>
    <n v="0"/>
    <n v="0"/>
    <n v="0"/>
    <n v="0"/>
    <n v="0"/>
    <x v="0"/>
    <s v="-"/>
    <x v="0"/>
  </r>
  <r>
    <x v="1"/>
    <x v="42"/>
    <x v="40"/>
    <x v="14"/>
    <x v="1"/>
    <x v="1"/>
    <x v="3"/>
    <x v="56"/>
    <s v="C/USN/V/P1/96 80120 6050 WPF/UM"/>
    <x v="168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42"/>
    <x v="40"/>
    <x v="14"/>
    <x v="1"/>
    <x v="1"/>
    <x v="1"/>
    <x v="56"/>
    <s v="C/USN/V/P1/96 80120 6050 WPF, w tym"/>
    <x v="166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42"/>
    <x v="40"/>
    <x v="14"/>
    <x v="1"/>
    <x v="1"/>
    <x v="2"/>
    <x v="56"/>
    <s v="C/USN/V/P1/96 80120 6050 WPF/PM"/>
    <x v="167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42"/>
    <x v="40"/>
    <x v="14"/>
    <x v="1"/>
    <x v="1"/>
    <x v="3"/>
    <x v="56"/>
    <s v="C/USN/V/P1/96 80120 6050 WPF/UM"/>
    <x v="168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42"/>
    <x v="40"/>
    <x v="14"/>
    <x v="1"/>
    <x v="1"/>
    <x v="1"/>
    <x v="56"/>
    <s v="C/USN/V/P1/96 80120 6050 WPF, w tym"/>
    <x v="166"/>
    <n v="833915"/>
    <n v="0"/>
    <n v="0"/>
    <n v="833915"/>
    <n v="0"/>
    <n v="0"/>
    <n v="0"/>
    <n v="0"/>
    <n v="0"/>
    <n v="0"/>
    <n v="0"/>
    <n v="0"/>
    <n v="0"/>
    <x v="0"/>
    <s v="-"/>
    <x v="0"/>
  </r>
  <r>
    <x v="3"/>
    <x v="42"/>
    <x v="40"/>
    <x v="14"/>
    <x v="1"/>
    <x v="1"/>
    <x v="2"/>
    <x v="56"/>
    <s v="C/USN/V/P1/96 80120 6050 WPF/PM"/>
    <x v="167"/>
    <n v="833915"/>
    <n v="0"/>
    <n v="0"/>
    <n v="833915"/>
    <n v="0"/>
    <n v="0"/>
    <n v="0"/>
    <n v="0"/>
    <n v="0"/>
    <n v="0"/>
    <n v="0"/>
    <n v="0"/>
    <n v="0"/>
    <x v="0"/>
    <s v="-"/>
    <x v="0"/>
  </r>
  <r>
    <x v="3"/>
    <x v="42"/>
    <x v="40"/>
    <x v="14"/>
    <x v="1"/>
    <x v="1"/>
    <x v="3"/>
    <x v="56"/>
    <s v="C/USN/V/P1/96 80120 6050 WPF/UM"/>
    <x v="168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43"/>
    <x v="41"/>
    <x v="15"/>
    <x v="1"/>
    <x v="1"/>
    <x v="1"/>
    <x v="57"/>
    <s v="C/USN/V/P1/103 80195 6050 WPF, w tym"/>
    <x v="169"/>
    <n v="10100000"/>
    <n v="0"/>
    <n v="0"/>
    <n v="100000"/>
    <n v="5000000"/>
    <n v="5000000"/>
    <n v="0"/>
    <n v="0"/>
    <n v="0"/>
    <n v="0"/>
    <n v="0"/>
    <n v="0"/>
    <n v="0"/>
    <x v="0"/>
    <s v="-"/>
    <x v="0"/>
  </r>
  <r>
    <x v="1"/>
    <x v="43"/>
    <x v="41"/>
    <x v="15"/>
    <x v="1"/>
    <x v="1"/>
    <x v="2"/>
    <x v="57"/>
    <s v="C/USN/V/P1/103 80195 6050 WPF/PM"/>
    <x v="170"/>
    <n v="10100000"/>
    <n v="0"/>
    <n v="0"/>
    <n v="100000"/>
    <n v="5000000"/>
    <n v="5000000"/>
    <n v="0"/>
    <n v="0"/>
    <n v="0"/>
    <n v="0"/>
    <n v="0"/>
    <n v="0"/>
    <n v="0"/>
    <x v="0"/>
    <s v="-"/>
    <x v="0"/>
  </r>
  <r>
    <x v="1"/>
    <x v="43"/>
    <x v="41"/>
    <x v="15"/>
    <x v="1"/>
    <x v="1"/>
    <x v="3"/>
    <x v="57"/>
    <s v="C/USN/V/P1/103 80195 6050 WPF/UM"/>
    <x v="171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43"/>
    <x v="41"/>
    <x v="15"/>
    <x v="1"/>
    <x v="1"/>
    <x v="1"/>
    <x v="57"/>
    <s v="C/USN/V/P1/103 80195 6050 WPF, w tym"/>
    <x v="169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43"/>
    <x v="41"/>
    <x v="15"/>
    <x v="1"/>
    <x v="1"/>
    <x v="2"/>
    <x v="57"/>
    <s v="C/USN/V/P1/103 80195 6050 WPF/PM"/>
    <x v="170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43"/>
    <x v="41"/>
    <x v="15"/>
    <x v="1"/>
    <x v="1"/>
    <x v="3"/>
    <x v="57"/>
    <s v="C/USN/V/P1/103 80195 6050 WPF/UM"/>
    <x v="171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43"/>
    <x v="41"/>
    <x v="15"/>
    <x v="1"/>
    <x v="1"/>
    <x v="1"/>
    <x v="57"/>
    <s v="C/USN/V/P1/103 80195 6050 WPF, w tym"/>
    <x v="169"/>
    <n v="10100000"/>
    <n v="0"/>
    <n v="0"/>
    <n v="100000"/>
    <n v="5000000"/>
    <n v="5000000"/>
    <n v="0"/>
    <n v="0"/>
    <n v="0"/>
    <n v="0"/>
    <n v="0"/>
    <n v="0"/>
    <n v="0"/>
    <x v="0"/>
    <s v="-"/>
    <x v="0"/>
  </r>
  <r>
    <x v="3"/>
    <x v="43"/>
    <x v="41"/>
    <x v="15"/>
    <x v="1"/>
    <x v="1"/>
    <x v="2"/>
    <x v="57"/>
    <s v="C/USN/V/P1/103 80195 6050 WPF/PM"/>
    <x v="170"/>
    <n v="10100000"/>
    <n v="0"/>
    <n v="0"/>
    <n v="100000"/>
    <n v="5000000"/>
    <n v="5000000"/>
    <n v="0"/>
    <n v="0"/>
    <n v="0"/>
    <n v="0"/>
    <n v="0"/>
    <n v="0"/>
    <n v="0"/>
    <x v="0"/>
    <s v="-"/>
    <x v="0"/>
  </r>
  <r>
    <x v="3"/>
    <x v="43"/>
    <x v="41"/>
    <x v="15"/>
    <x v="1"/>
    <x v="1"/>
    <x v="3"/>
    <x v="57"/>
    <s v="C/USN/V/P1/103 80195 6050 WPF/UM"/>
    <x v="171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1"/>
    <s v="-"/>
    <x v="0"/>
  </r>
  <r>
    <x v="1"/>
    <x v="44"/>
    <x v="42"/>
    <x v="13"/>
    <x v="1"/>
    <x v="1"/>
    <x v="1"/>
    <x v="58"/>
    <s v="C/USN/V/P1/nowy 1 80101 6050 WPF, w tym"/>
    <x v="172"/>
    <n v="0"/>
    <n v="0"/>
    <n v="0"/>
    <n v="0"/>
    <n v="0"/>
    <n v="0"/>
    <n v="0"/>
    <n v="0"/>
    <n v="0"/>
    <n v="0"/>
    <n v="0"/>
    <n v="0"/>
    <n v="0"/>
    <x v="1"/>
    <s v="-"/>
    <x v="1"/>
  </r>
  <r>
    <x v="1"/>
    <x v="44"/>
    <x v="42"/>
    <x v="13"/>
    <x v="1"/>
    <x v="1"/>
    <x v="2"/>
    <x v="58"/>
    <s v="C/USN/V/P1/nowy 1 80101 6050 WPF/PM"/>
    <x v="173"/>
    <n v="0"/>
    <n v="0"/>
    <n v="0"/>
    <n v="0"/>
    <n v="0"/>
    <n v="0"/>
    <n v="0"/>
    <n v="0"/>
    <n v="0"/>
    <n v="0"/>
    <n v="0"/>
    <n v="0"/>
    <n v="0"/>
    <x v="1"/>
    <s v="-"/>
    <x v="1"/>
  </r>
  <r>
    <x v="1"/>
    <x v="44"/>
    <x v="42"/>
    <x v="13"/>
    <x v="1"/>
    <x v="1"/>
    <x v="3"/>
    <x v="58"/>
    <s v="C/USN/V/P1/nowy 1 80101 6050 WPF/UM"/>
    <x v="174"/>
    <n v="0"/>
    <n v="0"/>
    <n v="0"/>
    <n v="0"/>
    <n v="0"/>
    <n v="0"/>
    <n v="0"/>
    <n v="0"/>
    <n v="0"/>
    <n v="0"/>
    <n v="0"/>
    <n v="0"/>
    <n v="0"/>
    <x v="1"/>
    <s v="-"/>
    <x v="1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1"/>
    <s v="-"/>
    <x v="0"/>
  </r>
  <r>
    <x v="2"/>
    <x v="44"/>
    <x v="42"/>
    <x v="13"/>
    <x v="1"/>
    <x v="1"/>
    <x v="1"/>
    <x v="58"/>
    <s v="C/USN/V/P1/nowy 1 80101 6050 WPF, w tym"/>
    <x v="172"/>
    <n v="5398351"/>
    <n v="0"/>
    <n v="0"/>
    <n v="100000"/>
    <n v="5198351"/>
    <n v="100000"/>
    <n v="0"/>
    <n v="0"/>
    <n v="0"/>
    <n v="0"/>
    <n v="0"/>
    <n v="0"/>
    <n v="0"/>
    <x v="1"/>
    <s v="C/USN/V/P1/nowy 1 80101 6050 GMMW"/>
    <x v="1"/>
  </r>
  <r>
    <x v="2"/>
    <x v="44"/>
    <x v="42"/>
    <x v="13"/>
    <x v="1"/>
    <x v="1"/>
    <x v="2"/>
    <x v="58"/>
    <s v="C/USN/V/P1/nowy 1 80101 6050 WPF/PM"/>
    <x v="173"/>
    <n v="5398351"/>
    <n v="0"/>
    <n v="0"/>
    <n v="100000"/>
    <n v="5198351"/>
    <n v="100000"/>
    <n v="0"/>
    <n v="0"/>
    <n v="0"/>
    <n v="0"/>
    <n v="0"/>
    <n v="0"/>
    <n v="0"/>
    <x v="1"/>
    <s v="C/USN/V/P1/nowy 1 80101 6050 GMMW"/>
    <x v="1"/>
  </r>
  <r>
    <x v="2"/>
    <x v="44"/>
    <x v="42"/>
    <x v="13"/>
    <x v="1"/>
    <x v="1"/>
    <x v="3"/>
    <x v="58"/>
    <s v="C/USN/V/P1/nowy 1 80101 6050 WPF/UM"/>
    <x v="174"/>
    <n v="0"/>
    <n v="0"/>
    <n v="0"/>
    <n v="0"/>
    <n v="0"/>
    <n v="0"/>
    <n v="0"/>
    <n v="0"/>
    <n v="0"/>
    <n v="0"/>
    <n v="0"/>
    <n v="0"/>
    <n v="0"/>
    <x v="1"/>
    <s v="-"/>
    <x v="1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1"/>
    <s v="-"/>
    <x v="0"/>
  </r>
  <r>
    <x v="3"/>
    <x v="44"/>
    <x v="42"/>
    <x v="13"/>
    <x v="1"/>
    <x v="1"/>
    <x v="1"/>
    <x v="58"/>
    <s v="C/USN/V/P1/nowy 1 80101 6050 WPF, w tym"/>
    <x v="172"/>
    <n v="5398351"/>
    <n v="0"/>
    <n v="0"/>
    <n v="100000"/>
    <n v="5198351"/>
    <n v="100000"/>
    <n v="0"/>
    <n v="0"/>
    <n v="0"/>
    <n v="0"/>
    <n v="0"/>
    <n v="0"/>
    <n v="0"/>
    <x v="1"/>
    <s v="-"/>
    <x v="1"/>
  </r>
  <r>
    <x v="3"/>
    <x v="44"/>
    <x v="42"/>
    <x v="13"/>
    <x v="1"/>
    <x v="1"/>
    <x v="2"/>
    <x v="58"/>
    <s v="C/USN/V/P1/nowy 1 80101 6050 WPF/PM"/>
    <x v="173"/>
    <n v="5398351"/>
    <n v="0"/>
    <n v="0"/>
    <n v="100000"/>
    <n v="5198351"/>
    <n v="100000"/>
    <n v="0"/>
    <n v="0"/>
    <n v="0"/>
    <n v="0"/>
    <n v="0"/>
    <n v="0"/>
    <n v="0"/>
    <x v="1"/>
    <s v="-"/>
    <x v="1"/>
  </r>
  <r>
    <x v="3"/>
    <x v="44"/>
    <x v="42"/>
    <x v="13"/>
    <x v="1"/>
    <x v="1"/>
    <x v="3"/>
    <x v="58"/>
    <s v="C/USN/V/P1/nowy 1 80101 6050 WPF/UM"/>
    <x v="174"/>
    <n v="0"/>
    <n v="0"/>
    <n v="0"/>
    <n v="0"/>
    <n v="0"/>
    <n v="0"/>
    <n v="0"/>
    <n v="0"/>
    <n v="0"/>
    <n v="0"/>
    <n v="0"/>
    <n v="0"/>
    <n v="0"/>
    <x v="1"/>
    <s v="-"/>
    <x v="1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1"/>
    <s v="-"/>
    <x v="0"/>
  </r>
  <r>
    <x v="1"/>
    <x v="45"/>
    <x v="43"/>
    <x v="13"/>
    <x v="1"/>
    <x v="1"/>
    <x v="1"/>
    <x v="59"/>
    <s v="C/USN/V/P1/nowy 2 80101 6050 WPF, w tym"/>
    <x v="175"/>
    <n v="0"/>
    <n v="0"/>
    <n v="0"/>
    <n v="0"/>
    <n v="0"/>
    <n v="0"/>
    <n v="0"/>
    <n v="0"/>
    <n v="0"/>
    <n v="0"/>
    <n v="0"/>
    <n v="0"/>
    <n v="0"/>
    <x v="1"/>
    <s v="-"/>
    <x v="1"/>
  </r>
  <r>
    <x v="1"/>
    <x v="45"/>
    <x v="43"/>
    <x v="13"/>
    <x v="1"/>
    <x v="1"/>
    <x v="2"/>
    <x v="59"/>
    <s v="C/USN/V/P1/nowy 2 80101 6050 WPF/PM"/>
    <x v="176"/>
    <n v="0"/>
    <n v="0"/>
    <n v="0"/>
    <n v="0"/>
    <n v="0"/>
    <n v="0"/>
    <n v="0"/>
    <n v="0"/>
    <n v="0"/>
    <n v="0"/>
    <n v="0"/>
    <n v="0"/>
    <n v="0"/>
    <x v="1"/>
    <s v="-"/>
    <x v="1"/>
  </r>
  <r>
    <x v="1"/>
    <x v="45"/>
    <x v="43"/>
    <x v="13"/>
    <x v="1"/>
    <x v="1"/>
    <x v="3"/>
    <x v="59"/>
    <s v="C/USN/V/P1/nowy 2 80101 6050 WPF/UM"/>
    <x v="177"/>
    <n v="0"/>
    <n v="0"/>
    <n v="0"/>
    <n v="0"/>
    <n v="0"/>
    <n v="0"/>
    <n v="0"/>
    <n v="0"/>
    <n v="0"/>
    <n v="0"/>
    <n v="0"/>
    <n v="0"/>
    <n v="0"/>
    <x v="1"/>
    <s v="-"/>
    <x v="1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1"/>
    <s v="-"/>
    <x v="0"/>
  </r>
  <r>
    <x v="2"/>
    <x v="45"/>
    <x v="43"/>
    <x v="13"/>
    <x v="1"/>
    <x v="1"/>
    <x v="1"/>
    <x v="59"/>
    <s v="C/USN/V/P1/nowy 2 80101 6050 WPF, w tym"/>
    <x v="175"/>
    <n v="4856793"/>
    <n v="0"/>
    <n v="0"/>
    <n v="100000"/>
    <n v="4656793"/>
    <n v="100000"/>
    <n v="0"/>
    <n v="0"/>
    <n v="0"/>
    <n v="0"/>
    <n v="0"/>
    <n v="0"/>
    <n v="0"/>
    <x v="1"/>
    <s v="C/USN/V/P1/nowy 2 80101 6050 GMMW"/>
    <x v="1"/>
  </r>
  <r>
    <x v="2"/>
    <x v="45"/>
    <x v="43"/>
    <x v="13"/>
    <x v="1"/>
    <x v="1"/>
    <x v="2"/>
    <x v="59"/>
    <s v="C/USN/V/P1/nowy 2 80101 6050 WPF/PM"/>
    <x v="176"/>
    <n v="4856793"/>
    <n v="0"/>
    <n v="0"/>
    <n v="100000"/>
    <n v="4656793"/>
    <n v="100000"/>
    <n v="0"/>
    <n v="0"/>
    <n v="0"/>
    <n v="0"/>
    <n v="0"/>
    <n v="0"/>
    <n v="0"/>
    <x v="1"/>
    <s v="C/USN/V/P1/nowy 2 80101 6050 GMMW"/>
    <x v="1"/>
  </r>
  <r>
    <x v="2"/>
    <x v="45"/>
    <x v="43"/>
    <x v="13"/>
    <x v="1"/>
    <x v="1"/>
    <x v="3"/>
    <x v="59"/>
    <s v="C/USN/V/P1/nowy 2 80101 6050 WPF/UM"/>
    <x v="177"/>
    <n v="0"/>
    <n v="0"/>
    <n v="0"/>
    <n v="0"/>
    <n v="0"/>
    <n v="0"/>
    <n v="0"/>
    <n v="0"/>
    <n v="0"/>
    <n v="0"/>
    <n v="0"/>
    <n v="0"/>
    <n v="0"/>
    <x v="1"/>
    <s v="-"/>
    <x v="1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1"/>
    <s v="-"/>
    <x v="0"/>
  </r>
  <r>
    <x v="3"/>
    <x v="45"/>
    <x v="43"/>
    <x v="13"/>
    <x v="1"/>
    <x v="1"/>
    <x v="1"/>
    <x v="59"/>
    <s v="C/USN/V/P1/nowy 2 80101 6050 WPF, w tym"/>
    <x v="175"/>
    <n v="4856793"/>
    <n v="0"/>
    <n v="0"/>
    <n v="100000"/>
    <n v="4656793"/>
    <n v="100000"/>
    <n v="0"/>
    <n v="0"/>
    <n v="0"/>
    <n v="0"/>
    <n v="0"/>
    <n v="0"/>
    <n v="0"/>
    <x v="1"/>
    <s v="-"/>
    <x v="1"/>
  </r>
  <r>
    <x v="3"/>
    <x v="45"/>
    <x v="43"/>
    <x v="13"/>
    <x v="1"/>
    <x v="1"/>
    <x v="2"/>
    <x v="59"/>
    <s v="C/USN/V/P1/nowy 2 80101 6050 WPF/PM"/>
    <x v="176"/>
    <n v="4856793"/>
    <n v="0"/>
    <n v="0"/>
    <n v="100000"/>
    <n v="4656793"/>
    <n v="100000"/>
    <n v="0"/>
    <n v="0"/>
    <n v="0"/>
    <n v="0"/>
    <n v="0"/>
    <n v="0"/>
    <n v="0"/>
    <x v="1"/>
    <s v="-"/>
    <x v="1"/>
  </r>
  <r>
    <x v="3"/>
    <x v="45"/>
    <x v="43"/>
    <x v="13"/>
    <x v="1"/>
    <x v="1"/>
    <x v="3"/>
    <x v="59"/>
    <s v="C/USN/V/P1/nowy 2 80101 6050 WPF/UM"/>
    <x v="177"/>
    <n v="0"/>
    <n v="0"/>
    <n v="0"/>
    <n v="0"/>
    <n v="0"/>
    <n v="0"/>
    <n v="0"/>
    <n v="0"/>
    <n v="0"/>
    <n v="0"/>
    <n v="0"/>
    <n v="0"/>
    <n v="0"/>
    <x v="1"/>
    <s v="-"/>
    <x v="1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46"/>
    <x v="44"/>
    <x v="17"/>
    <x v="1"/>
    <x v="20"/>
    <x v="1"/>
    <x v="60"/>
    <s v="C/USN/VI/P3/4 85516 6050 WPF, w tym"/>
    <x v="178"/>
    <n v="12466383"/>
    <n v="12211242"/>
    <n v="0"/>
    <n v="255141"/>
    <n v="0"/>
    <n v="0"/>
    <n v="0"/>
    <n v="0"/>
    <n v="0"/>
    <n v="0"/>
    <n v="0"/>
    <n v="0"/>
    <n v="0"/>
    <x v="0"/>
    <s v="-"/>
    <x v="0"/>
  </r>
  <r>
    <x v="1"/>
    <x v="46"/>
    <x v="44"/>
    <x v="17"/>
    <x v="1"/>
    <x v="20"/>
    <x v="2"/>
    <x v="60"/>
    <s v="C/USN/VI/P3/4 85516 6050 WPF/PM"/>
    <x v="179"/>
    <n v="255141"/>
    <n v="0"/>
    <n v="0"/>
    <n v="255141"/>
    <n v="0"/>
    <n v="0"/>
    <n v="0"/>
    <n v="0"/>
    <n v="0"/>
    <n v="0"/>
    <n v="0"/>
    <n v="0"/>
    <n v="0"/>
    <x v="0"/>
    <s v="-"/>
    <x v="0"/>
  </r>
  <r>
    <x v="1"/>
    <x v="46"/>
    <x v="44"/>
    <x v="17"/>
    <x v="1"/>
    <x v="20"/>
    <x v="3"/>
    <x v="60"/>
    <s v="C/USN/VI/P3/4 85516 6050 WPF/UM"/>
    <x v="180"/>
    <n v="12211242"/>
    <n v="12211242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46"/>
    <x v="44"/>
    <x v="17"/>
    <x v="1"/>
    <x v="20"/>
    <x v="1"/>
    <x v="60"/>
    <s v="C/USN/VI/P3/4 85516 6050 WPF, w tym"/>
    <x v="178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46"/>
    <x v="44"/>
    <x v="17"/>
    <x v="1"/>
    <x v="20"/>
    <x v="2"/>
    <x v="60"/>
    <s v="C/USN/VI/P3/4 85516 6050 WPF/PM"/>
    <x v="179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46"/>
    <x v="44"/>
    <x v="17"/>
    <x v="1"/>
    <x v="20"/>
    <x v="3"/>
    <x v="60"/>
    <s v="C/USN/VI/P3/4 85516 6050 WPF/UM"/>
    <x v="180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46"/>
    <x v="44"/>
    <x v="17"/>
    <x v="1"/>
    <x v="20"/>
    <x v="1"/>
    <x v="60"/>
    <s v="C/USN/VI/P3/4 85516 6050 WPF, w tym"/>
    <x v="178"/>
    <n v="12466383"/>
    <n v="12211242"/>
    <n v="0"/>
    <n v="255141"/>
    <n v="0"/>
    <n v="0"/>
    <n v="0"/>
    <n v="0"/>
    <n v="0"/>
    <n v="0"/>
    <n v="0"/>
    <n v="0"/>
    <n v="0"/>
    <x v="0"/>
    <s v="-"/>
    <x v="0"/>
  </r>
  <r>
    <x v="3"/>
    <x v="46"/>
    <x v="44"/>
    <x v="17"/>
    <x v="1"/>
    <x v="20"/>
    <x v="2"/>
    <x v="60"/>
    <s v="C/USN/VI/P3/4 85516 6050 WPF/PM"/>
    <x v="179"/>
    <n v="255141"/>
    <n v="0"/>
    <n v="0"/>
    <n v="255141"/>
    <n v="0"/>
    <n v="0"/>
    <n v="0"/>
    <n v="0"/>
    <n v="0"/>
    <n v="0"/>
    <n v="0"/>
    <n v="0"/>
    <n v="0"/>
    <x v="0"/>
    <s v="-"/>
    <x v="0"/>
  </r>
  <r>
    <x v="3"/>
    <x v="46"/>
    <x v="44"/>
    <x v="17"/>
    <x v="1"/>
    <x v="20"/>
    <x v="3"/>
    <x v="60"/>
    <s v="C/USN/VI/P3/4 85516 6050 WPF/UM"/>
    <x v="180"/>
    <n v="12211242"/>
    <n v="12211242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46"/>
    <x v="44"/>
    <x v="17"/>
    <x v="1"/>
    <x v="1"/>
    <x v="1"/>
    <x v="61"/>
    <s v="C/USN/VI/P3/4 85516 6050 WPF, w tym"/>
    <x v="181"/>
    <n v="2650000"/>
    <n v="60671"/>
    <n v="7064"/>
    <n v="2582265"/>
    <n v="0"/>
    <n v="0"/>
    <n v="0"/>
    <n v="0"/>
    <n v="0"/>
    <n v="0"/>
    <n v="0"/>
    <n v="0"/>
    <n v="0"/>
    <x v="0"/>
    <s v="-"/>
    <x v="0"/>
  </r>
  <r>
    <x v="1"/>
    <x v="46"/>
    <x v="44"/>
    <x v="17"/>
    <x v="1"/>
    <x v="1"/>
    <x v="2"/>
    <x v="61"/>
    <s v="C/USN/VI/P3/4 85516 6050 WPF/PM"/>
    <x v="182"/>
    <n v="2582265"/>
    <n v="0"/>
    <n v="0"/>
    <n v="2582265"/>
    <n v="0"/>
    <n v="0"/>
    <n v="0"/>
    <n v="0"/>
    <n v="0"/>
    <n v="0"/>
    <n v="0"/>
    <n v="0"/>
    <n v="0"/>
    <x v="0"/>
    <s v="-"/>
    <x v="0"/>
  </r>
  <r>
    <x v="1"/>
    <x v="46"/>
    <x v="44"/>
    <x v="17"/>
    <x v="1"/>
    <x v="1"/>
    <x v="3"/>
    <x v="61"/>
    <s v="C/USN/VI/P3/4 85516 6050 WPF/UM"/>
    <x v="183"/>
    <n v="67735"/>
    <n v="60671"/>
    <n v="7064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46"/>
    <x v="44"/>
    <x v="17"/>
    <x v="1"/>
    <x v="1"/>
    <x v="1"/>
    <x v="61"/>
    <s v="C/USN/VI/P3/4 85516 6050 WPF, w tym"/>
    <x v="181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46"/>
    <x v="44"/>
    <x v="17"/>
    <x v="1"/>
    <x v="1"/>
    <x v="2"/>
    <x v="61"/>
    <s v="C/USN/VI/P3/4 85516 6050 WPF/PM"/>
    <x v="182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46"/>
    <x v="44"/>
    <x v="17"/>
    <x v="1"/>
    <x v="1"/>
    <x v="3"/>
    <x v="61"/>
    <s v="C/USN/VI/P3/4 85516 6050 WPF/UM"/>
    <x v="183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46"/>
    <x v="44"/>
    <x v="17"/>
    <x v="1"/>
    <x v="1"/>
    <x v="1"/>
    <x v="61"/>
    <s v="C/USN/VI/P3/4 85516 6050 WPF, w tym"/>
    <x v="181"/>
    <n v="2650000"/>
    <n v="60671"/>
    <n v="7064"/>
    <n v="2582265"/>
    <n v="0"/>
    <n v="0"/>
    <n v="0"/>
    <n v="0"/>
    <n v="0"/>
    <n v="0"/>
    <n v="0"/>
    <n v="0"/>
    <n v="0"/>
    <x v="0"/>
    <s v="-"/>
    <x v="0"/>
  </r>
  <r>
    <x v="3"/>
    <x v="46"/>
    <x v="44"/>
    <x v="17"/>
    <x v="1"/>
    <x v="1"/>
    <x v="2"/>
    <x v="61"/>
    <s v="C/USN/VI/P3/4 85516 6050 WPF/PM"/>
    <x v="182"/>
    <n v="2582265"/>
    <n v="0"/>
    <n v="0"/>
    <n v="2582265"/>
    <n v="0"/>
    <n v="0"/>
    <n v="0"/>
    <n v="0"/>
    <n v="0"/>
    <n v="0"/>
    <n v="0"/>
    <n v="0"/>
    <n v="0"/>
    <x v="0"/>
    <s v="-"/>
    <x v="0"/>
  </r>
  <r>
    <x v="3"/>
    <x v="46"/>
    <x v="44"/>
    <x v="17"/>
    <x v="1"/>
    <x v="1"/>
    <x v="3"/>
    <x v="61"/>
    <s v="C/USN/VI/P3/4 85516 6050 WPF/UM"/>
    <x v="183"/>
    <n v="67735"/>
    <n v="60671"/>
    <n v="7064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47"/>
    <x v="45"/>
    <x v="18"/>
    <x v="1"/>
    <x v="1"/>
    <x v="1"/>
    <x v="62"/>
    <s v="C/USN/VI/P3/7 85202 6050 WPF, w tym"/>
    <x v="184"/>
    <n v="13085001"/>
    <n v="1087725"/>
    <n v="9862366"/>
    <n v="2134910"/>
    <n v="0"/>
    <n v="0"/>
    <n v="0"/>
    <n v="0"/>
    <n v="0"/>
    <n v="0"/>
    <n v="0"/>
    <n v="0"/>
    <n v="0"/>
    <x v="0"/>
    <s v="-"/>
    <x v="0"/>
  </r>
  <r>
    <x v="1"/>
    <x v="47"/>
    <x v="45"/>
    <x v="18"/>
    <x v="1"/>
    <x v="1"/>
    <x v="2"/>
    <x v="62"/>
    <s v="C/USN/VI/P3/7 85202 6050 WPF/PM"/>
    <x v="185"/>
    <n v="1231130"/>
    <n v="0"/>
    <n v="0"/>
    <n v="1231130"/>
    <n v="0"/>
    <n v="0"/>
    <n v="0"/>
    <n v="0"/>
    <n v="0"/>
    <n v="0"/>
    <n v="0"/>
    <n v="0"/>
    <n v="0"/>
    <x v="0"/>
    <s v="-"/>
    <x v="0"/>
  </r>
  <r>
    <x v="1"/>
    <x v="47"/>
    <x v="45"/>
    <x v="18"/>
    <x v="1"/>
    <x v="1"/>
    <x v="3"/>
    <x v="62"/>
    <s v="C/USN/VI/P3/7 85202 6050 WPF/UM"/>
    <x v="186"/>
    <n v="11853871"/>
    <n v="1087725"/>
    <n v="9862366"/>
    <n v="90378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47"/>
    <x v="45"/>
    <x v="18"/>
    <x v="1"/>
    <x v="1"/>
    <x v="1"/>
    <x v="62"/>
    <s v="C/USN/VI/P3/7 85202 6050 WPF, w tym"/>
    <x v="184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47"/>
    <x v="45"/>
    <x v="18"/>
    <x v="1"/>
    <x v="1"/>
    <x v="2"/>
    <x v="62"/>
    <s v="C/USN/VI/P3/7 85202 6050 WPF/PM"/>
    <x v="185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47"/>
    <x v="45"/>
    <x v="18"/>
    <x v="1"/>
    <x v="1"/>
    <x v="3"/>
    <x v="62"/>
    <s v="C/USN/VI/P3/7 85202 6050 WPF/UM"/>
    <x v="186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47"/>
    <x v="45"/>
    <x v="18"/>
    <x v="1"/>
    <x v="1"/>
    <x v="1"/>
    <x v="62"/>
    <s v="C/USN/VI/P3/7 85202 6050 WPF, w tym"/>
    <x v="184"/>
    <n v="13085001"/>
    <n v="1087725"/>
    <n v="9862366"/>
    <n v="2134910"/>
    <n v="0"/>
    <n v="0"/>
    <n v="0"/>
    <n v="0"/>
    <n v="0"/>
    <n v="0"/>
    <n v="0"/>
    <n v="0"/>
    <n v="0"/>
    <x v="0"/>
    <s v="-"/>
    <x v="0"/>
  </r>
  <r>
    <x v="3"/>
    <x v="47"/>
    <x v="45"/>
    <x v="18"/>
    <x v="1"/>
    <x v="1"/>
    <x v="2"/>
    <x v="62"/>
    <s v="C/USN/VI/P3/7 85202 6050 WPF/PM"/>
    <x v="185"/>
    <n v="1231130"/>
    <n v="0"/>
    <n v="0"/>
    <n v="1231130"/>
    <n v="0"/>
    <n v="0"/>
    <n v="0"/>
    <n v="0"/>
    <n v="0"/>
    <n v="0"/>
    <n v="0"/>
    <n v="0"/>
    <n v="0"/>
    <x v="0"/>
    <s v="-"/>
    <x v="0"/>
  </r>
  <r>
    <x v="3"/>
    <x v="47"/>
    <x v="45"/>
    <x v="18"/>
    <x v="1"/>
    <x v="1"/>
    <x v="3"/>
    <x v="62"/>
    <s v="C/USN/VI/P3/7 85202 6050 WPF/UM"/>
    <x v="186"/>
    <n v="11853871"/>
    <n v="1087725"/>
    <n v="9862366"/>
    <n v="90378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48"/>
    <x v="46"/>
    <x v="19"/>
    <x v="1"/>
    <x v="1"/>
    <x v="1"/>
    <x v="63"/>
    <s v="C/USN/VI/P3/10 85219 6050 WPF, w tym"/>
    <x v="187"/>
    <n v="531477"/>
    <n v="0"/>
    <n v="125500"/>
    <n v="40000"/>
    <n v="365977"/>
    <n v="0"/>
    <n v="0"/>
    <n v="0"/>
    <n v="0"/>
    <n v="0"/>
    <n v="0"/>
    <n v="0"/>
    <n v="0"/>
    <x v="0"/>
    <s v="-"/>
    <x v="0"/>
  </r>
  <r>
    <x v="1"/>
    <x v="48"/>
    <x v="46"/>
    <x v="19"/>
    <x v="1"/>
    <x v="1"/>
    <x v="2"/>
    <x v="63"/>
    <s v="C/USN/VI/P3/10 85219 6050 WPF/PM"/>
    <x v="188"/>
    <n v="405977"/>
    <n v="0"/>
    <n v="0"/>
    <n v="40000"/>
    <n v="365977"/>
    <n v="0"/>
    <n v="0"/>
    <n v="0"/>
    <n v="0"/>
    <n v="0"/>
    <n v="0"/>
    <n v="0"/>
    <n v="0"/>
    <x v="0"/>
    <s v="-"/>
    <x v="0"/>
  </r>
  <r>
    <x v="1"/>
    <x v="48"/>
    <x v="46"/>
    <x v="19"/>
    <x v="1"/>
    <x v="1"/>
    <x v="3"/>
    <x v="63"/>
    <s v="C/USN/VI/P3/10 85219 6050 WPF/UM"/>
    <x v="189"/>
    <n v="125500"/>
    <n v="0"/>
    <n v="12550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48"/>
    <x v="46"/>
    <x v="19"/>
    <x v="1"/>
    <x v="1"/>
    <x v="1"/>
    <x v="63"/>
    <s v="C/USN/VI/P3/10 85219 6050 WPF, w tym"/>
    <x v="187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48"/>
    <x v="46"/>
    <x v="19"/>
    <x v="1"/>
    <x v="1"/>
    <x v="2"/>
    <x v="63"/>
    <s v="C/USN/VI/P3/10 85219 6050 WPF/PM"/>
    <x v="188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48"/>
    <x v="46"/>
    <x v="19"/>
    <x v="1"/>
    <x v="1"/>
    <x v="3"/>
    <x v="63"/>
    <s v="C/USN/VI/P3/10 85219 6050 WPF/UM"/>
    <x v="189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48"/>
    <x v="46"/>
    <x v="19"/>
    <x v="1"/>
    <x v="1"/>
    <x v="1"/>
    <x v="63"/>
    <s v="C/USN/VI/P3/10 85219 6050 WPF, w tym"/>
    <x v="187"/>
    <n v="531477"/>
    <n v="0"/>
    <n v="125500"/>
    <n v="40000"/>
    <n v="365977"/>
    <n v="0"/>
    <n v="0"/>
    <n v="0"/>
    <n v="0"/>
    <n v="0"/>
    <n v="0"/>
    <n v="0"/>
    <n v="0"/>
    <x v="0"/>
    <s v="-"/>
    <x v="0"/>
  </r>
  <r>
    <x v="3"/>
    <x v="48"/>
    <x v="46"/>
    <x v="19"/>
    <x v="1"/>
    <x v="1"/>
    <x v="2"/>
    <x v="63"/>
    <s v="C/USN/VI/P3/10 85219 6050 WPF/PM"/>
    <x v="188"/>
    <n v="405977"/>
    <n v="0"/>
    <n v="0"/>
    <n v="40000"/>
    <n v="365977"/>
    <n v="0"/>
    <n v="0"/>
    <n v="0"/>
    <n v="0"/>
    <n v="0"/>
    <n v="0"/>
    <n v="0"/>
    <n v="0"/>
    <x v="0"/>
    <s v="-"/>
    <x v="0"/>
  </r>
  <r>
    <x v="3"/>
    <x v="48"/>
    <x v="46"/>
    <x v="19"/>
    <x v="1"/>
    <x v="1"/>
    <x v="3"/>
    <x v="63"/>
    <s v="C/USN/VI/P3/10 85219 6050 WPF/UM"/>
    <x v="189"/>
    <n v="125500"/>
    <n v="0"/>
    <n v="12550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49"/>
    <x v="47"/>
    <x v="20"/>
    <x v="5"/>
    <x v="1"/>
    <x v="1"/>
    <x v="64"/>
    <s v="C/USN/VII/P3/9 92109 6220 WPF, w tym"/>
    <x v="190"/>
    <n v="3426248"/>
    <n v="2560438"/>
    <n v="848998"/>
    <n v="16812"/>
    <n v="0"/>
    <n v="0"/>
    <n v="0"/>
    <n v="0"/>
    <n v="0"/>
    <n v="0"/>
    <n v="0"/>
    <n v="0"/>
    <n v="0"/>
    <x v="0"/>
    <s v="-"/>
    <x v="0"/>
  </r>
  <r>
    <x v="1"/>
    <x v="49"/>
    <x v="47"/>
    <x v="20"/>
    <x v="5"/>
    <x v="1"/>
    <x v="2"/>
    <x v="64"/>
    <s v="C/USN/VII/P3/9 92109 6220 WPF/PM"/>
    <x v="191"/>
    <n v="16812"/>
    <n v="0"/>
    <n v="0"/>
    <n v="16812"/>
    <n v="0"/>
    <n v="0"/>
    <n v="0"/>
    <n v="0"/>
    <n v="0"/>
    <n v="0"/>
    <n v="0"/>
    <n v="0"/>
    <n v="0"/>
    <x v="0"/>
    <s v="-"/>
    <x v="0"/>
  </r>
  <r>
    <x v="1"/>
    <x v="49"/>
    <x v="47"/>
    <x v="20"/>
    <x v="5"/>
    <x v="1"/>
    <x v="3"/>
    <x v="64"/>
    <s v="C/USN/VII/P3/9 92109 6220 WPF/UM"/>
    <x v="192"/>
    <n v="3409436"/>
    <n v="2560438"/>
    <n v="848998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49"/>
    <x v="47"/>
    <x v="20"/>
    <x v="5"/>
    <x v="1"/>
    <x v="1"/>
    <x v="64"/>
    <s v="C/USN/VII/P3/9 92109 6220 WPF, w tym"/>
    <x v="190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49"/>
    <x v="47"/>
    <x v="20"/>
    <x v="5"/>
    <x v="1"/>
    <x v="2"/>
    <x v="64"/>
    <s v="C/USN/VII/P3/9 92109 6220 WPF/PM"/>
    <x v="191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49"/>
    <x v="47"/>
    <x v="20"/>
    <x v="5"/>
    <x v="1"/>
    <x v="3"/>
    <x v="64"/>
    <s v="C/USN/VII/P3/9 92109 6220 WPF/UM"/>
    <x v="192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49"/>
    <x v="47"/>
    <x v="20"/>
    <x v="5"/>
    <x v="1"/>
    <x v="1"/>
    <x v="64"/>
    <s v="C/USN/VII/P3/9 92109 6220 WPF, w tym"/>
    <x v="190"/>
    <n v="3426248"/>
    <n v="2560438"/>
    <n v="848998"/>
    <n v="16812"/>
    <n v="0"/>
    <n v="0"/>
    <n v="0"/>
    <n v="0"/>
    <n v="0"/>
    <n v="0"/>
    <n v="0"/>
    <n v="0"/>
    <n v="0"/>
    <x v="0"/>
    <s v="-"/>
    <x v="0"/>
  </r>
  <r>
    <x v="3"/>
    <x v="49"/>
    <x v="47"/>
    <x v="20"/>
    <x v="5"/>
    <x v="1"/>
    <x v="2"/>
    <x v="64"/>
    <s v="C/USN/VII/P3/9 92109 6220 WPF/PM"/>
    <x v="191"/>
    <n v="16812"/>
    <n v="0"/>
    <n v="0"/>
    <n v="16812"/>
    <n v="0"/>
    <n v="0"/>
    <n v="0"/>
    <n v="0"/>
    <n v="0"/>
    <n v="0"/>
    <n v="0"/>
    <n v="0"/>
    <n v="0"/>
    <x v="0"/>
    <s v="-"/>
    <x v="0"/>
  </r>
  <r>
    <x v="3"/>
    <x v="49"/>
    <x v="47"/>
    <x v="20"/>
    <x v="5"/>
    <x v="1"/>
    <x v="3"/>
    <x v="64"/>
    <s v="C/USN/VII/P3/9 92109 6220 WPF/UM"/>
    <x v="192"/>
    <n v="3409436"/>
    <n v="2560438"/>
    <n v="848998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50"/>
    <x v="48"/>
    <x v="21"/>
    <x v="1"/>
    <x v="1"/>
    <x v="1"/>
    <x v="65"/>
    <s v="C/USN/VII/P3/11 92116 6050 WPF, w tym"/>
    <x v="193"/>
    <n v="2717350"/>
    <n v="0"/>
    <n v="0"/>
    <n v="2700000"/>
    <n v="17350"/>
    <n v="0"/>
    <n v="0"/>
    <n v="0"/>
    <n v="0"/>
    <n v="0"/>
    <n v="0"/>
    <n v="0"/>
    <n v="0"/>
    <x v="0"/>
    <s v="-"/>
    <x v="0"/>
  </r>
  <r>
    <x v="1"/>
    <x v="50"/>
    <x v="48"/>
    <x v="21"/>
    <x v="1"/>
    <x v="1"/>
    <x v="2"/>
    <x v="65"/>
    <s v="C/USN/VII/P3/11 92116 6050 WPF/PM"/>
    <x v="194"/>
    <n v="2717350"/>
    <n v="0"/>
    <n v="0"/>
    <n v="2700000"/>
    <n v="17350"/>
    <n v="0"/>
    <n v="0"/>
    <n v="0"/>
    <n v="0"/>
    <n v="0"/>
    <n v="0"/>
    <n v="0"/>
    <n v="0"/>
    <x v="0"/>
    <s v="-"/>
    <x v="0"/>
  </r>
  <r>
    <x v="1"/>
    <x v="50"/>
    <x v="48"/>
    <x v="21"/>
    <x v="1"/>
    <x v="1"/>
    <x v="3"/>
    <x v="65"/>
    <s v="C/USN/VII/P3/11 92116 6050 WPF/UM"/>
    <x v="195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50"/>
    <x v="48"/>
    <x v="21"/>
    <x v="1"/>
    <x v="1"/>
    <x v="1"/>
    <x v="65"/>
    <s v="C/USN/VII/P3/11 92116 6050 WPF, w tym"/>
    <x v="193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50"/>
    <x v="48"/>
    <x v="21"/>
    <x v="1"/>
    <x v="1"/>
    <x v="2"/>
    <x v="65"/>
    <s v="C/USN/VII/P3/11 92116 6050 WPF/PM"/>
    <x v="194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50"/>
    <x v="48"/>
    <x v="21"/>
    <x v="1"/>
    <x v="1"/>
    <x v="3"/>
    <x v="65"/>
    <s v="C/USN/VII/P3/11 92116 6050 WPF/UM"/>
    <x v="195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50"/>
    <x v="48"/>
    <x v="21"/>
    <x v="1"/>
    <x v="1"/>
    <x v="1"/>
    <x v="65"/>
    <s v="C/USN/VII/P3/11 92116 6050 WPF, w tym"/>
    <x v="193"/>
    <n v="2717350"/>
    <n v="0"/>
    <n v="0"/>
    <n v="2700000"/>
    <n v="17350"/>
    <n v="0"/>
    <n v="0"/>
    <n v="0"/>
    <n v="0"/>
    <n v="0"/>
    <n v="0"/>
    <n v="0"/>
    <n v="0"/>
    <x v="0"/>
    <s v="-"/>
    <x v="0"/>
  </r>
  <r>
    <x v="3"/>
    <x v="50"/>
    <x v="48"/>
    <x v="21"/>
    <x v="1"/>
    <x v="1"/>
    <x v="2"/>
    <x v="65"/>
    <s v="C/USN/VII/P3/11 92116 6050 WPF/PM"/>
    <x v="194"/>
    <n v="2717350"/>
    <n v="0"/>
    <n v="0"/>
    <n v="2700000"/>
    <n v="17350"/>
    <n v="0"/>
    <n v="0"/>
    <n v="0"/>
    <n v="0"/>
    <n v="0"/>
    <n v="0"/>
    <n v="0"/>
    <n v="0"/>
    <x v="0"/>
    <s v="-"/>
    <x v="0"/>
  </r>
  <r>
    <x v="3"/>
    <x v="50"/>
    <x v="48"/>
    <x v="21"/>
    <x v="1"/>
    <x v="1"/>
    <x v="3"/>
    <x v="65"/>
    <s v="C/USN/VII/P3/11 92116 6050 WPF/UM"/>
    <x v="195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50"/>
    <x v="48"/>
    <x v="21"/>
    <x v="1"/>
    <x v="21"/>
    <x v="1"/>
    <x v="66"/>
    <s v="C/USN/VII/P3/11 92116 6050 WPF, w tym"/>
    <x v="196"/>
    <n v="1000000"/>
    <n v="0"/>
    <n v="116850"/>
    <n v="683150"/>
    <n v="200000"/>
    <n v="0"/>
    <n v="0"/>
    <n v="0"/>
    <n v="0"/>
    <n v="0"/>
    <n v="0"/>
    <n v="0"/>
    <n v="0"/>
    <x v="0"/>
    <s v="-"/>
    <x v="0"/>
  </r>
  <r>
    <x v="1"/>
    <x v="50"/>
    <x v="48"/>
    <x v="21"/>
    <x v="1"/>
    <x v="21"/>
    <x v="2"/>
    <x v="66"/>
    <s v="C/USN/VII/P3/11 92116 6050 WPF/PM"/>
    <x v="197"/>
    <n v="875155"/>
    <n v="0"/>
    <n v="0"/>
    <n v="675155"/>
    <n v="200000"/>
    <n v="0"/>
    <n v="0"/>
    <n v="0"/>
    <n v="0"/>
    <n v="0"/>
    <n v="0"/>
    <n v="0"/>
    <n v="0"/>
    <x v="0"/>
    <s v="-"/>
    <x v="0"/>
  </r>
  <r>
    <x v="1"/>
    <x v="50"/>
    <x v="48"/>
    <x v="21"/>
    <x v="1"/>
    <x v="21"/>
    <x v="3"/>
    <x v="66"/>
    <s v="C/USN/VII/P3/11 92116 6050 WPF/UM"/>
    <x v="198"/>
    <n v="124845"/>
    <n v="0"/>
    <n v="116850"/>
    <n v="7995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50"/>
    <x v="48"/>
    <x v="21"/>
    <x v="1"/>
    <x v="21"/>
    <x v="1"/>
    <x v="66"/>
    <s v="C/USN/VII/P3/11 92116 6050 WPF, w tym"/>
    <x v="196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50"/>
    <x v="48"/>
    <x v="21"/>
    <x v="1"/>
    <x v="21"/>
    <x v="2"/>
    <x v="66"/>
    <s v="C/USN/VII/P3/11 92116 6050 WPF/PM"/>
    <x v="197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50"/>
    <x v="48"/>
    <x v="21"/>
    <x v="1"/>
    <x v="21"/>
    <x v="3"/>
    <x v="66"/>
    <s v="C/USN/VII/P3/11 92116 6050 WPF/UM"/>
    <x v="198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50"/>
    <x v="48"/>
    <x v="21"/>
    <x v="1"/>
    <x v="21"/>
    <x v="1"/>
    <x v="66"/>
    <s v="C/USN/VII/P3/11 92116 6050 WPF, w tym"/>
    <x v="196"/>
    <n v="1000000"/>
    <n v="0"/>
    <n v="116850"/>
    <n v="683150"/>
    <n v="200000"/>
    <n v="0"/>
    <n v="0"/>
    <n v="0"/>
    <n v="0"/>
    <n v="0"/>
    <n v="0"/>
    <n v="0"/>
    <n v="0"/>
    <x v="0"/>
    <s v="-"/>
    <x v="0"/>
  </r>
  <r>
    <x v="3"/>
    <x v="50"/>
    <x v="48"/>
    <x v="21"/>
    <x v="1"/>
    <x v="21"/>
    <x v="2"/>
    <x v="66"/>
    <s v="C/USN/VII/P3/11 92116 6050 WPF/PM"/>
    <x v="197"/>
    <n v="875155"/>
    <n v="0"/>
    <n v="0"/>
    <n v="675155"/>
    <n v="200000"/>
    <n v="0"/>
    <n v="0"/>
    <n v="0"/>
    <n v="0"/>
    <n v="0"/>
    <n v="0"/>
    <n v="0"/>
    <n v="0"/>
    <x v="0"/>
    <s v="-"/>
    <x v="0"/>
  </r>
  <r>
    <x v="3"/>
    <x v="50"/>
    <x v="48"/>
    <x v="21"/>
    <x v="1"/>
    <x v="21"/>
    <x v="3"/>
    <x v="66"/>
    <s v="C/USN/VII/P3/11 92116 6050 WPF/UM"/>
    <x v="198"/>
    <n v="124845"/>
    <n v="0"/>
    <n v="116850"/>
    <n v="7995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51"/>
    <x v="49"/>
    <x v="22"/>
    <x v="6"/>
    <x v="19"/>
    <x v="1"/>
    <x v="67"/>
    <s v="C/USN/VIII/P1/24 92601 6210 WPF, w tym"/>
    <x v="199"/>
    <n v="3400000"/>
    <n v="0"/>
    <n v="241161"/>
    <n v="3158839"/>
    <n v="0"/>
    <n v="0"/>
    <n v="0"/>
    <n v="0"/>
    <n v="0"/>
    <n v="0"/>
    <n v="0"/>
    <n v="0"/>
    <n v="0"/>
    <x v="0"/>
    <s v="-"/>
    <x v="0"/>
  </r>
  <r>
    <x v="1"/>
    <x v="51"/>
    <x v="49"/>
    <x v="22"/>
    <x v="6"/>
    <x v="19"/>
    <x v="2"/>
    <x v="67"/>
    <s v="C/USN/VIII/P1/24 92601 6210 WPF/PM"/>
    <x v="200"/>
    <n v="3158839"/>
    <n v="0"/>
    <n v="0"/>
    <n v="3158839"/>
    <n v="0"/>
    <n v="0"/>
    <n v="0"/>
    <n v="0"/>
    <n v="0"/>
    <n v="0"/>
    <n v="0"/>
    <n v="0"/>
    <n v="0"/>
    <x v="0"/>
    <s v="-"/>
    <x v="0"/>
  </r>
  <r>
    <x v="1"/>
    <x v="51"/>
    <x v="49"/>
    <x v="22"/>
    <x v="6"/>
    <x v="19"/>
    <x v="3"/>
    <x v="67"/>
    <s v="C/USN/VIII/P1/24 92601 6210 WPF/UM"/>
    <x v="201"/>
    <n v="241161"/>
    <n v="0"/>
    <n v="241161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51"/>
    <x v="49"/>
    <x v="22"/>
    <x v="6"/>
    <x v="19"/>
    <x v="1"/>
    <x v="67"/>
    <s v="C/USN/VIII/P1/24 92601 6210 WPF, w tym"/>
    <x v="199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51"/>
    <x v="49"/>
    <x v="22"/>
    <x v="6"/>
    <x v="19"/>
    <x v="2"/>
    <x v="67"/>
    <s v="C/USN/VIII/P1/24 92601 6210 WPF/PM"/>
    <x v="200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51"/>
    <x v="49"/>
    <x v="22"/>
    <x v="6"/>
    <x v="19"/>
    <x v="3"/>
    <x v="67"/>
    <s v="C/USN/VIII/P1/24 92601 6210 WPF/UM"/>
    <x v="201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51"/>
    <x v="49"/>
    <x v="22"/>
    <x v="6"/>
    <x v="19"/>
    <x v="1"/>
    <x v="67"/>
    <s v="C/USN/VIII/P1/24 92601 6210 WPF, w tym"/>
    <x v="199"/>
    <n v="3400000"/>
    <n v="0"/>
    <n v="241161"/>
    <n v="3158839"/>
    <n v="0"/>
    <n v="0"/>
    <n v="0"/>
    <n v="0"/>
    <n v="0"/>
    <n v="0"/>
    <n v="0"/>
    <n v="0"/>
    <n v="0"/>
    <x v="0"/>
    <s v="-"/>
    <x v="0"/>
  </r>
  <r>
    <x v="3"/>
    <x v="51"/>
    <x v="49"/>
    <x v="22"/>
    <x v="6"/>
    <x v="19"/>
    <x v="2"/>
    <x v="67"/>
    <s v="C/USN/VIII/P1/24 92601 6210 WPF/PM"/>
    <x v="200"/>
    <n v="3158839"/>
    <n v="0"/>
    <n v="0"/>
    <n v="3158839"/>
    <n v="0"/>
    <n v="0"/>
    <n v="0"/>
    <n v="0"/>
    <n v="0"/>
    <n v="0"/>
    <n v="0"/>
    <n v="0"/>
    <n v="0"/>
    <x v="0"/>
    <s v="-"/>
    <x v="0"/>
  </r>
  <r>
    <x v="3"/>
    <x v="51"/>
    <x v="49"/>
    <x v="22"/>
    <x v="6"/>
    <x v="19"/>
    <x v="3"/>
    <x v="67"/>
    <s v="C/USN/VIII/P1/24 92601 6210 WPF/UM"/>
    <x v="201"/>
    <n v="241161"/>
    <n v="0"/>
    <n v="241161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52"/>
    <x v="50"/>
    <x v="23"/>
    <x v="1"/>
    <x v="1"/>
    <x v="1"/>
    <x v="68"/>
    <s v="C/USN/X/P2/7 75023 6050 WPF, w tym"/>
    <x v="202"/>
    <n v="1305000"/>
    <n v="0"/>
    <n v="44280"/>
    <n v="1260720"/>
    <n v="0"/>
    <n v="0"/>
    <n v="0"/>
    <n v="0"/>
    <n v="0"/>
    <n v="0"/>
    <n v="0"/>
    <n v="0"/>
    <n v="0"/>
    <x v="0"/>
    <s v="-"/>
    <x v="0"/>
  </r>
  <r>
    <x v="1"/>
    <x v="52"/>
    <x v="50"/>
    <x v="23"/>
    <x v="1"/>
    <x v="1"/>
    <x v="2"/>
    <x v="68"/>
    <s v="C/USN/X/P2/7 75023 6050 WPF/PM"/>
    <x v="203"/>
    <n v="1260720"/>
    <n v="0"/>
    <n v="0"/>
    <n v="1260720"/>
    <n v="0"/>
    <n v="0"/>
    <n v="0"/>
    <n v="0"/>
    <n v="0"/>
    <n v="0"/>
    <n v="0"/>
    <n v="0"/>
    <n v="0"/>
    <x v="0"/>
    <s v="-"/>
    <x v="0"/>
  </r>
  <r>
    <x v="1"/>
    <x v="52"/>
    <x v="50"/>
    <x v="23"/>
    <x v="1"/>
    <x v="1"/>
    <x v="3"/>
    <x v="68"/>
    <s v="C/USN/X/P2/7 75023 6050 WPF/UM"/>
    <x v="204"/>
    <n v="44280"/>
    <n v="0"/>
    <n v="4428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52"/>
    <x v="50"/>
    <x v="23"/>
    <x v="1"/>
    <x v="1"/>
    <x v="1"/>
    <x v="68"/>
    <s v="C/USN/X/P2/7 75023 6050 WPF, w tym"/>
    <x v="202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52"/>
    <x v="50"/>
    <x v="23"/>
    <x v="1"/>
    <x v="1"/>
    <x v="2"/>
    <x v="68"/>
    <s v="C/USN/X/P2/7 75023 6050 WPF/PM"/>
    <x v="203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52"/>
    <x v="50"/>
    <x v="23"/>
    <x v="1"/>
    <x v="1"/>
    <x v="3"/>
    <x v="68"/>
    <s v="C/USN/X/P2/7 75023 6050 WPF/UM"/>
    <x v="204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52"/>
    <x v="50"/>
    <x v="23"/>
    <x v="1"/>
    <x v="1"/>
    <x v="1"/>
    <x v="68"/>
    <s v="C/USN/X/P2/7 75023 6050 WPF, w tym"/>
    <x v="202"/>
    <n v="1305000"/>
    <n v="0"/>
    <n v="44280"/>
    <n v="1260720"/>
    <n v="0"/>
    <n v="0"/>
    <n v="0"/>
    <n v="0"/>
    <n v="0"/>
    <n v="0"/>
    <n v="0"/>
    <n v="0"/>
    <n v="0"/>
    <x v="0"/>
    <s v="-"/>
    <x v="0"/>
  </r>
  <r>
    <x v="3"/>
    <x v="52"/>
    <x v="50"/>
    <x v="23"/>
    <x v="1"/>
    <x v="1"/>
    <x v="2"/>
    <x v="68"/>
    <s v="C/USN/X/P2/7 75023 6050 WPF/PM"/>
    <x v="203"/>
    <n v="1260720"/>
    <n v="0"/>
    <n v="0"/>
    <n v="1260720"/>
    <n v="0"/>
    <n v="0"/>
    <n v="0"/>
    <n v="0"/>
    <n v="0"/>
    <n v="0"/>
    <n v="0"/>
    <n v="0"/>
    <n v="0"/>
    <x v="0"/>
    <s v="-"/>
    <x v="0"/>
  </r>
  <r>
    <x v="3"/>
    <x v="52"/>
    <x v="50"/>
    <x v="23"/>
    <x v="1"/>
    <x v="1"/>
    <x v="3"/>
    <x v="68"/>
    <s v="C/USN/X/P2/7 75023 6050 WPF/UM"/>
    <x v="204"/>
    <n v="44280"/>
    <n v="0"/>
    <n v="4428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1"/>
    <x v="52"/>
    <x v="50"/>
    <x v="23"/>
    <x v="1"/>
    <x v="19"/>
    <x v="1"/>
    <x v="69"/>
    <s v="C/USN/X/P2/7 75023 6050 WPF, w tym"/>
    <x v="205"/>
    <n v="196730"/>
    <n v="0"/>
    <n v="196730"/>
    <n v="0"/>
    <n v="0"/>
    <n v="0"/>
    <n v="0"/>
    <n v="0"/>
    <n v="0"/>
    <n v="0"/>
    <n v="0"/>
    <n v="0"/>
    <n v="0"/>
    <x v="0"/>
    <s v="-"/>
    <x v="0"/>
  </r>
  <r>
    <x v="1"/>
    <x v="52"/>
    <x v="50"/>
    <x v="23"/>
    <x v="1"/>
    <x v="19"/>
    <x v="2"/>
    <x v="69"/>
    <s v="C/USN/X/P2/7 75023 6050 WPF/PM"/>
    <x v="206"/>
    <n v="0"/>
    <n v="0"/>
    <n v="0"/>
    <n v="0"/>
    <n v="0"/>
    <n v="0"/>
    <n v="0"/>
    <n v="0"/>
    <n v="0"/>
    <n v="0"/>
    <n v="0"/>
    <n v="0"/>
    <n v="0"/>
    <x v="0"/>
    <s v="-"/>
    <x v="0"/>
  </r>
  <r>
    <x v="1"/>
    <x v="52"/>
    <x v="50"/>
    <x v="23"/>
    <x v="1"/>
    <x v="19"/>
    <x v="3"/>
    <x v="69"/>
    <s v="C/USN/X/P2/7 75023 6050 WPF/UM"/>
    <x v="207"/>
    <n v="196730"/>
    <n v="0"/>
    <n v="19673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2"/>
    <x v="52"/>
    <x v="50"/>
    <x v="23"/>
    <x v="1"/>
    <x v="19"/>
    <x v="1"/>
    <x v="69"/>
    <s v="C/USN/X/P2/7 75023 6050 WPF, w tym"/>
    <x v="205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52"/>
    <x v="50"/>
    <x v="23"/>
    <x v="1"/>
    <x v="19"/>
    <x v="2"/>
    <x v="69"/>
    <s v="C/USN/X/P2/7 75023 6050 WPF/PM"/>
    <x v="206"/>
    <n v="0"/>
    <n v="0"/>
    <n v="0"/>
    <n v="0"/>
    <n v="0"/>
    <n v="0"/>
    <n v="0"/>
    <n v="0"/>
    <n v="0"/>
    <n v="0"/>
    <n v="0"/>
    <n v="0"/>
    <n v="0"/>
    <x v="0"/>
    <s v="-"/>
    <x v="0"/>
  </r>
  <r>
    <x v="2"/>
    <x v="52"/>
    <x v="50"/>
    <x v="23"/>
    <x v="1"/>
    <x v="19"/>
    <x v="3"/>
    <x v="69"/>
    <s v="C/USN/X/P2/7 75023 6050 WPF/UM"/>
    <x v="207"/>
    <n v="0"/>
    <n v="0"/>
    <n v="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3"/>
    <x v="52"/>
    <x v="50"/>
    <x v="23"/>
    <x v="1"/>
    <x v="19"/>
    <x v="1"/>
    <x v="69"/>
    <s v="C/USN/X/P2/7 75023 6050 WPF, w tym"/>
    <x v="205"/>
    <n v="196730"/>
    <n v="0"/>
    <n v="196730"/>
    <n v="0"/>
    <n v="0"/>
    <n v="0"/>
    <n v="0"/>
    <n v="0"/>
    <n v="0"/>
    <n v="0"/>
    <n v="0"/>
    <n v="0"/>
    <n v="0"/>
    <x v="0"/>
    <s v="-"/>
    <x v="0"/>
  </r>
  <r>
    <x v="3"/>
    <x v="52"/>
    <x v="50"/>
    <x v="23"/>
    <x v="1"/>
    <x v="19"/>
    <x v="2"/>
    <x v="69"/>
    <s v="C/USN/X/P2/7 75023 6050 WPF/PM"/>
    <x v="206"/>
    <n v="0"/>
    <n v="0"/>
    <n v="0"/>
    <n v="0"/>
    <n v="0"/>
    <n v="0"/>
    <n v="0"/>
    <n v="0"/>
    <n v="0"/>
    <n v="0"/>
    <n v="0"/>
    <n v="0"/>
    <n v="0"/>
    <x v="0"/>
    <s v="-"/>
    <x v="0"/>
  </r>
  <r>
    <x v="3"/>
    <x v="52"/>
    <x v="50"/>
    <x v="23"/>
    <x v="1"/>
    <x v="19"/>
    <x v="3"/>
    <x v="69"/>
    <s v="C/USN/X/P2/7 75023 6050 WPF/UM"/>
    <x v="207"/>
    <n v="196730"/>
    <n v="0"/>
    <n v="196730"/>
    <n v="0"/>
    <n v="0"/>
    <n v="0"/>
    <n v="0"/>
    <n v="0"/>
    <n v="0"/>
    <n v="0"/>
    <n v="0"/>
    <n v="0"/>
    <n v="0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  <r>
    <x v="0"/>
    <x v="0"/>
    <x v="0"/>
    <x v="0"/>
    <x v="0"/>
    <x v="0"/>
    <x v="0"/>
    <x v="0"/>
    <s v=""/>
    <x v="0"/>
    <s v=""/>
    <s v=""/>
    <s v=""/>
    <s v=""/>
    <s v=""/>
    <s v=""/>
    <s v=""/>
    <s v=""/>
    <s v=""/>
    <s v=""/>
    <s v=""/>
    <s v=""/>
    <s v=""/>
    <x v="0"/>
    <s v="-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F53C93-47CF-475D-BC96-911A55953150}" name="Tabela przestawna3" cacheId="13" applyNumberFormats="0" applyBorderFormats="0" applyFontFormats="0" applyPatternFormats="0" applyAlignmentFormats="0" applyWidthHeightFormats="1" dataCaption="Wartości" updatedVersion="6" minRefreshableVersion="3" showDrill="0" rowGrandTotals="0" colGrandTotals="0" itemPrintTitles="1" createdVersion="6" indent="0" outline="1" outlineData="1" multipleFieldFilters="0" chartFormat="1" rowHeaderCaption="Rodzaj _x000a_zmian">
  <location ref="S6:Y12" firstHeaderRow="0" firstDataRow="1" firstDataCol="2"/>
  <pivotFields count="26">
    <pivotField axis="axisRow" outline="0" subtotalTop="0" showAll="0" defaultSubtotal="0">
      <items count="4">
        <item h="1" x="0"/>
        <item x="3"/>
        <item x="2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name="P, czy U?" axis="axisRow" outline="0" showAll="0" defaultSubtotal="0">
      <items count="4">
        <item h="1"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showAll="0" defaultSubtotal="0"/>
    <pivotField showAll="0" defaultSubtotal="0"/>
    <pivotField subtotalTop="0" showAll="0" defaultSubtotal="0"/>
  </pivotFields>
  <rowFields count="2">
    <field x="0"/>
    <field x="6"/>
  </rowFields>
  <rowItems count="6">
    <i>
      <x v="1"/>
      <x v="1"/>
    </i>
    <i r="1">
      <x v="2"/>
    </i>
    <i r="1">
      <x v="3"/>
    </i>
    <i>
      <x v="2"/>
      <x v="1"/>
    </i>
    <i r="1">
      <x v="2"/>
    </i>
    <i r="1">
      <x v="3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Plany 2023" fld="12" baseField="6" baseItem="1"/>
    <dataField name="Plany 2024" fld="13" baseField="6" baseItem="1"/>
    <dataField name="Plany 2025" fld="14" baseField="6" baseItem="1"/>
    <dataField name="Plany 2026" fld="15" baseField="6" baseItem="1"/>
    <dataField name="Plany 2027" fld="16" baseField="6" baseItem="1"/>
  </dataFields>
  <formats count="19">
    <format dxfId="3511">
      <pivotArea type="all" dataOnly="0" outline="0" fieldPosition="0"/>
    </format>
    <format dxfId="3510">
      <pivotArea outline="0" collapsedLevelsAreSubtotals="1" fieldPosition="0"/>
    </format>
    <format dxfId="350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508">
      <pivotArea outline="0" collapsedLevelsAreSubtotals="1" fieldPosition="0"/>
    </format>
    <format dxfId="350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506">
      <pivotArea field="6" type="button" dataOnly="0" labelOnly="1" outline="0" axis="axisRow" fieldPosition="1"/>
    </format>
    <format dxfId="350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504">
      <pivotArea type="all" dataOnly="0" outline="0" fieldPosition="0"/>
    </format>
    <format dxfId="3503">
      <pivotArea outline="0" collapsedLevelsAreSubtotals="1" fieldPosition="0"/>
    </format>
    <format dxfId="3502">
      <pivotArea field="6" type="button" dataOnly="0" labelOnly="1" outline="0" axis="axisRow" fieldPosition="1"/>
    </format>
    <format dxfId="350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500">
      <pivotArea field="6" type="button" dataOnly="0" labelOnly="1" outline="0" axis="axisRow" fieldPosition="1"/>
    </format>
    <format dxfId="349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498">
      <pivotArea outline="0" collapsedLevelsAreSubtotals="1" fieldPosition="0">
        <references count="2">
          <reference field="0" count="1" selected="0">
            <x v="1"/>
          </reference>
          <reference field="6" count="1" selected="0">
            <x v="1"/>
          </reference>
        </references>
      </pivotArea>
    </format>
    <format dxfId="3497">
      <pivotArea outline="0" collapsedLevelsAreSubtotals="1" fieldPosition="0">
        <references count="2">
          <reference field="0" count="1" selected="0">
            <x v="2"/>
          </reference>
          <reference field="6" count="2" selected="0">
            <x v="2"/>
            <x v="3"/>
          </reference>
        </references>
      </pivotArea>
    </format>
    <format dxfId="3496">
      <pivotArea field="0" type="button" dataOnly="0" labelOnly="1" outline="0" axis="axisRow" fieldPosition="0"/>
    </format>
    <format dxfId="3495">
      <pivotArea field="0" type="button" dataOnly="0" labelOnly="1" outline="0" axis="axisRow" fieldPosition="0"/>
    </format>
    <format dxfId="3494">
      <pivotArea field="0" type="button" dataOnly="0" labelOnly="1" outline="0" axis="axisRow" fieldPosition="0"/>
    </format>
    <format dxfId="3493">
      <pivotArea field="0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CDE69C1-CAB8-4171-90F2-8EFA4739A39F}" name="Tabela przestawna2" cacheId="13" dataPosition="0" applyNumberFormats="0" applyBorderFormats="0" applyFontFormats="0" applyPatternFormats="0" applyAlignmentFormats="0" applyWidthHeightFormats="1" dataCaption="Wartości" updatedVersion="6" minRefreshableVersion="3" showDrill="0" rowGrandTotals="0" colGrandTotals="0" itemPrintTitles="1" createdVersion="6" indent="0" compact="0" compactData="0" multipleFieldFilters="0" chartFormat="1">
  <location ref="A6:M12" firstHeaderRow="0" firstDataRow="1" firstDataCol="6" rowPageCount="2" colPageCount="1"/>
  <pivotFields count="26">
    <pivotField axis="axisPage" compact="0" outline="0" multipleItemSelectionAllowed="1" showAll="0">
      <items count="5">
        <item h="1" x="0"/>
        <item h="1" x="3"/>
        <item x="2"/>
        <item h="1" x="1"/>
        <item t="default"/>
      </items>
    </pivotField>
    <pivotField axis="axisRow" compact="0" outline="0" showAll="0" sortType="ascending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43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8"/>
        <item x="46"/>
        <item x="47"/>
        <item x="50"/>
        <item x="49"/>
        <item x="51"/>
        <item x="5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1">
        <item x="0"/>
        <item x="16"/>
        <item x="6"/>
        <item x="11"/>
        <item x="8"/>
        <item x="15"/>
        <item x="5"/>
        <item x="44"/>
        <item x="30"/>
        <item x="31"/>
        <item x="33"/>
        <item x="50"/>
        <item x="4"/>
        <item x="2"/>
        <item x="10"/>
        <item x="22"/>
        <item x="7"/>
        <item x="23"/>
        <item x="20"/>
        <item x="34"/>
        <item x="48"/>
        <item x="47"/>
        <item x="1"/>
        <item x="3"/>
        <item x="9"/>
        <item x="12"/>
        <item x="17"/>
        <item x="19"/>
        <item x="24"/>
        <item x="25"/>
        <item x="26"/>
        <item x="35"/>
        <item x="45"/>
        <item x="37"/>
        <item x="40"/>
        <item x="36"/>
        <item x="38"/>
        <item x="39"/>
        <item x="28"/>
        <item x="32"/>
        <item x="29"/>
        <item x="49"/>
        <item x="21"/>
        <item x="13"/>
        <item x="27"/>
        <item x="41"/>
        <item x="46"/>
        <item x="14"/>
        <item x="18"/>
        <item x="42"/>
        <item x="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">
        <item x="10"/>
        <item x="1"/>
        <item x="2"/>
        <item x="3"/>
        <item x="5"/>
        <item x="23"/>
        <item x="13"/>
        <item x="16"/>
        <item x="14"/>
        <item x="17"/>
        <item x="6"/>
        <item x="7"/>
        <item x="4"/>
        <item x="8"/>
        <item x="9"/>
        <item x="20"/>
        <item x="21"/>
        <item x="22"/>
        <item x="0"/>
        <item x="18"/>
        <item x="11"/>
        <item x="15"/>
        <item x="12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x="0"/>
        <item x="9"/>
        <item x="8"/>
        <item x="7"/>
        <item x="11"/>
        <item x="10"/>
        <item x="2"/>
        <item x="1"/>
        <item x="4"/>
        <item x="5"/>
        <item x="19"/>
        <item x="20"/>
        <item x="18"/>
        <item x="3"/>
        <item x="6"/>
        <item x="12"/>
        <item x="13"/>
        <item x="14"/>
        <item x="15"/>
        <item x="16"/>
        <item x="21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Planow., czy realizow.?" axis="axisRow" compact="0" outline="0" multipleItemSelectionAllowed="1" showAll="0" sortType="ascending" defaultSubtotal="0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4"/>
        <item x="15"/>
        <item x="16"/>
        <item x="17"/>
        <item x="18"/>
        <item x="19"/>
        <item x="20"/>
        <item x="22"/>
        <item x="27"/>
        <item x="28"/>
        <item x="29"/>
        <item x="30"/>
        <item x="31"/>
        <item x="32"/>
        <item x="37"/>
        <item x="38"/>
        <item x="40"/>
        <item x="42"/>
        <item x="61"/>
        <item x="60"/>
        <item x="68"/>
        <item x="69"/>
        <item x="12"/>
        <item x="62"/>
        <item x="64"/>
        <item x="65"/>
        <item x="44"/>
        <item x="35"/>
        <item x="23"/>
        <item x="46"/>
        <item x="24"/>
        <item x="52"/>
        <item x="56"/>
        <item x="51"/>
        <item x="54"/>
        <item x="55"/>
        <item x="36"/>
        <item x="67"/>
        <item x="48"/>
        <item x="49"/>
        <item x="50"/>
        <item x="26"/>
        <item x="13"/>
        <item x="21"/>
        <item x="25"/>
        <item x="33"/>
        <item x="34"/>
        <item x="39"/>
        <item x="41"/>
        <item x="43"/>
        <item x="45"/>
        <item x="53"/>
        <item x="63"/>
        <item x="57"/>
        <item x="66"/>
        <item x="47"/>
        <item x="58"/>
        <item x="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0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4"/>
        <item x="65"/>
        <item x="66"/>
        <item x="67"/>
        <item x="68"/>
        <item x="69"/>
        <item x="70"/>
        <item x="71"/>
        <item x="72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103"/>
        <item x="104"/>
        <item x="105"/>
        <item x="109"/>
        <item x="110"/>
        <item x="111"/>
        <item x="112"/>
        <item x="113"/>
        <item x="114"/>
        <item x="118"/>
        <item x="119"/>
        <item x="120"/>
        <item x="124"/>
        <item x="125"/>
        <item x="126"/>
        <item x="130"/>
        <item x="131"/>
        <item x="132"/>
        <item x="136"/>
        <item x="137"/>
        <item x="138"/>
        <item x="151"/>
        <item x="152"/>
        <item x="153"/>
        <item x="154"/>
        <item x="155"/>
        <item x="156"/>
        <item x="160"/>
        <item x="161"/>
        <item x="162"/>
        <item x="163"/>
        <item x="164"/>
        <item x="165"/>
        <item x="166"/>
        <item x="167"/>
        <item x="168"/>
        <item x="181"/>
        <item x="182"/>
        <item x="183"/>
        <item x="178"/>
        <item x="179"/>
        <item x="180"/>
        <item x="184"/>
        <item x="185"/>
        <item x="186"/>
        <item x="193"/>
        <item x="194"/>
        <item x="195"/>
        <item x="190"/>
        <item x="191"/>
        <item x="192"/>
        <item x="202"/>
        <item x="203"/>
        <item x="204"/>
        <item x="205"/>
        <item x="206"/>
        <item x="207"/>
        <item x="106"/>
        <item x="107"/>
        <item x="108"/>
        <item x="199"/>
        <item x="200"/>
        <item x="201"/>
        <item x="142"/>
        <item x="143"/>
        <item x="144"/>
        <item x="145"/>
        <item x="146"/>
        <item x="147"/>
        <item x="148"/>
        <item x="149"/>
        <item x="150"/>
        <item x="76"/>
        <item x="77"/>
        <item x="78"/>
        <item x="37"/>
        <item x="38"/>
        <item x="39"/>
        <item x="61"/>
        <item x="62"/>
        <item x="63"/>
        <item x="73"/>
        <item x="74"/>
        <item x="75"/>
        <item x="97"/>
        <item x="98"/>
        <item x="99"/>
        <item x="100"/>
        <item x="101"/>
        <item x="102"/>
        <item x="115"/>
        <item x="116"/>
        <item x="117"/>
        <item x="121"/>
        <item x="122"/>
        <item x="123"/>
        <item x="127"/>
        <item x="128"/>
        <item x="129"/>
        <item x="133"/>
        <item x="134"/>
        <item x="135"/>
        <item x="157"/>
        <item x="158"/>
        <item x="159"/>
        <item x="187"/>
        <item x="188"/>
        <item x="189"/>
        <item x="169"/>
        <item x="170"/>
        <item x="171"/>
        <item x="196"/>
        <item x="197"/>
        <item x="198"/>
        <item x="139"/>
        <item x="140"/>
        <item x="141"/>
        <item x="172"/>
        <item x="173"/>
        <item x="174"/>
        <item x="175"/>
        <item x="176"/>
        <item x="177"/>
      </items>
    </pivotField>
    <pivotField dataField="1" compact="0" outline="0" showAll="0" defaultSubtotal="0"/>
    <pivotField dataField="1" compact="0" outline="0" showAl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</pivotFields>
  <rowFields count="6">
    <field x="1"/>
    <field x="2"/>
    <field x="3"/>
    <field x="4"/>
    <field x="5"/>
    <field x="6"/>
  </rowFields>
  <rowItems count="6">
    <i>
      <x v="44"/>
      <x v="49"/>
      <x v="6"/>
      <x v="1"/>
      <x v="7"/>
      <x v="1"/>
    </i>
    <i r="5">
      <x v="2"/>
    </i>
    <i r="5">
      <x v="3"/>
    </i>
    <i>
      <x v="45"/>
      <x v="50"/>
      <x v="6"/>
      <x v="1"/>
      <x v="7"/>
      <x v="1"/>
    </i>
    <i r="5">
      <x v="2"/>
    </i>
    <i r="5">
      <x v="3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5" item="1" hier="-1"/>
    <pageField fld="0" hier="-1"/>
  </pageFields>
  <dataFields count="7">
    <dataField name="Łączne nakłady finansowe " fld="10" baseField="6" baseItem="10"/>
    <dataField name="Plany _x000a_do 2022" fld="11" baseField="7" baseItem="1"/>
    <dataField name="Plan 2023" fld="12" baseField="3" baseItem="10"/>
    <dataField name="Plan 2024" fld="13" baseField="3" baseItem="10"/>
    <dataField name="Plan 2025" fld="14" baseField="3" baseItem="10"/>
    <dataField name="Plan 2026" fld="15" baseField="3" baseItem="10"/>
    <dataField name="Plan 2027" fld="16" baseField="3" baseItem="10"/>
  </dataFields>
  <formats count="795">
    <format dxfId="4306">
      <pivotArea type="all" dataOnly="0" outline="0" fieldPosition="0"/>
    </format>
    <format dxfId="4305">
      <pivotArea outline="0" collapsedLevelsAreSubtotals="1" fieldPosition="0"/>
    </format>
    <format dxfId="4304">
      <pivotArea outline="0" collapsedLevelsAreSubtotals="1" fieldPosition="0"/>
    </format>
    <format dxfId="4303">
      <pivotArea type="all" dataOnly="0" outline="0" fieldPosition="0"/>
    </format>
    <format dxfId="4302">
      <pivotArea outline="0" collapsedLevelsAreSubtotals="1" fieldPosition="0"/>
    </format>
    <format dxfId="4301">
      <pivotArea dataOnly="0" labelOnly="1" grandRow="1" outline="0" fieldPosition="0"/>
    </format>
    <format dxfId="4300">
      <pivotArea type="all" dataOnly="0" outline="0" fieldPosition="0"/>
    </format>
    <format dxfId="4299">
      <pivotArea outline="0" collapsedLevelsAreSubtotals="1" fieldPosition="0"/>
    </format>
    <format dxfId="4298">
      <pivotArea field="1" type="button" dataOnly="0" labelOnly="1" outline="0" axis="axisRow" fieldPosition="0"/>
    </format>
    <format dxfId="4297">
      <pivotArea field="3" type="button" dataOnly="0" labelOnly="1" outline="0" axis="axisRow" fieldPosition="2"/>
    </format>
    <format dxfId="4296">
      <pivotArea field="4" type="button" dataOnly="0" labelOnly="1" outline="0" axis="axisRow" fieldPosition="3"/>
    </format>
    <format dxfId="4295">
      <pivotArea field="5" type="button" dataOnly="0" labelOnly="1" outline="0" axis="axisRow" fieldPosition="4"/>
    </format>
    <format dxfId="4294">
      <pivotArea dataOnly="0" labelOnly="1" outline="0" fieldPosition="0">
        <references count="1">
          <reference field="1" count="0"/>
        </references>
      </pivotArea>
    </format>
    <format dxfId="4293">
      <pivotArea dataOnly="0" labelOnly="1" grandRow="1" outline="0" fieldPosition="0"/>
    </format>
    <format dxfId="4292">
      <pivotArea dataOnly="0" labelOnly="1" outline="0" fieldPosition="0">
        <references count="2">
          <reference field="1" count="1" selected="0">
            <x v="0"/>
          </reference>
          <reference field="3" count="1">
            <x v="18"/>
          </reference>
        </references>
      </pivotArea>
    </format>
    <format dxfId="4291">
      <pivotArea dataOnly="0" labelOnly="1" outline="0" fieldPosition="0">
        <references count="2">
          <reference field="1" count="1" selected="0">
            <x v="1"/>
          </reference>
          <reference field="3" count="1">
            <x v="1"/>
          </reference>
        </references>
      </pivotArea>
    </format>
    <format dxfId="4290">
      <pivotArea dataOnly="0" labelOnly="1" outline="0" fieldPosition="0">
        <references count="2">
          <reference field="1" count="1" selected="0">
            <x v="3"/>
          </reference>
          <reference field="3" count="1">
            <x v="2"/>
          </reference>
        </references>
      </pivotArea>
    </format>
    <format dxfId="4289">
      <pivotArea dataOnly="0" labelOnly="1" outline="0" fieldPosition="0">
        <references count="2">
          <reference field="1" count="1" selected="0">
            <x v="9"/>
          </reference>
          <reference field="3" count="1">
            <x v="3"/>
          </reference>
        </references>
      </pivotArea>
    </format>
    <format dxfId="4288">
      <pivotArea dataOnly="0" labelOnly="1" outline="0" fieldPosition="0">
        <references count="2">
          <reference field="1" count="1" selected="0">
            <x v="10"/>
          </reference>
          <reference field="3" count="1">
            <x v="12"/>
          </reference>
        </references>
      </pivotArea>
    </format>
    <format dxfId="4287">
      <pivotArea dataOnly="0" labelOnly="1" outline="0" fieldPosition="0">
        <references count="2">
          <reference field="1" count="1" selected="0">
            <x v="11"/>
          </reference>
          <reference field="3" count="1">
            <x v="2"/>
          </reference>
        </references>
      </pivotArea>
    </format>
    <format dxfId="4286">
      <pivotArea dataOnly="0" labelOnly="1" outline="0" fieldPosition="0">
        <references count="2">
          <reference field="1" count="1" selected="0">
            <x v="14"/>
          </reference>
          <reference field="3" count="1">
            <x v="4"/>
          </reference>
        </references>
      </pivotArea>
    </format>
    <format dxfId="4285">
      <pivotArea dataOnly="0" labelOnly="1" outline="0" fieldPosition="0">
        <references count="2">
          <reference field="1" count="1" selected="0">
            <x v="15"/>
          </reference>
          <reference field="3" count="1">
            <x v="10"/>
          </reference>
        </references>
      </pivotArea>
    </format>
    <format dxfId="4284">
      <pivotArea dataOnly="0" labelOnly="1" outline="0" fieldPosition="0">
        <references count="2">
          <reference field="1" count="1" selected="0">
            <x v="22"/>
          </reference>
          <reference field="3" count="1">
            <x v="13"/>
          </reference>
        </references>
      </pivotArea>
    </format>
    <format dxfId="4283">
      <pivotArea dataOnly="0" labelOnly="1" outline="0" fieldPosition="0">
        <references count="2">
          <reference field="1" count="1" selected="0">
            <x v="23"/>
          </reference>
          <reference field="3" count="1">
            <x v="14"/>
          </reference>
        </references>
      </pivotArea>
    </format>
    <format dxfId="4282">
      <pivotArea dataOnly="0" labelOnly="1" outline="0" fieldPosition="0">
        <references count="2">
          <reference field="1" count="1" selected="0">
            <x v="24"/>
          </reference>
          <reference field="3" count="1">
            <x v="10"/>
          </reference>
        </references>
      </pivotArea>
    </format>
    <format dxfId="4281">
      <pivotArea dataOnly="0" labelOnly="1" outline="0" fieldPosition="0">
        <references count="2">
          <reference field="1" count="1" selected="0">
            <x v="25"/>
          </reference>
          <reference field="3" count="1">
            <x v="14"/>
          </reference>
        </references>
      </pivotArea>
    </format>
    <format dxfId="4280">
      <pivotArea dataOnly="0" labelOnly="1" outline="0" fieldPosition="0">
        <references count="2">
          <reference field="1" count="1" selected="0">
            <x v="27"/>
          </reference>
          <reference field="3" count="1">
            <x v="0"/>
          </reference>
        </references>
      </pivotArea>
    </format>
    <format dxfId="4279">
      <pivotArea dataOnly="0" labelOnly="1" outline="0" fieldPosition="0">
        <references count="2">
          <reference field="1" count="1" selected="0">
            <x v="35"/>
          </reference>
          <reference field="3" count="1">
            <x v="6"/>
          </reference>
        </references>
      </pivotArea>
    </format>
    <format dxfId="4278">
      <pivotArea dataOnly="0" labelOnly="1" outline="0" fieldPosition="0">
        <references count="2">
          <reference field="1" count="1" selected="0">
            <x v="47"/>
          </reference>
          <reference field="3" count="1">
            <x v="9"/>
          </reference>
        </references>
      </pivotArea>
    </format>
    <format dxfId="4277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4276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427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274">
      <pivotArea dataOnly="0" labelOnly="1" outline="0" fieldPosition="0">
        <references count="1">
          <reference field="6" count="0"/>
        </references>
      </pivotArea>
    </format>
    <format dxfId="4273">
      <pivotArea field="3" type="button" dataOnly="0" labelOnly="1" outline="0" axis="axisRow" fieldPosition="2"/>
    </format>
    <format dxfId="4272">
      <pivotArea field="4" type="button" dataOnly="0" labelOnly="1" outline="0" axis="axisRow" fieldPosition="3"/>
    </format>
    <format dxfId="4271">
      <pivotArea dataOnly="0" labelOnly="1" outline="0" fieldPosition="0">
        <references count="1">
          <reference field="6" count="0"/>
        </references>
      </pivotArea>
    </format>
    <format dxfId="4270">
      <pivotArea field="3" type="button" dataOnly="0" labelOnly="1" outline="0" axis="axisRow" fieldPosition="2"/>
    </format>
    <format dxfId="4269">
      <pivotArea dataOnly="0" labelOnly="1" outline="0" fieldPosition="0">
        <references count="1">
          <reference field="6" count="0"/>
        </references>
      </pivotArea>
    </format>
    <format dxfId="4268">
      <pivotArea field="3" type="button" dataOnly="0" labelOnly="1" outline="0" axis="axisRow" fieldPosition="2"/>
    </format>
    <format dxfId="4267">
      <pivotArea field="4" type="button" dataOnly="0" labelOnly="1" outline="0" axis="axisRow" fieldPosition="3"/>
    </format>
    <format dxfId="4266">
      <pivotArea field="4" type="button" dataOnly="0" labelOnly="1" outline="0" axis="axisRow" fieldPosition="3"/>
    </format>
    <format dxfId="4265">
      <pivotArea dataOnly="0" labelOnly="1" outline="0" fieldPosition="0">
        <references count="1">
          <reference field="6" count="0"/>
        </references>
      </pivotArea>
    </format>
    <format dxfId="4264">
      <pivotArea field="3" type="button" dataOnly="0" labelOnly="1" outline="0" axis="axisRow" fieldPosition="2"/>
    </format>
    <format dxfId="4263">
      <pivotArea field="4" type="button" dataOnly="0" labelOnly="1" outline="0" axis="axisRow" fieldPosition="3"/>
    </format>
    <format dxfId="4262">
      <pivotArea dataOnly="0" labelOnly="1" outline="0" fieldPosition="0">
        <references count="1">
          <reference field="6" count="0"/>
        </references>
      </pivotArea>
    </format>
    <format dxfId="4261">
      <pivotArea field="3" type="button" dataOnly="0" labelOnly="1" outline="0" axis="axisRow" fieldPosition="2"/>
    </format>
    <format dxfId="4260">
      <pivotArea field="4" type="button" dataOnly="0" labelOnly="1" outline="0" axis="axisRow" fieldPosition="3"/>
    </format>
    <format dxfId="4259">
      <pivotArea type="all" dataOnly="0" outline="0" fieldPosition="0"/>
    </format>
    <format dxfId="4258">
      <pivotArea outline="0" collapsedLevelsAreSubtotals="1" fieldPosition="0"/>
    </format>
    <format dxfId="4257">
      <pivotArea field="1" type="button" dataOnly="0" labelOnly="1" outline="0" axis="axisRow" fieldPosition="0"/>
    </format>
    <format dxfId="4256">
      <pivotArea field="3" type="button" dataOnly="0" labelOnly="1" outline="0" axis="axisRow" fieldPosition="2"/>
    </format>
    <format dxfId="4255">
      <pivotArea field="4" type="button" dataOnly="0" labelOnly="1" outline="0" axis="axisRow" fieldPosition="3"/>
    </format>
    <format dxfId="4254">
      <pivotArea field="5" type="button" dataOnly="0" labelOnly="1" outline="0" axis="axisRow" fieldPosition="4"/>
    </format>
    <format dxfId="4253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4252">
      <pivotArea dataOnly="0" labelOnly="1" grandRow="1" outline="0" fieldPosition="0"/>
    </format>
    <format dxfId="4251">
      <pivotArea dataOnly="0" labelOnly="1" outline="0" fieldPosition="0">
        <references count="2">
          <reference field="1" count="1" selected="0">
            <x v="0"/>
          </reference>
          <reference field="3" count="1">
            <x v="18"/>
          </reference>
        </references>
      </pivotArea>
    </format>
    <format dxfId="4250">
      <pivotArea dataOnly="0" labelOnly="1" outline="0" fieldPosition="0">
        <references count="2">
          <reference field="1" count="1" selected="0">
            <x v="1"/>
          </reference>
          <reference field="3" count="1">
            <x v="1"/>
          </reference>
        </references>
      </pivotArea>
    </format>
    <format dxfId="4249">
      <pivotArea dataOnly="0" labelOnly="1" outline="0" fieldPosition="0">
        <references count="2">
          <reference field="1" count="1" selected="0">
            <x v="3"/>
          </reference>
          <reference field="3" count="1">
            <x v="2"/>
          </reference>
        </references>
      </pivotArea>
    </format>
    <format dxfId="4248">
      <pivotArea dataOnly="0" labelOnly="1" outline="0" fieldPosition="0">
        <references count="2">
          <reference field="1" count="1" selected="0">
            <x v="9"/>
          </reference>
          <reference field="3" count="1">
            <x v="3"/>
          </reference>
        </references>
      </pivotArea>
    </format>
    <format dxfId="4247">
      <pivotArea dataOnly="0" labelOnly="1" outline="0" fieldPosition="0">
        <references count="2">
          <reference field="1" count="1" selected="0">
            <x v="10"/>
          </reference>
          <reference field="3" count="1">
            <x v="12"/>
          </reference>
        </references>
      </pivotArea>
    </format>
    <format dxfId="4246">
      <pivotArea dataOnly="0" labelOnly="1" outline="0" fieldPosition="0">
        <references count="2">
          <reference field="1" count="1" selected="0">
            <x v="11"/>
          </reference>
          <reference field="3" count="1">
            <x v="2"/>
          </reference>
        </references>
      </pivotArea>
    </format>
    <format dxfId="4245">
      <pivotArea dataOnly="0" labelOnly="1" outline="0" fieldPosition="0">
        <references count="2">
          <reference field="1" count="1" selected="0">
            <x v="14"/>
          </reference>
          <reference field="3" count="1">
            <x v="4"/>
          </reference>
        </references>
      </pivotArea>
    </format>
    <format dxfId="4244">
      <pivotArea dataOnly="0" labelOnly="1" outline="0" fieldPosition="0">
        <references count="2">
          <reference field="1" count="1" selected="0">
            <x v="15"/>
          </reference>
          <reference field="3" count="1">
            <x v="10"/>
          </reference>
        </references>
      </pivotArea>
    </format>
    <format dxfId="4243">
      <pivotArea dataOnly="0" labelOnly="1" outline="0" fieldPosition="0">
        <references count="2">
          <reference field="1" count="1" selected="0">
            <x v="22"/>
          </reference>
          <reference field="3" count="1">
            <x v="13"/>
          </reference>
        </references>
      </pivotArea>
    </format>
    <format dxfId="4242">
      <pivotArea dataOnly="0" labelOnly="1" outline="0" fieldPosition="0">
        <references count="2">
          <reference field="1" count="1" selected="0">
            <x v="23"/>
          </reference>
          <reference field="3" count="1">
            <x v="14"/>
          </reference>
        </references>
      </pivotArea>
    </format>
    <format dxfId="4241">
      <pivotArea dataOnly="0" labelOnly="1" outline="0" fieldPosition="0">
        <references count="2">
          <reference field="1" count="1" selected="0">
            <x v="24"/>
          </reference>
          <reference field="3" count="1">
            <x v="10"/>
          </reference>
        </references>
      </pivotArea>
    </format>
    <format dxfId="4240">
      <pivotArea dataOnly="0" labelOnly="1" outline="0" fieldPosition="0">
        <references count="2">
          <reference field="1" count="1" selected="0">
            <x v="25"/>
          </reference>
          <reference field="3" count="1">
            <x v="14"/>
          </reference>
        </references>
      </pivotArea>
    </format>
    <format dxfId="4239">
      <pivotArea dataOnly="0" labelOnly="1" outline="0" fieldPosition="0">
        <references count="2">
          <reference field="1" count="1" selected="0">
            <x v="27"/>
          </reference>
          <reference field="3" count="1">
            <x v="0"/>
          </reference>
        </references>
      </pivotArea>
    </format>
    <format dxfId="4238">
      <pivotArea dataOnly="0" labelOnly="1" outline="0" fieldPosition="0">
        <references count="2">
          <reference field="1" count="1" selected="0">
            <x v="35"/>
          </reference>
          <reference field="3" count="1">
            <x v="6"/>
          </reference>
        </references>
      </pivotArea>
    </format>
    <format dxfId="4237">
      <pivotArea dataOnly="0" labelOnly="1" outline="0" fieldPosition="0">
        <references count="2">
          <reference field="1" count="1" selected="0">
            <x v="47"/>
          </reference>
          <reference field="3" count="1">
            <x v="9"/>
          </reference>
        </references>
      </pivotArea>
    </format>
    <format dxfId="4236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4235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4234">
      <pivotArea type="all" dataOnly="0" outline="0" fieldPosition="0"/>
    </format>
    <format dxfId="4233">
      <pivotArea outline="0" collapsedLevelsAreSubtotals="1" fieldPosition="0"/>
    </format>
    <format dxfId="4232">
      <pivotArea field="1" type="button" dataOnly="0" labelOnly="1" outline="0" axis="axisRow" fieldPosition="0"/>
    </format>
    <format dxfId="4231">
      <pivotArea field="3" type="button" dataOnly="0" labelOnly="1" outline="0" axis="axisRow" fieldPosition="2"/>
    </format>
    <format dxfId="4230">
      <pivotArea field="4" type="button" dataOnly="0" labelOnly="1" outline="0" axis="axisRow" fieldPosition="3"/>
    </format>
    <format dxfId="4229">
      <pivotArea field="5" type="button" dataOnly="0" labelOnly="1" outline="0" axis="axisRow" fieldPosition="4"/>
    </format>
    <format dxfId="4228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4227">
      <pivotArea dataOnly="0" labelOnly="1" grandRow="1" outline="0" fieldPosition="0"/>
    </format>
    <format dxfId="4226">
      <pivotArea dataOnly="0" labelOnly="1" outline="0" fieldPosition="0">
        <references count="2">
          <reference field="1" count="1" selected="0">
            <x v="0"/>
          </reference>
          <reference field="3" count="1">
            <x v="18"/>
          </reference>
        </references>
      </pivotArea>
    </format>
    <format dxfId="4225">
      <pivotArea dataOnly="0" labelOnly="1" outline="0" fieldPosition="0">
        <references count="2">
          <reference field="1" count="1" selected="0">
            <x v="1"/>
          </reference>
          <reference field="3" count="1">
            <x v="1"/>
          </reference>
        </references>
      </pivotArea>
    </format>
    <format dxfId="4224">
      <pivotArea dataOnly="0" labelOnly="1" outline="0" fieldPosition="0">
        <references count="2">
          <reference field="1" count="1" selected="0">
            <x v="3"/>
          </reference>
          <reference field="3" count="1">
            <x v="2"/>
          </reference>
        </references>
      </pivotArea>
    </format>
    <format dxfId="4223">
      <pivotArea dataOnly="0" labelOnly="1" outline="0" fieldPosition="0">
        <references count="2">
          <reference field="1" count="1" selected="0">
            <x v="9"/>
          </reference>
          <reference field="3" count="1">
            <x v="3"/>
          </reference>
        </references>
      </pivotArea>
    </format>
    <format dxfId="4222">
      <pivotArea dataOnly="0" labelOnly="1" outline="0" fieldPosition="0">
        <references count="2">
          <reference field="1" count="1" selected="0">
            <x v="10"/>
          </reference>
          <reference field="3" count="1">
            <x v="12"/>
          </reference>
        </references>
      </pivotArea>
    </format>
    <format dxfId="4221">
      <pivotArea dataOnly="0" labelOnly="1" outline="0" fieldPosition="0">
        <references count="2">
          <reference field="1" count="1" selected="0">
            <x v="11"/>
          </reference>
          <reference field="3" count="1">
            <x v="2"/>
          </reference>
        </references>
      </pivotArea>
    </format>
    <format dxfId="4220">
      <pivotArea dataOnly="0" labelOnly="1" outline="0" fieldPosition="0">
        <references count="2">
          <reference field="1" count="1" selected="0">
            <x v="14"/>
          </reference>
          <reference field="3" count="1">
            <x v="4"/>
          </reference>
        </references>
      </pivotArea>
    </format>
    <format dxfId="4219">
      <pivotArea dataOnly="0" labelOnly="1" outline="0" fieldPosition="0">
        <references count="2">
          <reference field="1" count="1" selected="0">
            <x v="15"/>
          </reference>
          <reference field="3" count="1">
            <x v="10"/>
          </reference>
        </references>
      </pivotArea>
    </format>
    <format dxfId="4218">
      <pivotArea dataOnly="0" labelOnly="1" outline="0" fieldPosition="0">
        <references count="2">
          <reference field="1" count="1" selected="0">
            <x v="22"/>
          </reference>
          <reference field="3" count="1">
            <x v="13"/>
          </reference>
        </references>
      </pivotArea>
    </format>
    <format dxfId="4217">
      <pivotArea dataOnly="0" labelOnly="1" outline="0" fieldPosition="0">
        <references count="2">
          <reference field="1" count="1" selected="0">
            <x v="23"/>
          </reference>
          <reference field="3" count="1">
            <x v="14"/>
          </reference>
        </references>
      </pivotArea>
    </format>
    <format dxfId="4216">
      <pivotArea dataOnly="0" labelOnly="1" outline="0" fieldPosition="0">
        <references count="2">
          <reference field="1" count="1" selected="0">
            <x v="24"/>
          </reference>
          <reference field="3" count="1">
            <x v="10"/>
          </reference>
        </references>
      </pivotArea>
    </format>
    <format dxfId="4215">
      <pivotArea dataOnly="0" labelOnly="1" outline="0" fieldPosition="0">
        <references count="2">
          <reference field="1" count="1" selected="0">
            <x v="25"/>
          </reference>
          <reference field="3" count="1">
            <x v="14"/>
          </reference>
        </references>
      </pivotArea>
    </format>
    <format dxfId="4214">
      <pivotArea dataOnly="0" labelOnly="1" outline="0" fieldPosition="0">
        <references count="2">
          <reference field="1" count="1" selected="0">
            <x v="27"/>
          </reference>
          <reference field="3" count="1">
            <x v="0"/>
          </reference>
        </references>
      </pivotArea>
    </format>
    <format dxfId="4213">
      <pivotArea dataOnly="0" labelOnly="1" outline="0" fieldPosition="0">
        <references count="2">
          <reference field="1" count="1" selected="0">
            <x v="35"/>
          </reference>
          <reference field="3" count="1">
            <x v="6"/>
          </reference>
        </references>
      </pivotArea>
    </format>
    <format dxfId="4212">
      <pivotArea dataOnly="0" labelOnly="1" outline="0" fieldPosition="0">
        <references count="2">
          <reference field="1" count="1" selected="0">
            <x v="47"/>
          </reference>
          <reference field="3" count="1">
            <x v="9"/>
          </reference>
        </references>
      </pivotArea>
    </format>
    <format dxfId="4211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4210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4209">
      <pivotArea type="all" dataOnly="0" outline="0" fieldPosition="0"/>
    </format>
    <format dxfId="4208">
      <pivotArea outline="0" collapsedLevelsAreSubtotals="1" fieldPosition="0"/>
    </format>
    <format dxfId="4207">
      <pivotArea field="1" type="button" dataOnly="0" labelOnly="1" outline="0" axis="axisRow" fieldPosition="0"/>
    </format>
    <format dxfId="4206">
      <pivotArea field="2" type="button" dataOnly="0" labelOnly="1" outline="0" axis="axisRow" fieldPosition="1"/>
    </format>
    <format dxfId="4205">
      <pivotArea field="3" type="button" dataOnly="0" labelOnly="1" outline="0" axis="axisRow" fieldPosition="2"/>
    </format>
    <format dxfId="4204">
      <pivotArea field="4" type="button" dataOnly="0" labelOnly="1" outline="0" axis="axisRow" fieldPosition="3"/>
    </format>
    <format dxfId="4203">
      <pivotArea field="5" type="button" dataOnly="0" labelOnly="1" outline="0" axis="axisRow" fieldPosition="4"/>
    </format>
    <format dxfId="4202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4201">
      <pivotArea dataOnly="0" labelOnly="1" grandRow="1" outline="0" fieldPosition="0"/>
    </format>
    <format dxfId="4200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4199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4198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4197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4196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4195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4194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4193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4192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4191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4190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4189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4188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4187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4186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4185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4184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4183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4182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4181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4180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4179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4178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4177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4176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4175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417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4173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4172">
      <pivotArea type="all" dataOnly="0" outline="0" fieldPosition="0"/>
    </format>
    <format dxfId="4171">
      <pivotArea outline="0" collapsedLevelsAreSubtotals="1" fieldPosition="0"/>
    </format>
    <format dxfId="4170">
      <pivotArea type="origin" dataOnly="0" labelOnly="1" outline="0" fieldPosition="0"/>
    </format>
    <format dxfId="4169">
      <pivotArea field="-2" type="button" dataOnly="0" labelOnly="1" outline="0" axis="axisCol" fieldPosition="0"/>
    </format>
    <format dxfId="4168">
      <pivotArea type="topRight" dataOnly="0" labelOnly="1" outline="0" fieldPosition="0"/>
    </format>
    <format dxfId="4167">
      <pivotArea field="1" type="button" dataOnly="0" labelOnly="1" outline="0" axis="axisRow" fieldPosition="0"/>
    </format>
    <format dxfId="4166">
      <pivotArea field="2" type="button" dataOnly="0" labelOnly="1" outline="0" axis="axisRow" fieldPosition="1"/>
    </format>
    <format dxfId="4165">
      <pivotArea field="3" type="button" dataOnly="0" labelOnly="1" outline="0" axis="axisRow" fieldPosition="2"/>
    </format>
    <format dxfId="4164">
      <pivotArea field="4" type="button" dataOnly="0" labelOnly="1" outline="0" axis="axisRow" fieldPosition="3"/>
    </format>
    <format dxfId="4163">
      <pivotArea field="5" type="button" dataOnly="0" labelOnly="1" outline="0" axis="axisRow" fieldPosition="4"/>
    </format>
    <format dxfId="4162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4161">
      <pivotArea dataOnly="0" labelOnly="1" grandRow="1" outline="0" fieldPosition="0"/>
    </format>
    <format dxfId="4160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4159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4158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4157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4156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4155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4154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4153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4152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4151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4150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4149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4148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4147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4146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4145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4144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4143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4142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4141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4140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4139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4138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4137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4136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4135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413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4133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4132">
      <pivotArea type="all" dataOnly="0" outline="0" fieldPosition="0"/>
    </format>
    <format dxfId="4131">
      <pivotArea outline="0" collapsedLevelsAreSubtotals="1" fieldPosition="0"/>
    </format>
    <format dxfId="4130">
      <pivotArea type="origin" dataOnly="0" labelOnly="1" outline="0" fieldPosition="0"/>
    </format>
    <format dxfId="4129">
      <pivotArea field="-2" type="button" dataOnly="0" labelOnly="1" outline="0" axis="axisCol" fieldPosition="0"/>
    </format>
    <format dxfId="4128">
      <pivotArea type="topRight" dataOnly="0" labelOnly="1" outline="0" fieldPosition="0"/>
    </format>
    <format dxfId="4127">
      <pivotArea field="1" type="button" dataOnly="0" labelOnly="1" outline="0" axis="axisRow" fieldPosition="0"/>
    </format>
    <format dxfId="4126">
      <pivotArea field="2" type="button" dataOnly="0" labelOnly="1" outline="0" axis="axisRow" fieldPosition="1"/>
    </format>
    <format dxfId="4125">
      <pivotArea field="3" type="button" dataOnly="0" labelOnly="1" outline="0" axis="axisRow" fieldPosition="2"/>
    </format>
    <format dxfId="4124">
      <pivotArea field="4" type="button" dataOnly="0" labelOnly="1" outline="0" axis="axisRow" fieldPosition="3"/>
    </format>
    <format dxfId="4123">
      <pivotArea field="5" type="button" dataOnly="0" labelOnly="1" outline="0" axis="axisRow" fieldPosition="4"/>
    </format>
    <format dxfId="4122">
      <pivotArea field="7" type="button" dataOnly="0" labelOnly="1" outline="0"/>
    </format>
    <format dxfId="4121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4120">
      <pivotArea dataOnly="0" labelOnly="1" grandRow="1" outline="0" fieldPosition="0"/>
    </format>
    <format dxfId="4119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4118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4117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4116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4115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4114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4113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4112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4111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4110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4109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4108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4107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4106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4105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4104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4103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4102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4101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4100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4099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4098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4097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4096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4095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4094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409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4092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4091">
      <pivotArea type="all" dataOnly="0" outline="0" fieldPosition="0"/>
    </format>
    <format dxfId="4090">
      <pivotArea outline="0" collapsedLevelsAreSubtotals="1" fieldPosition="0"/>
    </format>
    <format dxfId="4089">
      <pivotArea type="origin" dataOnly="0" labelOnly="1" outline="0" fieldPosition="0"/>
    </format>
    <format dxfId="4088">
      <pivotArea field="-2" type="button" dataOnly="0" labelOnly="1" outline="0" axis="axisCol" fieldPosition="0"/>
    </format>
    <format dxfId="4087">
      <pivotArea type="topRight" dataOnly="0" labelOnly="1" outline="0" fieldPosition="0"/>
    </format>
    <format dxfId="4086">
      <pivotArea field="1" type="button" dataOnly="0" labelOnly="1" outline="0" axis="axisRow" fieldPosition="0"/>
    </format>
    <format dxfId="4085">
      <pivotArea field="2" type="button" dataOnly="0" labelOnly="1" outline="0" axis="axisRow" fieldPosition="1"/>
    </format>
    <format dxfId="4084">
      <pivotArea field="3" type="button" dataOnly="0" labelOnly="1" outline="0" axis="axisRow" fieldPosition="2"/>
    </format>
    <format dxfId="4083">
      <pivotArea field="4" type="button" dataOnly="0" labelOnly="1" outline="0" axis="axisRow" fieldPosition="3"/>
    </format>
    <format dxfId="4082">
      <pivotArea field="5" type="button" dataOnly="0" labelOnly="1" outline="0" axis="axisRow" fieldPosition="4"/>
    </format>
    <format dxfId="4081">
      <pivotArea field="7" type="button" dataOnly="0" labelOnly="1" outline="0"/>
    </format>
    <format dxfId="4080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4079">
      <pivotArea dataOnly="0" labelOnly="1" grandRow="1" outline="0" fieldPosition="0"/>
    </format>
    <format dxfId="4078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4077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4076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4075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4074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4073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4072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4071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4070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4069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4068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4067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4066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4065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4064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4063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4062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4061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4060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4059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4058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4057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4056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4055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4054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4053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405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4051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4050">
      <pivotArea type="all" dataOnly="0" outline="0" fieldPosition="0"/>
    </format>
    <format dxfId="4049">
      <pivotArea outline="0" collapsedLevelsAreSubtotals="1" fieldPosition="0"/>
    </format>
    <format dxfId="4048">
      <pivotArea type="origin" dataOnly="0" labelOnly="1" outline="0" fieldPosition="0"/>
    </format>
    <format dxfId="4047">
      <pivotArea field="-2" type="button" dataOnly="0" labelOnly="1" outline="0" axis="axisCol" fieldPosition="0"/>
    </format>
    <format dxfId="4046">
      <pivotArea type="topRight" dataOnly="0" labelOnly="1" outline="0" fieldPosition="0"/>
    </format>
    <format dxfId="4045">
      <pivotArea field="1" type="button" dataOnly="0" labelOnly="1" outline="0" axis="axisRow" fieldPosition="0"/>
    </format>
    <format dxfId="4044">
      <pivotArea field="2" type="button" dataOnly="0" labelOnly="1" outline="0" axis="axisRow" fieldPosition="1"/>
    </format>
    <format dxfId="4043">
      <pivotArea field="3" type="button" dataOnly="0" labelOnly="1" outline="0" axis="axisRow" fieldPosition="2"/>
    </format>
    <format dxfId="4042">
      <pivotArea field="4" type="button" dataOnly="0" labelOnly="1" outline="0" axis="axisRow" fieldPosition="3"/>
    </format>
    <format dxfId="4041">
      <pivotArea field="5" type="button" dataOnly="0" labelOnly="1" outline="0" axis="axisRow" fieldPosition="4"/>
    </format>
    <format dxfId="4040">
      <pivotArea field="7" type="button" dataOnly="0" labelOnly="1" outline="0"/>
    </format>
    <format dxfId="4039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4038">
      <pivotArea dataOnly="0" labelOnly="1" grandRow="1" outline="0" fieldPosition="0"/>
    </format>
    <format dxfId="4037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4036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4035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4034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4033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4032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4031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4030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4029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4028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4027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4026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4025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4024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4023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4022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4021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4020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4019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4018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4017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4016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4015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4014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4013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4012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401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4010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4009">
      <pivotArea type="all" dataOnly="0" outline="0" fieldPosition="0"/>
    </format>
    <format dxfId="4008">
      <pivotArea outline="0" collapsedLevelsAreSubtotals="1" fieldPosition="0"/>
    </format>
    <format dxfId="4007">
      <pivotArea type="origin" dataOnly="0" labelOnly="1" outline="0" fieldPosition="0"/>
    </format>
    <format dxfId="4006">
      <pivotArea field="-2" type="button" dataOnly="0" labelOnly="1" outline="0" axis="axisCol" fieldPosition="0"/>
    </format>
    <format dxfId="4005">
      <pivotArea type="topRight" dataOnly="0" labelOnly="1" outline="0" fieldPosition="0"/>
    </format>
    <format dxfId="4004">
      <pivotArea field="1" type="button" dataOnly="0" labelOnly="1" outline="0" axis="axisRow" fieldPosition="0"/>
    </format>
    <format dxfId="4003">
      <pivotArea field="2" type="button" dataOnly="0" labelOnly="1" outline="0" axis="axisRow" fieldPosition="1"/>
    </format>
    <format dxfId="4002">
      <pivotArea field="3" type="button" dataOnly="0" labelOnly="1" outline="0" axis="axisRow" fieldPosition="2"/>
    </format>
    <format dxfId="4001">
      <pivotArea field="4" type="button" dataOnly="0" labelOnly="1" outline="0" axis="axisRow" fieldPosition="3"/>
    </format>
    <format dxfId="4000">
      <pivotArea field="5" type="button" dataOnly="0" labelOnly="1" outline="0" axis="axisRow" fieldPosition="4"/>
    </format>
    <format dxfId="3999">
      <pivotArea field="7" type="button" dataOnly="0" labelOnly="1" outline="0"/>
    </format>
    <format dxfId="3998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3997">
      <pivotArea dataOnly="0" labelOnly="1" grandRow="1" outline="0" fieldPosition="0"/>
    </format>
    <format dxfId="3996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3995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3994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3993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3992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3991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3990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3989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3988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3987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3986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3985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3984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3983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3982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3981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3980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3979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3978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3977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3976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3975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3974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3973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3972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3971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397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3969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3968">
      <pivotArea field="1" type="button" dataOnly="0" labelOnly="1" outline="0" axis="axisRow" fieldPosition="0"/>
    </format>
    <format dxfId="3967">
      <pivotArea field="2" type="button" dataOnly="0" labelOnly="1" outline="0" axis="axisRow" fieldPosition="1"/>
    </format>
    <format dxfId="3966">
      <pivotArea field="3" type="button" dataOnly="0" labelOnly="1" outline="0" axis="axisRow" fieldPosition="2"/>
    </format>
    <format dxfId="3965">
      <pivotArea field="4" type="button" dataOnly="0" labelOnly="1" outline="0" axis="axisRow" fieldPosition="3"/>
    </format>
    <format dxfId="3964">
      <pivotArea field="5" type="button" dataOnly="0" labelOnly="1" outline="0" axis="axisRow" fieldPosition="4"/>
    </format>
    <format dxfId="3963">
      <pivotArea field="7" type="button" dataOnly="0" labelOnly="1" outline="0"/>
    </format>
    <format dxfId="3962">
      <pivotArea field="1" type="button" dataOnly="0" labelOnly="1" outline="0" axis="axisRow" fieldPosition="0"/>
    </format>
    <format dxfId="3961">
      <pivotArea field="2" type="button" dataOnly="0" labelOnly="1" outline="0" axis="axisRow" fieldPosition="1"/>
    </format>
    <format dxfId="3960">
      <pivotArea field="3" type="button" dataOnly="0" labelOnly="1" outline="0" axis="axisRow" fieldPosition="2"/>
    </format>
    <format dxfId="3959">
      <pivotArea field="4" type="button" dataOnly="0" labelOnly="1" outline="0" axis="axisRow" fieldPosition="3"/>
    </format>
    <format dxfId="3958">
      <pivotArea field="5" type="button" dataOnly="0" labelOnly="1" outline="0" axis="axisRow" fieldPosition="4"/>
    </format>
    <format dxfId="3957">
      <pivotArea field="7" type="button" dataOnly="0" labelOnly="1" outline="0"/>
    </format>
    <format dxfId="3956">
      <pivotArea type="all" dataOnly="0" outline="0" fieldPosition="0"/>
    </format>
    <format dxfId="3955">
      <pivotArea outline="0" collapsedLevelsAreSubtotals="1" fieldPosition="0"/>
    </format>
    <format dxfId="3954">
      <pivotArea type="origin" dataOnly="0" labelOnly="1" outline="0" fieldPosition="0"/>
    </format>
    <format dxfId="3953">
      <pivotArea field="-2" type="button" dataOnly="0" labelOnly="1" outline="0" axis="axisCol" fieldPosition="0"/>
    </format>
    <format dxfId="3952">
      <pivotArea type="topRight" dataOnly="0" labelOnly="1" outline="0" fieldPosition="0"/>
    </format>
    <format dxfId="3951">
      <pivotArea field="1" type="button" dataOnly="0" labelOnly="1" outline="0" axis="axisRow" fieldPosition="0"/>
    </format>
    <format dxfId="3950">
      <pivotArea field="2" type="button" dataOnly="0" labelOnly="1" outline="0" axis="axisRow" fieldPosition="1"/>
    </format>
    <format dxfId="3949">
      <pivotArea field="3" type="button" dataOnly="0" labelOnly="1" outline="0" axis="axisRow" fieldPosition="2"/>
    </format>
    <format dxfId="3948">
      <pivotArea field="4" type="button" dataOnly="0" labelOnly="1" outline="0" axis="axisRow" fieldPosition="3"/>
    </format>
    <format dxfId="3947">
      <pivotArea field="5" type="button" dataOnly="0" labelOnly="1" outline="0" axis="axisRow" fieldPosition="4"/>
    </format>
    <format dxfId="3946">
      <pivotArea field="7" type="button" dataOnly="0" labelOnly="1" outline="0"/>
    </format>
    <format dxfId="3945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3944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3943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3942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3941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3940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3939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3938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3937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3936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3935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3934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3933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3932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3931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3930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3929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3928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3927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3926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3925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3924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3923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3922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3921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3920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3919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391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3917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3916">
      <pivotArea field="1" type="button" dataOnly="0" labelOnly="1" outline="0" axis="axisRow" fieldPosition="0"/>
    </format>
    <format dxfId="3915">
      <pivotArea field="2" type="button" dataOnly="0" labelOnly="1" outline="0" axis="axisRow" fieldPosition="1"/>
    </format>
    <format dxfId="3914">
      <pivotArea field="3" type="button" dataOnly="0" labelOnly="1" outline="0" axis="axisRow" fieldPosition="2"/>
    </format>
    <format dxfId="3913">
      <pivotArea field="4" type="button" dataOnly="0" labelOnly="1" outline="0" axis="axisRow" fieldPosition="3"/>
    </format>
    <format dxfId="3912">
      <pivotArea field="5" type="button" dataOnly="0" labelOnly="1" outline="0" axis="axisRow" fieldPosition="4"/>
    </format>
    <format dxfId="3911">
      <pivotArea field="7" type="button" dataOnly="0" labelOnly="1" outline="0"/>
    </format>
    <format dxfId="3910">
      <pivotArea type="all" dataOnly="0" outline="0" fieldPosition="0"/>
    </format>
    <format dxfId="3909">
      <pivotArea outline="0" collapsedLevelsAreSubtotals="1" fieldPosition="0"/>
    </format>
    <format dxfId="3908">
      <pivotArea type="origin" dataOnly="0" labelOnly="1" outline="0" fieldPosition="0"/>
    </format>
    <format dxfId="3907">
      <pivotArea field="-2" type="button" dataOnly="0" labelOnly="1" outline="0" axis="axisCol" fieldPosition="0"/>
    </format>
    <format dxfId="3906">
      <pivotArea type="topRight" dataOnly="0" labelOnly="1" outline="0" fieldPosition="0"/>
    </format>
    <format dxfId="3905">
      <pivotArea field="1" type="button" dataOnly="0" labelOnly="1" outline="0" axis="axisRow" fieldPosition="0"/>
    </format>
    <format dxfId="3904">
      <pivotArea field="2" type="button" dataOnly="0" labelOnly="1" outline="0" axis="axisRow" fieldPosition="1"/>
    </format>
    <format dxfId="3903">
      <pivotArea field="3" type="button" dataOnly="0" labelOnly="1" outline="0" axis="axisRow" fieldPosition="2"/>
    </format>
    <format dxfId="3902">
      <pivotArea field="4" type="button" dataOnly="0" labelOnly="1" outline="0" axis="axisRow" fieldPosition="3"/>
    </format>
    <format dxfId="3901">
      <pivotArea field="5" type="button" dataOnly="0" labelOnly="1" outline="0" axis="axisRow" fieldPosition="4"/>
    </format>
    <format dxfId="3900">
      <pivotArea field="7" type="button" dataOnly="0" labelOnly="1" outline="0"/>
    </format>
    <format dxfId="3899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3898">
      <pivotArea dataOnly="0" labelOnly="1" grandRow="1" outline="0" fieldPosition="0"/>
    </format>
    <format dxfId="3897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3896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3895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3894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3893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3892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3891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3890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3889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3888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3887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3886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3885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3884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3883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3882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3881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3880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3879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3878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3877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3876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3875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3874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3873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3872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387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3870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3869">
      <pivotArea type="all" dataOnly="0" outline="0" fieldPosition="0"/>
    </format>
    <format dxfId="3868">
      <pivotArea outline="0" collapsedLevelsAreSubtotals="1" fieldPosition="0"/>
    </format>
    <format dxfId="3867">
      <pivotArea type="origin" dataOnly="0" labelOnly="1" outline="0" fieldPosition="0"/>
    </format>
    <format dxfId="3866">
      <pivotArea field="-2" type="button" dataOnly="0" labelOnly="1" outline="0" axis="axisCol" fieldPosition="0"/>
    </format>
    <format dxfId="3865">
      <pivotArea type="topRight" dataOnly="0" labelOnly="1" outline="0" fieldPosition="0"/>
    </format>
    <format dxfId="3864">
      <pivotArea field="1" type="button" dataOnly="0" labelOnly="1" outline="0" axis="axisRow" fieldPosition="0"/>
    </format>
    <format dxfId="3863">
      <pivotArea field="2" type="button" dataOnly="0" labelOnly="1" outline="0" axis="axisRow" fieldPosition="1"/>
    </format>
    <format dxfId="3862">
      <pivotArea field="3" type="button" dataOnly="0" labelOnly="1" outline="0" axis="axisRow" fieldPosition="2"/>
    </format>
    <format dxfId="3861">
      <pivotArea field="4" type="button" dataOnly="0" labelOnly="1" outline="0" axis="axisRow" fieldPosition="3"/>
    </format>
    <format dxfId="3860">
      <pivotArea field="5" type="button" dataOnly="0" labelOnly="1" outline="0" axis="axisRow" fieldPosition="4"/>
    </format>
    <format dxfId="3859">
      <pivotArea field="7" type="button" dataOnly="0" labelOnly="1" outline="0"/>
    </format>
    <format dxfId="3858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3857">
      <pivotArea dataOnly="0" labelOnly="1" grandRow="1" outline="0" fieldPosition="0"/>
    </format>
    <format dxfId="3856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3855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3854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3853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3852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3851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3850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3849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3848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3847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3846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3845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3844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3843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3842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3841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3840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3839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3838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3837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3836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3835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3834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3833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3832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3831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383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3829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3828">
      <pivotArea field="1" type="button" dataOnly="0" labelOnly="1" outline="0" axis="axisRow" fieldPosition="0"/>
    </format>
    <format dxfId="3827">
      <pivotArea field="2" type="button" dataOnly="0" labelOnly="1" outline="0" axis="axisRow" fieldPosition="1"/>
    </format>
    <format dxfId="3826">
      <pivotArea field="3" type="button" dataOnly="0" labelOnly="1" outline="0" axis="axisRow" fieldPosition="2"/>
    </format>
    <format dxfId="3825">
      <pivotArea field="4" type="button" dataOnly="0" labelOnly="1" outline="0" axis="axisRow" fieldPosition="3"/>
    </format>
    <format dxfId="3824">
      <pivotArea field="5" type="button" dataOnly="0" labelOnly="1" outline="0" axis="axisRow" fieldPosition="4"/>
    </format>
    <format dxfId="3823">
      <pivotArea field="7" type="button" dataOnly="0" labelOnly="1" outline="0"/>
    </format>
    <format dxfId="3822">
      <pivotArea field="1" type="button" dataOnly="0" labelOnly="1" outline="0" axis="axisRow" fieldPosition="0"/>
    </format>
    <format dxfId="3821">
      <pivotArea field="2" type="button" dataOnly="0" labelOnly="1" outline="0" axis="axisRow" fieldPosition="1"/>
    </format>
    <format dxfId="3820">
      <pivotArea field="3" type="button" dataOnly="0" labelOnly="1" outline="0" axis="axisRow" fieldPosition="2"/>
    </format>
    <format dxfId="3819">
      <pivotArea field="4" type="button" dataOnly="0" labelOnly="1" outline="0" axis="axisRow" fieldPosition="3"/>
    </format>
    <format dxfId="3818">
      <pivotArea field="5" type="button" dataOnly="0" labelOnly="1" outline="0" axis="axisRow" fieldPosition="4"/>
    </format>
    <format dxfId="3817">
      <pivotArea field="1" type="button" dataOnly="0" labelOnly="1" outline="0" axis="axisRow" fieldPosition="0"/>
    </format>
    <format dxfId="3816">
      <pivotArea field="2" type="button" dataOnly="0" labelOnly="1" outline="0" axis="axisRow" fieldPosition="1"/>
    </format>
    <format dxfId="3815">
      <pivotArea field="3" type="button" dataOnly="0" labelOnly="1" outline="0" axis="axisRow" fieldPosition="2"/>
    </format>
    <format dxfId="3814">
      <pivotArea field="4" type="button" dataOnly="0" labelOnly="1" outline="0" axis="axisRow" fieldPosition="3"/>
    </format>
    <format dxfId="3813">
      <pivotArea field="5" type="button" dataOnly="0" labelOnly="1" outline="0" axis="axisRow" fieldPosition="4"/>
    </format>
    <format dxfId="3812">
      <pivotArea type="topRight" dataOnly="0" labelOnly="1" outline="0" offset="E1:G1" fieldPosition="0"/>
    </format>
    <format dxfId="381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810">
      <pivotArea type="topRight" dataOnly="0" labelOnly="1" outline="0" offset="B1:D1" fieldPosition="0"/>
    </format>
    <format dxfId="380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808">
      <pivotArea field="-2" type="button" dataOnly="0" labelOnly="1" outline="0" axis="axisCol" fieldPosition="0"/>
    </format>
    <format dxfId="3807">
      <pivotArea type="topRight" dataOnly="0" labelOnly="1" outline="0" offset="A1" fieldPosition="0"/>
    </format>
    <format dxfId="380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05">
      <pivotArea field="-2" type="button" dataOnly="0" labelOnly="1" outline="0" axis="axisCol" fieldPosition="0"/>
    </format>
    <format dxfId="3804">
      <pivotArea type="topRight" dataOnly="0" labelOnly="1" outline="0" fieldPosition="0"/>
    </format>
    <format dxfId="380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80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80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800">
      <pivotArea field="-2" type="button" dataOnly="0" labelOnly="1" outline="0" axis="axisCol" fieldPosition="0"/>
    </format>
    <format dxfId="3799">
      <pivotArea type="topRight" dataOnly="0" labelOnly="1" outline="0" offset="A1:G1" fieldPosition="0"/>
    </format>
    <format dxfId="3798">
      <pivotArea field="7" type="button" dataOnly="0" labelOnly="1" outline="0"/>
    </format>
    <format dxfId="3797">
      <pivotArea field="7" type="button" dataOnly="0" labelOnly="1" outline="0"/>
    </format>
    <format dxfId="3796">
      <pivotArea type="all" dataOnly="0" outline="0" fieldPosition="0"/>
    </format>
    <format dxfId="3795">
      <pivotArea outline="0" collapsedLevelsAreSubtotals="1" fieldPosition="0"/>
    </format>
    <format dxfId="3794">
      <pivotArea type="origin" dataOnly="0" labelOnly="1" outline="0" fieldPosition="0"/>
    </format>
    <format dxfId="3793">
      <pivotArea field="-2" type="button" dataOnly="0" labelOnly="1" outline="0" axis="axisCol" fieldPosition="0"/>
    </format>
    <format dxfId="3792">
      <pivotArea type="topRight" dataOnly="0" labelOnly="1" outline="0" fieldPosition="0"/>
    </format>
    <format dxfId="3791">
      <pivotArea field="3" type="button" dataOnly="0" labelOnly="1" outline="0" axis="axisRow" fieldPosition="2"/>
    </format>
    <format dxfId="3790">
      <pivotArea field="4" type="button" dataOnly="0" labelOnly="1" outline="0" axis="axisRow" fieldPosition="3"/>
    </format>
    <format dxfId="3789">
      <pivotArea dataOnly="0" labelOnly="1" outline="0" fieldPosition="0">
        <references count="1">
          <reference field="1" count="1">
            <x v="0"/>
          </reference>
        </references>
      </pivotArea>
    </format>
    <format dxfId="3788">
      <pivotArea dataOnly="0" labelOnly="1" grandRow="1" outline="0" fieldPosition="0"/>
    </format>
    <format dxfId="3787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3786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378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3784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3783">
      <pivotArea type="all" dataOnly="0" outline="0" fieldPosition="0"/>
    </format>
    <format dxfId="3782">
      <pivotArea outline="0" collapsedLevelsAreSubtotals="1" fieldPosition="0"/>
    </format>
    <format dxfId="3781">
      <pivotArea type="origin" dataOnly="0" labelOnly="1" outline="0" fieldPosition="0"/>
    </format>
    <format dxfId="3780">
      <pivotArea field="-2" type="button" dataOnly="0" labelOnly="1" outline="0" axis="axisCol" fieldPosition="0"/>
    </format>
    <format dxfId="3779">
      <pivotArea type="topRight" dataOnly="0" labelOnly="1" outline="0" fieldPosition="0"/>
    </format>
    <format dxfId="3778">
      <pivotArea field="3" type="button" dataOnly="0" labelOnly="1" outline="0" axis="axisRow" fieldPosition="2"/>
    </format>
    <format dxfId="3777">
      <pivotArea field="4" type="button" dataOnly="0" labelOnly="1" outline="0" axis="axisRow" fieldPosition="3"/>
    </format>
    <format dxfId="3776">
      <pivotArea dataOnly="0" labelOnly="1" outline="0" fieldPosition="0">
        <references count="1">
          <reference field="1" count="34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37"/>
            <x v="47"/>
            <x v="48"/>
            <x v="49"/>
            <x v="50"/>
            <x v="52"/>
          </reference>
        </references>
      </pivotArea>
    </format>
    <format dxfId="3775">
      <pivotArea dataOnly="0" labelOnly="1" grandRow="1" outline="0" fieldPosition="0"/>
    </format>
    <format dxfId="3774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3773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3772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3771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3770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3769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3768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3767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3766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3765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3764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3763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3762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3761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3760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3759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3758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3757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3756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3755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3754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3753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3752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3751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3750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3749">
      <pivotArea field="6" type="button" dataOnly="0" labelOnly="1" outline="0" axis="axisRow" fieldPosition="5"/>
    </format>
    <format dxfId="3748">
      <pivotArea field="6" type="button" dataOnly="0" labelOnly="1" outline="0" axis="axisRow" fieldPosition="5"/>
    </format>
    <format dxfId="3747">
      <pivotArea field="6" type="button" dataOnly="0" labelOnly="1" outline="0" axis="axisRow" fieldPosition="5"/>
    </format>
    <format dxfId="3746">
      <pivotArea field="6" type="button" dataOnly="0" labelOnly="1" outline="0" axis="axisRow" fieldPosition="5"/>
    </format>
    <format dxfId="3745">
      <pivotArea type="all" dataOnly="0" outline="0" fieldPosition="0"/>
    </format>
    <format dxfId="3744">
      <pivotArea type="origin" dataOnly="0" labelOnly="1" outline="0" fieldPosition="0"/>
    </format>
    <format dxfId="3743">
      <pivotArea field="3" type="button" dataOnly="0" labelOnly="1" outline="0" axis="axisRow" fieldPosition="2"/>
    </format>
    <format dxfId="3742">
      <pivotArea field="4" type="button" dataOnly="0" labelOnly="1" outline="0" axis="axisRow" fieldPosition="3"/>
    </format>
    <format dxfId="3741">
      <pivotArea field="6" type="button" dataOnly="0" labelOnly="1" outline="0" axis="axisRow" fieldPosition="5"/>
    </format>
    <format dxfId="3740">
      <pivotArea dataOnly="0" labelOnly="1" grandRow="1" outline="0" fieldPosition="0"/>
    </format>
    <format dxfId="3739">
      <pivotArea field="-2" type="button" dataOnly="0" labelOnly="1" outline="0" axis="axisCol" fieldPosition="0"/>
    </format>
    <format dxfId="3738">
      <pivotArea field="6" type="button" dataOnly="0" labelOnly="1" outline="0" axis="axisRow" fieldPosition="5"/>
    </format>
    <format dxfId="3737">
      <pivotArea field="6" type="button" dataOnly="0" labelOnly="1" outline="0" axis="axisRow" fieldPosition="5"/>
    </format>
    <format dxfId="3736">
      <pivotArea dataOnly="0" labelOnly="1" outline="0" fieldPosition="0">
        <references count="1">
          <reference field="6" count="0"/>
        </references>
      </pivotArea>
    </format>
    <format dxfId="3735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3734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3733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3732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3731">
      <pivotArea field="6" type="button" dataOnly="0" labelOnly="1" outline="0" axis="axisRow" fieldPosition="5"/>
    </format>
    <format dxfId="3730">
      <pivotArea dataOnly="0" labelOnly="1" outline="0" fieldPosition="0">
        <references count="1">
          <reference field="6" count="0"/>
        </references>
      </pivotArea>
    </format>
    <format dxfId="3729">
      <pivotArea field="6" type="button" dataOnly="0" labelOnly="1" outline="0" axis="axisRow" fieldPosition="5"/>
    </format>
    <format dxfId="3728">
      <pivotArea field="6" type="button" dataOnly="0" labelOnly="1" outline="0" axis="axisRow" fieldPosition="5"/>
    </format>
    <format dxfId="3727">
      <pivotArea field="3" type="button" dataOnly="0" labelOnly="1" outline="0" axis="axisRow" fieldPosition="2"/>
    </format>
    <format dxfId="3726">
      <pivotArea field="4" type="button" dataOnly="0" labelOnly="1" outline="0" axis="axisRow" fieldPosition="3"/>
    </format>
    <format dxfId="3725">
      <pivotArea field="3" type="button" dataOnly="0" labelOnly="1" outline="0" axis="axisRow" fieldPosition="2"/>
    </format>
    <format dxfId="3724">
      <pivotArea field="4" type="button" dataOnly="0" labelOnly="1" outline="0" axis="axisRow" fieldPosition="3"/>
    </format>
    <format dxfId="3723">
      <pivotArea field="3" type="button" dataOnly="0" labelOnly="1" outline="0" axis="axisRow" fieldPosition="2"/>
    </format>
    <format dxfId="3722">
      <pivotArea field="4" type="button" dataOnly="0" labelOnly="1" outline="0" axis="axisRow" fieldPosition="3"/>
    </format>
    <format dxfId="3721">
      <pivotArea field="3" type="button" dataOnly="0" labelOnly="1" outline="0" axis="axisRow" fieldPosition="2"/>
    </format>
    <format dxfId="3720">
      <pivotArea field="4" type="button" dataOnly="0" labelOnly="1" outline="0" axis="axisRow" fieldPosition="3"/>
    </format>
    <format dxfId="3719">
      <pivotArea field="3" type="button" dataOnly="0" labelOnly="1" outline="0" axis="axisRow" fieldPosition="2"/>
    </format>
    <format dxfId="3718">
      <pivotArea field="4" type="button" dataOnly="0" labelOnly="1" outline="0" axis="axisRow" fieldPosition="3"/>
    </format>
    <format dxfId="3717">
      <pivotArea field="3" type="button" dataOnly="0" labelOnly="1" outline="0" axis="axisRow" fieldPosition="2"/>
    </format>
    <format dxfId="3716">
      <pivotArea field="4" type="button" dataOnly="0" labelOnly="1" outline="0" axis="axisRow" fieldPosition="3"/>
    </format>
    <format dxfId="3715">
      <pivotArea field="6" type="button" dataOnly="0" labelOnly="1" outline="0" axis="axisRow" fieldPosition="5"/>
    </format>
    <format dxfId="3714">
      <pivotArea field="1" type="button" dataOnly="0" labelOnly="1" outline="0" axis="axisRow" fieldPosition="0"/>
    </format>
    <format dxfId="3713">
      <pivotArea field="2" type="button" dataOnly="0" labelOnly="1" outline="0" axis="axisRow" fieldPosition="1"/>
    </format>
    <format dxfId="3712">
      <pivotArea field="6" type="button" dataOnly="0" labelOnly="1" outline="0" axis="axisRow" fieldPosition="5"/>
    </format>
    <format dxfId="3711">
      <pivotArea field="3" type="button" dataOnly="0" labelOnly="1" outline="0" axis="axisRow" fieldPosition="2"/>
    </format>
    <format dxfId="3710">
      <pivotArea field="4" type="button" dataOnly="0" labelOnly="1" outline="0" axis="axisRow" fieldPosition="3"/>
    </format>
    <format dxfId="3709">
      <pivotArea field="5" type="button" dataOnly="0" labelOnly="1" outline="0" axis="axisRow" fieldPosition="4"/>
    </format>
    <format dxfId="3708">
      <pivotArea field="6" type="button" dataOnly="0" labelOnly="1" outline="0" axis="axisRow" fieldPosition="5"/>
    </format>
    <format dxfId="370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2"/>
          </reference>
          <reference field="6" count="3">
            <x v="1"/>
            <x v="2"/>
            <x v="3"/>
          </reference>
        </references>
      </pivotArea>
    </format>
    <format dxfId="3706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13"/>
          </reference>
          <reference field="6" count="3">
            <x v="1"/>
            <x v="2"/>
            <x v="3"/>
          </reference>
        </references>
      </pivotArea>
    </format>
    <format dxfId="3705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3"/>
          </reference>
          <reference field="6" count="3">
            <x v="1"/>
            <x v="2"/>
            <x v="3"/>
          </reference>
        </references>
      </pivotArea>
    </format>
    <format dxfId="3704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12"/>
          </reference>
          <reference field="6" count="3">
            <x v="1"/>
            <x v="2"/>
            <x v="3"/>
          </reference>
        </references>
      </pivotArea>
    </format>
    <format dxfId="3703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6"/>
          </reference>
          <reference field="6" count="3">
            <x v="1"/>
            <x v="2"/>
            <x v="3"/>
          </reference>
        </references>
      </pivotArea>
    </format>
    <format dxfId="3702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"/>
          </reference>
          <reference field="6" count="3">
            <x v="1"/>
            <x v="2"/>
            <x v="3"/>
          </reference>
        </references>
      </pivotArea>
    </format>
    <format dxfId="3701">
      <pivotArea dataOnly="0" labelOnly="1" outline="0" fieldPosition="0">
        <references count="3">
          <reference field="1" count="1" selected="0">
            <x v="7"/>
          </reference>
          <reference field="2" count="1" selected="0">
            <x v="16"/>
          </reference>
          <reference field="6" count="3">
            <x v="1"/>
            <x v="2"/>
            <x v="3"/>
          </reference>
        </references>
      </pivotArea>
    </format>
    <format dxfId="3700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4"/>
          </reference>
          <reference field="6" count="3">
            <x v="1"/>
            <x v="2"/>
            <x v="3"/>
          </reference>
        </references>
      </pivotArea>
    </format>
    <format dxfId="3699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24"/>
          </reference>
          <reference field="6" count="3">
            <x v="1"/>
            <x v="2"/>
            <x v="3"/>
          </reference>
        </references>
      </pivotArea>
    </format>
    <format dxfId="3698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6" count="3">
            <x v="1"/>
            <x v="2"/>
            <x v="3"/>
          </reference>
        </references>
      </pivotArea>
    </format>
    <format dxfId="3697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6" count="3">
            <x v="1"/>
            <x v="2"/>
            <x v="3"/>
          </reference>
        </references>
      </pivotArea>
    </format>
    <format dxfId="3696">
      <pivotArea dataOnly="0" labelOnly="1" outline="0" fieldPosition="0">
        <references count="3">
          <reference field="1" count="1" selected="0">
            <x v="12"/>
          </reference>
          <reference field="2" count="1" selected="0">
            <x v="25"/>
          </reference>
          <reference field="6" count="3">
            <x v="1"/>
            <x v="2"/>
            <x v="3"/>
          </reference>
        </references>
      </pivotArea>
    </format>
    <format dxfId="3695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6" count="3">
            <x v="1"/>
            <x v="2"/>
            <x v="3"/>
          </reference>
        </references>
      </pivotArea>
    </format>
    <format dxfId="3694">
      <pivotArea dataOnly="0" labelOnly="1" outline="0" fieldPosition="0">
        <references count="3">
          <reference field="1" count="1" selected="0">
            <x v="16"/>
          </reference>
          <reference field="2" count="1" selected="0">
            <x v="1"/>
          </reference>
          <reference field="6" count="3">
            <x v="1"/>
            <x v="2"/>
            <x v="3"/>
          </reference>
        </references>
      </pivotArea>
    </format>
    <format dxfId="3693">
      <pivotArea dataOnly="0" labelOnly="1" outline="0" fieldPosition="0">
        <references count="3">
          <reference field="1" count="1" selected="0">
            <x v="17"/>
          </reference>
          <reference field="2" count="1" selected="0">
            <x v="26"/>
          </reference>
          <reference field="6" count="3">
            <x v="1"/>
            <x v="2"/>
            <x v="3"/>
          </reference>
        </references>
      </pivotArea>
    </format>
    <format dxfId="3692">
      <pivotArea dataOnly="0" labelOnly="1" outline="0" fieldPosition="0">
        <references count="3">
          <reference field="1" count="1" selected="0">
            <x v="19"/>
          </reference>
          <reference field="2" count="1" selected="0">
            <x v="27"/>
          </reference>
          <reference field="6" count="3">
            <x v="1"/>
            <x v="2"/>
            <x v="3"/>
          </reference>
        </references>
      </pivotArea>
    </format>
    <format dxfId="3691">
      <pivotArea dataOnly="0" labelOnly="1" outline="0" fieldPosition="0">
        <references count="3">
          <reference field="1" count="1" selected="0">
            <x v="20"/>
          </reference>
          <reference field="2" count="1" selected="0">
            <x v="18"/>
          </reference>
          <reference field="6" count="3">
            <x v="1"/>
            <x v="2"/>
            <x v="3"/>
          </reference>
        </references>
      </pivotArea>
    </format>
    <format dxfId="3690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6" count="3">
            <x v="1"/>
            <x v="2"/>
            <x v="3"/>
          </reference>
        </references>
      </pivotArea>
    </format>
    <format dxfId="3689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6" count="3">
            <x v="1"/>
            <x v="2"/>
            <x v="3"/>
          </reference>
        </references>
      </pivotArea>
    </format>
    <format dxfId="3688">
      <pivotArea dataOnly="0" labelOnly="1" outline="0" fieldPosition="0">
        <references count="3">
          <reference field="1" count="1" selected="0">
            <x v="24"/>
          </reference>
          <reference field="2" count="1" selected="0">
            <x v="28"/>
          </reference>
          <reference field="6" count="3">
            <x v="1"/>
            <x v="2"/>
            <x v="3"/>
          </reference>
        </references>
      </pivotArea>
    </format>
    <format dxfId="3687">
      <pivotArea dataOnly="0" labelOnly="1" outline="0" fieldPosition="0">
        <references count="3">
          <reference field="1" count="1" selected="0">
            <x v="25"/>
          </reference>
          <reference field="2" count="1" selected="0">
            <x v="29"/>
          </reference>
          <reference field="6" count="3">
            <x v="1"/>
            <x v="2"/>
            <x v="3"/>
          </reference>
        </references>
      </pivotArea>
    </format>
    <format dxfId="3686">
      <pivotArea dataOnly="0" labelOnly="1" outline="0" fieldPosition="0">
        <references count="3">
          <reference field="1" count="1" selected="0">
            <x v="26"/>
          </reference>
          <reference field="2" count="1" selected="0">
            <x v="17"/>
          </reference>
          <reference field="6" count="3">
            <x v="1"/>
            <x v="2"/>
            <x v="3"/>
          </reference>
        </references>
      </pivotArea>
    </format>
    <format dxfId="3685">
      <pivotArea dataOnly="0" labelOnly="1" outline="0" fieldPosition="0">
        <references count="3">
          <reference field="1" count="1" selected="0">
            <x v="27"/>
          </reference>
          <reference field="2" count="1" selected="0">
            <x v="30"/>
          </reference>
          <reference field="6" count="3">
            <x v="1"/>
            <x v="2"/>
            <x v="3"/>
          </reference>
        </references>
      </pivotArea>
    </format>
    <format dxfId="3684">
      <pivotArea dataOnly="0" labelOnly="1" outline="0" fieldPosition="0">
        <references count="3">
          <reference field="1" count="1" selected="0">
            <x v="33"/>
          </reference>
          <reference field="2" count="1" selected="0">
            <x v="8"/>
          </reference>
          <reference field="6" count="3">
            <x v="1"/>
            <x v="2"/>
            <x v="3"/>
          </reference>
        </references>
      </pivotArea>
    </format>
    <format dxfId="3683">
      <pivotArea dataOnly="0" labelOnly="1" outline="0" fieldPosition="0">
        <references count="3">
          <reference field="1" count="1" selected="0">
            <x v="34"/>
          </reference>
          <reference field="2" count="1" selected="0">
            <x v="9"/>
          </reference>
          <reference field="6" count="3">
            <x v="1"/>
            <x v="2"/>
            <x v="3"/>
          </reference>
        </references>
      </pivotArea>
    </format>
    <format dxfId="3682">
      <pivotArea dataOnly="0" labelOnly="1" outline="0" fieldPosition="0">
        <references count="3">
          <reference field="1" count="1" selected="0">
            <x v="36"/>
          </reference>
          <reference field="2" count="1" selected="0">
            <x v="10"/>
          </reference>
          <reference field="6" count="3">
            <x v="1"/>
            <x v="2"/>
            <x v="3"/>
          </reference>
        </references>
      </pivotArea>
    </format>
    <format dxfId="3681">
      <pivotArea dataOnly="0" labelOnly="1" outline="0" fieldPosition="0">
        <references count="3">
          <reference field="1" count="1" selected="0">
            <x v="37"/>
          </reference>
          <reference field="2" count="1" selected="0">
            <x v="19"/>
          </reference>
          <reference field="6" count="3">
            <x v="1"/>
            <x v="2"/>
            <x v="3"/>
          </reference>
        </references>
      </pivotArea>
    </format>
    <format dxfId="3680">
      <pivotArea dataOnly="0" labelOnly="1" outline="0" fieldPosition="0">
        <references count="3">
          <reference field="1" count="1" selected="0">
            <x v="38"/>
          </reference>
          <reference field="2" count="1" selected="0">
            <x v="31"/>
          </reference>
          <reference field="6" count="3">
            <x v="1"/>
            <x v="2"/>
            <x v="3"/>
          </reference>
        </references>
      </pivotArea>
    </format>
    <format dxfId="3679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6" count="3">
            <x v="1"/>
            <x v="2"/>
            <x v="3"/>
          </reference>
        </references>
      </pivotArea>
    </format>
    <format dxfId="3678">
      <pivotArea dataOnly="0" labelOnly="1" outline="0" fieldPosition="0">
        <references count="3">
          <reference field="1" count="1" selected="0">
            <x v="48"/>
          </reference>
          <reference field="2" count="1" selected="0">
            <x v="32"/>
          </reference>
          <reference field="6" count="3">
            <x v="1"/>
            <x v="2"/>
            <x v="3"/>
          </reference>
        </references>
      </pivotArea>
    </format>
    <format dxfId="3677">
      <pivotArea dataOnly="0" labelOnly="1" outline="0" fieldPosition="0">
        <references count="3">
          <reference field="1" count="1" selected="0">
            <x v="49"/>
          </reference>
          <reference field="2" count="1" selected="0">
            <x v="20"/>
          </reference>
          <reference field="6" count="3">
            <x v="1"/>
            <x v="2"/>
            <x v="3"/>
          </reference>
        </references>
      </pivotArea>
    </format>
    <format dxfId="3676">
      <pivotArea dataOnly="0" labelOnly="1" outline="0" fieldPosition="0">
        <references count="3">
          <reference field="1" count="1" selected="0">
            <x v="50"/>
          </reference>
          <reference field="2" count="1" selected="0">
            <x v="21"/>
          </reference>
          <reference field="6" count="3">
            <x v="1"/>
            <x v="2"/>
            <x v="3"/>
          </reference>
        </references>
      </pivotArea>
    </format>
    <format dxfId="3675">
      <pivotArea dataOnly="0" labelOnly="1" outline="0" fieldPosition="0">
        <references count="3">
          <reference field="1" count="1" selected="0">
            <x v="52"/>
          </reference>
          <reference field="2" count="1" selected="0">
            <x v="11"/>
          </reference>
          <reference field="6" count="3">
            <x v="1"/>
            <x v="2"/>
            <x v="3"/>
          </reference>
        </references>
      </pivotArea>
    </format>
    <format dxfId="3674">
      <pivotArea field="5" type="button" dataOnly="0" labelOnly="1" outline="0" axis="axisRow" fieldPosition="4"/>
    </format>
    <format dxfId="3673">
      <pivotArea field="6" type="button" dataOnly="0" labelOnly="1" outline="0" axis="axisRow" fieldPosition="5"/>
    </format>
    <format dxfId="367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7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69">
      <pivotArea field="6" type="button" dataOnly="0" labelOnly="1" outline="0" axis="axisRow" fieldPosition="5"/>
    </format>
    <format dxfId="366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2"/>
          </reference>
          <reference field="6" count="0"/>
        </references>
      </pivotArea>
    </format>
    <format dxfId="3667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13"/>
          </reference>
          <reference field="6" count="0"/>
        </references>
      </pivotArea>
    </format>
    <format dxfId="3666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3"/>
          </reference>
          <reference field="6" count="0"/>
        </references>
      </pivotArea>
    </format>
    <format dxfId="3665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12"/>
          </reference>
          <reference field="6" count="0"/>
        </references>
      </pivotArea>
    </format>
    <format dxfId="3664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6"/>
          </reference>
          <reference field="6" count="0"/>
        </references>
      </pivotArea>
    </format>
    <format dxfId="3663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"/>
          </reference>
          <reference field="6" count="0"/>
        </references>
      </pivotArea>
    </format>
    <format dxfId="3662">
      <pivotArea dataOnly="0" labelOnly="1" outline="0" fieldPosition="0">
        <references count="3">
          <reference field="1" count="1" selected="0">
            <x v="7"/>
          </reference>
          <reference field="2" count="1" selected="0">
            <x v="16"/>
          </reference>
          <reference field="6" count="0"/>
        </references>
      </pivotArea>
    </format>
    <format dxfId="3661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4"/>
          </reference>
          <reference field="6" count="0"/>
        </references>
      </pivotArea>
    </format>
    <format dxfId="3660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24"/>
          </reference>
          <reference field="6" count="0"/>
        </references>
      </pivotArea>
    </format>
    <format dxfId="3659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6" count="0"/>
        </references>
      </pivotArea>
    </format>
    <format dxfId="3658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6" count="0"/>
        </references>
      </pivotArea>
    </format>
    <format dxfId="3657">
      <pivotArea dataOnly="0" labelOnly="1" outline="0" fieldPosition="0">
        <references count="3">
          <reference field="1" count="1" selected="0">
            <x v="12"/>
          </reference>
          <reference field="2" count="1" selected="0">
            <x v="25"/>
          </reference>
          <reference field="6" count="0"/>
        </references>
      </pivotArea>
    </format>
    <format dxfId="3656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6" count="0"/>
        </references>
      </pivotArea>
    </format>
    <format dxfId="3655">
      <pivotArea dataOnly="0" labelOnly="1" outline="0" fieldPosition="0">
        <references count="3">
          <reference field="1" count="1" selected="0">
            <x v="16"/>
          </reference>
          <reference field="2" count="1" selected="0">
            <x v="1"/>
          </reference>
          <reference field="6" count="0"/>
        </references>
      </pivotArea>
    </format>
    <format dxfId="3654">
      <pivotArea dataOnly="0" labelOnly="1" outline="0" fieldPosition="0">
        <references count="3">
          <reference field="1" count="1" selected="0">
            <x v="17"/>
          </reference>
          <reference field="2" count="1" selected="0">
            <x v="26"/>
          </reference>
          <reference field="6" count="0"/>
        </references>
      </pivotArea>
    </format>
    <format dxfId="3653">
      <pivotArea dataOnly="0" labelOnly="1" outline="0" fieldPosition="0">
        <references count="3">
          <reference field="1" count="1" selected="0">
            <x v="19"/>
          </reference>
          <reference field="2" count="1" selected="0">
            <x v="27"/>
          </reference>
          <reference field="6" count="0"/>
        </references>
      </pivotArea>
    </format>
    <format dxfId="3652">
      <pivotArea dataOnly="0" labelOnly="1" outline="0" fieldPosition="0">
        <references count="3">
          <reference field="1" count="1" selected="0">
            <x v="20"/>
          </reference>
          <reference field="2" count="1" selected="0">
            <x v="18"/>
          </reference>
          <reference field="6" count="0"/>
        </references>
      </pivotArea>
    </format>
    <format dxfId="3651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6" count="0"/>
        </references>
      </pivotArea>
    </format>
    <format dxfId="3650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6" count="0"/>
        </references>
      </pivotArea>
    </format>
    <format dxfId="3649">
      <pivotArea dataOnly="0" labelOnly="1" outline="0" fieldPosition="0">
        <references count="3">
          <reference field="1" count="1" selected="0">
            <x v="24"/>
          </reference>
          <reference field="2" count="1" selected="0">
            <x v="28"/>
          </reference>
          <reference field="6" count="0"/>
        </references>
      </pivotArea>
    </format>
    <format dxfId="3648">
      <pivotArea dataOnly="0" labelOnly="1" outline="0" fieldPosition="0">
        <references count="3">
          <reference field="1" count="1" selected="0">
            <x v="25"/>
          </reference>
          <reference field="2" count="1" selected="0">
            <x v="29"/>
          </reference>
          <reference field="6" count="0"/>
        </references>
      </pivotArea>
    </format>
    <format dxfId="3647">
      <pivotArea dataOnly="0" labelOnly="1" outline="0" fieldPosition="0">
        <references count="3">
          <reference field="1" count="1" selected="0">
            <x v="26"/>
          </reference>
          <reference field="2" count="1" selected="0">
            <x v="17"/>
          </reference>
          <reference field="6" count="0"/>
        </references>
      </pivotArea>
    </format>
    <format dxfId="3646">
      <pivotArea dataOnly="0" labelOnly="1" outline="0" fieldPosition="0">
        <references count="3">
          <reference field="1" count="1" selected="0">
            <x v="27"/>
          </reference>
          <reference field="2" count="1" selected="0">
            <x v="30"/>
          </reference>
          <reference field="6" count="0"/>
        </references>
      </pivotArea>
    </format>
    <format dxfId="3645">
      <pivotArea dataOnly="0" labelOnly="1" outline="0" fieldPosition="0">
        <references count="3">
          <reference field="1" count="1" selected="0">
            <x v="33"/>
          </reference>
          <reference field="2" count="1" selected="0">
            <x v="8"/>
          </reference>
          <reference field="6" count="0"/>
        </references>
      </pivotArea>
    </format>
    <format dxfId="3644">
      <pivotArea dataOnly="0" labelOnly="1" outline="0" fieldPosition="0">
        <references count="3">
          <reference field="1" count="1" selected="0">
            <x v="34"/>
          </reference>
          <reference field="2" count="1" selected="0">
            <x v="9"/>
          </reference>
          <reference field="6" count="0"/>
        </references>
      </pivotArea>
    </format>
    <format dxfId="3643">
      <pivotArea dataOnly="0" labelOnly="1" outline="0" fieldPosition="0">
        <references count="3">
          <reference field="1" count="1" selected="0">
            <x v="36"/>
          </reference>
          <reference field="2" count="1" selected="0">
            <x v="10"/>
          </reference>
          <reference field="6" count="0"/>
        </references>
      </pivotArea>
    </format>
    <format dxfId="3642">
      <pivotArea dataOnly="0" labelOnly="1" outline="0" fieldPosition="0">
        <references count="3">
          <reference field="1" count="1" selected="0">
            <x v="37"/>
          </reference>
          <reference field="2" count="1" selected="0">
            <x v="19"/>
          </reference>
          <reference field="6" count="0"/>
        </references>
      </pivotArea>
    </format>
    <format dxfId="3641">
      <pivotArea dataOnly="0" labelOnly="1" outline="0" fieldPosition="0">
        <references count="3">
          <reference field="1" count="1" selected="0">
            <x v="38"/>
          </reference>
          <reference field="2" count="1" selected="0">
            <x v="31"/>
          </reference>
          <reference field="6" count="0"/>
        </references>
      </pivotArea>
    </format>
    <format dxfId="3640">
      <pivotArea dataOnly="0" labelOnly="1" outline="0" fieldPosition="0">
        <references count="3">
          <reference field="1" count="1" selected="0">
            <x v="39"/>
          </reference>
          <reference field="2" count="1" selected="0">
            <x v="35"/>
          </reference>
          <reference field="6" count="0"/>
        </references>
      </pivotArea>
    </format>
    <format dxfId="3639">
      <pivotArea dataOnly="0" labelOnly="1" outline="0" fieldPosition="0">
        <references count="3">
          <reference field="1" count="1" selected="0">
            <x v="40"/>
          </reference>
          <reference field="2" count="1" selected="0">
            <x v="33"/>
          </reference>
          <reference field="6" count="0"/>
        </references>
      </pivotArea>
    </format>
    <format dxfId="3638">
      <pivotArea dataOnly="0" labelOnly="1" outline="0" fieldPosition="0">
        <references count="3">
          <reference field="1" count="1" selected="0">
            <x v="41"/>
          </reference>
          <reference field="2" count="1" selected="0">
            <x v="36"/>
          </reference>
          <reference field="6" count="0"/>
        </references>
      </pivotArea>
    </format>
    <format dxfId="3637">
      <pivotArea dataOnly="0" labelOnly="1" outline="0" fieldPosition="0">
        <references count="3">
          <reference field="1" count="1" selected="0">
            <x v="42"/>
          </reference>
          <reference field="2" count="1" selected="0">
            <x v="37"/>
          </reference>
          <reference field="6" count="0"/>
        </references>
      </pivotArea>
    </format>
    <format dxfId="3636">
      <pivotArea dataOnly="0" labelOnly="1" outline="0" fieldPosition="0">
        <references count="3">
          <reference field="1" count="1" selected="0">
            <x v="43"/>
          </reference>
          <reference field="2" count="1" selected="0">
            <x v="34"/>
          </reference>
          <reference field="6" count="0"/>
        </references>
      </pivotArea>
    </format>
    <format dxfId="3635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6" count="0"/>
        </references>
      </pivotArea>
    </format>
    <format dxfId="3634">
      <pivotArea dataOnly="0" labelOnly="1" outline="0" fieldPosition="0">
        <references count="3">
          <reference field="1" count="1" selected="0">
            <x v="48"/>
          </reference>
          <reference field="2" count="1" selected="0">
            <x v="32"/>
          </reference>
          <reference field="6" count="0"/>
        </references>
      </pivotArea>
    </format>
    <format dxfId="3633">
      <pivotArea field="6" type="button" dataOnly="0" labelOnly="1" outline="0" axis="axisRow" fieldPosition="5"/>
    </format>
    <format dxfId="3632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2"/>
          </reference>
          <reference field="6" count="3">
            <x v="1"/>
            <x v="2"/>
            <x v="3"/>
          </reference>
        </references>
      </pivotArea>
    </format>
    <format dxfId="3631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13"/>
          </reference>
          <reference field="6" count="3">
            <x v="1"/>
            <x v="2"/>
            <x v="3"/>
          </reference>
        </references>
      </pivotArea>
    </format>
    <format dxfId="3630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3"/>
          </reference>
          <reference field="6" count="3">
            <x v="1"/>
            <x v="2"/>
            <x v="3"/>
          </reference>
        </references>
      </pivotArea>
    </format>
    <format dxfId="3629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12"/>
          </reference>
          <reference field="6" count="3">
            <x v="1"/>
            <x v="2"/>
            <x v="3"/>
          </reference>
        </references>
      </pivotArea>
    </format>
    <format dxfId="3628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6"/>
          </reference>
          <reference field="6" count="3">
            <x v="1"/>
            <x v="2"/>
            <x v="3"/>
          </reference>
        </references>
      </pivotArea>
    </format>
    <format dxfId="3627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"/>
          </reference>
          <reference field="6" count="3">
            <x v="1"/>
            <x v="2"/>
            <x v="3"/>
          </reference>
        </references>
      </pivotArea>
    </format>
    <format dxfId="3626">
      <pivotArea dataOnly="0" labelOnly="1" outline="0" fieldPosition="0">
        <references count="3">
          <reference field="1" count="1" selected="0">
            <x v="7"/>
          </reference>
          <reference field="2" count="1" selected="0">
            <x v="16"/>
          </reference>
          <reference field="6" count="3">
            <x v="1"/>
            <x v="2"/>
            <x v="3"/>
          </reference>
        </references>
      </pivotArea>
    </format>
    <format dxfId="3625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4"/>
          </reference>
          <reference field="6" count="3">
            <x v="1"/>
            <x v="2"/>
            <x v="3"/>
          </reference>
        </references>
      </pivotArea>
    </format>
    <format dxfId="3624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24"/>
          </reference>
          <reference field="6" count="3">
            <x v="1"/>
            <x v="2"/>
            <x v="3"/>
          </reference>
        </references>
      </pivotArea>
    </format>
    <format dxfId="3623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6" count="3">
            <x v="1"/>
            <x v="2"/>
            <x v="3"/>
          </reference>
        </references>
      </pivotArea>
    </format>
    <format dxfId="3622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6" count="3">
            <x v="1"/>
            <x v="2"/>
            <x v="3"/>
          </reference>
        </references>
      </pivotArea>
    </format>
    <format dxfId="3621">
      <pivotArea dataOnly="0" labelOnly="1" outline="0" fieldPosition="0">
        <references count="3">
          <reference field="1" count="1" selected="0">
            <x v="12"/>
          </reference>
          <reference field="2" count="1" selected="0">
            <x v="25"/>
          </reference>
          <reference field="6" count="3">
            <x v="1"/>
            <x v="2"/>
            <x v="3"/>
          </reference>
        </references>
      </pivotArea>
    </format>
    <format dxfId="3620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6" count="3">
            <x v="1"/>
            <x v="2"/>
            <x v="3"/>
          </reference>
        </references>
      </pivotArea>
    </format>
    <format dxfId="3619">
      <pivotArea dataOnly="0" labelOnly="1" outline="0" fieldPosition="0">
        <references count="3">
          <reference field="1" count="1" selected="0">
            <x v="16"/>
          </reference>
          <reference field="2" count="1" selected="0">
            <x v="1"/>
          </reference>
          <reference field="6" count="3">
            <x v="1"/>
            <x v="2"/>
            <x v="3"/>
          </reference>
        </references>
      </pivotArea>
    </format>
    <format dxfId="3618">
      <pivotArea dataOnly="0" labelOnly="1" outline="0" fieldPosition="0">
        <references count="3">
          <reference field="1" count="1" selected="0">
            <x v="17"/>
          </reference>
          <reference field="2" count="1" selected="0">
            <x v="26"/>
          </reference>
          <reference field="6" count="3">
            <x v="1"/>
            <x v="2"/>
            <x v="3"/>
          </reference>
        </references>
      </pivotArea>
    </format>
    <format dxfId="3617">
      <pivotArea dataOnly="0" labelOnly="1" outline="0" fieldPosition="0">
        <references count="3">
          <reference field="1" count="1" selected="0">
            <x v="19"/>
          </reference>
          <reference field="2" count="1" selected="0">
            <x v="27"/>
          </reference>
          <reference field="6" count="3">
            <x v="1"/>
            <x v="2"/>
            <x v="3"/>
          </reference>
        </references>
      </pivotArea>
    </format>
    <format dxfId="3616">
      <pivotArea dataOnly="0" labelOnly="1" outline="0" fieldPosition="0">
        <references count="3">
          <reference field="1" count="1" selected="0">
            <x v="20"/>
          </reference>
          <reference field="2" count="1" selected="0">
            <x v="18"/>
          </reference>
          <reference field="6" count="3">
            <x v="1"/>
            <x v="2"/>
            <x v="3"/>
          </reference>
        </references>
      </pivotArea>
    </format>
    <format dxfId="3615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6" count="3">
            <x v="1"/>
            <x v="2"/>
            <x v="3"/>
          </reference>
        </references>
      </pivotArea>
    </format>
    <format dxfId="3614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6" count="3">
            <x v="1"/>
            <x v="2"/>
            <x v="3"/>
          </reference>
        </references>
      </pivotArea>
    </format>
    <format dxfId="3613">
      <pivotArea dataOnly="0" labelOnly="1" outline="0" fieldPosition="0">
        <references count="3">
          <reference field="1" count="1" selected="0">
            <x v="24"/>
          </reference>
          <reference field="2" count="1" selected="0">
            <x v="28"/>
          </reference>
          <reference field="6" count="3">
            <x v="1"/>
            <x v="2"/>
            <x v="3"/>
          </reference>
        </references>
      </pivotArea>
    </format>
    <format dxfId="3612">
      <pivotArea dataOnly="0" labelOnly="1" outline="0" fieldPosition="0">
        <references count="3">
          <reference field="1" count="1" selected="0">
            <x v="25"/>
          </reference>
          <reference field="2" count="1" selected="0">
            <x v="29"/>
          </reference>
          <reference field="6" count="3">
            <x v="1"/>
            <x v="2"/>
            <x v="3"/>
          </reference>
        </references>
      </pivotArea>
    </format>
    <format dxfId="3611">
      <pivotArea dataOnly="0" labelOnly="1" outline="0" fieldPosition="0">
        <references count="3">
          <reference field="1" count="1" selected="0">
            <x v="26"/>
          </reference>
          <reference field="2" count="1" selected="0">
            <x v="17"/>
          </reference>
          <reference field="6" count="3">
            <x v="1"/>
            <x v="2"/>
            <x v="3"/>
          </reference>
        </references>
      </pivotArea>
    </format>
    <format dxfId="3610">
      <pivotArea dataOnly="0" labelOnly="1" outline="0" fieldPosition="0">
        <references count="3">
          <reference field="1" count="1" selected="0">
            <x v="27"/>
          </reference>
          <reference field="2" count="1" selected="0">
            <x v="30"/>
          </reference>
          <reference field="6" count="3">
            <x v="1"/>
            <x v="2"/>
            <x v="3"/>
          </reference>
        </references>
      </pivotArea>
    </format>
    <format dxfId="3609">
      <pivotArea dataOnly="0" labelOnly="1" outline="0" fieldPosition="0">
        <references count="3">
          <reference field="1" count="1" selected="0">
            <x v="33"/>
          </reference>
          <reference field="2" count="1" selected="0">
            <x v="8"/>
          </reference>
          <reference field="6" count="3">
            <x v="1"/>
            <x v="2"/>
            <x v="3"/>
          </reference>
        </references>
      </pivotArea>
    </format>
    <format dxfId="3608">
      <pivotArea dataOnly="0" labelOnly="1" outline="0" fieldPosition="0">
        <references count="3">
          <reference field="1" count="1" selected="0">
            <x v="34"/>
          </reference>
          <reference field="2" count="1" selected="0">
            <x v="9"/>
          </reference>
          <reference field="6" count="3">
            <x v="1"/>
            <x v="2"/>
            <x v="3"/>
          </reference>
        </references>
      </pivotArea>
    </format>
    <format dxfId="3607">
      <pivotArea dataOnly="0" labelOnly="1" outline="0" fieldPosition="0">
        <references count="3">
          <reference field="1" count="1" selected="0">
            <x v="36"/>
          </reference>
          <reference field="2" count="1" selected="0">
            <x v="10"/>
          </reference>
          <reference field="6" count="3">
            <x v="1"/>
            <x v="2"/>
            <x v="3"/>
          </reference>
        </references>
      </pivotArea>
    </format>
    <format dxfId="3606">
      <pivotArea dataOnly="0" labelOnly="1" outline="0" fieldPosition="0">
        <references count="3">
          <reference field="1" count="1" selected="0">
            <x v="37"/>
          </reference>
          <reference field="2" count="1" selected="0">
            <x v="19"/>
          </reference>
          <reference field="6" count="3">
            <x v="1"/>
            <x v="2"/>
            <x v="3"/>
          </reference>
        </references>
      </pivotArea>
    </format>
    <format dxfId="3605">
      <pivotArea dataOnly="0" labelOnly="1" outline="0" fieldPosition="0">
        <references count="3">
          <reference field="1" count="1" selected="0">
            <x v="38"/>
          </reference>
          <reference field="2" count="1" selected="0">
            <x v="31"/>
          </reference>
          <reference field="6" count="3">
            <x v="1"/>
            <x v="2"/>
            <x v="3"/>
          </reference>
        </references>
      </pivotArea>
    </format>
    <format dxfId="3604">
      <pivotArea dataOnly="0" labelOnly="1" outline="0" fieldPosition="0">
        <references count="3">
          <reference field="1" count="1" selected="0">
            <x v="49"/>
          </reference>
          <reference field="2" count="1" selected="0">
            <x v="20"/>
          </reference>
          <reference field="6" count="0"/>
        </references>
      </pivotArea>
    </format>
    <format dxfId="3603">
      <pivotArea dataOnly="0" labelOnly="1" outline="0" fieldPosition="0">
        <references count="3">
          <reference field="1" count="1" selected="0">
            <x v="50"/>
          </reference>
          <reference field="2" count="1" selected="0">
            <x v="21"/>
          </reference>
          <reference field="6" count="0"/>
        </references>
      </pivotArea>
    </format>
    <format dxfId="3602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6" count="3">
            <x v="1"/>
            <x v="2"/>
            <x v="3"/>
          </reference>
        </references>
      </pivotArea>
    </format>
    <format dxfId="3601">
      <pivotArea dataOnly="0" labelOnly="1" outline="0" fieldPosition="0">
        <references count="3">
          <reference field="1" count="1" selected="0">
            <x v="48"/>
          </reference>
          <reference field="2" count="1" selected="0">
            <x v="32"/>
          </reference>
          <reference field="6" count="3">
            <x v="1"/>
            <x v="2"/>
            <x v="3"/>
          </reference>
        </references>
      </pivotArea>
    </format>
    <format dxfId="3600">
      <pivotArea dataOnly="0" labelOnly="1" outline="0" fieldPosition="0">
        <references count="3">
          <reference field="1" count="1" selected="0">
            <x v="49"/>
          </reference>
          <reference field="2" count="1" selected="0">
            <x v="20"/>
          </reference>
          <reference field="6" count="3">
            <x v="1"/>
            <x v="2"/>
            <x v="3"/>
          </reference>
        </references>
      </pivotArea>
    </format>
    <format dxfId="3599">
      <pivotArea dataOnly="0" labelOnly="1" outline="0" fieldPosition="0">
        <references count="3">
          <reference field="1" count="1" selected="0">
            <x v="50"/>
          </reference>
          <reference field="2" count="1" selected="0">
            <x v="21"/>
          </reference>
          <reference field="6" count="3">
            <x v="1"/>
            <x v="2"/>
            <x v="3"/>
          </reference>
        </references>
      </pivotArea>
    </format>
    <format dxfId="3598">
      <pivotArea dataOnly="0" labelOnly="1" outline="0" fieldPosition="0">
        <references count="3">
          <reference field="1" count="1" selected="0">
            <x v="52"/>
          </reference>
          <reference field="2" count="1" selected="0">
            <x v="11"/>
          </reference>
          <reference field="6" count="3">
            <x v="1"/>
            <x v="2"/>
            <x v="3"/>
          </reference>
        </references>
      </pivotArea>
    </format>
    <format dxfId="3597">
      <pivotArea dataOnly="0" labelOnly="1" outline="0" fieldPosition="0">
        <references count="3">
          <reference field="1" count="1" selected="0">
            <x v="52"/>
          </reference>
          <reference field="2" count="1" selected="0">
            <x v="11"/>
          </reference>
          <reference field="6" count="0"/>
        </references>
      </pivotArea>
    </format>
    <format dxfId="3596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2"/>
          </reference>
          <reference field="6" count="0"/>
        </references>
      </pivotArea>
    </format>
    <format dxfId="3595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13"/>
          </reference>
          <reference field="6" count="0"/>
        </references>
      </pivotArea>
    </format>
    <format dxfId="3594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3"/>
          </reference>
          <reference field="6" count="0"/>
        </references>
      </pivotArea>
    </format>
    <format dxfId="3593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12"/>
          </reference>
          <reference field="6" count="0"/>
        </references>
      </pivotArea>
    </format>
    <format dxfId="3592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6"/>
          </reference>
          <reference field="6" count="0"/>
        </references>
      </pivotArea>
    </format>
    <format dxfId="3591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"/>
          </reference>
          <reference field="6" count="0"/>
        </references>
      </pivotArea>
    </format>
    <format dxfId="3590">
      <pivotArea dataOnly="0" labelOnly="1" outline="0" fieldPosition="0">
        <references count="3">
          <reference field="1" count="1" selected="0">
            <x v="7"/>
          </reference>
          <reference field="2" count="1" selected="0">
            <x v="16"/>
          </reference>
          <reference field="6" count="0"/>
        </references>
      </pivotArea>
    </format>
    <format dxfId="3589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4"/>
          </reference>
          <reference field="6" count="0"/>
        </references>
      </pivotArea>
    </format>
    <format dxfId="3588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24"/>
          </reference>
          <reference field="6" count="0"/>
        </references>
      </pivotArea>
    </format>
    <format dxfId="3587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6" count="0"/>
        </references>
      </pivotArea>
    </format>
    <format dxfId="3586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6" count="0"/>
        </references>
      </pivotArea>
    </format>
    <format dxfId="3585">
      <pivotArea dataOnly="0" labelOnly="1" outline="0" fieldPosition="0">
        <references count="3">
          <reference field="1" count="1" selected="0">
            <x v="12"/>
          </reference>
          <reference field="2" count="1" selected="0">
            <x v="25"/>
          </reference>
          <reference field="6" count="0"/>
        </references>
      </pivotArea>
    </format>
    <format dxfId="3584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6" count="0"/>
        </references>
      </pivotArea>
    </format>
    <format dxfId="3583">
      <pivotArea dataOnly="0" labelOnly="1" outline="0" fieldPosition="0">
        <references count="3">
          <reference field="1" count="1" selected="0">
            <x v="16"/>
          </reference>
          <reference field="2" count="1" selected="0">
            <x v="1"/>
          </reference>
          <reference field="6" count="0"/>
        </references>
      </pivotArea>
    </format>
    <format dxfId="3582">
      <pivotArea dataOnly="0" labelOnly="1" outline="0" fieldPosition="0">
        <references count="3">
          <reference field="1" count="1" selected="0">
            <x v="17"/>
          </reference>
          <reference field="2" count="1" selected="0">
            <x v="26"/>
          </reference>
          <reference field="6" count="0"/>
        </references>
      </pivotArea>
    </format>
    <format dxfId="3581">
      <pivotArea dataOnly="0" labelOnly="1" outline="0" fieldPosition="0">
        <references count="3">
          <reference field="1" count="1" selected="0">
            <x v="19"/>
          </reference>
          <reference field="2" count="1" selected="0">
            <x v="27"/>
          </reference>
          <reference field="6" count="0"/>
        </references>
      </pivotArea>
    </format>
    <format dxfId="3580">
      <pivotArea dataOnly="0" labelOnly="1" outline="0" fieldPosition="0">
        <references count="3">
          <reference field="1" count="1" selected="0">
            <x v="20"/>
          </reference>
          <reference field="2" count="1" selected="0">
            <x v="18"/>
          </reference>
          <reference field="6" count="0"/>
        </references>
      </pivotArea>
    </format>
    <format dxfId="3579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6" count="0"/>
        </references>
      </pivotArea>
    </format>
    <format dxfId="3578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6" count="0"/>
        </references>
      </pivotArea>
    </format>
    <format dxfId="3577">
      <pivotArea dataOnly="0" labelOnly="1" outline="0" fieldPosition="0">
        <references count="3">
          <reference field="1" count="1" selected="0">
            <x v="24"/>
          </reference>
          <reference field="2" count="1" selected="0">
            <x v="28"/>
          </reference>
          <reference field="6" count="0"/>
        </references>
      </pivotArea>
    </format>
    <format dxfId="3576">
      <pivotArea dataOnly="0" labelOnly="1" outline="0" fieldPosition="0">
        <references count="3">
          <reference field="1" count="1" selected="0">
            <x v="25"/>
          </reference>
          <reference field="2" count="1" selected="0">
            <x v="29"/>
          </reference>
          <reference field="6" count="0"/>
        </references>
      </pivotArea>
    </format>
    <format dxfId="3575">
      <pivotArea dataOnly="0" labelOnly="1" outline="0" fieldPosition="0">
        <references count="3">
          <reference field="1" count="1" selected="0">
            <x v="26"/>
          </reference>
          <reference field="2" count="1" selected="0">
            <x v="17"/>
          </reference>
          <reference field="6" count="0"/>
        </references>
      </pivotArea>
    </format>
    <format dxfId="3574">
      <pivotArea dataOnly="0" labelOnly="1" outline="0" fieldPosition="0">
        <references count="3">
          <reference field="1" count="1" selected="0">
            <x v="27"/>
          </reference>
          <reference field="2" count="1" selected="0">
            <x v="30"/>
          </reference>
          <reference field="6" count="0"/>
        </references>
      </pivotArea>
    </format>
    <format dxfId="3573">
      <pivotArea dataOnly="0" labelOnly="1" outline="0" fieldPosition="0">
        <references count="3">
          <reference field="1" count="1" selected="0">
            <x v="33"/>
          </reference>
          <reference field="2" count="1" selected="0">
            <x v="8"/>
          </reference>
          <reference field="6" count="0"/>
        </references>
      </pivotArea>
    </format>
    <format dxfId="3572">
      <pivotArea dataOnly="0" labelOnly="1" outline="0" fieldPosition="0">
        <references count="3">
          <reference field="1" count="1" selected="0">
            <x v="34"/>
          </reference>
          <reference field="2" count="1" selected="0">
            <x v="9"/>
          </reference>
          <reference field="6" count="0"/>
        </references>
      </pivotArea>
    </format>
    <format dxfId="3571">
      <pivotArea dataOnly="0" labelOnly="1" outline="0" fieldPosition="0">
        <references count="3">
          <reference field="1" count="1" selected="0">
            <x v="36"/>
          </reference>
          <reference field="2" count="1" selected="0">
            <x v="10"/>
          </reference>
          <reference field="6" count="0"/>
        </references>
      </pivotArea>
    </format>
    <format dxfId="3570">
      <pivotArea dataOnly="0" labelOnly="1" outline="0" fieldPosition="0">
        <references count="3">
          <reference field="1" count="1" selected="0">
            <x v="37"/>
          </reference>
          <reference field="2" count="1" selected="0">
            <x v="19"/>
          </reference>
          <reference field="6" count="0"/>
        </references>
      </pivotArea>
    </format>
    <format dxfId="3569">
      <pivotArea dataOnly="0" labelOnly="1" outline="0" fieldPosition="0">
        <references count="3">
          <reference field="1" count="1" selected="0">
            <x v="38"/>
          </reference>
          <reference field="2" count="1" selected="0">
            <x v="31"/>
          </reference>
          <reference field="6" count="0"/>
        </references>
      </pivotArea>
    </format>
    <format dxfId="3568">
      <pivotArea dataOnly="0" labelOnly="1" outline="0" fieldPosition="0">
        <references count="3">
          <reference field="1" count="1" selected="0">
            <x v="39"/>
          </reference>
          <reference field="2" count="1" selected="0">
            <x v="35"/>
          </reference>
          <reference field="6" count="0"/>
        </references>
      </pivotArea>
    </format>
    <format dxfId="3567">
      <pivotArea dataOnly="0" labelOnly="1" outline="0" fieldPosition="0">
        <references count="3">
          <reference field="1" count="1" selected="0">
            <x v="40"/>
          </reference>
          <reference field="2" count="1" selected="0">
            <x v="33"/>
          </reference>
          <reference field="6" count="0"/>
        </references>
      </pivotArea>
    </format>
    <format dxfId="3566">
      <pivotArea dataOnly="0" labelOnly="1" outline="0" fieldPosition="0">
        <references count="3">
          <reference field="1" count="1" selected="0">
            <x v="41"/>
          </reference>
          <reference field="2" count="1" selected="0">
            <x v="36"/>
          </reference>
          <reference field="6" count="0"/>
        </references>
      </pivotArea>
    </format>
    <format dxfId="3565">
      <pivotArea dataOnly="0" labelOnly="1" outline="0" fieldPosition="0">
        <references count="3">
          <reference field="1" count="1" selected="0">
            <x v="42"/>
          </reference>
          <reference field="2" count="1" selected="0">
            <x v="37"/>
          </reference>
          <reference field="6" count="0"/>
        </references>
      </pivotArea>
    </format>
    <format dxfId="3564">
      <pivotArea dataOnly="0" labelOnly="1" outline="0" fieldPosition="0">
        <references count="3">
          <reference field="1" count="1" selected="0">
            <x v="43"/>
          </reference>
          <reference field="2" count="1" selected="0">
            <x v="34"/>
          </reference>
          <reference field="6" count="0"/>
        </references>
      </pivotArea>
    </format>
    <format dxfId="3563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6" count="0"/>
        </references>
      </pivotArea>
    </format>
    <format dxfId="3562">
      <pivotArea dataOnly="0" labelOnly="1" outline="0" fieldPosition="0">
        <references count="3">
          <reference field="1" count="1" selected="0">
            <x v="48"/>
          </reference>
          <reference field="2" count="1" selected="0">
            <x v="32"/>
          </reference>
          <reference field="6" count="0"/>
        </references>
      </pivotArea>
    </format>
    <format dxfId="3561">
      <pivotArea dataOnly="0" labelOnly="1" outline="0" fieldPosition="0">
        <references count="3">
          <reference field="1" count="1" selected="0">
            <x v="49"/>
          </reference>
          <reference field="2" count="1" selected="0">
            <x v="20"/>
          </reference>
          <reference field="6" count="0"/>
        </references>
      </pivotArea>
    </format>
    <format dxfId="3560">
      <pivotArea dataOnly="0" labelOnly="1" outline="0" fieldPosition="0">
        <references count="3">
          <reference field="1" count="1" selected="0">
            <x v="50"/>
          </reference>
          <reference field="2" count="1" selected="0">
            <x v="21"/>
          </reference>
          <reference field="6" count="0"/>
        </references>
      </pivotArea>
    </format>
    <format dxfId="3559">
      <pivotArea dataOnly="0" labelOnly="1" outline="0" fieldPosition="0">
        <references count="3">
          <reference field="1" count="1" selected="0">
            <x v="52"/>
          </reference>
          <reference field="2" count="1" selected="0">
            <x v="11"/>
          </reference>
          <reference field="6" count="0"/>
        </references>
      </pivotArea>
    </format>
    <format dxfId="3558">
      <pivotArea field="6" type="button" dataOnly="0" labelOnly="1" outline="0" axis="axisRow" fieldPosition="5"/>
    </format>
    <format dxfId="3557">
      <pivotArea field="6" type="button" dataOnly="0" labelOnly="1" outline="0" axis="axisRow" fieldPosition="5"/>
    </format>
    <format dxfId="3556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2"/>
          </reference>
          <reference field="6" count="0"/>
        </references>
      </pivotArea>
    </format>
    <format dxfId="3555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13"/>
          </reference>
          <reference field="6" count="0"/>
        </references>
      </pivotArea>
    </format>
    <format dxfId="3554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3"/>
          </reference>
          <reference field="6" count="0"/>
        </references>
      </pivotArea>
    </format>
    <format dxfId="3553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12"/>
          </reference>
          <reference field="6" count="0"/>
        </references>
      </pivotArea>
    </format>
    <format dxfId="3552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6"/>
          </reference>
          <reference field="6" count="0"/>
        </references>
      </pivotArea>
    </format>
    <format dxfId="3551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2"/>
          </reference>
          <reference field="6" count="0"/>
        </references>
      </pivotArea>
    </format>
    <format dxfId="3550">
      <pivotArea dataOnly="0" labelOnly="1" outline="0" fieldPosition="0">
        <references count="3">
          <reference field="1" count="1" selected="0">
            <x v="7"/>
          </reference>
          <reference field="2" count="1" selected="0">
            <x v="16"/>
          </reference>
          <reference field="6" count="0"/>
        </references>
      </pivotArea>
    </format>
    <format dxfId="3549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4"/>
          </reference>
          <reference field="6" count="0"/>
        </references>
      </pivotArea>
    </format>
    <format dxfId="3548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24"/>
          </reference>
          <reference field="6" count="0"/>
        </references>
      </pivotArea>
    </format>
    <format dxfId="3547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6" count="0"/>
        </references>
      </pivotArea>
    </format>
    <format dxfId="3546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6" count="0"/>
        </references>
      </pivotArea>
    </format>
    <format dxfId="3545">
      <pivotArea dataOnly="0" labelOnly="1" outline="0" fieldPosition="0">
        <references count="3">
          <reference field="1" count="1" selected="0">
            <x v="12"/>
          </reference>
          <reference field="2" count="1" selected="0">
            <x v="25"/>
          </reference>
          <reference field="6" count="0"/>
        </references>
      </pivotArea>
    </format>
    <format dxfId="3544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6" count="0"/>
        </references>
      </pivotArea>
    </format>
    <format dxfId="3543">
      <pivotArea dataOnly="0" labelOnly="1" outline="0" fieldPosition="0">
        <references count="3">
          <reference field="1" count="1" selected="0">
            <x v="16"/>
          </reference>
          <reference field="2" count="1" selected="0">
            <x v="1"/>
          </reference>
          <reference field="6" count="0"/>
        </references>
      </pivotArea>
    </format>
    <format dxfId="3542">
      <pivotArea dataOnly="0" labelOnly="1" outline="0" fieldPosition="0">
        <references count="3">
          <reference field="1" count="1" selected="0">
            <x v="17"/>
          </reference>
          <reference field="2" count="1" selected="0">
            <x v="26"/>
          </reference>
          <reference field="6" count="0"/>
        </references>
      </pivotArea>
    </format>
    <format dxfId="3541">
      <pivotArea dataOnly="0" labelOnly="1" outline="0" fieldPosition="0">
        <references count="3">
          <reference field="1" count="1" selected="0">
            <x v="19"/>
          </reference>
          <reference field="2" count="1" selected="0">
            <x v="27"/>
          </reference>
          <reference field="6" count="0"/>
        </references>
      </pivotArea>
    </format>
    <format dxfId="3540">
      <pivotArea dataOnly="0" labelOnly="1" outline="0" fieldPosition="0">
        <references count="3">
          <reference field="1" count="1" selected="0">
            <x v="20"/>
          </reference>
          <reference field="2" count="1" selected="0">
            <x v="18"/>
          </reference>
          <reference field="6" count="0"/>
        </references>
      </pivotArea>
    </format>
    <format dxfId="3539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6" count="0"/>
        </references>
      </pivotArea>
    </format>
    <format dxfId="3538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6" count="0"/>
        </references>
      </pivotArea>
    </format>
    <format dxfId="3537">
      <pivotArea dataOnly="0" labelOnly="1" outline="0" fieldPosition="0">
        <references count="3">
          <reference field="1" count="1" selected="0">
            <x v="24"/>
          </reference>
          <reference field="2" count="1" selected="0">
            <x v="28"/>
          </reference>
          <reference field="6" count="0"/>
        </references>
      </pivotArea>
    </format>
    <format dxfId="3536">
      <pivotArea dataOnly="0" labelOnly="1" outline="0" fieldPosition="0">
        <references count="3">
          <reference field="1" count="1" selected="0">
            <x v="25"/>
          </reference>
          <reference field="2" count="1" selected="0">
            <x v="29"/>
          </reference>
          <reference field="6" count="0"/>
        </references>
      </pivotArea>
    </format>
    <format dxfId="3535">
      <pivotArea dataOnly="0" labelOnly="1" outline="0" fieldPosition="0">
        <references count="3">
          <reference field="1" count="1" selected="0">
            <x v="26"/>
          </reference>
          <reference field="2" count="1" selected="0">
            <x v="17"/>
          </reference>
          <reference field="6" count="0"/>
        </references>
      </pivotArea>
    </format>
    <format dxfId="3534">
      <pivotArea dataOnly="0" labelOnly="1" outline="0" fieldPosition="0">
        <references count="3">
          <reference field="1" count="1" selected="0">
            <x v="27"/>
          </reference>
          <reference field="2" count="1" selected="0">
            <x v="30"/>
          </reference>
          <reference field="6" count="0"/>
        </references>
      </pivotArea>
    </format>
    <format dxfId="3533">
      <pivotArea dataOnly="0" labelOnly="1" outline="0" fieldPosition="0">
        <references count="3">
          <reference field="1" count="1" selected="0">
            <x v="33"/>
          </reference>
          <reference field="2" count="1" selected="0">
            <x v="8"/>
          </reference>
          <reference field="6" count="0"/>
        </references>
      </pivotArea>
    </format>
    <format dxfId="3532">
      <pivotArea dataOnly="0" labelOnly="1" outline="0" fieldPosition="0">
        <references count="3">
          <reference field="1" count="1" selected="0">
            <x v="34"/>
          </reference>
          <reference field="2" count="1" selected="0">
            <x v="9"/>
          </reference>
          <reference field="6" count="0"/>
        </references>
      </pivotArea>
    </format>
    <format dxfId="3531">
      <pivotArea dataOnly="0" labelOnly="1" outline="0" fieldPosition="0">
        <references count="3">
          <reference field="1" count="1" selected="0">
            <x v="36"/>
          </reference>
          <reference field="2" count="1" selected="0">
            <x v="10"/>
          </reference>
          <reference field="6" count="0"/>
        </references>
      </pivotArea>
    </format>
    <format dxfId="3530">
      <pivotArea dataOnly="0" labelOnly="1" outline="0" fieldPosition="0">
        <references count="3">
          <reference field="1" count="1" selected="0">
            <x v="37"/>
          </reference>
          <reference field="2" count="1" selected="0">
            <x v="19"/>
          </reference>
          <reference field="6" count="0"/>
        </references>
      </pivotArea>
    </format>
    <format dxfId="3529">
      <pivotArea dataOnly="0" labelOnly="1" outline="0" fieldPosition="0">
        <references count="3">
          <reference field="1" count="1" selected="0">
            <x v="38"/>
          </reference>
          <reference field="2" count="1" selected="0">
            <x v="31"/>
          </reference>
          <reference field="6" count="0"/>
        </references>
      </pivotArea>
    </format>
    <format dxfId="3528">
      <pivotArea dataOnly="0" labelOnly="1" outline="0" fieldPosition="0">
        <references count="3">
          <reference field="1" count="1" selected="0">
            <x v="39"/>
          </reference>
          <reference field="2" count="1" selected="0">
            <x v="35"/>
          </reference>
          <reference field="6" count="0"/>
        </references>
      </pivotArea>
    </format>
    <format dxfId="3527">
      <pivotArea dataOnly="0" labelOnly="1" outline="0" fieldPosition="0">
        <references count="3">
          <reference field="1" count="1" selected="0">
            <x v="40"/>
          </reference>
          <reference field="2" count="1" selected="0">
            <x v="33"/>
          </reference>
          <reference field="6" count="0"/>
        </references>
      </pivotArea>
    </format>
    <format dxfId="3526">
      <pivotArea dataOnly="0" labelOnly="1" outline="0" fieldPosition="0">
        <references count="3">
          <reference field="1" count="1" selected="0">
            <x v="41"/>
          </reference>
          <reference field="2" count="1" selected="0">
            <x v="36"/>
          </reference>
          <reference field="6" count="0"/>
        </references>
      </pivotArea>
    </format>
    <format dxfId="3525">
      <pivotArea dataOnly="0" labelOnly="1" outline="0" fieldPosition="0">
        <references count="3">
          <reference field="1" count="1" selected="0">
            <x v="42"/>
          </reference>
          <reference field="2" count="1" selected="0">
            <x v="37"/>
          </reference>
          <reference field="6" count="0"/>
        </references>
      </pivotArea>
    </format>
    <format dxfId="3524">
      <pivotArea dataOnly="0" labelOnly="1" outline="0" fieldPosition="0">
        <references count="3">
          <reference field="1" count="1" selected="0">
            <x v="43"/>
          </reference>
          <reference field="2" count="1" selected="0">
            <x v="34"/>
          </reference>
          <reference field="6" count="0"/>
        </references>
      </pivotArea>
    </format>
    <format dxfId="3523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6" count="0"/>
        </references>
      </pivotArea>
    </format>
    <format dxfId="3522">
      <pivotArea dataOnly="0" labelOnly="1" outline="0" fieldPosition="0">
        <references count="3">
          <reference field="1" count="1" selected="0">
            <x v="48"/>
          </reference>
          <reference field="2" count="1" selected="0">
            <x v="32"/>
          </reference>
          <reference field="6" count="0"/>
        </references>
      </pivotArea>
    </format>
    <format dxfId="3521">
      <pivotArea dataOnly="0" labelOnly="1" outline="0" fieldPosition="0">
        <references count="3">
          <reference field="1" count="1" selected="0">
            <x v="49"/>
          </reference>
          <reference field="2" count="1" selected="0">
            <x v="20"/>
          </reference>
          <reference field="6" count="0"/>
        </references>
      </pivotArea>
    </format>
    <format dxfId="3520">
      <pivotArea dataOnly="0" labelOnly="1" outline="0" fieldPosition="0">
        <references count="3">
          <reference field="1" count="1" selected="0">
            <x v="50"/>
          </reference>
          <reference field="2" count="1" selected="0">
            <x v="21"/>
          </reference>
          <reference field="6" count="0"/>
        </references>
      </pivotArea>
    </format>
    <format dxfId="3519">
      <pivotArea dataOnly="0" labelOnly="1" outline="0" fieldPosition="0">
        <references count="3">
          <reference field="1" count="1" selected="0">
            <x v="52"/>
          </reference>
          <reference field="2" count="1" selected="0">
            <x v="11"/>
          </reference>
          <reference field="6" count="0"/>
        </references>
      </pivotArea>
    </format>
    <format dxfId="3518">
      <pivotArea field="6" type="button" dataOnly="0" labelOnly="1" outline="0" axis="axisRow" fieldPosition="5"/>
    </format>
    <format dxfId="35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16">
      <pivotArea field="9" type="button" dataOnly="0" labelOnly="1" outline="0"/>
    </format>
    <format dxfId="3515">
      <pivotArea field="9" type="button" dataOnly="0" labelOnly="1" outline="0"/>
    </format>
    <format dxfId="351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51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512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abcdef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497E34-40A9-4311-8BBB-530F8737A7F2}" name="Tabela przestawna2" cacheId="13" applyNumberFormats="0" applyBorderFormats="0" applyFontFormats="0" applyPatternFormats="0" applyAlignmentFormats="0" applyWidthHeightFormats="1" dataCaption="Wartości" updatedVersion="6" minRefreshableVersion="3" showDrill="0" rowGrandTotals="0" colGrandTotals="0" itemPrintTitles="1" createdVersion="6" indent="0" outline="1" outlineData="1" multipleFieldFilters="0" chartFormat="1" rowHeaderCaption="Rodzaj _x000a_zmian">
  <location ref="AC8:AI14" firstHeaderRow="0" firstDataRow="1" firstDataCol="2"/>
  <pivotFields count="26">
    <pivotField axis="axisRow" outline="0" subtotalTop="0" showAll="0" defaultSubtotal="0">
      <items count="4">
        <item h="1" x="0"/>
        <item x="3"/>
        <item x="2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name="P, czy U?" axis="axisRow" outline="0" showAll="0" defaultSubtotal="0">
      <items count="4">
        <item h="1"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showAll="0" defaultSubtotal="0"/>
    <pivotField showAll="0" defaultSubtotal="0"/>
    <pivotField subtotalTop="0" showAll="0" defaultSubtotal="0"/>
  </pivotFields>
  <rowFields count="2">
    <field x="0"/>
    <field x="6"/>
  </rowFields>
  <rowItems count="6">
    <i>
      <x v="1"/>
      <x v="1"/>
    </i>
    <i r="1">
      <x v="2"/>
    </i>
    <i r="1">
      <x v="3"/>
    </i>
    <i>
      <x v="2"/>
      <x v="1"/>
    </i>
    <i r="1">
      <x v="2"/>
    </i>
    <i r="1">
      <x v="3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Plany 2023" fld="12" baseField="6" baseItem="1"/>
    <dataField name="Plany 2024" fld="13" baseField="6" baseItem="1"/>
    <dataField name="Plany 2025" fld="14" baseField="6" baseItem="1"/>
    <dataField name="Plany 2026" fld="15" baseField="6" baseItem="1"/>
    <dataField name="Plany 2027" fld="16" baseField="6" baseItem="1"/>
  </dataFields>
  <formats count="18">
    <format dxfId="2801">
      <pivotArea type="all" dataOnly="0" outline="0" fieldPosition="0"/>
    </format>
    <format dxfId="2800">
      <pivotArea outline="0" collapsedLevelsAreSubtotals="1" fieldPosition="0"/>
    </format>
    <format dxfId="279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798">
      <pivotArea outline="0" collapsedLevelsAreSubtotals="1" fieldPosition="0"/>
    </format>
    <format dxfId="279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796">
      <pivotArea field="6" type="button" dataOnly="0" labelOnly="1" outline="0" axis="axisRow" fieldPosition="1"/>
    </format>
    <format dxfId="279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794">
      <pivotArea type="all" dataOnly="0" outline="0" fieldPosition="0"/>
    </format>
    <format dxfId="2793">
      <pivotArea outline="0" collapsedLevelsAreSubtotals="1" fieldPosition="0"/>
    </format>
    <format dxfId="2792">
      <pivotArea field="6" type="button" dataOnly="0" labelOnly="1" outline="0" axis="axisRow" fieldPosition="1"/>
    </format>
    <format dxfId="279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790">
      <pivotArea field="6" type="button" dataOnly="0" labelOnly="1" outline="0" axis="axisRow" fieldPosition="1"/>
    </format>
    <format dxfId="278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788">
      <pivotArea field="0" type="button" dataOnly="0" labelOnly="1" outline="0" axis="axisRow" fieldPosition="0"/>
    </format>
    <format dxfId="2787">
      <pivotArea field="0" type="button" dataOnly="0" labelOnly="1" outline="0" axis="axisRow" fieldPosition="0"/>
    </format>
    <format dxfId="2786">
      <pivotArea outline="0" collapsedLevelsAreSubtotals="1" fieldPosition="0">
        <references count="2">
          <reference field="0" count="1" selected="0">
            <x v="1"/>
          </reference>
          <reference field="6" count="1" selected="0">
            <x v="1"/>
          </reference>
        </references>
      </pivotArea>
    </format>
    <format dxfId="2785">
      <pivotArea outline="0" collapsedLevelsAreSubtotals="1" fieldPosition="0">
        <references count="2">
          <reference field="0" count="1" selected="0">
            <x v="2"/>
          </reference>
          <reference field="6" count="2" selected="0">
            <x v="2"/>
            <x v="3"/>
          </reference>
        </references>
      </pivotArea>
    </format>
    <format dxfId="2784">
      <pivotArea field="0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22D4E8-1B09-4787-A36E-1BD61468FAF9}" name="Tabela przestawna1" cacheId="13" dataPosition="0" applyNumberFormats="0" applyBorderFormats="0" applyFontFormats="0" applyPatternFormats="0" applyAlignmentFormats="0" applyWidthHeightFormats="1" dataCaption="Wybierz:" updatedVersion="6" minRefreshableVersion="3" showDrill="0" rowGrandTotals="0" colGrandTotals="0" itemPrintTitles="1" createdVersion="6" indent="0" compact="0" compactData="0" multipleFieldFilters="0" chartFormat="1">
  <location ref="A6:U14" firstHeaderRow="1" firstDataRow="3" firstDataCol="6" rowPageCount="2" colPageCount="1"/>
  <pivotFields count="26">
    <pivotField axis="axisCol" compact="0" outline="0" showAll="0">
      <items count="5">
        <item h="1" x="0"/>
        <item n="Przed zmianą" x="1"/>
        <item n="Proponowana zmiana" x="2"/>
        <item n="Po zmianie" x="3"/>
        <item t="default"/>
      </items>
    </pivotField>
    <pivotField axis="axisRow" compact="0" outline="0" showAll="0" sortType="ascending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43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8"/>
        <item x="46"/>
        <item x="47"/>
        <item x="50"/>
        <item x="49"/>
        <item x="51"/>
        <item x="5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1">
        <item x="0"/>
        <item x="16"/>
        <item x="6"/>
        <item x="11"/>
        <item x="8"/>
        <item x="15"/>
        <item x="5"/>
        <item x="44"/>
        <item x="30"/>
        <item x="31"/>
        <item x="33"/>
        <item x="50"/>
        <item x="4"/>
        <item x="2"/>
        <item x="10"/>
        <item x="22"/>
        <item x="7"/>
        <item x="23"/>
        <item x="20"/>
        <item x="34"/>
        <item x="48"/>
        <item x="47"/>
        <item x="1"/>
        <item x="3"/>
        <item x="9"/>
        <item x="12"/>
        <item x="17"/>
        <item x="19"/>
        <item x="24"/>
        <item x="25"/>
        <item x="26"/>
        <item x="35"/>
        <item x="45"/>
        <item x="37"/>
        <item x="40"/>
        <item x="36"/>
        <item x="38"/>
        <item x="39"/>
        <item x="28"/>
        <item x="32"/>
        <item x="29"/>
        <item x="49"/>
        <item x="21"/>
        <item x="13"/>
        <item x="27"/>
        <item x="41"/>
        <item x="46"/>
        <item x="14"/>
        <item x="18"/>
        <item x="42"/>
        <item x="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">
        <item x="10"/>
        <item x="1"/>
        <item x="2"/>
        <item x="3"/>
        <item x="5"/>
        <item x="23"/>
        <item x="13"/>
        <item x="16"/>
        <item x="14"/>
        <item x="17"/>
        <item x="6"/>
        <item x="7"/>
        <item x="4"/>
        <item x="8"/>
        <item x="9"/>
        <item x="20"/>
        <item x="21"/>
        <item x="22"/>
        <item x="0"/>
        <item x="18"/>
        <item x="11"/>
        <item x="15"/>
        <item x="12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x="0"/>
        <item x="9"/>
        <item x="8"/>
        <item x="7"/>
        <item x="11"/>
        <item x="10"/>
        <item x="2"/>
        <item x="1"/>
        <item x="4"/>
        <item x="5"/>
        <item x="19"/>
        <item x="20"/>
        <item x="18"/>
        <item x="3"/>
        <item x="6"/>
        <item x="12"/>
        <item x="13"/>
        <item x="14"/>
        <item x="15"/>
        <item x="16"/>
        <item x="21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Planow., czy realizowane?" axis="axisRow" compact="0" outline="0" multipleItemSelectionAllowed="1" showAll="0" defaultSubtotal="0">
      <items count="4">
        <item x="0"/>
        <item x="1"/>
        <item x="2"/>
        <item x="3"/>
      </items>
    </pivotField>
    <pivotField compact="0" outline="0" showAll="0" defaultSubtotal="0">
      <items count="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4"/>
        <item x="15"/>
        <item x="16"/>
        <item x="17"/>
        <item x="18"/>
        <item x="19"/>
        <item x="20"/>
        <item x="22"/>
        <item x="27"/>
        <item x="28"/>
        <item x="29"/>
        <item x="30"/>
        <item x="31"/>
        <item x="32"/>
        <item x="37"/>
        <item x="38"/>
        <item x="40"/>
        <item x="42"/>
        <item x="61"/>
        <item x="60"/>
        <item x="68"/>
        <item x="69"/>
        <item x="12"/>
        <item x="62"/>
        <item x="64"/>
        <item x="65"/>
        <item x="44"/>
        <item x="35"/>
        <item x="23"/>
        <item x="46"/>
        <item x="24"/>
        <item x="52"/>
        <item x="56"/>
        <item x="51"/>
        <item x="54"/>
        <item x="55"/>
        <item x="36"/>
        <item x="67"/>
        <item x="48"/>
        <item x="49"/>
        <item x="50"/>
        <item x="26"/>
        <item x="13"/>
        <item x="21"/>
        <item x="25"/>
        <item x="33"/>
        <item x="34"/>
        <item x="39"/>
        <item x="41"/>
        <item x="43"/>
        <item x="45"/>
        <item x="53"/>
        <item x="63"/>
        <item x="57"/>
        <item x="66"/>
        <item x="47"/>
        <item x="58"/>
        <item x="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axis="axisPage" compact="0" outline="0" multipleItemSelectionAllowed="1" showAll="0">
      <items count="3">
        <item x="0"/>
        <item x="1"/>
        <item t="default"/>
      </items>
    </pivotField>
    <pivotField compact="0" outline="0" showAll="0"/>
    <pivotField axis="axisPage" compact="0" outline="0" showAll="0">
      <items count="3">
        <item x="0"/>
        <item x="1"/>
        <item t="default"/>
      </items>
    </pivotField>
  </pivotFields>
  <rowFields count="6">
    <field x="1"/>
    <field x="2"/>
    <field x="3"/>
    <field x="4"/>
    <field x="5"/>
    <field x="6"/>
  </rowFields>
  <rowItems count="6">
    <i>
      <x v="44"/>
      <x v="49"/>
      <x v="6"/>
      <x v="1"/>
      <x v="7"/>
      <x v="1"/>
    </i>
    <i r="5">
      <x v="2"/>
    </i>
    <i r="5">
      <x v="3"/>
    </i>
    <i>
      <x v="45"/>
      <x v="50"/>
      <x v="6"/>
      <x v="1"/>
      <x v="7"/>
      <x v="1"/>
    </i>
    <i r="5">
      <x v="2"/>
    </i>
    <i r="5">
      <x v="3"/>
    </i>
  </rowItems>
  <colFields count="2">
    <field x="-2"/>
    <field x="0"/>
  </colFields>
  <colItems count="15">
    <i>
      <x/>
      <x v="1"/>
    </i>
    <i r="1">
      <x v="2"/>
    </i>
    <i r="1">
      <x v="3"/>
    </i>
    <i i="1">
      <x v="1"/>
      <x v="1"/>
    </i>
    <i r="1" i="1">
      <x v="2"/>
    </i>
    <i r="1" i="1">
      <x v="3"/>
    </i>
    <i i="2">
      <x v="2"/>
      <x v="1"/>
    </i>
    <i r="1" i="2">
      <x v="2"/>
    </i>
    <i r="1" i="2">
      <x v="3"/>
    </i>
    <i i="3">
      <x v="3"/>
      <x v="1"/>
    </i>
    <i r="1" i="3">
      <x v="2"/>
    </i>
    <i r="1" i="3">
      <x v="3"/>
    </i>
    <i i="4">
      <x v="4"/>
      <x v="1"/>
    </i>
    <i r="1" i="4">
      <x v="2"/>
    </i>
    <i r="1" i="4">
      <x v="3"/>
    </i>
  </colItems>
  <pageFields count="2">
    <pageField fld="25" item="1" hier="-1"/>
    <pageField fld="23" hier="-1"/>
  </pageFields>
  <dataFields count="5">
    <dataField name="Plan 2023" fld="12" baseField="3" baseItem="10"/>
    <dataField name="Plan 2024" fld="13" baseField="3" baseItem="10"/>
    <dataField name="Plan 2025" fld="14" baseField="3" baseItem="10"/>
    <dataField name="Plan 2026" fld="15" baseField="3" baseItem="10"/>
    <dataField name="Plan 2027" fld="16" baseField="3" baseItem="10"/>
  </dataFields>
  <formats count="685">
    <format dxfId="3486">
      <pivotArea type="all" dataOnly="0" outline="0" fieldPosition="0"/>
    </format>
    <format dxfId="3485">
      <pivotArea outline="0" collapsedLevelsAreSubtotals="1" fieldPosition="0"/>
    </format>
    <format dxfId="3484">
      <pivotArea outline="0" collapsedLevelsAreSubtotals="1" fieldPosition="0"/>
    </format>
    <format dxfId="3483">
      <pivotArea type="all" dataOnly="0" outline="0" fieldPosition="0"/>
    </format>
    <format dxfId="3482">
      <pivotArea outline="0" collapsedLevelsAreSubtotals="1" fieldPosition="0"/>
    </format>
    <format dxfId="3481">
      <pivotArea dataOnly="0" labelOnly="1" grandRow="1" outline="0" fieldPosition="0"/>
    </format>
    <format dxfId="3480">
      <pivotArea type="all" dataOnly="0" outline="0" fieldPosition="0"/>
    </format>
    <format dxfId="3479">
      <pivotArea outline="0" collapsedLevelsAreSubtotals="1" fieldPosition="0"/>
    </format>
    <format dxfId="3478">
      <pivotArea field="1" type="button" dataOnly="0" labelOnly="1" outline="0" axis="axisRow" fieldPosition="0"/>
    </format>
    <format dxfId="3477">
      <pivotArea field="3" type="button" dataOnly="0" labelOnly="1" outline="0" axis="axisRow" fieldPosition="2"/>
    </format>
    <format dxfId="3476">
      <pivotArea field="4" type="button" dataOnly="0" labelOnly="1" outline="0" axis="axisRow" fieldPosition="3"/>
    </format>
    <format dxfId="3475">
      <pivotArea field="5" type="button" dataOnly="0" labelOnly="1" outline="0" axis="axisRow" fieldPosition="4"/>
    </format>
    <format dxfId="3474">
      <pivotArea dataOnly="0" labelOnly="1" outline="0" fieldPosition="0">
        <references count="1">
          <reference field="1" count="0"/>
        </references>
      </pivotArea>
    </format>
    <format dxfId="3473">
      <pivotArea dataOnly="0" labelOnly="1" grandRow="1" outline="0" fieldPosition="0"/>
    </format>
    <format dxfId="3472">
      <pivotArea dataOnly="0" labelOnly="1" outline="0" fieldPosition="0">
        <references count="2">
          <reference field="1" count="1" selected="0">
            <x v="0"/>
          </reference>
          <reference field="3" count="1">
            <x v="18"/>
          </reference>
        </references>
      </pivotArea>
    </format>
    <format dxfId="3471">
      <pivotArea dataOnly="0" labelOnly="1" outline="0" fieldPosition="0">
        <references count="2">
          <reference field="1" count="1" selected="0">
            <x v="1"/>
          </reference>
          <reference field="3" count="1">
            <x v="1"/>
          </reference>
        </references>
      </pivotArea>
    </format>
    <format dxfId="3470">
      <pivotArea dataOnly="0" labelOnly="1" outline="0" fieldPosition="0">
        <references count="2">
          <reference field="1" count="1" selected="0">
            <x v="3"/>
          </reference>
          <reference field="3" count="1">
            <x v="2"/>
          </reference>
        </references>
      </pivotArea>
    </format>
    <format dxfId="3469">
      <pivotArea dataOnly="0" labelOnly="1" outline="0" fieldPosition="0">
        <references count="2">
          <reference field="1" count="1" selected="0">
            <x v="9"/>
          </reference>
          <reference field="3" count="1">
            <x v="3"/>
          </reference>
        </references>
      </pivotArea>
    </format>
    <format dxfId="3468">
      <pivotArea dataOnly="0" labelOnly="1" outline="0" fieldPosition="0">
        <references count="2">
          <reference field="1" count="1" selected="0">
            <x v="10"/>
          </reference>
          <reference field="3" count="1">
            <x v="12"/>
          </reference>
        </references>
      </pivotArea>
    </format>
    <format dxfId="3467">
      <pivotArea dataOnly="0" labelOnly="1" outline="0" fieldPosition="0">
        <references count="2">
          <reference field="1" count="1" selected="0">
            <x v="11"/>
          </reference>
          <reference field="3" count="1">
            <x v="2"/>
          </reference>
        </references>
      </pivotArea>
    </format>
    <format dxfId="3466">
      <pivotArea dataOnly="0" labelOnly="1" outline="0" fieldPosition="0">
        <references count="2">
          <reference field="1" count="1" selected="0">
            <x v="14"/>
          </reference>
          <reference field="3" count="1">
            <x v="4"/>
          </reference>
        </references>
      </pivotArea>
    </format>
    <format dxfId="3465">
      <pivotArea dataOnly="0" labelOnly="1" outline="0" fieldPosition="0">
        <references count="2">
          <reference field="1" count="1" selected="0">
            <x v="15"/>
          </reference>
          <reference field="3" count="1">
            <x v="10"/>
          </reference>
        </references>
      </pivotArea>
    </format>
    <format dxfId="3464">
      <pivotArea dataOnly="0" labelOnly="1" outline="0" fieldPosition="0">
        <references count="2">
          <reference field="1" count="1" selected="0">
            <x v="22"/>
          </reference>
          <reference field="3" count="1">
            <x v="13"/>
          </reference>
        </references>
      </pivotArea>
    </format>
    <format dxfId="3463">
      <pivotArea dataOnly="0" labelOnly="1" outline="0" fieldPosition="0">
        <references count="2">
          <reference field="1" count="1" selected="0">
            <x v="23"/>
          </reference>
          <reference field="3" count="1">
            <x v="14"/>
          </reference>
        </references>
      </pivotArea>
    </format>
    <format dxfId="3462">
      <pivotArea dataOnly="0" labelOnly="1" outline="0" fieldPosition="0">
        <references count="2">
          <reference field="1" count="1" selected="0">
            <x v="24"/>
          </reference>
          <reference field="3" count="1">
            <x v="10"/>
          </reference>
        </references>
      </pivotArea>
    </format>
    <format dxfId="3461">
      <pivotArea dataOnly="0" labelOnly="1" outline="0" fieldPosition="0">
        <references count="2">
          <reference field="1" count="1" selected="0">
            <x v="25"/>
          </reference>
          <reference field="3" count="1">
            <x v="14"/>
          </reference>
        </references>
      </pivotArea>
    </format>
    <format dxfId="3460">
      <pivotArea dataOnly="0" labelOnly="1" outline="0" fieldPosition="0">
        <references count="2">
          <reference field="1" count="1" selected="0">
            <x v="27"/>
          </reference>
          <reference field="3" count="1">
            <x v="0"/>
          </reference>
        </references>
      </pivotArea>
    </format>
    <format dxfId="3459">
      <pivotArea dataOnly="0" labelOnly="1" outline="0" fieldPosition="0">
        <references count="2">
          <reference field="1" count="1" selected="0">
            <x v="35"/>
          </reference>
          <reference field="3" count="1">
            <x v="6"/>
          </reference>
        </references>
      </pivotArea>
    </format>
    <format dxfId="3458">
      <pivotArea dataOnly="0" labelOnly="1" outline="0" fieldPosition="0">
        <references count="2">
          <reference field="1" count="1" selected="0">
            <x v="47"/>
          </reference>
          <reference field="3" count="1">
            <x v="9"/>
          </reference>
        </references>
      </pivotArea>
    </format>
    <format dxfId="3457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3456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18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345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4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53">
      <pivotArea dataOnly="0" labelOnly="1" outline="0" fieldPosition="0">
        <references count="1">
          <reference field="6" count="0"/>
        </references>
      </pivotArea>
    </format>
    <format dxfId="3452">
      <pivotArea field="3" type="button" dataOnly="0" labelOnly="1" outline="0" axis="axisRow" fieldPosition="2"/>
    </format>
    <format dxfId="3451">
      <pivotArea field="4" type="button" dataOnly="0" labelOnly="1" outline="0" axis="axisRow" fieldPosition="3"/>
    </format>
    <format dxfId="3450">
      <pivotArea dataOnly="0" labelOnly="1" outline="0" fieldPosition="0">
        <references count="1">
          <reference field="6" count="0"/>
        </references>
      </pivotArea>
    </format>
    <format dxfId="3449">
      <pivotArea field="3" type="button" dataOnly="0" labelOnly="1" outline="0" axis="axisRow" fieldPosition="2"/>
    </format>
    <format dxfId="3448">
      <pivotArea dataOnly="0" labelOnly="1" outline="0" fieldPosition="0">
        <references count="1">
          <reference field="6" count="0"/>
        </references>
      </pivotArea>
    </format>
    <format dxfId="3447">
      <pivotArea field="3" type="button" dataOnly="0" labelOnly="1" outline="0" axis="axisRow" fieldPosition="2"/>
    </format>
    <format dxfId="3446">
      <pivotArea field="4" type="button" dataOnly="0" labelOnly="1" outline="0" axis="axisRow" fieldPosition="3"/>
    </format>
    <format dxfId="3445">
      <pivotArea field="4" type="button" dataOnly="0" labelOnly="1" outline="0" axis="axisRow" fieldPosition="3"/>
    </format>
    <format dxfId="3444">
      <pivotArea dataOnly="0" labelOnly="1" outline="0" fieldPosition="0">
        <references count="1">
          <reference field="6" count="0"/>
        </references>
      </pivotArea>
    </format>
    <format dxfId="3443">
      <pivotArea field="3" type="button" dataOnly="0" labelOnly="1" outline="0" axis="axisRow" fieldPosition="2"/>
    </format>
    <format dxfId="3442">
      <pivotArea field="4" type="button" dataOnly="0" labelOnly="1" outline="0" axis="axisRow" fieldPosition="3"/>
    </format>
    <format dxfId="3441">
      <pivotArea dataOnly="0" labelOnly="1" outline="0" fieldPosition="0">
        <references count="1">
          <reference field="6" count="0"/>
        </references>
      </pivotArea>
    </format>
    <format dxfId="3440">
      <pivotArea field="3" type="button" dataOnly="0" labelOnly="1" outline="0" axis="axisRow" fieldPosition="2"/>
    </format>
    <format dxfId="3439">
      <pivotArea field="4" type="button" dataOnly="0" labelOnly="1" outline="0" axis="axisRow" fieldPosition="3"/>
    </format>
    <format dxfId="3438">
      <pivotArea type="all" dataOnly="0" outline="0" fieldPosition="0"/>
    </format>
    <format dxfId="3437">
      <pivotArea outline="0" collapsedLevelsAreSubtotals="1" fieldPosition="0"/>
    </format>
    <format dxfId="3436">
      <pivotArea field="1" type="button" dataOnly="0" labelOnly="1" outline="0" axis="axisRow" fieldPosition="0"/>
    </format>
    <format dxfId="3435">
      <pivotArea field="3" type="button" dataOnly="0" labelOnly="1" outline="0" axis="axisRow" fieldPosition="2"/>
    </format>
    <format dxfId="3434">
      <pivotArea field="4" type="button" dataOnly="0" labelOnly="1" outline="0" axis="axisRow" fieldPosition="3"/>
    </format>
    <format dxfId="3433">
      <pivotArea field="5" type="button" dataOnly="0" labelOnly="1" outline="0" axis="axisRow" fieldPosition="4"/>
    </format>
    <format dxfId="3432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3431">
      <pivotArea dataOnly="0" labelOnly="1" grandRow="1" outline="0" fieldPosition="0"/>
    </format>
    <format dxfId="3430">
      <pivotArea dataOnly="0" labelOnly="1" outline="0" fieldPosition="0">
        <references count="2">
          <reference field="1" count="1" selected="0">
            <x v="0"/>
          </reference>
          <reference field="3" count="1">
            <x v="18"/>
          </reference>
        </references>
      </pivotArea>
    </format>
    <format dxfId="3429">
      <pivotArea dataOnly="0" labelOnly="1" outline="0" fieldPosition="0">
        <references count="2">
          <reference field="1" count="1" selected="0">
            <x v="1"/>
          </reference>
          <reference field="3" count="1">
            <x v="1"/>
          </reference>
        </references>
      </pivotArea>
    </format>
    <format dxfId="3428">
      <pivotArea dataOnly="0" labelOnly="1" outline="0" fieldPosition="0">
        <references count="2">
          <reference field="1" count="1" selected="0">
            <x v="3"/>
          </reference>
          <reference field="3" count="1">
            <x v="2"/>
          </reference>
        </references>
      </pivotArea>
    </format>
    <format dxfId="3427">
      <pivotArea dataOnly="0" labelOnly="1" outline="0" fieldPosition="0">
        <references count="2">
          <reference field="1" count="1" selected="0">
            <x v="9"/>
          </reference>
          <reference field="3" count="1">
            <x v="3"/>
          </reference>
        </references>
      </pivotArea>
    </format>
    <format dxfId="3426">
      <pivotArea dataOnly="0" labelOnly="1" outline="0" fieldPosition="0">
        <references count="2">
          <reference field="1" count="1" selected="0">
            <x v="10"/>
          </reference>
          <reference field="3" count="1">
            <x v="12"/>
          </reference>
        </references>
      </pivotArea>
    </format>
    <format dxfId="3425">
      <pivotArea dataOnly="0" labelOnly="1" outline="0" fieldPosition="0">
        <references count="2">
          <reference field="1" count="1" selected="0">
            <x v="11"/>
          </reference>
          <reference field="3" count="1">
            <x v="2"/>
          </reference>
        </references>
      </pivotArea>
    </format>
    <format dxfId="3424">
      <pivotArea dataOnly="0" labelOnly="1" outline="0" fieldPosition="0">
        <references count="2">
          <reference field="1" count="1" selected="0">
            <x v="14"/>
          </reference>
          <reference field="3" count="1">
            <x v="4"/>
          </reference>
        </references>
      </pivotArea>
    </format>
    <format dxfId="3423">
      <pivotArea dataOnly="0" labelOnly="1" outline="0" fieldPosition="0">
        <references count="2">
          <reference field="1" count="1" selected="0">
            <x v="15"/>
          </reference>
          <reference field="3" count="1">
            <x v="10"/>
          </reference>
        </references>
      </pivotArea>
    </format>
    <format dxfId="3422">
      <pivotArea dataOnly="0" labelOnly="1" outline="0" fieldPosition="0">
        <references count="2">
          <reference field="1" count="1" selected="0">
            <x v="22"/>
          </reference>
          <reference field="3" count="1">
            <x v="13"/>
          </reference>
        </references>
      </pivotArea>
    </format>
    <format dxfId="3421">
      <pivotArea dataOnly="0" labelOnly="1" outline="0" fieldPosition="0">
        <references count="2">
          <reference field="1" count="1" selected="0">
            <x v="23"/>
          </reference>
          <reference field="3" count="1">
            <x v="14"/>
          </reference>
        </references>
      </pivotArea>
    </format>
    <format dxfId="3420">
      <pivotArea dataOnly="0" labelOnly="1" outline="0" fieldPosition="0">
        <references count="2">
          <reference field="1" count="1" selected="0">
            <x v="24"/>
          </reference>
          <reference field="3" count="1">
            <x v="10"/>
          </reference>
        </references>
      </pivotArea>
    </format>
    <format dxfId="3419">
      <pivotArea dataOnly="0" labelOnly="1" outline="0" fieldPosition="0">
        <references count="2">
          <reference field="1" count="1" selected="0">
            <x v="25"/>
          </reference>
          <reference field="3" count="1">
            <x v="14"/>
          </reference>
        </references>
      </pivotArea>
    </format>
    <format dxfId="3418">
      <pivotArea dataOnly="0" labelOnly="1" outline="0" fieldPosition="0">
        <references count="2">
          <reference field="1" count="1" selected="0">
            <x v="27"/>
          </reference>
          <reference field="3" count="1">
            <x v="0"/>
          </reference>
        </references>
      </pivotArea>
    </format>
    <format dxfId="3417">
      <pivotArea dataOnly="0" labelOnly="1" outline="0" fieldPosition="0">
        <references count="2">
          <reference field="1" count="1" selected="0">
            <x v="35"/>
          </reference>
          <reference field="3" count="1">
            <x v="6"/>
          </reference>
        </references>
      </pivotArea>
    </format>
    <format dxfId="3416">
      <pivotArea dataOnly="0" labelOnly="1" outline="0" fieldPosition="0">
        <references count="2">
          <reference field="1" count="1" selected="0">
            <x v="47"/>
          </reference>
          <reference field="3" count="1">
            <x v="9"/>
          </reference>
        </references>
      </pivotArea>
    </format>
    <format dxfId="3415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3414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18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34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412">
      <pivotArea type="all" dataOnly="0" outline="0" fieldPosition="0"/>
    </format>
    <format dxfId="3411">
      <pivotArea outline="0" collapsedLevelsAreSubtotals="1" fieldPosition="0"/>
    </format>
    <format dxfId="3410">
      <pivotArea field="1" type="button" dataOnly="0" labelOnly="1" outline="0" axis="axisRow" fieldPosition="0"/>
    </format>
    <format dxfId="3409">
      <pivotArea field="3" type="button" dataOnly="0" labelOnly="1" outline="0" axis="axisRow" fieldPosition="2"/>
    </format>
    <format dxfId="3408">
      <pivotArea field="4" type="button" dataOnly="0" labelOnly="1" outline="0" axis="axisRow" fieldPosition="3"/>
    </format>
    <format dxfId="3407">
      <pivotArea field="5" type="button" dataOnly="0" labelOnly="1" outline="0" axis="axisRow" fieldPosition="4"/>
    </format>
    <format dxfId="3406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3405">
      <pivotArea dataOnly="0" labelOnly="1" grandRow="1" outline="0" fieldPosition="0"/>
    </format>
    <format dxfId="3404">
      <pivotArea dataOnly="0" labelOnly="1" outline="0" fieldPosition="0">
        <references count="2">
          <reference field="1" count="1" selected="0">
            <x v="0"/>
          </reference>
          <reference field="3" count="1">
            <x v="18"/>
          </reference>
        </references>
      </pivotArea>
    </format>
    <format dxfId="3403">
      <pivotArea dataOnly="0" labelOnly="1" outline="0" fieldPosition="0">
        <references count="2">
          <reference field="1" count="1" selected="0">
            <x v="1"/>
          </reference>
          <reference field="3" count="1">
            <x v="1"/>
          </reference>
        </references>
      </pivotArea>
    </format>
    <format dxfId="3402">
      <pivotArea dataOnly="0" labelOnly="1" outline="0" fieldPosition="0">
        <references count="2">
          <reference field="1" count="1" selected="0">
            <x v="3"/>
          </reference>
          <reference field="3" count="1">
            <x v="2"/>
          </reference>
        </references>
      </pivotArea>
    </format>
    <format dxfId="3401">
      <pivotArea dataOnly="0" labelOnly="1" outline="0" fieldPosition="0">
        <references count="2">
          <reference field="1" count="1" selected="0">
            <x v="9"/>
          </reference>
          <reference field="3" count="1">
            <x v="3"/>
          </reference>
        </references>
      </pivotArea>
    </format>
    <format dxfId="3400">
      <pivotArea dataOnly="0" labelOnly="1" outline="0" fieldPosition="0">
        <references count="2">
          <reference field="1" count="1" selected="0">
            <x v="10"/>
          </reference>
          <reference field="3" count="1">
            <x v="12"/>
          </reference>
        </references>
      </pivotArea>
    </format>
    <format dxfId="3399">
      <pivotArea dataOnly="0" labelOnly="1" outline="0" fieldPosition="0">
        <references count="2">
          <reference field="1" count="1" selected="0">
            <x v="11"/>
          </reference>
          <reference field="3" count="1">
            <x v="2"/>
          </reference>
        </references>
      </pivotArea>
    </format>
    <format dxfId="3398">
      <pivotArea dataOnly="0" labelOnly="1" outline="0" fieldPosition="0">
        <references count="2">
          <reference field="1" count="1" selected="0">
            <x v="14"/>
          </reference>
          <reference field="3" count="1">
            <x v="4"/>
          </reference>
        </references>
      </pivotArea>
    </format>
    <format dxfId="3397">
      <pivotArea dataOnly="0" labelOnly="1" outline="0" fieldPosition="0">
        <references count="2">
          <reference field="1" count="1" selected="0">
            <x v="15"/>
          </reference>
          <reference field="3" count="1">
            <x v="10"/>
          </reference>
        </references>
      </pivotArea>
    </format>
    <format dxfId="3396">
      <pivotArea dataOnly="0" labelOnly="1" outline="0" fieldPosition="0">
        <references count="2">
          <reference field="1" count="1" selected="0">
            <x v="22"/>
          </reference>
          <reference field="3" count="1">
            <x v="13"/>
          </reference>
        </references>
      </pivotArea>
    </format>
    <format dxfId="3395">
      <pivotArea dataOnly="0" labelOnly="1" outline="0" fieldPosition="0">
        <references count="2">
          <reference field="1" count="1" selected="0">
            <x v="23"/>
          </reference>
          <reference field="3" count="1">
            <x v="14"/>
          </reference>
        </references>
      </pivotArea>
    </format>
    <format dxfId="3394">
      <pivotArea dataOnly="0" labelOnly="1" outline="0" fieldPosition="0">
        <references count="2">
          <reference field="1" count="1" selected="0">
            <x v="24"/>
          </reference>
          <reference field="3" count="1">
            <x v="10"/>
          </reference>
        </references>
      </pivotArea>
    </format>
    <format dxfId="3393">
      <pivotArea dataOnly="0" labelOnly="1" outline="0" fieldPosition="0">
        <references count="2">
          <reference field="1" count="1" selected="0">
            <x v="25"/>
          </reference>
          <reference field="3" count="1">
            <x v="14"/>
          </reference>
        </references>
      </pivotArea>
    </format>
    <format dxfId="3392">
      <pivotArea dataOnly="0" labelOnly="1" outline="0" fieldPosition="0">
        <references count="2">
          <reference field="1" count="1" selected="0">
            <x v="27"/>
          </reference>
          <reference field="3" count="1">
            <x v="0"/>
          </reference>
        </references>
      </pivotArea>
    </format>
    <format dxfId="3391">
      <pivotArea dataOnly="0" labelOnly="1" outline="0" fieldPosition="0">
        <references count="2">
          <reference field="1" count="1" selected="0">
            <x v="35"/>
          </reference>
          <reference field="3" count="1">
            <x v="6"/>
          </reference>
        </references>
      </pivotArea>
    </format>
    <format dxfId="3390">
      <pivotArea dataOnly="0" labelOnly="1" outline="0" fieldPosition="0">
        <references count="2">
          <reference field="1" count="1" selected="0">
            <x v="47"/>
          </reference>
          <reference field="3" count="1">
            <x v="9"/>
          </reference>
        </references>
      </pivotArea>
    </format>
    <format dxfId="3389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3388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18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338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386">
      <pivotArea type="all" dataOnly="0" outline="0" fieldPosition="0"/>
    </format>
    <format dxfId="3385">
      <pivotArea outline="0" collapsedLevelsAreSubtotals="1" fieldPosition="0"/>
    </format>
    <format dxfId="3384">
      <pivotArea field="1" type="button" dataOnly="0" labelOnly="1" outline="0" axis="axisRow" fieldPosition="0"/>
    </format>
    <format dxfId="3383">
      <pivotArea field="2" type="button" dataOnly="0" labelOnly="1" outline="0" axis="axisRow" fieldPosition="1"/>
    </format>
    <format dxfId="3382">
      <pivotArea field="3" type="button" dataOnly="0" labelOnly="1" outline="0" axis="axisRow" fieldPosition="2"/>
    </format>
    <format dxfId="3381">
      <pivotArea field="4" type="button" dataOnly="0" labelOnly="1" outline="0" axis="axisRow" fieldPosition="3"/>
    </format>
    <format dxfId="3380">
      <pivotArea field="5" type="button" dataOnly="0" labelOnly="1" outline="0" axis="axisRow" fieldPosition="4"/>
    </format>
    <format dxfId="3379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3378">
      <pivotArea dataOnly="0" labelOnly="1" grandRow="1" outline="0" fieldPosition="0"/>
    </format>
    <format dxfId="3377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3376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3375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3374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3373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3372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3371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3370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3369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3368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3367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3366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3365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3364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3363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3362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3361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3360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3359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3358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3357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3356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3355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3354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3353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3352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335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335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334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348">
      <pivotArea type="all" dataOnly="0" outline="0" fieldPosition="0"/>
    </format>
    <format dxfId="3347">
      <pivotArea outline="0" collapsedLevelsAreSubtotals="1" fieldPosition="0"/>
    </format>
    <format dxfId="3346">
      <pivotArea type="origin" dataOnly="0" labelOnly="1" outline="0" fieldPosition="0"/>
    </format>
    <format dxfId="3345">
      <pivotArea field="-2" type="button" dataOnly="0" labelOnly="1" outline="0" axis="axisCol" fieldPosition="0"/>
    </format>
    <format dxfId="3344">
      <pivotArea type="topRight" dataOnly="0" labelOnly="1" outline="0" fieldPosition="0"/>
    </format>
    <format dxfId="3343">
      <pivotArea field="1" type="button" dataOnly="0" labelOnly="1" outline="0" axis="axisRow" fieldPosition="0"/>
    </format>
    <format dxfId="3342">
      <pivotArea field="2" type="button" dataOnly="0" labelOnly="1" outline="0" axis="axisRow" fieldPosition="1"/>
    </format>
    <format dxfId="3341">
      <pivotArea field="3" type="button" dataOnly="0" labelOnly="1" outline="0" axis="axisRow" fieldPosition="2"/>
    </format>
    <format dxfId="3340">
      <pivotArea field="4" type="button" dataOnly="0" labelOnly="1" outline="0" axis="axisRow" fieldPosition="3"/>
    </format>
    <format dxfId="3339">
      <pivotArea field="5" type="button" dataOnly="0" labelOnly="1" outline="0" axis="axisRow" fieldPosition="4"/>
    </format>
    <format dxfId="3338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3337">
      <pivotArea dataOnly="0" labelOnly="1" grandRow="1" outline="0" fieldPosition="0"/>
    </format>
    <format dxfId="3336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3335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3334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3333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3332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3331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3330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3329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3328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3327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3326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3325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3324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3323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3322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3321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3320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3319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3318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3317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3316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3315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3314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3313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3312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3311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331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330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330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307">
      <pivotArea type="all" dataOnly="0" outline="0" fieldPosition="0"/>
    </format>
    <format dxfId="3306">
      <pivotArea outline="0" collapsedLevelsAreSubtotals="1" fieldPosition="0"/>
    </format>
    <format dxfId="3305">
      <pivotArea type="origin" dataOnly="0" labelOnly="1" outline="0" fieldPosition="0"/>
    </format>
    <format dxfId="3304">
      <pivotArea field="-2" type="button" dataOnly="0" labelOnly="1" outline="0" axis="axisCol" fieldPosition="0"/>
    </format>
    <format dxfId="3303">
      <pivotArea type="topRight" dataOnly="0" labelOnly="1" outline="0" fieldPosition="0"/>
    </format>
    <format dxfId="3302">
      <pivotArea field="1" type="button" dataOnly="0" labelOnly="1" outline="0" axis="axisRow" fieldPosition="0"/>
    </format>
    <format dxfId="3301">
      <pivotArea field="2" type="button" dataOnly="0" labelOnly="1" outline="0" axis="axisRow" fieldPosition="1"/>
    </format>
    <format dxfId="3300">
      <pivotArea field="3" type="button" dataOnly="0" labelOnly="1" outline="0" axis="axisRow" fieldPosition="2"/>
    </format>
    <format dxfId="3299">
      <pivotArea field="4" type="button" dataOnly="0" labelOnly="1" outline="0" axis="axisRow" fieldPosition="3"/>
    </format>
    <format dxfId="3298">
      <pivotArea field="5" type="button" dataOnly="0" labelOnly="1" outline="0" axis="axisRow" fieldPosition="4"/>
    </format>
    <format dxfId="3297">
      <pivotArea field="7" type="button" dataOnly="0" labelOnly="1" outline="0"/>
    </format>
    <format dxfId="3296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3295">
      <pivotArea dataOnly="0" labelOnly="1" grandRow="1" outline="0" fieldPosition="0"/>
    </format>
    <format dxfId="3294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3293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3292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3291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3290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3289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3288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3287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3286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3285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3284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3283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3282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3281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3280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3279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3278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3277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3276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3275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3274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3273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3272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3271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3270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3269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326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326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326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265">
      <pivotArea type="all" dataOnly="0" outline="0" fieldPosition="0"/>
    </format>
    <format dxfId="3264">
      <pivotArea outline="0" collapsedLevelsAreSubtotals="1" fieldPosition="0"/>
    </format>
    <format dxfId="3263">
      <pivotArea type="origin" dataOnly="0" labelOnly="1" outline="0" fieldPosition="0"/>
    </format>
    <format dxfId="3262">
      <pivotArea field="-2" type="button" dataOnly="0" labelOnly="1" outline="0" axis="axisCol" fieldPosition="0"/>
    </format>
    <format dxfId="3261">
      <pivotArea type="topRight" dataOnly="0" labelOnly="1" outline="0" fieldPosition="0"/>
    </format>
    <format dxfId="3260">
      <pivotArea field="1" type="button" dataOnly="0" labelOnly="1" outline="0" axis="axisRow" fieldPosition="0"/>
    </format>
    <format dxfId="3259">
      <pivotArea field="2" type="button" dataOnly="0" labelOnly="1" outline="0" axis="axisRow" fieldPosition="1"/>
    </format>
    <format dxfId="3258">
      <pivotArea field="3" type="button" dataOnly="0" labelOnly="1" outline="0" axis="axisRow" fieldPosition="2"/>
    </format>
    <format dxfId="3257">
      <pivotArea field="4" type="button" dataOnly="0" labelOnly="1" outline="0" axis="axisRow" fieldPosition="3"/>
    </format>
    <format dxfId="3256">
      <pivotArea field="5" type="button" dataOnly="0" labelOnly="1" outline="0" axis="axisRow" fieldPosition="4"/>
    </format>
    <format dxfId="3255">
      <pivotArea field="7" type="button" dataOnly="0" labelOnly="1" outline="0"/>
    </format>
    <format dxfId="3254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3253">
      <pivotArea dataOnly="0" labelOnly="1" grandRow="1" outline="0" fieldPosition="0"/>
    </format>
    <format dxfId="3252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3251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3250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3249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3248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3247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3246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3245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3244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3243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3242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3241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3240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3239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3238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3237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3236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3235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3234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3233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3232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3231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3230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3229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3228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3227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322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32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322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223">
      <pivotArea type="all" dataOnly="0" outline="0" fieldPosition="0"/>
    </format>
    <format dxfId="3222">
      <pivotArea outline="0" collapsedLevelsAreSubtotals="1" fieldPosition="0"/>
    </format>
    <format dxfId="3221">
      <pivotArea type="origin" dataOnly="0" labelOnly="1" outline="0" fieldPosition="0"/>
    </format>
    <format dxfId="3220">
      <pivotArea field="-2" type="button" dataOnly="0" labelOnly="1" outline="0" axis="axisCol" fieldPosition="0"/>
    </format>
    <format dxfId="3219">
      <pivotArea type="topRight" dataOnly="0" labelOnly="1" outline="0" fieldPosition="0"/>
    </format>
    <format dxfId="3218">
      <pivotArea field="1" type="button" dataOnly="0" labelOnly="1" outline="0" axis="axisRow" fieldPosition="0"/>
    </format>
    <format dxfId="3217">
      <pivotArea field="2" type="button" dataOnly="0" labelOnly="1" outline="0" axis="axisRow" fieldPosition="1"/>
    </format>
    <format dxfId="3216">
      <pivotArea field="3" type="button" dataOnly="0" labelOnly="1" outline="0" axis="axisRow" fieldPosition="2"/>
    </format>
    <format dxfId="3215">
      <pivotArea field="4" type="button" dataOnly="0" labelOnly="1" outline="0" axis="axisRow" fieldPosition="3"/>
    </format>
    <format dxfId="3214">
      <pivotArea field="5" type="button" dataOnly="0" labelOnly="1" outline="0" axis="axisRow" fieldPosition="4"/>
    </format>
    <format dxfId="3213">
      <pivotArea field="7" type="button" dataOnly="0" labelOnly="1" outline="0"/>
    </format>
    <format dxfId="3212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3211">
      <pivotArea dataOnly="0" labelOnly="1" grandRow="1" outline="0" fieldPosition="0"/>
    </format>
    <format dxfId="3210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3209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3208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3207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3206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3205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3204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3203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3202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3201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3200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3199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3198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3197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3196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3195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3194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3193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3192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3191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3190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3189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3188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3187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3186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3185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318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31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318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181">
      <pivotArea type="all" dataOnly="0" outline="0" fieldPosition="0"/>
    </format>
    <format dxfId="3180">
      <pivotArea outline="0" collapsedLevelsAreSubtotals="1" fieldPosition="0"/>
    </format>
    <format dxfId="3179">
      <pivotArea type="origin" dataOnly="0" labelOnly="1" outline="0" fieldPosition="0"/>
    </format>
    <format dxfId="3178">
      <pivotArea field="-2" type="button" dataOnly="0" labelOnly="1" outline="0" axis="axisCol" fieldPosition="0"/>
    </format>
    <format dxfId="3177">
      <pivotArea type="topRight" dataOnly="0" labelOnly="1" outline="0" fieldPosition="0"/>
    </format>
    <format dxfId="3176">
      <pivotArea field="1" type="button" dataOnly="0" labelOnly="1" outline="0" axis="axisRow" fieldPosition="0"/>
    </format>
    <format dxfId="3175">
      <pivotArea field="2" type="button" dataOnly="0" labelOnly="1" outline="0" axis="axisRow" fieldPosition="1"/>
    </format>
    <format dxfId="3174">
      <pivotArea field="3" type="button" dataOnly="0" labelOnly="1" outline="0" axis="axisRow" fieldPosition="2"/>
    </format>
    <format dxfId="3173">
      <pivotArea field="4" type="button" dataOnly="0" labelOnly="1" outline="0" axis="axisRow" fieldPosition="3"/>
    </format>
    <format dxfId="3172">
      <pivotArea field="5" type="button" dataOnly="0" labelOnly="1" outline="0" axis="axisRow" fieldPosition="4"/>
    </format>
    <format dxfId="3171">
      <pivotArea field="7" type="button" dataOnly="0" labelOnly="1" outline="0"/>
    </format>
    <format dxfId="3170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3169">
      <pivotArea dataOnly="0" labelOnly="1" grandRow="1" outline="0" fieldPosition="0"/>
    </format>
    <format dxfId="3168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3167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3166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3165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3164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3163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3162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3161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3160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3159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3158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3157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3156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3155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3154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3153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3152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3151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3150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3149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3148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3147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3146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3145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3144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3143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314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314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314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139">
      <pivotArea field="1" type="button" dataOnly="0" labelOnly="1" outline="0" axis="axisRow" fieldPosition="0"/>
    </format>
    <format dxfId="3138">
      <pivotArea field="2" type="button" dataOnly="0" labelOnly="1" outline="0" axis="axisRow" fieldPosition="1"/>
    </format>
    <format dxfId="3137">
      <pivotArea field="3" type="button" dataOnly="0" labelOnly="1" outline="0" axis="axisRow" fieldPosition="2"/>
    </format>
    <format dxfId="3136">
      <pivotArea field="4" type="button" dataOnly="0" labelOnly="1" outline="0" axis="axisRow" fieldPosition="3"/>
    </format>
    <format dxfId="3135">
      <pivotArea field="5" type="button" dataOnly="0" labelOnly="1" outline="0" axis="axisRow" fieldPosition="4"/>
    </format>
    <format dxfId="3134">
      <pivotArea field="7" type="button" dataOnly="0" labelOnly="1" outline="0"/>
    </format>
    <format dxfId="3133">
      <pivotArea field="1" type="button" dataOnly="0" labelOnly="1" outline="0" axis="axisRow" fieldPosition="0"/>
    </format>
    <format dxfId="3132">
      <pivotArea field="2" type="button" dataOnly="0" labelOnly="1" outline="0" axis="axisRow" fieldPosition="1"/>
    </format>
    <format dxfId="3131">
      <pivotArea field="3" type="button" dataOnly="0" labelOnly="1" outline="0" axis="axisRow" fieldPosition="2"/>
    </format>
    <format dxfId="3130">
      <pivotArea field="4" type="button" dataOnly="0" labelOnly="1" outline="0" axis="axisRow" fieldPosition="3"/>
    </format>
    <format dxfId="3129">
      <pivotArea field="5" type="button" dataOnly="0" labelOnly="1" outline="0" axis="axisRow" fieldPosition="4"/>
    </format>
    <format dxfId="3128">
      <pivotArea field="7" type="button" dataOnly="0" labelOnly="1" outline="0"/>
    </format>
    <format dxfId="3127">
      <pivotArea type="all" dataOnly="0" outline="0" fieldPosition="0"/>
    </format>
    <format dxfId="3126">
      <pivotArea outline="0" collapsedLevelsAreSubtotals="1" fieldPosition="0"/>
    </format>
    <format dxfId="3125">
      <pivotArea type="origin" dataOnly="0" labelOnly="1" outline="0" fieldPosition="0"/>
    </format>
    <format dxfId="3124">
      <pivotArea field="-2" type="button" dataOnly="0" labelOnly="1" outline="0" axis="axisCol" fieldPosition="0"/>
    </format>
    <format dxfId="3123">
      <pivotArea type="topRight" dataOnly="0" labelOnly="1" outline="0" fieldPosition="0"/>
    </format>
    <format dxfId="3122">
      <pivotArea field="1" type="button" dataOnly="0" labelOnly="1" outline="0" axis="axisRow" fieldPosition="0"/>
    </format>
    <format dxfId="3121">
      <pivotArea field="2" type="button" dataOnly="0" labelOnly="1" outline="0" axis="axisRow" fieldPosition="1"/>
    </format>
    <format dxfId="3120">
      <pivotArea field="3" type="button" dataOnly="0" labelOnly="1" outline="0" axis="axisRow" fieldPosition="2"/>
    </format>
    <format dxfId="3119">
      <pivotArea field="4" type="button" dataOnly="0" labelOnly="1" outline="0" axis="axisRow" fieldPosition="3"/>
    </format>
    <format dxfId="3118">
      <pivotArea field="5" type="button" dataOnly="0" labelOnly="1" outline="0" axis="axisRow" fieldPosition="4"/>
    </format>
    <format dxfId="3117">
      <pivotArea field="7" type="button" dataOnly="0" labelOnly="1" outline="0"/>
    </format>
    <format dxfId="3116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3115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3114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3113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3112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3111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3110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3109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3108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3107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3106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3105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3104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3103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3102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3101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3100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3099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3098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3097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3096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3095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3094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3093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3092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3091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3090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308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30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308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086">
      <pivotArea field="1" type="button" dataOnly="0" labelOnly="1" outline="0" axis="axisRow" fieldPosition="0"/>
    </format>
    <format dxfId="3085">
      <pivotArea field="2" type="button" dataOnly="0" labelOnly="1" outline="0" axis="axisRow" fieldPosition="1"/>
    </format>
    <format dxfId="3084">
      <pivotArea field="3" type="button" dataOnly="0" labelOnly="1" outline="0" axis="axisRow" fieldPosition="2"/>
    </format>
    <format dxfId="3083">
      <pivotArea field="4" type="button" dataOnly="0" labelOnly="1" outline="0" axis="axisRow" fieldPosition="3"/>
    </format>
    <format dxfId="3082">
      <pivotArea field="5" type="button" dataOnly="0" labelOnly="1" outline="0" axis="axisRow" fieldPosition="4"/>
    </format>
    <format dxfId="3081">
      <pivotArea field="7" type="button" dataOnly="0" labelOnly="1" outline="0"/>
    </format>
    <format dxfId="3080">
      <pivotArea type="all" dataOnly="0" outline="0" fieldPosition="0"/>
    </format>
    <format dxfId="3079">
      <pivotArea outline="0" collapsedLevelsAreSubtotals="1" fieldPosition="0"/>
    </format>
    <format dxfId="3078">
      <pivotArea type="origin" dataOnly="0" labelOnly="1" outline="0" fieldPosition="0"/>
    </format>
    <format dxfId="3077">
      <pivotArea field="-2" type="button" dataOnly="0" labelOnly="1" outline="0" axis="axisCol" fieldPosition="0"/>
    </format>
    <format dxfId="3076">
      <pivotArea type="topRight" dataOnly="0" labelOnly="1" outline="0" fieldPosition="0"/>
    </format>
    <format dxfId="3075">
      <pivotArea field="1" type="button" dataOnly="0" labelOnly="1" outline="0" axis="axisRow" fieldPosition="0"/>
    </format>
    <format dxfId="3074">
      <pivotArea field="2" type="button" dataOnly="0" labelOnly="1" outline="0" axis="axisRow" fieldPosition="1"/>
    </format>
    <format dxfId="3073">
      <pivotArea field="3" type="button" dataOnly="0" labelOnly="1" outline="0" axis="axisRow" fieldPosition="2"/>
    </format>
    <format dxfId="3072">
      <pivotArea field="4" type="button" dataOnly="0" labelOnly="1" outline="0" axis="axisRow" fieldPosition="3"/>
    </format>
    <format dxfId="3071">
      <pivotArea field="5" type="button" dataOnly="0" labelOnly="1" outline="0" axis="axisRow" fieldPosition="4"/>
    </format>
    <format dxfId="3070">
      <pivotArea field="7" type="button" dataOnly="0" labelOnly="1" outline="0"/>
    </format>
    <format dxfId="3069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3068">
      <pivotArea dataOnly="0" labelOnly="1" grandRow="1" outline="0" fieldPosition="0"/>
    </format>
    <format dxfId="3067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3066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3065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3064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3063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3062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3061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3060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3059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3058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3057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3056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3055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3054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3053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3052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3051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3050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3049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3048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3047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3046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3045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3044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3043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3042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304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304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303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038">
      <pivotArea type="all" dataOnly="0" outline="0" fieldPosition="0"/>
    </format>
    <format dxfId="3037">
      <pivotArea outline="0" collapsedLevelsAreSubtotals="1" fieldPosition="0"/>
    </format>
    <format dxfId="3036">
      <pivotArea type="origin" dataOnly="0" labelOnly="1" outline="0" fieldPosition="0"/>
    </format>
    <format dxfId="3035">
      <pivotArea field="-2" type="button" dataOnly="0" labelOnly="1" outline="0" axis="axisCol" fieldPosition="0"/>
    </format>
    <format dxfId="3034">
      <pivotArea type="topRight" dataOnly="0" labelOnly="1" outline="0" fieldPosition="0"/>
    </format>
    <format dxfId="3033">
      <pivotArea field="1" type="button" dataOnly="0" labelOnly="1" outline="0" axis="axisRow" fieldPosition="0"/>
    </format>
    <format dxfId="3032">
      <pivotArea field="2" type="button" dataOnly="0" labelOnly="1" outline="0" axis="axisRow" fieldPosition="1"/>
    </format>
    <format dxfId="3031">
      <pivotArea field="3" type="button" dataOnly="0" labelOnly="1" outline="0" axis="axisRow" fieldPosition="2"/>
    </format>
    <format dxfId="3030">
      <pivotArea field="4" type="button" dataOnly="0" labelOnly="1" outline="0" axis="axisRow" fieldPosition="3"/>
    </format>
    <format dxfId="3029">
      <pivotArea field="5" type="button" dataOnly="0" labelOnly="1" outline="0" axis="axisRow" fieldPosition="4"/>
    </format>
    <format dxfId="3028">
      <pivotArea field="7" type="button" dataOnly="0" labelOnly="1" outline="0"/>
    </format>
    <format dxfId="3027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3026">
      <pivotArea dataOnly="0" labelOnly="1" grandRow="1" outline="0" fieldPosition="0"/>
    </format>
    <format dxfId="3025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3024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3023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3022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3021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3020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3019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3018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3017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3016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3015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3014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3013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3012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3011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3010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3009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3008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3007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3006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3005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3004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3003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3002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3001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3000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299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299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299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996">
      <pivotArea field="1" type="button" dataOnly="0" labelOnly="1" outline="0" axis="axisRow" fieldPosition="0"/>
    </format>
    <format dxfId="2995">
      <pivotArea field="2" type="button" dataOnly="0" labelOnly="1" outline="0" axis="axisRow" fieldPosition="1"/>
    </format>
    <format dxfId="2994">
      <pivotArea field="3" type="button" dataOnly="0" labelOnly="1" outline="0" axis="axisRow" fieldPosition="2"/>
    </format>
    <format dxfId="2993">
      <pivotArea field="4" type="button" dataOnly="0" labelOnly="1" outline="0" axis="axisRow" fieldPosition="3"/>
    </format>
    <format dxfId="2992">
      <pivotArea field="5" type="button" dataOnly="0" labelOnly="1" outline="0" axis="axisRow" fieldPosition="4"/>
    </format>
    <format dxfId="2991">
      <pivotArea field="7" type="button" dataOnly="0" labelOnly="1" outline="0"/>
    </format>
    <format dxfId="2990">
      <pivotArea field="1" type="button" dataOnly="0" labelOnly="1" outline="0" axis="axisRow" fieldPosition="0"/>
    </format>
    <format dxfId="2989">
      <pivotArea field="2" type="button" dataOnly="0" labelOnly="1" outline="0" axis="axisRow" fieldPosition="1"/>
    </format>
    <format dxfId="2988">
      <pivotArea field="3" type="button" dataOnly="0" labelOnly="1" outline="0" axis="axisRow" fieldPosition="2"/>
    </format>
    <format dxfId="2987">
      <pivotArea field="4" type="button" dataOnly="0" labelOnly="1" outline="0" axis="axisRow" fieldPosition="3"/>
    </format>
    <format dxfId="2986">
      <pivotArea field="5" type="button" dataOnly="0" labelOnly="1" outline="0" axis="axisRow" fieldPosition="4"/>
    </format>
    <format dxfId="2985">
      <pivotArea field="1" type="button" dataOnly="0" labelOnly="1" outline="0" axis="axisRow" fieldPosition="0"/>
    </format>
    <format dxfId="2984">
      <pivotArea field="2" type="button" dataOnly="0" labelOnly="1" outline="0" axis="axisRow" fieldPosition="1"/>
    </format>
    <format dxfId="2983">
      <pivotArea field="3" type="button" dataOnly="0" labelOnly="1" outline="0" axis="axisRow" fieldPosition="2"/>
    </format>
    <format dxfId="2982">
      <pivotArea field="4" type="button" dataOnly="0" labelOnly="1" outline="0" axis="axisRow" fieldPosition="3"/>
    </format>
    <format dxfId="2981">
      <pivotArea field="5" type="button" dataOnly="0" labelOnly="1" outline="0" axis="axisRow" fieldPosition="4"/>
    </format>
    <format dxfId="2980">
      <pivotArea type="topRight" dataOnly="0" labelOnly="1" outline="0" offset="E1:G1" fieldPosition="0"/>
    </format>
    <format dxfId="297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978">
      <pivotArea type="topRight" dataOnly="0" labelOnly="1" outline="0" offset="B1:D1" fieldPosition="0"/>
    </format>
    <format dxfId="297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76">
      <pivotArea field="-2" type="button" dataOnly="0" labelOnly="1" outline="0" axis="axisCol" fieldPosition="0"/>
    </format>
    <format dxfId="2975">
      <pivotArea type="topRight" dataOnly="0" labelOnly="1" outline="0" offset="A1" fieldPosition="0"/>
    </format>
    <format dxfId="297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73">
      <pivotArea field="-2" type="button" dataOnly="0" labelOnly="1" outline="0" axis="axisCol" fieldPosition="0"/>
    </format>
    <format dxfId="2972">
      <pivotArea type="topRight" dataOnly="0" labelOnly="1" outline="0" fieldPosition="0"/>
    </format>
    <format dxfId="297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97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6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968">
      <pivotArea field="-2" type="button" dataOnly="0" labelOnly="1" outline="0" axis="axisCol" fieldPosition="0"/>
    </format>
    <format dxfId="2967">
      <pivotArea type="topRight" dataOnly="0" labelOnly="1" outline="0" offset="A1:G1" fieldPosition="0"/>
    </format>
    <format dxfId="2966">
      <pivotArea field="7" type="button" dataOnly="0" labelOnly="1" outline="0"/>
    </format>
    <format dxfId="2965">
      <pivotArea field="7" type="button" dataOnly="0" labelOnly="1" outline="0"/>
    </format>
    <format dxfId="2964">
      <pivotArea type="all" dataOnly="0" outline="0" fieldPosition="0"/>
    </format>
    <format dxfId="2963">
      <pivotArea outline="0" collapsedLevelsAreSubtotals="1" fieldPosition="0"/>
    </format>
    <format dxfId="2962">
      <pivotArea type="origin" dataOnly="0" labelOnly="1" outline="0" fieldPosition="0"/>
    </format>
    <format dxfId="2961">
      <pivotArea field="-2" type="button" dataOnly="0" labelOnly="1" outline="0" axis="axisCol" fieldPosition="0"/>
    </format>
    <format dxfId="2960">
      <pivotArea type="topRight" dataOnly="0" labelOnly="1" outline="0" fieldPosition="0"/>
    </format>
    <format dxfId="2959">
      <pivotArea field="1" type="button" dataOnly="0" labelOnly="1" outline="0" axis="axisRow" fieldPosition="0"/>
    </format>
    <format dxfId="2958">
      <pivotArea field="2" type="button" dataOnly="0" labelOnly="1" outline="0" axis="axisRow" fieldPosition="1"/>
    </format>
    <format dxfId="2957">
      <pivotArea field="3" type="button" dataOnly="0" labelOnly="1" outline="0" axis="axisRow" fieldPosition="2"/>
    </format>
    <format dxfId="2956">
      <pivotArea field="4" type="button" dataOnly="0" labelOnly="1" outline="0" axis="axisRow" fieldPosition="3"/>
    </format>
    <format dxfId="2955">
      <pivotArea field="5" type="button" dataOnly="0" labelOnly="1" outline="0" axis="axisRow" fieldPosition="4"/>
    </format>
    <format dxfId="2954">
      <pivotArea dataOnly="0" labelOnly="1" outline="0" fieldPosition="0">
        <references count="1">
          <reference field="1" count="1">
            <x v="0"/>
          </reference>
        </references>
      </pivotArea>
    </format>
    <format dxfId="2953">
      <pivotArea dataOnly="0" labelOnly="1" grandRow="1" outline="0" fieldPosition="0"/>
    </format>
    <format dxfId="2952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2951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295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294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294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947">
      <pivotArea type="all" dataOnly="0" outline="0" fieldPosition="0"/>
    </format>
    <format dxfId="2946">
      <pivotArea outline="0" collapsedLevelsAreSubtotals="1" fieldPosition="0"/>
    </format>
    <format dxfId="2945">
      <pivotArea type="origin" dataOnly="0" labelOnly="1" outline="0" fieldPosition="0"/>
    </format>
    <format dxfId="2944">
      <pivotArea field="-2" type="button" dataOnly="0" labelOnly="1" outline="0" axis="axisCol" fieldPosition="0"/>
    </format>
    <format dxfId="2943">
      <pivotArea type="topRight" dataOnly="0" labelOnly="1" outline="0" fieldPosition="0"/>
    </format>
    <format dxfId="2942">
      <pivotArea field="1" type="button" dataOnly="0" labelOnly="1" outline="0" axis="axisRow" fieldPosition="0"/>
    </format>
    <format dxfId="2941">
      <pivotArea field="2" type="button" dataOnly="0" labelOnly="1" outline="0" axis="axisRow" fieldPosition="1"/>
    </format>
    <format dxfId="2940">
      <pivotArea field="3" type="button" dataOnly="0" labelOnly="1" outline="0" axis="axisRow" fieldPosition="2"/>
    </format>
    <format dxfId="2939">
      <pivotArea field="4" type="button" dataOnly="0" labelOnly="1" outline="0" axis="axisRow" fieldPosition="3"/>
    </format>
    <format dxfId="2938">
      <pivotArea field="5" type="button" dataOnly="0" labelOnly="1" outline="0" axis="axisRow" fieldPosition="4"/>
    </format>
    <format dxfId="2937">
      <pivotArea dataOnly="0" labelOnly="1" outline="0" fieldPosition="0">
        <references count="1">
          <reference field="1" count="34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37"/>
            <x v="47"/>
            <x v="48"/>
            <x v="49"/>
            <x v="50"/>
            <x v="52"/>
          </reference>
        </references>
      </pivotArea>
    </format>
    <format dxfId="2936">
      <pivotArea dataOnly="0" labelOnly="1" grandRow="1" outline="0" fieldPosition="0"/>
    </format>
    <format dxfId="2935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2934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2933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2932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2931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2930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2929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2928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2927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2926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2925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2924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2923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2922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2921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2920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2919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2918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2917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2916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2915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2914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2913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2912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291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910">
      <pivotArea field="6" type="button" dataOnly="0" labelOnly="1" outline="0" axis="axisRow" fieldPosition="5"/>
    </format>
    <format dxfId="2909">
      <pivotArea field="6" type="button" dataOnly="0" labelOnly="1" outline="0" axis="axisRow" fieldPosition="5"/>
    </format>
    <format dxfId="2908">
      <pivotArea field="6" type="button" dataOnly="0" labelOnly="1" outline="0" axis="axisRow" fieldPosition="5"/>
    </format>
    <format dxfId="2907">
      <pivotArea field="6" type="button" dataOnly="0" labelOnly="1" outline="0" axis="axisRow" fieldPosition="5"/>
    </format>
    <format dxfId="2906">
      <pivotArea type="all" dataOnly="0" outline="0" fieldPosition="0"/>
    </format>
    <format dxfId="2905">
      <pivotArea type="origin" dataOnly="0" labelOnly="1" outline="0" fieldPosition="0"/>
    </format>
    <format dxfId="2904">
      <pivotArea field="1" type="button" dataOnly="0" labelOnly="1" outline="0" axis="axisRow" fieldPosition="0"/>
    </format>
    <format dxfId="2903">
      <pivotArea field="2" type="button" dataOnly="0" labelOnly="1" outline="0" axis="axisRow" fieldPosition="1"/>
    </format>
    <format dxfId="2902">
      <pivotArea field="3" type="button" dataOnly="0" labelOnly="1" outline="0" axis="axisRow" fieldPosition="2"/>
    </format>
    <format dxfId="2901">
      <pivotArea field="4" type="button" dataOnly="0" labelOnly="1" outline="0" axis="axisRow" fieldPosition="3"/>
    </format>
    <format dxfId="2900">
      <pivotArea field="5" type="button" dataOnly="0" labelOnly="1" outline="0" axis="axisRow" fieldPosition="4"/>
    </format>
    <format dxfId="2899">
      <pivotArea field="6" type="button" dataOnly="0" labelOnly="1" outline="0" axis="axisRow" fieldPosition="5"/>
    </format>
    <format dxfId="2898">
      <pivotArea dataOnly="0" labelOnly="1" grandRow="1" outline="0" fieldPosition="0"/>
    </format>
    <format dxfId="2897">
      <pivotArea field="-2" type="button" dataOnly="0" labelOnly="1" outline="0" axis="axisCol" fieldPosition="0"/>
    </format>
    <format dxfId="2896">
      <pivotArea type="all" dataOnly="0" outline="0" fieldPosition="0"/>
    </format>
    <format dxfId="2895">
      <pivotArea outline="0" collapsedLevelsAreSubtotals="1" fieldPosition="0"/>
    </format>
    <format dxfId="2894">
      <pivotArea type="origin" dataOnly="0" labelOnly="1" outline="0" fieldPosition="0"/>
    </format>
    <format dxfId="2893">
      <pivotArea field="-2" type="button" dataOnly="0" labelOnly="1" outline="0" axis="axisCol" fieldPosition="0"/>
    </format>
    <format dxfId="2892">
      <pivotArea type="topRight" dataOnly="0" labelOnly="1" outline="0" fieldPosition="0"/>
    </format>
    <format dxfId="2891">
      <pivotArea field="1" type="button" dataOnly="0" labelOnly="1" outline="0" axis="axisRow" fieldPosition="0"/>
    </format>
    <format dxfId="2890">
      <pivotArea field="2" type="button" dataOnly="0" labelOnly="1" outline="0" axis="axisRow" fieldPosition="1"/>
    </format>
    <format dxfId="2889">
      <pivotArea field="3" type="button" dataOnly="0" labelOnly="1" outline="0" axis="axisRow" fieldPosition="2"/>
    </format>
    <format dxfId="2888">
      <pivotArea field="4" type="button" dataOnly="0" labelOnly="1" outline="0" axis="axisRow" fieldPosition="3"/>
    </format>
    <format dxfId="2887">
      <pivotArea field="5" type="button" dataOnly="0" labelOnly="1" outline="0" axis="axisRow" fieldPosition="4"/>
    </format>
    <format dxfId="2886">
      <pivotArea field="6" type="button" dataOnly="0" labelOnly="1" outline="0" axis="axisRow" fieldPosition="5"/>
    </format>
    <format dxfId="2885">
      <pivotArea dataOnly="0" labelOnly="1" outline="0" fieldPosition="0">
        <references count="1">
          <reference field="1" count="3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2"/>
            <x v="23"/>
            <x v="24"/>
            <x v="25"/>
            <x v="26"/>
            <x v="27"/>
            <x v="30"/>
            <x v="33"/>
            <x v="34"/>
            <x v="35"/>
            <x v="36"/>
            <x v="37"/>
            <x v="38"/>
            <x v="47"/>
            <x v="48"/>
            <x v="49"/>
            <x v="50"/>
            <x v="52"/>
          </reference>
        </references>
      </pivotArea>
    </format>
    <format dxfId="2884">
      <pivotArea dataOnly="0" labelOnly="1" grandRow="1" outline="0" fieldPosition="0"/>
    </format>
    <format dxfId="2883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2882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2881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2880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2879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2878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2877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2876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2875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2874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2873">
      <pivotArea dataOnly="0" labelOnly="1" outline="0" fieldPosition="0">
        <references count="2">
          <reference field="1" count="1" selected="0">
            <x v="20"/>
          </reference>
          <reference field="2" count="1">
            <x v="18"/>
          </reference>
        </references>
      </pivotArea>
    </format>
    <format dxfId="2872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2871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2870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2869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2868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2867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2866">
      <pivotArea dataOnly="0" labelOnly="1" outline="0" fieldPosition="0">
        <references count="2">
          <reference field="1" count="1" selected="0">
            <x v="37"/>
          </reference>
          <reference field="2" count="1">
            <x v="19"/>
          </reference>
        </references>
      </pivotArea>
    </format>
    <format dxfId="2865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2864">
      <pivotArea dataOnly="0" labelOnly="1" outline="0" fieldPosition="0">
        <references count="2">
          <reference field="1" count="1" selected="0">
            <x v="49"/>
          </reference>
          <reference field="2" count="1">
            <x v="20"/>
          </reference>
        </references>
      </pivotArea>
    </format>
    <format dxfId="2863">
      <pivotArea dataOnly="0" labelOnly="1" outline="0" fieldPosition="0">
        <references count="2">
          <reference field="1" count="1" selected="0">
            <x v="50"/>
          </reference>
          <reference field="2" count="1">
            <x v="21"/>
          </reference>
        </references>
      </pivotArea>
    </format>
    <format dxfId="2862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2861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2860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2859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2858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2857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2856">
      <pivotArea dataOnly="0" labelOnly="1" outline="0" fieldPosition="0">
        <references count="3">
          <reference field="1" count="1" selected="0">
            <x v="37"/>
          </reference>
          <reference field="2" count="1" selected="0">
            <x v="19"/>
          </reference>
          <reference field="3" count="1">
            <x v="8"/>
          </reference>
        </references>
      </pivotArea>
    </format>
    <format dxfId="2855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2854">
      <pivotArea dataOnly="0" labelOnly="1" outline="0" fieldPosition="0">
        <references count="3">
          <reference field="1" count="1" selected="0">
            <x v="49"/>
          </reference>
          <reference field="2" count="1" selected="0">
            <x v="20"/>
          </reference>
          <reference field="3" count="1">
            <x v="16"/>
          </reference>
        </references>
      </pivotArea>
    </format>
    <format dxfId="285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852">
      <pivotArea field="6" type="button" dataOnly="0" labelOnly="1" outline="0" axis="axisRow" fieldPosition="5"/>
    </format>
    <format dxfId="2851">
      <pivotArea field="1" type="button" dataOnly="0" labelOnly="1" outline="0" axis="axisRow" fieldPosition="0"/>
    </format>
    <format dxfId="2850">
      <pivotArea field="2" type="button" dataOnly="0" labelOnly="1" outline="0" axis="axisRow" fieldPosition="1"/>
    </format>
    <format dxfId="2849">
      <pivotArea field="3" type="button" dataOnly="0" labelOnly="1" outline="0" axis="axisRow" fieldPosition="2"/>
    </format>
    <format dxfId="2848">
      <pivotArea field="4" type="button" dataOnly="0" labelOnly="1" outline="0" axis="axisRow" fieldPosition="3"/>
    </format>
    <format dxfId="2847">
      <pivotArea field="5" type="button" dataOnly="0" labelOnly="1" outline="0" axis="axisRow" fieldPosition="4"/>
    </format>
    <format dxfId="2846">
      <pivotArea field="6" type="button" dataOnly="0" labelOnly="1" outline="0" axis="axisRow" fieldPosition="5"/>
    </format>
    <format dxfId="2845">
      <pivotArea type="origin" dataOnly="0" labelOnly="1" outline="0" fieldPosition="0"/>
    </format>
    <format dxfId="2844">
      <pivotArea field="-2" type="button" dataOnly="0" labelOnly="1" outline="0" axis="axisCol" fieldPosition="0"/>
    </format>
    <format dxfId="2843">
      <pivotArea type="topRight" dataOnly="0" labelOnly="1" outline="0" fieldPosition="0"/>
    </format>
    <format dxfId="2842">
      <pivotArea type="topRight" dataOnly="0" labelOnly="1" outline="0" fieldPosition="0"/>
    </format>
    <format dxfId="2841">
      <pivotArea field="-2" type="button" dataOnly="0" labelOnly="1" outline="0" axis="axisCol" fieldPosition="0"/>
    </format>
    <format dxfId="2840">
      <pivotArea field="-2" type="button" dataOnly="0" labelOnly="1" outline="0" axis="axisCol" fieldPosition="0"/>
    </format>
    <format dxfId="2839">
      <pivotArea field="-2" type="button" dataOnly="0" labelOnly="1" outline="0" axis="axisCol" fieldPosition="0"/>
    </format>
    <format dxfId="2838">
      <pivotArea field="-2" type="button" dataOnly="0" labelOnly="1" outline="0" axis="axisCol" fieldPosition="0"/>
    </format>
    <format dxfId="2837">
      <pivotArea field="-2" type="button" dataOnly="0" labelOnly="1" outline="0" axis="axisCol" fieldPosition="0"/>
    </format>
    <format dxfId="2836">
      <pivotArea type="origin" dataOnly="0" labelOnly="1" outline="0" fieldPosition="0"/>
    </format>
    <format dxfId="2835">
      <pivotArea field="-2" type="button" dataOnly="0" labelOnly="1" outline="0" axis="axisCol" fieldPosition="0"/>
    </format>
    <format dxfId="2834">
      <pivotArea field="-2" type="button" dataOnly="0" labelOnly="1" outline="0" axis="axisCol" fieldPosition="0"/>
    </format>
    <format dxfId="2833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2832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2831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2830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2829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2828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2827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2826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2825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2824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2823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2822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2821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2820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2819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2818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2817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2816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2815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2814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2813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2812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2811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2810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2809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  <format dxfId="2808">
      <pivotArea field="0" type="button" dataOnly="0" labelOnly="1" outline="0" axis="axisCol" fieldPosition="1"/>
    </format>
    <format dxfId="2807">
      <pivotArea field="0" type="button" dataOnly="0" labelOnly="1" outline="0" axis="axisCol" fieldPosition="1"/>
    </format>
    <format dxfId="2806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2805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2804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2803">
      <pivotArea dataOnly="0" labelOnly="1" outline="0" fieldPosition="0">
        <references count="2">
          <reference field="4294967294" count="1" selected="0">
            <x v="3"/>
          </reference>
          <reference field="0" count="0"/>
        </references>
      </pivotArea>
    </format>
    <format dxfId="2802">
      <pivotArea dataOnly="0" labelOnly="1" outline="0" fieldPosition="0">
        <references count="2">
          <reference field="4294967294" count="1" selected="0">
            <x v="4"/>
          </reference>
          <reference field="0" count="0"/>
        </references>
      </pivotArea>
    </format>
  </formats>
  <pivotTableStyleInfo name="abcdef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25C70C-CF31-4CEC-816F-0393254312C8}" name="Tabela przestawna4" cacheId="13" applyNumberFormats="0" applyBorderFormats="0" applyFontFormats="0" applyPatternFormats="0" applyAlignmentFormats="0" applyWidthHeightFormats="1" dataCaption="Wartości" updatedVersion="6" minRefreshableVersion="3" showDrill="0" rowGrandTotals="0" colGrandTotals="0" itemPrintTitles="1" createdVersion="6" indent="0" outline="1" outlineData="1" multipleFieldFilters="0" chartFormat="1" rowHeaderCaption="Rodzaj _x000a_zmian:">
  <location ref="Z7:AF13" firstHeaderRow="0" firstDataRow="1" firstDataCol="2"/>
  <pivotFields count="26">
    <pivotField axis="axisRow" outline="0" subtotalTop="0" showAll="0" defaultSubtotal="0">
      <items count="4">
        <item h="1" x="0"/>
        <item x="3"/>
        <item x="2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name="P, czy U?" axis="axisRow" outline="0" showAll="0" defaultSubtotal="0">
      <items count="4">
        <item h="1"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showAll="0" defaultSubtotal="0"/>
    <pivotField showAll="0" defaultSubtotal="0"/>
    <pivotField subtotalTop="0" showAll="0" defaultSubtotal="0"/>
  </pivotFields>
  <rowFields count="2">
    <field x="0"/>
    <field x="6"/>
  </rowFields>
  <rowItems count="6">
    <i>
      <x v="1"/>
      <x v="1"/>
    </i>
    <i r="1">
      <x v="2"/>
    </i>
    <i r="1">
      <x v="3"/>
    </i>
    <i>
      <x v="2"/>
      <x v="1"/>
    </i>
    <i r="1">
      <x v="2"/>
    </i>
    <i r="1">
      <x v="3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Plany 2023" fld="12" baseField="6" baseItem="1"/>
    <dataField name="Plany 2024" fld="13" baseField="6" baseItem="1"/>
    <dataField name="Plany 2025" fld="14" baseField="6" baseItem="1"/>
    <dataField name="Plany 2026" fld="15" baseField="6" baseItem="1"/>
    <dataField name="Plany 2027" fld="16" baseField="6" baseItem="1"/>
  </dataFields>
  <formats count="19">
    <format dxfId="2167">
      <pivotArea type="all" dataOnly="0" outline="0" fieldPosition="0"/>
    </format>
    <format dxfId="2166">
      <pivotArea outline="0" collapsedLevelsAreSubtotals="1" fieldPosition="0"/>
    </format>
    <format dxfId="216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164">
      <pivotArea outline="0" collapsedLevelsAreSubtotals="1" fieldPosition="0"/>
    </format>
    <format dxfId="216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162">
      <pivotArea field="6" type="button" dataOnly="0" labelOnly="1" outline="0" axis="axisRow" fieldPosition="1"/>
    </format>
    <format dxfId="216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160">
      <pivotArea type="all" dataOnly="0" outline="0" fieldPosition="0"/>
    </format>
    <format dxfId="2159">
      <pivotArea outline="0" collapsedLevelsAreSubtotals="1" fieldPosition="0"/>
    </format>
    <format dxfId="2158">
      <pivotArea field="6" type="button" dataOnly="0" labelOnly="1" outline="0" axis="axisRow" fieldPosition="1"/>
    </format>
    <format dxfId="215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156">
      <pivotArea field="6" type="button" dataOnly="0" labelOnly="1" outline="0" axis="axisRow" fieldPosition="1"/>
    </format>
    <format dxfId="215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154">
      <pivotArea field="0" type="button" dataOnly="0" labelOnly="1" outline="0" axis="axisRow" fieldPosition="0"/>
    </format>
    <format dxfId="2153">
      <pivotArea field="0" type="button" dataOnly="0" labelOnly="1" outline="0" axis="axisRow" fieldPosition="0"/>
    </format>
    <format dxfId="2152">
      <pivotArea field="0" type="button" dataOnly="0" labelOnly="1" outline="0" axis="axisRow" fieldPosition="0"/>
    </format>
    <format dxfId="2151">
      <pivotArea field="0" type="button" dataOnly="0" labelOnly="1" outline="0" axis="axisRow" fieldPosition="0"/>
    </format>
    <format dxfId="2150">
      <pivotArea outline="0" collapsedLevelsAreSubtotals="1" fieldPosition="0">
        <references count="2">
          <reference field="0" count="1" selected="0">
            <x v="2"/>
          </reference>
          <reference field="6" count="2" selected="0">
            <x v="2"/>
            <x v="3"/>
          </reference>
        </references>
      </pivotArea>
    </format>
    <format dxfId="2149">
      <pivotArea outline="0" collapsedLevelsAreSubtotals="1" fieldPosition="0">
        <references count="2">
          <reference field="0" count="1" selected="0">
            <x v="1"/>
          </reference>
          <reference field="6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7B5E0C-B21A-413F-B5E0-0BCFF62814AA}" name="Tabela przestawna3" cacheId="13" dataPosition="0" applyNumberFormats="0" applyBorderFormats="0" applyFontFormats="0" applyPatternFormats="0" applyAlignmentFormats="0" applyWidthHeightFormats="1" dataCaption="Wartości" updatedVersion="6" minRefreshableVersion="3" showDrill="0" colGrandTotals="0" itemPrintTitles="1" createdVersion="6" indent="0" compact="0" compactData="0" multipleFieldFilters="0" chartFormat="1">
  <location ref="A7:Q170" firstHeaderRow="0" firstDataRow="1" firstDataCol="5" rowPageCount="1" colPageCount="1"/>
  <pivotFields count="26">
    <pivotField axis="axisPage" compact="0" outline="0" multipleItemSelectionAllowed="1" showAll="0">
      <items count="5">
        <item h="1" x="0"/>
        <item h="1" x="3"/>
        <item h="1" x="2"/>
        <item x="1"/>
        <item t="default"/>
      </items>
    </pivotField>
    <pivotField axis="axisRow" compact="0" outline="0" showAll="0" sortType="ascending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43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8"/>
        <item x="46"/>
        <item x="47"/>
        <item x="50"/>
        <item x="49"/>
        <item x="51"/>
        <item x="5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1">
        <item x="0"/>
        <item x="16"/>
        <item x="6"/>
        <item x="11"/>
        <item x="8"/>
        <item x="15"/>
        <item x="5"/>
        <item x="44"/>
        <item x="30"/>
        <item x="31"/>
        <item x="33"/>
        <item x="50"/>
        <item x="4"/>
        <item x="2"/>
        <item x="10"/>
        <item x="22"/>
        <item x="7"/>
        <item x="23"/>
        <item x="20"/>
        <item x="34"/>
        <item x="48"/>
        <item x="47"/>
        <item x="1"/>
        <item x="3"/>
        <item x="9"/>
        <item x="12"/>
        <item x="17"/>
        <item x="19"/>
        <item x="24"/>
        <item x="25"/>
        <item x="26"/>
        <item x="35"/>
        <item x="45"/>
        <item x="37"/>
        <item x="40"/>
        <item x="36"/>
        <item x="38"/>
        <item x="39"/>
        <item x="28"/>
        <item x="32"/>
        <item x="29"/>
        <item x="49"/>
        <item x="21"/>
        <item x="13"/>
        <item x="27"/>
        <item x="41"/>
        <item x="46"/>
        <item x="14"/>
        <item x="18"/>
        <item x="42"/>
        <item x="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">
        <item x="10"/>
        <item x="1"/>
        <item x="2"/>
        <item x="3"/>
        <item x="5"/>
        <item x="23"/>
        <item x="13"/>
        <item x="16"/>
        <item x="14"/>
        <item x="17"/>
        <item x="6"/>
        <item x="7"/>
        <item x="4"/>
        <item x="8"/>
        <item x="9"/>
        <item x="20"/>
        <item x="21"/>
        <item x="22"/>
        <item x="0"/>
        <item x="18"/>
        <item x="11"/>
        <item x="15"/>
        <item x="12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2">
        <item x="0"/>
        <item x="9"/>
        <item x="8"/>
        <item x="7"/>
        <item x="11"/>
        <item x="10"/>
        <item x="2"/>
        <item x="1"/>
        <item x="4"/>
        <item x="5"/>
        <item x="19"/>
        <item x="20"/>
        <item x="18"/>
        <item x="3"/>
        <item x="6"/>
        <item x="12"/>
        <item x="13"/>
        <item x="14"/>
        <item x="15"/>
        <item x="16"/>
        <item x="21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4"/>
        <item x="15"/>
        <item x="16"/>
        <item x="17"/>
        <item x="18"/>
        <item x="19"/>
        <item x="20"/>
        <item x="22"/>
        <item x="27"/>
        <item x="28"/>
        <item x="29"/>
        <item x="30"/>
        <item x="31"/>
        <item x="32"/>
        <item x="37"/>
        <item x="38"/>
        <item x="40"/>
        <item x="42"/>
        <item x="61"/>
        <item x="60"/>
        <item x="68"/>
        <item x="69"/>
        <item x="12"/>
        <item x="62"/>
        <item x="64"/>
        <item x="65"/>
        <item x="44"/>
        <item x="35"/>
        <item x="23"/>
        <item x="46"/>
        <item x="24"/>
        <item x="52"/>
        <item x="56"/>
        <item x="51"/>
        <item x="54"/>
        <item x="55"/>
        <item x="36"/>
        <item x="67"/>
        <item x="48"/>
        <item x="49"/>
        <item x="50"/>
        <item x="26"/>
        <item x="13"/>
        <item x="21"/>
        <item x="25"/>
        <item x="33"/>
        <item x="34"/>
        <item x="39"/>
        <item x="41"/>
        <item x="43"/>
        <item x="45"/>
        <item x="53"/>
        <item x="63"/>
        <item x="57"/>
        <item x="66"/>
        <item x="47"/>
        <item x="58"/>
        <item x="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/>
    <pivotField compact="0" outline="0" showAll="0"/>
    <pivotField compact="0" outline="0" showAll="0"/>
    <pivotField compact="0" outline="0" showAll="0"/>
  </pivotFields>
  <rowFields count="5">
    <field x="1"/>
    <field x="2"/>
    <field x="3"/>
    <field x="4"/>
    <field x="6"/>
  </rowFields>
  <rowItems count="163">
    <i>
      <x v="1"/>
      <x v="22"/>
      <x v="1"/>
      <x v="1"/>
      <x v="1"/>
    </i>
    <i r="4">
      <x v="2"/>
    </i>
    <i r="4">
      <x v="3"/>
    </i>
    <i>
      <x v="2"/>
      <x v="13"/>
      <x v="1"/>
      <x v="1"/>
      <x v="1"/>
    </i>
    <i r="4">
      <x v="2"/>
    </i>
    <i r="4">
      <x v="3"/>
    </i>
    <i>
      <x v="3"/>
      <x v="23"/>
      <x v="2"/>
      <x v="1"/>
      <x v="1"/>
    </i>
    <i r="4">
      <x v="2"/>
    </i>
    <i r="4">
      <x v="3"/>
    </i>
    <i>
      <x v="4"/>
      <x v="12"/>
      <x v="2"/>
      <x v="2"/>
      <x v="1"/>
    </i>
    <i r="4">
      <x v="2"/>
    </i>
    <i r="4">
      <x v="3"/>
    </i>
    <i>
      <x v="5"/>
      <x v="6"/>
      <x v="2"/>
      <x v="1"/>
      <x v="1"/>
    </i>
    <i r="4">
      <x v="2"/>
    </i>
    <i r="4">
      <x v="3"/>
    </i>
    <i>
      <x v="6"/>
      <x v="2"/>
      <x v="2"/>
      <x v="2"/>
      <x v="1"/>
    </i>
    <i r="4">
      <x v="2"/>
    </i>
    <i r="4">
      <x v="3"/>
    </i>
    <i>
      <x v="7"/>
      <x v="16"/>
      <x v="2"/>
      <x v="2"/>
      <x v="1"/>
    </i>
    <i r="4">
      <x v="2"/>
    </i>
    <i r="4">
      <x v="3"/>
    </i>
    <i>
      <x v="8"/>
      <x v="4"/>
      <x v="2"/>
      <x v="1"/>
      <x v="1"/>
    </i>
    <i r="4">
      <x v="2"/>
    </i>
    <i r="4">
      <x v="3"/>
    </i>
    <i>
      <x v="9"/>
      <x v="24"/>
      <x v="3"/>
      <x v="1"/>
      <x v="1"/>
    </i>
    <i r="4">
      <x v="2"/>
    </i>
    <i r="4">
      <x v="3"/>
    </i>
    <i>
      <x v="10"/>
      <x v="14"/>
      <x v="12"/>
      <x v="1"/>
      <x v="1"/>
    </i>
    <i r="4">
      <x v="2"/>
    </i>
    <i r="4">
      <x v="3"/>
    </i>
    <i>
      <x v="11"/>
      <x v="3"/>
      <x v="2"/>
      <x v="1"/>
      <x v="1"/>
    </i>
    <i r="4">
      <x v="2"/>
    </i>
    <i r="4">
      <x v="3"/>
    </i>
    <i>
      <x v="12"/>
      <x v="25"/>
      <x v="2"/>
      <x v="2"/>
      <x v="1"/>
    </i>
    <i r="4">
      <x v="2"/>
    </i>
    <i r="4">
      <x v="3"/>
    </i>
    <i>
      <x v="13"/>
      <x v="43"/>
      <x v="3"/>
      <x v="1"/>
      <x v="1"/>
    </i>
    <i r="4">
      <x v="2"/>
    </i>
    <i r="4">
      <x v="3"/>
    </i>
    <i>
      <x v="14"/>
      <x v="47"/>
      <x v="4"/>
      <x v="1"/>
      <x v="1"/>
    </i>
    <i r="4">
      <x v="2"/>
    </i>
    <i r="4">
      <x v="3"/>
    </i>
    <i>
      <x v="15"/>
      <x v="5"/>
      <x v="10"/>
      <x v="1"/>
      <x v="1"/>
    </i>
    <i r="4">
      <x v="2"/>
    </i>
    <i r="4">
      <x v="3"/>
    </i>
    <i>
      <x v="16"/>
      <x v="1"/>
      <x v="11"/>
      <x v="1"/>
      <x v="1"/>
    </i>
    <i r="4">
      <x v="2"/>
    </i>
    <i r="4">
      <x v="3"/>
    </i>
    <i>
      <x v="17"/>
      <x v="26"/>
      <x v="11"/>
      <x v="1"/>
      <x v="1"/>
    </i>
    <i r="4">
      <x v="2"/>
    </i>
    <i r="4">
      <x v="3"/>
    </i>
    <i>
      <x v="18"/>
      <x v="48"/>
      <x v="11"/>
      <x v="1"/>
      <x v="1"/>
    </i>
    <i r="4">
      <x v="2"/>
    </i>
    <i r="4">
      <x v="3"/>
    </i>
    <i>
      <x v="19"/>
      <x v="27"/>
      <x v="11"/>
      <x v="1"/>
      <x v="1"/>
    </i>
    <i r="4">
      <x v="2"/>
    </i>
    <i r="4">
      <x v="3"/>
    </i>
    <i>
      <x v="20"/>
      <x v="18"/>
      <x v="11"/>
      <x v="1"/>
      <x v="1"/>
    </i>
    <i r="4">
      <x v="2"/>
    </i>
    <i r="4">
      <x v="3"/>
    </i>
    <i>
      <x v="21"/>
      <x v="42"/>
      <x v="11"/>
      <x v="1"/>
      <x v="1"/>
    </i>
    <i r="4">
      <x v="2"/>
    </i>
    <i r="4">
      <x v="3"/>
    </i>
    <i>
      <x v="22"/>
      <x v="15"/>
      <x v="13"/>
      <x v="1"/>
      <x v="1"/>
    </i>
    <i r="4">
      <x v="2"/>
    </i>
    <i r="4">
      <x v="3"/>
    </i>
    <i>
      <x v="23"/>
      <x v="17"/>
      <x v="14"/>
      <x v="1"/>
      <x v="1"/>
    </i>
    <i r="4">
      <x v="2"/>
    </i>
    <i r="4">
      <x v="3"/>
    </i>
    <i>
      <x v="24"/>
      <x v="28"/>
      <x v="10"/>
      <x v="1"/>
      <x v="1"/>
    </i>
    <i r="4">
      <x v="2"/>
    </i>
    <i r="4">
      <x v="3"/>
    </i>
    <i>
      <x v="25"/>
      <x v="29"/>
      <x v="14"/>
      <x v="1"/>
      <x v="1"/>
    </i>
    <i r="4">
      <x v="2"/>
    </i>
    <i r="4">
      <x v="3"/>
    </i>
    <i>
      <x v="26"/>
      <x v="17"/>
      <x v="14"/>
      <x v="1"/>
      <x v="1"/>
    </i>
    <i r="4">
      <x v="2"/>
    </i>
    <i r="4">
      <x v="3"/>
    </i>
    <i>
      <x v="27"/>
      <x v="30"/>
      <x/>
      <x v="1"/>
      <x v="1"/>
    </i>
    <i r="4">
      <x v="2"/>
    </i>
    <i r="4">
      <x v="3"/>
    </i>
    <i>
      <x v="28"/>
      <x v="17"/>
      <x v="14"/>
      <x v="1"/>
      <x v="1"/>
    </i>
    <i r="4">
      <x v="2"/>
    </i>
    <i r="4">
      <x v="3"/>
    </i>
    <i>
      <x v="29"/>
      <x v="44"/>
      <x v="14"/>
      <x v="1"/>
      <x v="1"/>
    </i>
    <i r="4">
      <x v="2"/>
    </i>
    <i r="4">
      <x v="3"/>
    </i>
    <i>
      <x v="30"/>
      <x v="38"/>
      <x v="20"/>
      <x v="1"/>
      <x v="1"/>
    </i>
    <i r="4">
      <x v="2"/>
    </i>
    <i r="4">
      <x v="3"/>
    </i>
    <i>
      <x v="31"/>
      <x v="45"/>
      <x v="21"/>
      <x v="1"/>
      <x v="1"/>
    </i>
    <i r="4">
      <x v="2"/>
    </i>
    <i r="4">
      <x v="3"/>
    </i>
    <i>
      <x v="32"/>
      <x v="40"/>
      <x v="22"/>
      <x v="2"/>
      <x v="1"/>
    </i>
    <i r="4">
      <x v="2"/>
    </i>
    <i r="4">
      <x v="3"/>
    </i>
    <i>
      <x v="33"/>
      <x v="8"/>
      <x v="6"/>
      <x v="1"/>
      <x v="1"/>
    </i>
    <i r="4">
      <x v="2"/>
    </i>
    <i r="4">
      <x v="3"/>
    </i>
    <i>
      <x v="34"/>
      <x v="9"/>
      <x v="6"/>
      <x v="1"/>
      <x v="1"/>
    </i>
    <i r="4">
      <x v="2"/>
    </i>
    <i r="4">
      <x v="3"/>
    </i>
    <i>
      <x v="35"/>
      <x v="39"/>
      <x v="6"/>
      <x v="1"/>
      <x v="1"/>
    </i>
    <i r="4">
      <x v="2"/>
    </i>
    <i r="4">
      <x v="3"/>
    </i>
    <i>
      <x v="36"/>
      <x v="10"/>
      <x v="6"/>
      <x v="1"/>
      <x v="1"/>
    </i>
    <i r="4">
      <x v="2"/>
    </i>
    <i r="4">
      <x v="3"/>
    </i>
    <i>
      <x v="37"/>
      <x v="19"/>
      <x v="8"/>
      <x v="1"/>
      <x v="1"/>
    </i>
    <i r="4">
      <x v="2"/>
    </i>
    <i r="4">
      <x v="3"/>
    </i>
    <i>
      <x v="38"/>
      <x v="31"/>
      <x v="6"/>
      <x v="1"/>
      <x v="1"/>
    </i>
    <i r="4">
      <x v="2"/>
    </i>
    <i r="4">
      <x v="3"/>
    </i>
    <i r="3">
      <x v="3"/>
      <x v="1"/>
    </i>
    <i r="4">
      <x v="2"/>
    </i>
    <i r="4">
      <x v="3"/>
    </i>
    <i r="3">
      <x v="4"/>
      <x v="1"/>
    </i>
    <i r="4">
      <x v="2"/>
    </i>
    <i r="4">
      <x v="3"/>
    </i>
    <i>
      <x v="39"/>
      <x v="35"/>
      <x v="21"/>
      <x v="1"/>
      <x v="1"/>
    </i>
    <i r="4">
      <x v="2"/>
    </i>
    <i r="4">
      <x v="3"/>
    </i>
    <i>
      <x v="40"/>
      <x v="33"/>
      <x v="6"/>
      <x v="1"/>
      <x v="1"/>
    </i>
    <i r="4">
      <x v="2"/>
    </i>
    <i r="4">
      <x v="3"/>
    </i>
    <i>
      <x v="41"/>
      <x v="36"/>
      <x v="22"/>
      <x v="1"/>
      <x v="1"/>
    </i>
    <i r="4">
      <x v="2"/>
    </i>
    <i r="4">
      <x v="3"/>
    </i>
    <i>
      <x v="42"/>
      <x v="37"/>
      <x v="7"/>
      <x v="1"/>
      <x v="1"/>
    </i>
    <i r="4">
      <x v="2"/>
    </i>
    <i r="4">
      <x v="3"/>
    </i>
    <i>
      <x v="43"/>
      <x v="34"/>
      <x v="8"/>
      <x v="1"/>
      <x v="1"/>
    </i>
    <i r="4">
      <x v="2"/>
    </i>
    <i r="4">
      <x v="3"/>
    </i>
    <i>
      <x v="44"/>
      <x v="49"/>
      <x v="6"/>
      <x v="1"/>
      <x v="1"/>
    </i>
    <i r="4">
      <x v="2"/>
    </i>
    <i r="4">
      <x v="3"/>
    </i>
    <i>
      <x v="45"/>
      <x v="50"/>
      <x v="6"/>
      <x v="1"/>
      <x v="1"/>
    </i>
    <i r="4">
      <x v="2"/>
    </i>
    <i r="4">
      <x v="3"/>
    </i>
    <i>
      <x v="46"/>
      <x v="46"/>
      <x v="23"/>
      <x v="1"/>
      <x v="1"/>
    </i>
    <i r="4">
      <x v="2"/>
    </i>
    <i r="4">
      <x v="3"/>
    </i>
    <i>
      <x v="47"/>
      <x v="7"/>
      <x v="9"/>
      <x v="1"/>
      <x v="1"/>
    </i>
    <i r="4">
      <x v="2"/>
    </i>
    <i r="4">
      <x v="3"/>
    </i>
    <i>
      <x v="48"/>
      <x v="32"/>
      <x v="19"/>
      <x v="1"/>
      <x v="1"/>
    </i>
    <i r="4">
      <x v="2"/>
    </i>
    <i r="4">
      <x v="3"/>
    </i>
    <i>
      <x v="49"/>
      <x v="20"/>
      <x v="16"/>
      <x v="1"/>
      <x v="1"/>
    </i>
    <i r="4">
      <x v="2"/>
    </i>
    <i r="4">
      <x v="3"/>
    </i>
    <i>
      <x v="50"/>
      <x v="21"/>
      <x v="15"/>
      <x v="5"/>
      <x v="1"/>
    </i>
    <i r="4">
      <x v="2"/>
    </i>
    <i r="4">
      <x v="3"/>
    </i>
    <i>
      <x v="51"/>
      <x v="41"/>
      <x v="17"/>
      <x v="6"/>
      <x v="1"/>
    </i>
    <i r="4">
      <x v="2"/>
    </i>
    <i r="4">
      <x v="3"/>
    </i>
    <i>
      <x v="52"/>
      <x v="11"/>
      <x v="5"/>
      <x v="1"/>
      <x v="1"/>
    </i>
    <i r="4">
      <x v="2"/>
    </i>
    <i r="4">
      <x v="3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0" hier="-1"/>
  </pageFields>
  <dataFields count="12">
    <dataField name="Łączne nakłady finansowe " fld="10" baseField="6" baseItem="0"/>
    <dataField name="Plany _x000a_do 2022" fld="11" baseField="7" baseItem="1"/>
    <dataField name="Plan 2023" fld="12" baseField="3" baseItem="10"/>
    <dataField name="Plan 2024" fld="13" baseField="3" baseItem="10"/>
    <dataField name="Plan 2025" fld="14" baseField="3" baseItem="10"/>
    <dataField name="Plan 2026" fld="15" baseField="3" baseItem="10"/>
    <dataField name="Plan 2027" fld="16" baseField="3" baseItem="10"/>
    <dataField name="Plan 2028" fld="17" baseField="3" baseItem="10"/>
    <dataField name="Plan 2029" fld="18" baseField="3" baseItem="10"/>
    <dataField name="Plan 2030" fld="19" baseField="3" baseItem="10"/>
    <dataField name="Plan 2031" fld="20" baseField="3" baseItem="10"/>
    <dataField name="Plan 2032" fld="21" baseField="3" baseItem="10"/>
  </dataFields>
  <formats count="610">
    <format dxfId="2777">
      <pivotArea type="all" dataOnly="0" outline="0" fieldPosition="0"/>
    </format>
    <format dxfId="2776">
      <pivotArea outline="0" collapsedLevelsAreSubtotals="1" fieldPosition="0"/>
    </format>
    <format dxfId="2775">
      <pivotArea outline="0" collapsedLevelsAreSubtotals="1" fieldPosition="0"/>
    </format>
    <format dxfId="2774">
      <pivotArea type="all" dataOnly="0" outline="0" fieldPosition="0"/>
    </format>
    <format dxfId="2773">
      <pivotArea outline="0" collapsedLevelsAreSubtotals="1" fieldPosition="0"/>
    </format>
    <format dxfId="2772">
      <pivotArea dataOnly="0" labelOnly="1" grandRow="1" outline="0" fieldPosition="0"/>
    </format>
    <format dxfId="2771">
      <pivotArea type="all" dataOnly="0" outline="0" fieldPosition="0"/>
    </format>
    <format dxfId="2770">
      <pivotArea outline="0" collapsedLevelsAreSubtotals="1" fieldPosition="0"/>
    </format>
    <format dxfId="2769">
      <pivotArea field="1" type="button" dataOnly="0" labelOnly="1" outline="0" axis="axisRow" fieldPosition="0"/>
    </format>
    <format dxfId="2768">
      <pivotArea field="3" type="button" dataOnly="0" labelOnly="1" outline="0" axis="axisRow" fieldPosition="2"/>
    </format>
    <format dxfId="2767">
      <pivotArea field="4" type="button" dataOnly="0" labelOnly="1" outline="0" axis="axisRow" fieldPosition="3"/>
    </format>
    <format dxfId="2766">
      <pivotArea field="5" type="button" dataOnly="0" labelOnly="1" outline="0"/>
    </format>
    <format dxfId="2765">
      <pivotArea dataOnly="0" labelOnly="1" outline="0" fieldPosition="0">
        <references count="1">
          <reference field="1" count="0"/>
        </references>
      </pivotArea>
    </format>
    <format dxfId="2764">
      <pivotArea dataOnly="0" labelOnly="1" grandRow="1" outline="0" fieldPosition="0"/>
    </format>
    <format dxfId="2763">
      <pivotArea dataOnly="0" labelOnly="1" outline="0" fieldPosition="0">
        <references count="2">
          <reference field="1" count="1" selected="0">
            <x v="0"/>
          </reference>
          <reference field="3" count="1">
            <x v="18"/>
          </reference>
        </references>
      </pivotArea>
    </format>
    <format dxfId="2762">
      <pivotArea dataOnly="0" labelOnly="1" outline="0" fieldPosition="0">
        <references count="2">
          <reference field="1" count="1" selected="0">
            <x v="1"/>
          </reference>
          <reference field="3" count="1">
            <x v="1"/>
          </reference>
        </references>
      </pivotArea>
    </format>
    <format dxfId="2761">
      <pivotArea dataOnly="0" labelOnly="1" outline="0" fieldPosition="0">
        <references count="2">
          <reference field="1" count="1" selected="0">
            <x v="3"/>
          </reference>
          <reference field="3" count="1">
            <x v="2"/>
          </reference>
        </references>
      </pivotArea>
    </format>
    <format dxfId="2760">
      <pivotArea dataOnly="0" labelOnly="1" outline="0" fieldPosition="0">
        <references count="2">
          <reference field="1" count="1" selected="0">
            <x v="9"/>
          </reference>
          <reference field="3" count="1">
            <x v="3"/>
          </reference>
        </references>
      </pivotArea>
    </format>
    <format dxfId="2759">
      <pivotArea dataOnly="0" labelOnly="1" outline="0" fieldPosition="0">
        <references count="2">
          <reference field="1" count="1" selected="0">
            <x v="10"/>
          </reference>
          <reference field="3" count="1">
            <x v="12"/>
          </reference>
        </references>
      </pivotArea>
    </format>
    <format dxfId="2758">
      <pivotArea dataOnly="0" labelOnly="1" outline="0" fieldPosition="0">
        <references count="2">
          <reference field="1" count="1" selected="0">
            <x v="11"/>
          </reference>
          <reference field="3" count="1">
            <x v="2"/>
          </reference>
        </references>
      </pivotArea>
    </format>
    <format dxfId="2757">
      <pivotArea dataOnly="0" labelOnly="1" outline="0" fieldPosition="0">
        <references count="2">
          <reference field="1" count="1" selected="0">
            <x v="14"/>
          </reference>
          <reference field="3" count="1">
            <x v="4"/>
          </reference>
        </references>
      </pivotArea>
    </format>
    <format dxfId="2756">
      <pivotArea dataOnly="0" labelOnly="1" outline="0" fieldPosition="0">
        <references count="2">
          <reference field="1" count="1" selected="0">
            <x v="15"/>
          </reference>
          <reference field="3" count="1">
            <x v="10"/>
          </reference>
        </references>
      </pivotArea>
    </format>
    <format dxfId="2755">
      <pivotArea dataOnly="0" labelOnly="1" outline="0" fieldPosition="0">
        <references count="2">
          <reference field="1" count="1" selected="0">
            <x v="22"/>
          </reference>
          <reference field="3" count="1">
            <x v="13"/>
          </reference>
        </references>
      </pivotArea>
    </format>
    <format dxfId="2754">
      <pivotArea dataOnly="0" labelOnly="1" outline="0" fieldPosition="0">
        <references count="2">
          <reference field="1" count="1" selected="0">
            <x v="23"/>
          </reference>
          <reference field="3" count="1">
            <x v="14"/>
          </reference>
        </references>
      </pivotArea>
    </format>
    <format dxfId="2753">
      <pivotArea dataOnly="0" labelOnly="1" outline="0" fieldPosition="0">
        <references count="2">
          <reference field="1" count="1" selected="0">
            <x v="24"/>
          </reference>
          <reference field="3" count="1">
            <x v="10"/>
          </reference>
        </references>
      </pivotArea>
    </format>
    <format dxfId="2752">
      <pivotArea dataOnly="0" labelOnly="1" outline="0" fieldPosition="0">
        <references count="2">
          <reference field="1" count="1" selected="0">
            <x v="25"/>
          </reference>
          <reference field="3" count="1">
            <x v="14"/>
          </reference>
        </references>
      </pivotArea>
    </format>
    <format dxfId="2751">
      <pivotArea dataOnly="0" labelOnly="1" outline="0" fieldPosition="0">
        <references count="2">
          <reference field="1" count="1" selected="0">
            <x v="27"/>
          </reference>
          <reference field="3" count="1">
            <x v="0"/>
          </reference>
        </references>
      </pivotArea>
    </format>
    <format dxfId="2750">
      <pivotArea dataOnly="0" labelOnly="1" outline="0" fieldPosition="0">
        <references count="2">
          <reference field="1" count="1" selected="0">
            <x v="35"/>
          </reference>
          <reference field="3" count="1">
            <x v="6"/>
          </reference>
        </references>
      </pivotArea>
    </format>
    <format dxfId="2749">
      <pivotArea dataOnly="0" labelOnly="1" outline="0" fieldPosition="0">
        <references count="2">
          <reference field="1" count="1" selected="0">
            <x v="47"/>
          </reference>
          <reference field="3" count="1">
            <x v="9"/>
          </reference>
        </references>
      </pivotArea>
    </format>
    <format dxfId="2748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2747">
      <pivotArea dataOnly="0" labelOnly="1" outline="0" fieldPosition="0">
        <references count="1">
          <reference field="4294967294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74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745">
      <pivotArea dataOnly="0" labelOnly="1" outline="0" fieldPosition="0">
        <references count="1">
          <reference field="6" count="0"/>
        </references>
      </pivotArea>
    </format>
    <format dxfId="2744">
      <pivotArea field="3" type="button" dataOnly="0" labelOnly="1" outline="0" axis="axisRow" fieldPosition="2"/>
    </format>
    <format dxfId="2743">
      <pivotArea field="4" type="button" dataOnly="0" labelOnly="1" outline="0" axis="axisRow" fieldPosition="3"/>
    </format>
    <format dxfId="2742">
      <pivotArea dataOnly="0" labelOnly="1" outline="0" fieldPosition="0">
        <references count="1">
          <reference field="6" count="0"/>
        </references>
      </pivotArea>
    </format>
    <format dxfId="2741">
      <pivotArea field="3" type="button" dataOnly="0" labelOnly="1" outline="0" axis="axisRow" fieldPosition="2"/>
    </format>
    <format dxfId="2740">
      <pivotArea dataOnly="0" labelOnly="1" outline="0" fieldPosition="0">
        <references count="1">
          <reference field="6" count="0"/>
        </references>
      </pivotArea>
    </format>
    <format dxfId="2739">
      <pivotArea field="3" type="button" dataOnly="0" labelOnly="1" outline="0" axis="axisRow" fieldPosition="2"/>
    </format>
    <format dxfId="2738">
      <pivotArea field="4" type="button" dataOnly="0" labelOnly="1" outline="0" axis="axisRow" fieldPosition="3"/>
    </format>
    <format dxfId="2737">
      <pivotArea field="4" type="button" dataOnly="0" labelOnly="1" outline="0" axis="axisRow" fieldPosition="3"/>
    </format>
    <format dxfId="2736">
      <pivotArea dataOnly="0" labelOnly="1" outline="0" fieldPosition="0">
        <references count="1">
          <reference field="6" count="0"/>
        </references>
      </pivotArea>
    </format>
    <format dxfId="2735">
      <pivotArea field="3" type="button" dataOnly="0" labelOnly="1" outline="0" axis="axisRow" fieldPosition="2"/>
    </format>
    <format dxfId="2734">
      <pivotArea field="4" type="button" dataOnly="0" labelOnly="1" outline="0" axis="axisRow" fieldPosition="3"/>
    </format>
    <format dxfId="2733">
      <pivotArea dataOnly="0" labelOnly="1" outline="0" fieldPosition="0">
        <references count="1">
          <reference field="6" count="0"/>
        </references>
      </pivotArea>
    </format>
    <format dxfId="2732">
      <pivotArea field="3" type="button" dataOnly="0" labelOnly="1" outline="0" axis="axisRow" fieldPosition="2"/>
    </format>
    <format dxfId="2731">
      <pivotArea field="4" type="button" dataOnly="0" labelOnly="1" outline="0" axis="axisRow" fieldPosition="3"/>
    </format>
    <format dxfId="2730">
      <pivotArea type="all" dataOnly="0" outline="0" fieldPosition="0"/>
    </format>
    <format dxfId="2729">
      <pivotArea outline="0" collapsedLevelsAreSubtotals="1" fieldPosition="0"/>
    </format>
    <format dxfId="2728">
      <pivotArea field="1" type="button" dataOnly="0" labelOnly="1" outline="0" axis="axisRow" fieldPosition="0"/>
    </format>
    <format dxfId="2727">
      <pivotArea field="3" type="button" dataOnly="0" labelOnly="1" outline="0" axis="axisRow" fieldPosition="2"/>
    </format>
    <format dxfId="2726">
      <pivotArea field="4" type="button" dataOnly="0" labelOnly="1" outline="0" axis="axisRow" fieldPosition="3"/>
    </format>
    <format dxfId="2725">
      <pivotArea field="5" type="button" dataOnly="0" labelOnly="1" outline="0"/>
    </format>
    <format dxfId="2724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2723">
      <pivotArea dataOnly="0" labelOnly="1" grandRow="1" outline="0" fieldPosition="0"/>
    </format>
    <format dxfId="2722">
      <pivotArea dataOnly="0" labelOnly="1" outline="0" fieldPosition="0">
        <references count="2">
          <reference field="1" count="1" selected="0">
            <x v="0"/>
          </reference>
          <reference field="3" count="1">
            <x v="18"/>
          </reference>
        </references>
      </pivotArea>
    </format>
    <format dxfId="2721">
      <pivotArea dataOnly="0" labelOnly="1" outline="0" fieldPosition="0">
        <references count="2">
          <reference field="1" count="1" selected="0">
            <x v="1"/>
          </reference>
          <reference field="3" count="1">
            <x v="1"/>
          </reference>
        </references>
      </pivotArea>
    </format>
    <format dxfId="2720">
      <pivotArea dataOnly="0" labelOnly="1" outline="0" fieldPosition="0">
        <references count="2">
          <reference field="1" count="1" selected="0">
            <x v="3"/>
          </reference>
          <reference field="3" count="1">
            <x v="2"/>
          </reference>
        </references>
      </pivotArea>
    </format>
    <format dxfId="2719">
      <pivotArea dataOnly="0" labelOnly="1" outline="0" fieldPosition="0">
        <references count="2">
          <reference field="1" count="1" selected="0">
            <x v="9"/>
          </reference>
          <reference field="3" count="1">
            <x v="3"/>
          </reference>
        </references>
      </pivotArea>
    </format>
    <format dxfId="2718">
      <pivotArea dataOnly="0" labelOnly="1" outline="0" fieldPosition="0">
        <references count="2">
          <reference field="1" count="1" selected="0">
            <x v="10"/>
          </reference>
          <reference field="3" count="1">
            <x v="12"/>
          </reference>
        </references>
      </pivotArea>
    </format>
    <format dxfId="2717">
      <pivotArea dataOnly="0" labelOnly="1" outline="0" fieldPosition="0">
        <references count="2">
          <reference field="1" count="1" selected="0">
            <x v="11"/>
          </reference>
          <reference field="3" count="1">
            <x v="2"/>
          </reference>
        </references>
      </pivotArea>
    </format>
    <format dxfId="2716">
      <pivotArea dataOnly="0" labelOnly="1" outline="0" fieldPosition="0">
        <references count="2">
          <reference field="1" count="1" selected="0">
            <x v="14"/>
          </reference>
          <reference field="3" count="1">
            <x v="4"/>
          </reference>
        </references>
      </pivotArea>
    </format>
    <format dxfId="2715">
      <pivotArea dataOnly="0" labelOnly="1" outline="0" fieldPosition="0">
        <references count="2">
          <reference field="1" count="1" selected="0">
            <x v="15"/>
          </reference>
          <reference field="3" count="1">
            <x v="10"/>
          </reference>
        </references>
      </pivotArea>
    </format>
    <format dxfId="2714">
      <pivotArea dataOnly="0" labelOnly="1" outline="0" fieldPosition="0">
        <references count="2">
          <reference field="1" count="1" selected="0">
            <x v="22"/>
          </reference>
          <reference field="3" count="1">
            <x v="13"/>
          </reference>
        </references>
      </pivotArea>
    </format>
    <format dxfId="2713">
      <pivotArea dataOnly="0" labelOnly="1" outline="0" fieldPosition="0">
        <references count="2">
          <reference field="1" count="1" selected="0">
            <x v="23"/>
          </reference>
          <reference field="3" count="1">
            <x v="14"/>
          </reference>
        </references>
      </pivotArea>
    </format>
    <format dxfId="2712">
      <pivotArea dataOnly="0" labelOnly="1" outline="0" fieldPosition="0">
        <references count="2">
          <reference field="1" count="1" selected="0">
            <x v="24"/>
          </reference>
          <reference field="3" count="1">
            <x v="10"/>
          </reference>
        </references>
      </pivotArea>
    </format>
    <format dxfId="2711">
      <pivotArea dataOnly="0" labelOnly="1" outline="0" fieldPosition="0">
        <references count="2">
          <reference field="1" count="1" selected="0">
            <x v="25"/>
          </reference>
          <reference field="3" count="1">
            <x v="14"/>
          </reference>
        </references>
      </pivotArea>
    </format>
    <format dxfId="2710">
      <pivotArea dataOnly="0" labelOnly="1" outline="0" fieldPosition="0">
        <references count="2">
          <reference field="1" count="1" selected="0">
            <x v="27"/>
          </reference>
          <reference field="3" count="1">
            <x v="0"/>
          </reference>
        </references>
      </pivotArea>
    </format>
    <format dxfId="2709">
      <pivotArea dataOnly="0" labelOnly="1" outline="0" fieldPosition="0">
        <references count="2">
          <reference field="1" count="1" selected="0">
            <x v="35"/>
          </reference>
          <reference field="3" count="1">
            <x v="6"/>
          </reference>
        </references>
      </pivotArea>
    </format>
    <format dxfId="2708">
      <pivotArea dataOnly="0" labelOnly="1" outline="0" fieldPosition="0">
        <references count="2">
          <reference field="1" count="1" selected="0">
            <x v="47"/>
          </reference>
          <reference field="3" count="1">
            <x v="9"/>
          </reference>
        </references>
      </pivotArea>
    </format>
    <format dxfId="2707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2706">
      <pivotArea dataOnly="0" labelOnly="1" outline="0" fieldPosition="0">
        <references count="1">
          <reference field="4294967294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705">
      <pivotArea type="all" dataOnly="0" outline="0" fieldPosition="0"/>
    </format>
    <format dxfId="2704">
      <pivotArea outline="0" collapsedLevelsAreSubtotals="1" fieldPosition="0"/>
    </format>
    <format dxfId="2703">
      <pivotArea field="1" type="button" dataOnly="0" labelOnly="1" outline="0" axis="axisRow" fieldPosition="0"/>
    </format>
    <format dxfId="2702">
      <pivotArea field="3" type="button" dataOnly="0" labelOnly="1" outline="0" axis="axisRow" fieldPosition="2"/>
    </format>
    <format dxfId="2701">
      <pivotArea field="4" type="button" dataOnly="0" labelOnly="1" outline="0" axis="axisRow" fieldPosition="3"/>
    </format>
    <format dxfId="2700">
      <pivotArea field="5" type="button" dataOnly="0" labelOnly="1" outline="0"/>
    </format>
    <format dxfId="2699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2698">
      <pivotArea dataOnly="0" labelOnly="1" grandRow="1" outline="0" fieldPosition="0"/>
    </format>
    <format dxfId="2697">
      <pivotArea dataOnly="0" labelOnly="1" outline="0" fieldPosition="0">
        <references count="2">
          <reference field="1" count="1" selected="0">
            <x v="0"/>
          </reference>
          <reference field="3" count="1">
            <x v="18"/>
          </reference>
        </references>
      </pivotArea>
    </format>
    <format dxfId="2696">
      <pivotArea dataOnly="0" labelOnly="1" outline="0" fieldPosition="0">
        <references count="2">
          <reference field="1" count="1" selected="0">
            <x v="1"/>
          </reference>
          <reference field="3" count="1">
            <x v="1"/>
          </reference>
        </references>
      </pivotArea>
    </format>
    <format dxfId="2695">
      <pivotArea dataOnly="0" labelOnly="1" outline="0" fieldPosition="0">
        <references count="2">
          <reference field="1" count="1" selected="0">
            <x v="3"/>
          </reference>
          <reference field="3" count="1">
            <x v="2"/>
          </reference>
        </references>
      </pivotArea>
    </format>
    <format dxfId="2694">
      <pivotArea dataOnly="0" labelOnly="1" outline="0" fieldPosition="0">
        <references count="2">
          <reference field="1" count="1" selected="0">
            <x v="9"/>
          </reference>
          <reference field="3" count="1">
            <x v="3"/>
          </reference>
        </references>
      </pivotArea>
    </format>
    <format dxfId="2693">
      <pivotArea dataOnly="0" labelOnly="1" outline="0" fieldPosition="0">
        <references count="2">
          <reference field="1" count="1" selected="0">
            <x v="10"/>
          </reference>
          <reference field="3" count="1">
            <x v="12"/>
          </reference>
        </references>
      </pivotArea>
    </format>
    <format dxfId="2692">
      <pivotArea dataOnly="0" labelOnly="1" outline="0" fieldPosition="0">
        <references count="2">
          <reference field="1" count="1" selected="0">
            <x v="11"/>
          </reference>
          <reference field="3" count="1">
            <x v="2"/>
          </reference>
        </references>
      </pivotArea>
    </format>
    <format dxfId="2691">
      <pivotArea dataOnly="0" labelOnly="1" outline="0" fieldPosition="0">
        <references count="2">
          <reference field="1" count="1" selected="0">
            <x v="14"/>
          </reference>
          <reference field="3" count="1">
            <x v="4"/>
          </reference>
        </references>
      </pivotArea>
    </format>
    <format dxfId="2690">
      <pivotArea dataOnly="0" labelOnly="1" outline="0" fieldPosition="0">
        <references count="2">
          <reference field="1" count="1" selected="0">
            <x v="15"/>
          </reference>
          <reference field="3" count="1">
            <x v="10"/>
          </reference>
        </references>
      </pivotArea>
    </format>
    <format dxfId="2689">
      <pivotArea dataOnly="0" labelOnly="1" outline="0" fieldPosition="0">
        <references count="2">
          <reference field="1" count="1" selected="0">
            <x v="22"/>
          </reference>
          <reference field="3" count="1">
            <x v="13"/>
          </reference>
        </references>
      </pivotArea>
    </format>
    <format dxfId="2688">
      <pivotArea dataOnly="0" labelOnly="1" outline="0" fieldPosition="0">
        <references count="2">
          <reference field="1" count="1" selected="0">
            <x v="23"/>
          </reference>
          <reference field="3" count="1">
            <x v="14"/>
          </reference>
        </references>
      </pivotArea>
    </format>
    <format dxfId="2687">
      <pivotArea dataOnly="0" labelOnly="1" outline="0" fieldPosition="0">
        <references count="2">
          <reference field="1" count="1" selected="0">
            <x v="24"/>
          </reference>
          <reference field="3" count="1">
            <x v="10"/>
          </reference>
        </references>
      </pivotArea>
    </format>
    <format dxfId="2686">
      <pivotArea dataOnly="0" labelOnly="1" outline="0" fieldPosition="0">
        <references count="2">
          <reference field="1" count="1" selected="0">
            <x v="25"/>
          </reference>
          <reference field="3" count="1">
            <x v="14"/>
          </reference>
        </references>
      </pivotArea>
    </format>
    <format dxfId="2685">
      <pivotArea dataOnly="0" labelOnly="1" outline="0" fieldPosition="0">
        <references count="2">
          <reference field="1" count="1" selected="0">
            <x v="27"/>
          </reference>
          <reference field="3" count="1">
            <x v="0"/>
          </reference>
        </references>
      </pivotArea>
    </format>
    <format dxfId="2684">
      <pivotArea dataOnly="0" labelOnly="1" outline="0" fieldPosition="0">
        <references count="2">
          <reference field="1" count="1" selected="0">
            <x v="35"/>
          </reference>
          <reference field="3" count="1">
            <x v="6"/>
          </reference>
        </references>
      </pivotArea>
    </format>
    <format dxfId="2683">
      <pivotArea dataOnly="0" labelOnly="1" outline="0" fieldPosition="0">
        <references count="2">
          <reference field="1" count="1" selected="0">
            <x v="47"/>
          </reference>
          <reference field="3" count="1">
            <x v="9"/>
          </reference>
        </references>
      </pivotArea>
    </format>
    <format dxfId="2682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2681">
      <pivotArea dataOnly="0" labelOnly="1" outline="0" fieldPosition="0">
        <references count="1">
          <reference field="4294967294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80">
      <pivotArea type="all" dataOnly="0" outline="0" fieldPosition="0"/>
    </format>
    <format dxfId="2679">
      <pivotArea outline="0" collapsedLevelsAreSubtotals="1" fieldPosition="0"/>
    </format>
    <format dxfId="2678">
      <pivotArea field="1" type="button" dataOnly="0" labelOnly="1" outline="0" axis="axisRow" fieldPosition="0"/>
    </format>
    <format dxfId="2677">
      <pivotArea field="2" type="button" dataOnly="0" labelOnly="1" outline="0" axis="axisRow" fieldPosition="1"/>
    </format>
    <format dxfId="2676">
      <pivotArea field="3" type="button" dataOnly="0" labelOnly="1" outline="0" axis="axisRow" fieldPosition="2"/>
    </format>
    <format dxfId="2675">
      <pivotArea field="4" type="button" dataOnly="0" labelOnly="1" outline="0" axis="axisRow" fieldPosition="3"/>
    </format>
    <format dxfId="2674">
      <pivotArea field="5" type="button" dataOnly="0" labelOnly="1" outline="0"/>
    </format>
    <format dxfId="2673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2672">
      <pivotArea dataOnly="0" labelOnly="1" grandRow="1" outline="0" fieldPosition="0"/>
    </format>
    <format dxfId="2671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2670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2669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2668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2667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2666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2665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2664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2663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2662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2661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2660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2659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2658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2657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2656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2655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2654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2653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2652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2651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2650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2649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2648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2647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2646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264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2644">
      <pivotArea dataOnly="0" labelOnly="1" outline="0" fieldPosition="0">
        <references count="1">
          <reference field="4294967294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43">
      <pivotArea type="all" dataOnly="0" outline="0" fieldPosition="0"/>
    </format>
    <format dxfId="2642">
      <pivotArea outline="0" collapsedLevelsAreSubtotals="1" fieldPosition="0"/>
    </format>
    <format dxfId="2641">
      <pivotArea type="origin" dataOnly="0" labelOnly="1" outline="0" fieldPosition="0"/>
    </format>
    <format dxfId="2640">
      <pivotArea field="-2" type="button" dataOnly="0" labelOnly="1" outline="0" axis="axisCol" fieldPosition="0"/>
    </format>
    <format dxfId="2639">
      <pivotArea type="topRight" dataOnly="0" labelOnly="1" outline="0" fieldPosition="0"/>
    </format>
    <format dxfId="2638">
      <pivotArea field="1" type="button" dataOnly="0" labelOnly="1" outline="0" axis="axisRow" fieldPosition="0"/>
    </format>
    <format dxfId="2637">
      <pivotArea field="2" type="button" dataOnly="0" labelOnly="1" outline="0" axis="axisRow" fieldPosition="1"/>
    </format>
    <format dxfId="2636">
      <pivotArea field="3" type="button" dataOnly="0" labelOnly="1" outline="0" axis="axisRow" fieldPosition="2"/>
    </format>
    <format dxfId="2635">
      <pivotArea field="4" type="button" dataOnly="0" labelOnly="1" outline="0" axis="axisRow" fieldPosition="3"/>
    </format>
    <format dxfId="2634">
      <pivotArea field="5" type="button" dataOnly="0" labelOnly="1" outline="0"/>
    </format>
    <format dxfId="2633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2632">
      <pivotArea dataOnly="0" labelOnly="1" grandRow="1" outline="0" fieldPosition="0"/>
    </format>
    <format dxfId="2631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2630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2629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2628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2627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2626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2625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2624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2623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2622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2621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2620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2619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2618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2617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2616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2615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2614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2613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2612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2611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2610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2609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2608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2607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2606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260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2604">
      <pivotArea dataOnly="0" labelOnly="1" outline="0" fieldPosition="0">
        <references count="1">
          <reference field="4294967294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03">
      <pivotArea type="all" dataOnly="0" outline="0" fieldPosition="0"/>
    </format>
    <format dxfId="2602">
      <pivotArea outline="0" collapsedLevelsAreSubtotals="1" fieldPosition="0"/>
    </format>
    <format dxfId="2601">
      <pivotArea type="origin" dataOnly="0" labelOnly="1" outline="0" fieldPosition="0"/>
    </format>
    <format dxfId="2600">
      <pivotArea field="-2" type="button" dataOnly="0" labelOnly="1" outline="0" axis="axisCol" fieldPosition="0"/>
    </format>
    <format dxfId="2599">
      <pivotArea type="topRight" dataOnly="0" labelOnly="1" outline="0" fieldPosition="0"/>
    </format>
    <format dxfId="2598">
      <pivotArea field="1" type="button" dataOnly="0" labelOnly="1" outline="0" axis="axisRow" fieldPosition="0"/>
    </format>
    <format dxfId="2597">
      <pivotArea field="2" type="button" dataOnly="0" labelOnly="1" outline="0" axis="axisRow" fieldPosition="1"/>
    </format>
    <format dxfId="2596">
      <pivotArea field="3" type="button" dataOnly="0" labelOnly="1" outline="0" axis="axisRow" fieldPosition="2"/>
    </format>
    <format dxfId="2595">
      <pivotArea field="4" type="button" dataOnly="0" labelOnly="1" outline="0" axis="axisRow" fieldPosition="3"/>
    </format>
    <format dxfId="2594">
      <pivotArea field="5" type="button" dataOnly="0" labelOnly="1" outline="0"/>
    </format>
    <format dxfId="2593">
      <pivotArea field="7" type="button" dataOnly="0" labelOnly="1" outline="0"/>
    </format>
    <format dxfId="2592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2591">
      <pivotArea dataOnly="0" labelOnly="1" grandRow="1" outline="0" fieldPosition="0"/>
    </format>
    <format dxfId="2590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2589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2588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2587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2586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2585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2584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2583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2582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2581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2580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2579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2578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2577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2576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2575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2574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2573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2572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2571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2570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2569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2568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2567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2566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2565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256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2563">
      <pivotArea dataOnly="0" labelOnly="1" outline="0" fieldPosition="0">
        <references count="1">
          <reference field="4294967294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62">
      <pivotArea type="all" dataOnly="0" outline="0" fieldPosition="0"/>
    </format>
    <format dxfId="2561">
      <pivotArea outline="0" collapsedLevelsAreSubtotals="1" fieldPosition="0"/>
    </format>
    <format dxfId="2560">
      <pivotArea type="origin" dataOnly="0" labelOnly="1" outline="0" fieldPosition="0"/>
    </format>
    <format dxfId="2559">
      <pivotArea field="-2" type="button" dataOnly="0" labelOnly="1" outline="0" axis="axisCol" fieldPosition="0"/>
    </format>
    <format dxfId="2558">
      <pivotArea type="topRight" dataOnly="0" labelOnly="1" outline="0" fieldPosition="0"/>
    </format>
    <format dxfId="2557">
      <pivotArea field="1" type="button" dataOnly="0" labelOnly="1" outline="0" axis="axisRow" fieldPosition="0"/>
    </format>
    <format dxfId="2556">
      <pivotArea field="2" type="button" dataOnly="0" labelOnly="1" outline="0" axis="axisRow" fieldPosition="1"/>
    </format>
    <format dxfId="2555">
      <pivotArea field="3" type="button" dataOnly="0" labelOnly="1" outline="0" axis="axisRow" fieldPosition="2"/>
    </format>
    <format dxfId="2554">
      <pivotArea field="4" type="button" dataOnly="0" labelOnly="1" outline="0" axis="axisRow" fieldPosition="3"/>
    </format>
    <format dxfId="2553">
      <pivotArea field="5" type="button" dataOnly="0" labelOnly="1" outline="0"/>
    </format>
    <format dxfId="2552">
      <pivotArea field="7" type="button" dataOnly="0" labelOnly="1" outline="0"/>
    </format>
    <format dxfId="2551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2550">
      <pivotArea dataOnly="0" labelOnly="1" grandRow="1" outline="0" fieldPosition="0"/>
    </format>
    <format dxfId="2549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2548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2547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2546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2545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2544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2543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2542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2541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2540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2539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2538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2537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2536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2535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2534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2533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2532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2531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2530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2529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2528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2527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2526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2525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2524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252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2522">
      <pivotArea dataOnly="0" labelOnly="1" outline="0" fieldPosition="0">
        <references count="1">
          <reference field="4294967294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21">
      <pivotArea type="all" dataOnly="0" outline="0" fieldPosition="0"/>
    </format>
    <format dxfId="2520">
      <pivotArea outline="0" collapsedLevelsAreSubtotals="1" fieldPosition="0"/>
    </format>
    <format dxfId="2519">
      <pivotArea type="origin" dataOnly="0" labelOnly="1" outline="0" fieldPosition="0"/>
    </format>
    <format dxfId="2518">
      <pivotArea field="-2" type="button" dataOnly="0" labelOnly="1" outline="0" axis="axisCol" fieldPosition="0"/>
    </format>
    <format dxfId="2517">
      <pivotArea type="topRight" dataOnly="0" labelOnly="1" outline="0" fieldPosition="0"/>
    </format>
    <format dxfId="2516">
      <pivotArea field="1" type="button" dataOnly="0" labelOnly="1" outline="0" axis="axisRow" fieldPosition="0"/>
    </format>
    <format dxfId="2515">
      <pivotArea field="2" type="button" dataOnly="0" labelOnly="1" outline="0" axis="axisRow" fieldPosition="1"/>
    </format>
    <format dxfId="2514">
      <pivotArea field="3" type="button" dataOnly="0" labelOnly="1" outline="0" axis="axisRow" fieldPosition="2"/>
    </format>
    <format dxfId="2513">
      <pivotArea field="4" type="button" dataOnly="0" labelOnly="1" outline="0" axis="axisRow" fieldPosition="3"/>
    </format>
    <format dxfId="2512">
      <pivotArea field="5" type="button" dataOnly="0" labelOnly="1" outline="0"/>
    </format>
    <format dxfId="2511">
      <pivotArea field="7" type="button" dataOnly="0" labelOnly="1" outline="0"/>
    </format>
    <format dxfId="2510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2509">
      <pivotArea dataOnly="0" labelOnly="1" grandRow="1" outline="0" fieldPosition="0"/>
    </format>
    <format dxfId="2508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2507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2506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2505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2504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2503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2502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2501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2500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2499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2498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2497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2496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2495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2494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2493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2492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2491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2490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2489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2488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2487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2486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2485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2484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2483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248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2481">
      <pivotArea dataOnly="0" labelOnly="1" outline="0" fieldPosition="0">
        <references count="1">
          <reference field="4294967294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480">
      <pivotArea type="all" dataOnly="0" outline="0" fieldPosition="0"/>
    </format>
    <format dxfId="2479">
      <pivotArea outline="0" collapsedLevelsAreSubtotals="1" fieldPosition="0"/>
    </format>
    <format dxfId="2478">
      <pivotArea type="origin" dataOnly="0" labelOnly="1" outline="0" fieldPosition="0"/>
    </format>
    <format dxfId="2477">
      <pivotArea field="-2" type="button" dataOnly="0" labelOnly="1" outline="0" axis="axisCol" fieldPosition="0"/>
    </format>
    <format dxfId="2476">
      <pivotArea type="topRight" dataOnly="0" labelOnly="1" outline="0" fieldPosition="0"/>
    </format>
    <format dxfId="2475">
      <pivotArea field="1" type="button" dataOnly="0" labelOnly="1" outline="0" axis="axisRow" fieldPosition="0"/>
    </format>
    <format dxfId="2474">
      <pivotArea field="2" type="button" dataOnly="0" labelOnly="1" outline="0" axis="axisRow" fieldPosition="1"/>
    </format>
    <format dxfId="2473">
      <pivotArea field="3" type="button" dataOnly="0" labelOnly="1" outline="0" axis="axisRow" fieldPosition="2"/>
    </format>
    <format dxfId="2472">
      <pivotArea field="4" type="button" dataOnly="0" labelOnly="1" outline="0" axis="axisRow" fieldPosition="3"/>
    </format>
    <format dxfId="2471">
      <pivotArea field="5" type="button" dataOnly="0" labelOnly="1" outline="0"/>
    </format>
    <format dxfId="2470">
      <pivotArea field="7" type="button" dataOnly="0" labelOnly="1" outline="0"/>
    </format>
    <format dxfId="2469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2468">
      <pivotArea dataOnly="0" labelOnly="1" grandRow="1" outline="0" fieldPosition="0"/>
    </format>
    <format dxfId="2467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2466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2465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2464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2463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2462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2461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2460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2459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2458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2457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2456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2455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2454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2453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2452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2451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2450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2449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2448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2447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2446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2445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2444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2443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2442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244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2440">
      <pivotArea dataOnly="0" labelOnly="1" outline="0" fieldPosition="0">
        <references count="1">
          <reference field="4294967294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439">
      <pivotArea field="1" type="button" dataOnly="0" labelOnly="1" outline="0" axis="axisRow" fieldPosition="0"/>
    </format>
    <format dxfId="2438">
      <pivotArea field="2" type="button" dataOnly="0" labelOnly="1" outline="0" axis="axisRow" fieldPosition="1"/>
    </format>
    <format dxfId="2437">
      <pivotArea field="3" type="button" dataOnly="0" labelOnly="1" outline="0" axis="axisRow" fieldPosition="2"/>
    </format>
    <format dxfId="2436">
      <pivotArea field="4" type="button" dataOnly="0" labelOnly="1" outline="0" axis="axisRow" fieldPosition="3"/>
    </format>
    <format dxfId="2435">
      <pivotArea field="5" type="button" dataOnly="0" labelOnly="1" outline="0"/>
    </format>
    <format dxfId="2434">
      <pivotArea field="7" type="button" dataOnly="0" labelOnly="1" outline="0"/>
    </format>
    <format dxfId="2433">
      <pivotArea field="1" type="button" dataOnly="0" labelOnly="1" outline="0" axis="axisRow" fieldPosition="0"/>
    </format>
    <format dxfId="2432">
      <pivotArea field="2" type="button" dataOnly="0" labelOnly="1" outline="0" axis="axisRow" fieldPosition="1"/>
    </format>
    <format dxfId="2431">
      <pivotArea field="3" type="button" dataOnly="0" labelOnly="1" outline="0" axis="axisRow" fieldPosition="2"/>
    </format>
    <format dxfId="2430">
      <pivotArea field="4" type="button" dataOnly="0" labelOnly="1" outline="0" axis="axisRow" fieldPosition="3"/>
    </format>
    <format dxfId="2429">
      <pivotArea field="5" type="button" dataOnly="0" labelOnly="1" outline="0"/>
    </format>
    <format dxfId="2428">
      <pivotArea field="7" type="button" dataOnly="0" labelOnly="1" outline="0"/>
    </format>
    <format dxfId="2427">
      <pivotArea type="all" dataOnly="0" outline="0" fieldPosition="0"/>
    </format>
    <format dxfId="2426">
      <pivotArea outline="0" collapsedLevelsAreSubtotals="1" fieldPosition="0"/>
    </format>
    <format dxfId="2425">
      <pivotArea type="origin" dataOnly="0" labelOnly="1" outline="0" fieldPosition="0"/>
    </format>
    <format dxfId="2424">
      <pivotArea field="-2" type="button" dataOnly="0" labelOnly="1" outline="0" axis="axisCol" fieldPosition="0"/>
    </format>
    <format dxfId="2423">
      <pivotArea type="topRight" dataOnly="0" labelOnly="1" outline="0" fieldPosition="0"/>
    </format>
    <format dxfId="2422">
      <pivotArea field="1" type="button" dataOnly="0" labelOnly="1" outline="0" axis="axisRow" fieldPosition="0"/>
    </format>
    <format dxfId="2421">
      <pivotArea field="2" type="button" dataOnly="0" labelOnly="1" outline="0" axis="axisRow" fieldPosition="1"/>
    </format>
    <format dxfId="2420">
      <pivotArea field="3" type="button" dataOnly="0" labelOnly="1" outline="0" axis="axisRow" fieldPosition="2"/>
    </format>
    <format dxfId="2419">
      <pivotArea field="4" type="button" dataOnly="0" labelOnly="1" outline="0" axis="axisRow" fieldPosition="3"/>
    </format>
    <format dxfId="2418">
      <pivotArea field="5" type="button" dataOnly="0" labelOnly="1" outline="0"/>
    </format>
    <format dxfId="2417">
      <pivotArea field="7" type="button" dataOnly="0" labelOnly="1" outline="0"/>
    </format>
    <format dxfId="2416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2415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2414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2413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2412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2411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2410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2409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2408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2407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2406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2405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2404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2403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2402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2401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2400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2399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2398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2397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2396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2395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2394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2393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2392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2391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2390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238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2388">
      <pivotArea dataOnly="0" labelOnly="1" outline="0" fieldPosition="0">
        <references count="1">
          <reference field="4294967294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87">
      <pivotArea field="1" type="button" dataOnly="0" labelOnly="1" outline="0" axis="axisRow" fieldPosition="0"/>
    </format>
    <format dxfId="2386">
      <pivotArea field="2" type="button" dataOnly="0" labelOnly="1" outline="0" axis="axisRow" fieldPosition="1"/>
    </format>
    <format dxfId="2385">
      <pivotArea field="3" type="button" dataOnly="0" labelOnly="1" outline="0" axis="axisRow" fieldPosition="2"/>
    </format>
    <format dxfId="2384">
      <pivotArea field="4" type="button" dataOnly="0" labelOnly="1" outline="0" axis="axisRow" fieldPosition="3"/>
    </format>
    <format dxfId="2383">
      <pivotArea field="5" type="button" dataOnly="0" labelOnly="1" outline="0"/>
    </format>
    <format dxfId="2382">
      <pivotArea field="7" type="button" dataOnly="0" labelOnly="1" outline="0"/>
    </format>
    <format dxfId="2381">
      <pivotArea type="all" dataOnly="0" outline="0" fieldPosition="0"/>
    </format>
    <format dxfId="2380">
      <pivotArea outline="0" collapsedLevelsAreSubtotals="1" fieldPosition="0"/>
    </format>
    <format dxfId="2379">
      <pivotArea type="origin" dataOnly="0" labelOnly="1" outline="0" fieldPosition="0"/>
    </format>
    <format dxfId="2378">
      <pivotArea field="-2" type="button" dataOnly="0" labelOnly="1" outline="0" axis="axisCol" fieldPosition="0"/>
    </format>
    <format dxfId="2377">
      <pivotArea type="topRight" dataOnly="0" labelOnly="1" outline="0" fieldPosition="0"/>
    </format>
    <format dxfId="2376">
      <pivotArea field="1" type="button" dataOnly="0" labelOnly="1" outline="0" axis="axisRow" fieldPosition="0"/>
    </format>
    <format dxfId="2375">
      <pivotArea field="2" type="button" dataOnly="0" labelOnly="1" outline="0" axis="axisRow" fieldPosition="1"/>
    </format>
    <format dxfId="2374">
      <pivotArea field="3" type="button" dataOnly="0" labelOnly="1" outline="0" axis="axisRow" fieldPosition="2"/>
    </format>
    <format dxfId="2373">
      <pivotArea field="4" type="button" dataOnly="0" labelOnly="1" outline="0" axis="axisRow" fieldPosition="3"/>
    </format>
    <format dxfId="2372">
      <pivotArea field="5" type="button" dataOnly="0" labelOnly="1" outline="0"/>
    </format>
    <format dxfId="2371">
      <pivotArea field="7" type="button" dataOnly="0" labelOnly="1" outline="0"/>
    </format>
    <format dxfId="2370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2369">
      <pivotArea dataOnly="0" labelOnly="1" grandRow="1" outline="0" fieldPosition="0"/>
    </format>
    <format dxfId="2368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2367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2366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2365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2364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2363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2362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2361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2360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2359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2358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2357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2356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2355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2354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2353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2352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2351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2350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2349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2348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2347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2346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2345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2344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2343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234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2341">
      <pivotArea dataOnly="0" labelOnly="1" outline="0" fieldPosition="0">
        <references count="1">
          <reference field="4294967294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40">
      <pivotArea type="all" dataOnly="0" outline="0" fieldPosition="0"/>
    </format>
    <format dxfId="2339">
      <pivotArea outline="0" collapsedLevelsAreSubtotals="1" fieldPosition="0"/>
    </format>
    <format dxfId="2338">
      <pivotArea type="origin" dataOnly="0" labelOnly="1" outline="0" fieldPosition="0"/>
    </format>
    <format dxfId="2337">
      <pivotArea field="-2" type="button" dataOnly="0" labelOnly="1" outline="0" axis="axisCol" fieldPosition="0"/>
    </format>
    <format dxfId="2336">
      <pivotArea type="topRight" dataOnly="0" labelOnly="1" outline="0" fieldPosition="0"/>
    </format>
    <format dxfId="2335">
      <pivotArea field="1" type="button" dataOnly="0" labelOnly="1" outline="0" axis="axisRow" fieldPosition="0"/>
    </format>
    <format dxfId="2334">
      <pivotArea field="2" type="button" dataOnly="0" labelOnly="1" outline="0" axis="axisRow" fieldPosition="1"/>
    </format>
    <format dxfId="2333">
      <pivotArea field="3" type="button" dataOnly="0" labelOnly="1" outline="0" axis="axisRow" fieldPosition="2"/>
    </format>
    <format dxfId="2332">
      <pivotArea field="4" type="button" dataOnly="0" labelOnly="1" outline="0" axis="axisRow" fieldPosition="3"/>
    </format>
    <format dxfId="2331">
      <pivotArea field="5" type="button" dataOnly="0" labelOnly="1" outline="0"/>
    </format>
    <format dxfId="2330">
      <pivotArea field="7" type="button" dataOnly="0" labelOnly="1" outline="0"/>
    </format>
    <format dxfId="2329">
      <pivotArea dataOnly="0" labelOnly="1" outline="0" fieldPosition="0">
        <references count="1">
          <reference field="1" count="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47"/>
            <x v="48"/>
            <x v="50"/>
            <x v="52"/>
          </reference>
        </references>
      </pivotArea>
    </format>
    <format dxfId="2328">
      <pivotArea dataOnly="0" labelOnly="1" grandRow="1" outline="0" fieldPosition="0"/>
    </format>
    <format dxfId="2327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2326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2325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2324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2323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2322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2321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2320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2319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2318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2317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2316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2315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2314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2313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2312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2311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2310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2309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2308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2307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2306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2305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2304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2303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2302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230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2300">
      <pivotArea dataOnly="0" labelOnly="1" outline="0" fieldPosition="0">
        <references count="1">
          <reference field="4294967294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99">
      <pivotArea field="1" type="button" dataOnly="0" labelOnly="1" outline="0" axis="axisRow" fieldPosition="0"/>
    </format>
    <format dxfId="2298">
      <pivotArea field="2" type="button" dataOnly="0" labelOnly="1" outline="0" axis="axisRow" fieldPosition="1"/>
    </format>
    <format dxfId="2297">
      <pivotArea field="3" type="button" dataOnly="0" labelOnly="1" outline="0" axis="axisRow" fieldPosition="2"/>
    </format>
    <format dxfId="2296">
      <pivotArea field="4" type="button" dataOnly="0" labelOnly="1" outline="0" axis="axisRow" fieldPosition="3"/>
    </format>
    <format dxfId="2295">
      <pivotArea field="5" type="button" dataOnly="0" labelOnly="1" outline="0"/>
    </format>
    <format dxfId="2294">
      <pivotArea field="7" type="button" dataOnly="0" labelOnly="1" outline="0"/>
    </format>
    <format dxfId="2293">
      <pivotArea field="1" type="button" dataOnly="0" labelOnly="1" outline="0" axis="axisRow" fieldPosition="0"/>
    </format>
    <format dxfId="2292">
      <pivotArea field="2" type="button" dataOnly="0" labelOnly="1" outline="0" axis="axisRow" fieldPosition="1"/>
    </format>
    <format dxfId="2291">
      <pivotArea field="3" type="button" dataOnly="0" labelOnly="1" outline="0" axis="axisRow" fieldPosition="2"/>
    </format>
    <format dxfId="2290">
      <pivotArea field="4" type="button" dataOnly="0" labelOnly="1" outline="0" axis="axisRow" fieldPosition="3"/>
    </format>
    <format dxfId="2289">
      <pivotArea field="5" type="button" dataOnly="0" labelOnly="1" outline="0"/>
    </format>
    <format dxfId="2288">
      <pivotArea field="1" type="button" dataOnly="0" labelOnly="1" outline="0" axis="axisRow" fieldPosition="0"/>
    </format>
    <format dxfId="2287">
      <pivotArea field="2" type="button" dataOnly="0" labelOnly="1" outline="0" axis="axisRow" fieldPosition="1"/>
    </format>
    <format dxfId="2286">
      <pivotArea field="3" type="button" dataOnly="0" labelOnly="1" outline="0" axis="axisRow" fieldPosition="2"/>
    </format>
    <format dxfId="2285">
      <pivotArea field="4" type="button" dataOnly="0" labelOnly="1" outline="0" axis="axisRow" fieldPosition="3"/>
    </format>
    <format dxfId="2284">
      <pivotArea field="5" type="button" dataOnly="0" labelOnly="1" outline="0"/>
    </format>
    <format dxfId="2283">
      <pivotArea type="topRight" dataOnly="0" labelOnly="1" outline="0" offset="E1:G1" fieldPosition="0"/>
    </format>
    <format dxfId="228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281">
      <pivotArea type="topRight" dataOnly="0" labelOnly="1" outline="0" offset="B1:D1" fieldPosition="0"/>
    </format>
    <format dxfId="228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279">
      <pivotArea field="-2" type="button" dataOnly="0" labelOnly="1" outline="0" axis="axisCol" fieldPosition="0"/>
    </format>
    <format dxfId="2278">
      <pivotArea type="topRight" dataOnly="0" labelOnly="1" outline="0" offset="A1" fieldPosition="0"/>
    </format>
    <format dxfId="227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276">
      <pivotArea field="-2" type="button" dataOnly="0" labelOnly="1" outline="0" axis="axisCol" fieldPosition="0"/>
    </format>
    <format dxfId="2275">
      <pivotArea type="topRight" dataOnly="0" labelOnly="1" outline="0" fieldPosition="0"/>
    </format>
    <format dxfId="227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273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27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27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270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26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26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26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266">
      <pivotArea field="-2" type="button" dataOnly="0" labelOnly="1" outline="0" axis="axisCol" fieldPosition="0"/>
    </format>
    <format dxfId="2265">
      <pivotArea type="topRight" dataOnly="0" labelOnly="1" outline="0" offset="A1:G1" fieldPosition="0"/>
    </format>
    <format dxfId="2264">
      <pivotArea field="7" type="button" dataOnly="0" labelOnly="1" outline="0"/>
    </format>
    <format dxfId="2263">
      <pivotArea field="7" type="button" dataOnly="0" labelOnly="1" outline="0"/>
    </format>
    <format dxfId="2262">
      <pivotArea type="all" dataOnly="0" outline="0" fieldPosition="0"/>
    </format>
    <format dxfId="2261">
      <pivotArea outline="0" collapsedLevelsAreSubtotals="1" fieldPosition="0"/>
    </format>
    <format dxfId="2260">
      <pivotArea type="origin" dataOnly="0" labelOnly="1" outline="0" fieldPosition="0"/>
    </format>
    <format dxfId="2259">
      <pivotArea field="-2" type="button" dataOnly="0" labelOnly="1" outline="0" axis="axisCol" fieldPosition="0"/>
    </format>
    <format dxfId="2258">
      <pivotArea type="topRight" dataOnly="0" labelOnly="1" outline="0" fieldPosition="0"/>
    </format>
    <format dxfId="2257">
      <pivotArea field="3" type="button" dataOnly="0" labelOnly="1" outline="0" axis="axisRow" fieldPosition="2"/>
    </format>
    <format dxfId="2256">
      <pivotArea field="4" type="button" dataOnly="0" labelOnly="1" outline="0" axis="axisRow" fieldPosition="3"/>
    </format>
    <format dxfId="2255">
      <pivotArea dataOnly="0" labelOnly="1" outline="0" fieldPosition="0">
        <references count="1">
          <reference field="1" count="1">
            <x v="0"/>
          </reference>
        </references>
      </pivotArea>
    </format>
    <format dxfId="2254">
      <pivotArea dataOnly="0" labelOnly="1" grandRow="1" outline="0" fieldPosition="0"/>
    </format>
    <format dxfId="2253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2252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225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8"/>
          </reference>
          <reference field="4" count="1">
            <x v="0"/>
          </reference>
        </references>
      </pivotArea>
    </format>
    <format dxfId="2250">
      <pivotArea dataOnly="0" labelOnly="1" outline="0" fieldPosition="0">
        <references count="1">
          <reference field="4294967294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49">
      <pivotArea type="all" dataOnly="0" outline="0" fieldPosition="0"/>
    </format>
    <format dxfId="2248">
      <pivotArea outline="0" collapsedLevelsAreSubtotals="1" fieldPosition="0"/>
    </format>
    <format dxfId="2247">
      <pivotArea type="origin" dataOnly="0" labelOnly="1" outline="0" fieldPosition="0"/>
    </format>
    <format dxfId="2246">
      <pivotArea field="-2" type="button" dataOnly="0" labelOnly="1" outline="0" axis="axisCol" fieldPosition="0"/>
    </format>
    <format dxfId="2245">
      <pivotArea type="topRight" dataOnly="0" labelOnly="1" outline="0" fieldPosition="0"/>
    </format>
    <format dxfId="2244">
      <pivotArea field="3" type="button" dataOnly="0" labelOnly="1" outline="0" axis="axisRow" fieldPosition="2"/>
    </format>
    <format dxfId="2243">
      <pivotArea field="4" type="button" dataOnly="0" labelOnly="1" outline="0" axis="axisRow" fieldPosition="3"/>
    </format>
    <format dxfId="2242">
      <pivotArea dataOnly="0" labelOnly="1" outline="0" fieldPosition="0">
        <references count="1">
          <reference field="1" count="34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2"/>
            <x v="23"/>
            <x v="24"/>
            <x v="25"/>
            <x v="26"/>
            <x v="27"/>
            <x v="33"/>
            <x v="34"/>
            <x v="35"/>
            <x v="36"/>
            <x v="37"/>
            <x v="47"/>
            <x v="48"/>
            <x v="49"/>
            <x v="50"/>
            <x v="52"/>
          </reference>
        </references>
      </pivotArea>
    </format>
    <format dxfId="2241">
      <pivotArea dataOnly="0" labelOnly="1" grandRow="1" outline="0" fieldPosition="0"/>
    </format>
    <format dxfId="2240">
      <pivotArea dataOnly="0" labelOnly="1" outline="0" fieldPosition="0">
        <references count="2">
          <reference field="1" count="1" selected="0">
            <x v="2"/>
          </reference>
          <reference field="2" count="1">
            <x v="13"/>
          </reference>
        </references>
      </pivotArea>
    </format>
    <format dxfId="2239">
      <pivotArea dataOnly="0" labelOnly="1" outline="0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2238">
      <pivotArea dataOnly="0" labelOnly="1" outline="0" fieldPosition="0">
        <references count="2">
          <reference field="1" count="1" selected="0">
            <x v="5"/>
          </reference>
          <reference field="2" count="1">
            <x v="6"/>
          </reference>
        </references>
      </pivotArea>
    </format>
    <format dxfId="2237">
      <pivotArea dataOnly="0" labelOnly="1" outline="0" fieldPosition="0">
        <references count="2">
          <reference field="1" count="1" selected="0">
            <x v="6"/>
          </reference>
          <reference field="2" count="1">
            <x v="2"/>
          </reference>
        </references>
      </pivotArea>
    </format>
    <format dxfId="2236">
      <pivotArea dataOnly="0" labelOnly="1" outline="0" fieldPosition="0">
        <references count="2">
          <reference field="1" count="1" selected="0">
            <x v="7"/>
          </reference>
          <reference field="2" count="1">
            <x v="16"/>
          </reference>
        </references>
      </pivotArea>
    </format>
    <format dxfId="2235">
      <pivotArea dataOnly="0" labelOnly="1" outline="0" fieldPosition="0">
        <references count="2">
          <reference field="1" count="1" selected="0">
            <x v="8"/>
          </reference>
          <reference field="2" count="1">
            <x v="4"/>
          </reference>
        </references>
      </pivotArea>
    </format>
    <format dxfId="2234">
      <pivotArea dataOnly="0" labelOnly="1" outline="0" fieldPosition="0">
        <references count="2">
          <reference field="1" count="1" selected="0">
            <x v="10"/>
          </reference>
          <reference field="2" count="1">
            <x v="14"/>
          </reference>
        </references>
      </pivotArea>
    </format>
    <format dxfId="2233">
      <pivotArea dataOnly="0" labelOnly="1" outline="0" fieldPosition="0">
        <references count="2">
          <reference field="1" count="1" selected="0">
            <x v="11"/>
          </reference>
          <reference field="2" count="1">
            <x v="3"/>
          </reference>
        </references>
      </pivotArea>
    </format>
    <format dxfId="2232">
      <pivotArea dataOnly="0" labelOnly="1" outline="0" fieldPosition="0">
        <references count="2">
          <reference field="1" count="1" selected="0">
            <x v="15"/>
          </reference>
          <reference field="2" count="1">
            <x v="5"/>
          </reference>
        </references>
      </pivotArea>
    </format>
    <format dxfId="2231">
      <pivotArea dataOnly="0" labelOnly="1" outline="0" fieldPosition="0">
        <references count="2">
          <reference field="1" count="1" selected="0">
            <x v="16"/>
          </reference>
          <reference field="2" count="1">
            <x v="1"/>
          </reference>
        </references>
      </pivotArea>
    </format>
    <format dxfId="2230">
      <pivotArea dataOnly="0" labelOnly="1" outline="0" fieldPosition="0">
        <references count="2">
          <reference field="1" count="1" selected="0">
            <x v="22"/>
          </reference>
          <reference field="2" count="1">
            <x v="15"/>
          </reference>
        </references>
      </pivotArea>
    </format>
    <format dxfId="2229">
      <pivotArea dataOnly="0" labelOnly="1" outline="0" fieldPosition="0">
        <references count="2">
          <reference field="1" count="1" selected="0">
            <x v="23"/>
          </reference>
          <reference field="2" count="1">
            <x v="17"/>
          </reference>
        </references>
      </pivotArea>
    </format>
    <format dxfId="2228">
      <pivotArea dataOnly="0" labelOnly="1" outline="0" fieldPosition="0">
        <references count="2">
          <reference field="1" count="1" selected="0">
            <x v="26"/>
          </reference>
          <reference field="2" count="1">
            <x v="17"/>
          </reference>
        </references>
      </pivotArea>
    </format>
    <format dxfId="2227">
      <pivotArea dataOnly="0" labelOnly="1" outline="0" fieldPosition="0">
        <references count="2">
          <reference field="1" count="1" selected="0">
            <x v="33"/>
          </reference>
          <reference field="2" count="1">
            <x v="8"/>
          </reference>
        </references>
      </pivotArea>
    </format>
    <format dxfId="2226">
      <pivotArea dataOnly="0" labelOnly="1" outline="0" fieldPosition="0">
        <references count="2">
          <reference field="1" count="1" selected="0">
            <x v="34"/>
          </reference>
          <reference field="2" count="1">
            <x v="9"/>
          </reference>
        </references>
      </pivotArea>
    </format>
    <format dxfId="2225">
      <pivotArea dataOnly="0" labelOnly="1" outline="0" fieldPosition="0">
        <references count="2">
          <reference field="1" count="1" selected="0">
            <x v="36"/>
          </reference>
          <reference field="2" count="1">
            <x v="10"/>
          </reference>
        </references>
      </pivotArea>
    </format>
    <format dxfId="2224">
      <pivotArea dataOnly="0" labelOnly="1" outline="0" fieldPosition="0">
        <references count="2">
          <reference field="1" count="1" selected="0">
            <x v="47"/>
          </reference>
          <reference field="2" count="1">
            <x v="7"/>
          </reference>
        </references>
      </pivotArea>
    </format>
    <format dxfId="2223">
      <pivotArea dataOnly="0" labelOnly="1" outline="0" fieldPosition="0">
        <references count="2">
          <reference field="1" count="1" selected="0">
            <x v="52"/>
          </reference>
          <reference field="2" count="1">
            <x v="11"/>
          </reference>
        </references>
      </pivotArea>
    </format>
    <format dxfId="2222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4"/>
          </reference>
          <reference field="3" count="1">
            <x v="12"/>
          </reference>
        </references>
      </pivotArea>
    </format>
    <format dxfId="2221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3"/>
          </reference>
          <reference field="3" count="1">
            <x v="2"/>
          </reference>
        </references>
      </pivotArea>
    </format>
    <format dxfId="2220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2219">
      <pivotArea dataOnly="0" labelOnly="1" outline="0" fieldPosition="0">
        <references count="3">
          <reference field="1" count="1" selected="0">
            <x v="22"/>
          </reference>
          <reference field="2" count="1" selected="0">
            <x v="15"/>
          </reference>
          <reference field="3" count="1">
            <x v="13"/>
          </reference>
        </references>
      </pivotArea>
    </format>
    <format dxfId="2218">
      <pivotArea dataOnly="0" labelOnly="1" outline="0" fieldPosition="0">
        <references count="3">
          <reference field="1" count="1" selected="0">
            <x v="23"/>
          </reference>
          <reference field="2" count="1" selected="0">
            <x v="17"/>
          </reference>
          <reference field="3" count="1">
            <x v="14"/>
          </reference>
        </references>
      </pivotArea>
    </format>
    <format dxfId="2217">
      <pivotArea dataOnly="0" labelOnly="1" outline="0" fieldPosition="0">
        <references count="3">
          <reference field="1" count="1" selected="0">
            <x v="47"/>
          </reference>
          <reference field="2" count="1" selected="0">
            <x v="7"/>
          </reference>
          <reference field="3" count="1">
            <x v="9"/>
          </reference>
        </references>
      </pivotArea>
    </format>
    <format dxfId="2216">
      <pivotArea dataOnly="0" labelOnly="1" outline="0" fieldPosition="0">
        <references count="1">
          <reference field="4294967294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15">
      <pivotArea field="6" type="button" dataOnly="0" labelOnly="1" outline="0" axis="axisRow" fieldPosition="4"/>
    </format>
    <format dxfId="2214">
      <pivotArea field="6" type="button" dataOnly="0" labelOnly="1" outline="0" axis="axisRow" fieldPosition="4"/>
    </format>
    <format dxfId="2213">
      <pivotArea field="6" type="button" dataOnly="0" labelOnly="1" outline="0" axis="axisRow" fieldPosition="4"/>
    </format>
    <format dxfId="2212">
      <pivotArea field="6" type="button" dataOnly="0" labelOnly="1" outline="0" axis="axisRow" fieldPosition="4"/>
    </format>
    <format dxfId="2211">
      <pivotArea type="all" dataOnly="0" outline="0" fieldPosition="0"/>
    </format>
    <format dxfId="2210">
      <pivotArea type="origin" dataOnly="0" labelOnly="1" outline="0" fieldPosition="0"/>
    </format>
    <format dxfId="2209">
      <pivotArea field="3" type="button" dataOnly="0" labelOnly="1" outline="0" axis="axisRow" fieldPosition="2"/>
    </format>
    <format dxfId="2208">
      <pivotArea field="4" type="button" dataOnly="0" labelOnly="1" outline="0" axis="axisRow" fieldPosition="3"/>
    </format>
    <format dxfId="2207">
      <pivotArea field="6" type="button" dataOnly="0" labelOnly="1" outline="0" axis="axisRow" fieldPosition="4"/>
    </format>
    <format dxfId="2206">
      <pivotArea dataOnly="0" labelOnly="1" grandRow="1" outline="0" fieldPosition="0"/>
    </format>
    <format dxfId="2205">
      <pivotArea field="-2" type="button" dataOnly="0" labelOnly="1" outline="0" axis="axisCol" fieldPosition="0"/>
    </format>
    <format dxfId="2204">
      <pivotArea field="6" type="button" dataOnly="0" labelOnly="1" outline="0" axis="axisRow" fieldPosition="4"/>
    </format>
    <format dxfId="2203">
      <pivotArea field="6" type="button" dataOnly="0" labelOnly="1" outline="0" axis="axisRow" fieldPosition="4"/>
    </format>
    <format dxfId="2202">
      <pivotArea dataOnly="0" labelOnly="1" outline="0" fieldPosition="0">
        <references count="1">
          <reference field="6" count="0"/>
        </references>
      </pivotArea>
    </format>
    <format dxfId="220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0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9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9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97">
      <pivotArea field="6" type="button" dataOnly="0" labelOnly="1" outline="0" axis="axisRow" fieldPosition="4"/>
    </format>
    <format dxfId="2196">
      <pivotArea dataOnly="0" labelOnly="1" outline="0" fieldPosition="0">
        <references count="1">
          <reference field="6" count="0"/>
        </references>
      </pivotArea>
    </format>
    <format dxfId="2195">
      <pivotArea field="6" type="button" dataOnly="0" labelOnly="1" outline="0" axis="axisRow" fieldPosition="4"/>
    </format>
    <format dxfId="2194">
      <pivotArea field="6" type="button" dataOnly="0" labelOnly="1" outline="0" axis="axisRow" fieldPosition="4"/>
    </format>
    <format dxfId="2193">
      <pivotArea field="3" type="button" dataOnly="0" labelOnly="1" outline="0" axis="axisRow" fieldPosition="2"/>
    </format>
    <format dxfId="2192">
      <pivotArea field="4" type="button" dataOnly="0" labelOnly="1" outline="0" axis="axisRow" fieldPosition="3"/>
    </format>
    <format dxfId="2191">
      <pivotArea field="3" type="button" dataOnly="0" labelOnly="1" outline="0" axis="axisRow" fieldPosition="2"/>
    </format>
    <format dxfId="2190">
      <pivotArea field="4" type="button" dataOnly="0" labelOnly="1" outline="0" axis="axisRow" fieldPosition="3"/>
    </format>
    <format dxfId="2189">
      <pivotArea field="3" type="button" dataOnly="0" labelOnly="1" outline="0" axis="axisRow" fieldPosition="2"/>
    </format>
    <format dxfId="2188">
      <pivotArea field="4" type="button" dataOnly="0" labelOnly="1" outline="0" axis="axisRow" fieldPosition="3"/>
    </format>
    <format dxfId="2187">
      <pivotArea field="3" type="button" dataOnly="0" labelOnly="1" outline="0" axis="axisRow" fieldPosition="2"/>
    </format>
    <format dxfId="2186">
      <pivotArea field="4" type="button" dataOnly="0" labelOnly="1" outline="0" axis="axisRow" fieldPosition="3"/>
    </format>
    <format dxfId="2185">
      <pivotArea field="3" type="button" dataOnly="0" labelOnly="1" outline="0" axis="axisRow" fieldPosition="2"/>
    </format>
    <format dxfId="2184">
      <pivotArea field="4" type="button" dataOnly="0" labelOnly="1" outline="0" axis="axisRow" fieldPosition="3"/>
    </format>
    <format dxfId="2183">
      <pivotArea field="3" type="button" dataOnly="0" labelOnly="1" outline="0" axis="axisRow" fieldPosition="2"/>
    </format>
    <format dxfId="2182">
      <pivotArea field="4" type="button" dataOnly="0" labelOnly="1" outline="0" axis="axisRow" fieldPosition="3"/>
    </format>
    <format dxfId="2181">
      <pivotArea field="6" type="button" dataOnly="0" labelOnly="1" outline="0" axis="axisRow" fieldPosition="4"/>
    </format>
    <format dxfId="2180">
      <pivotArea field="6" type="button" dataOnly="0" labelOnly="1" outline="0" axis="axisRow" fieldPosition="4"/>
    </format>
    <format dxfId="2179">
      <pivotArea field="3" type="button" dataOnly="0" labelOnly="1" outline="0" axis="axisRow" fieldPosition="2"/>
    </format>
    <format dxfId="2178">
      <pivotArea field="4" type="button" dataOnly="0" labelOnly="1" outline="0" axis="axisRow" fieldPosition="3"/>
    </format>
    <format dxfId="2177">
      <pivotArea field="5" type="button" dataOnly="0" labelOnly="1" outline="0"/>
    </format>
    <format dxfId="2176">
      <pivotArea field="5" type="button" dataOnly="0" labelOnly="1" outline="0"/>
    </format>
    <format dxfId="2175">
      <pivotArea field="5" type="button" dataOnly="0" labelOnly="1" outline="0"/>
    </format>
    <format dxfId="2174">
      <pivotArea field="5" type="button" dataOnly="0" labelOnly="1" outline="0"/>
    </format>
    <format dxfId="2173">
      <pivotArea field="1" type="button" dataOnly="0" labelOnly="1" outline="0" axis="axisRow" fieldPosition="0"/>
    </format>
    <format dxfId="2172">
      <pivotArea field="2" type="button" dataOnly="0" labelOnly="1" outline="0" axis="axisRow" fieldPosition="1"/>
    </format>
    <format dxfId="2171">
      <pivotArea field="6" type="button" dataOnly="0" labelOnly="1" outline="0" axis="axisRow" fieldPosition="4"/>
    </format>
    <format dxfId="217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16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168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abcdef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0A8D2-8678-4DEB-A8F9-8E490EC23A88}">
  <sheetPr>
    <tabColor rgb="FF00CC00"/>
  </sheetPr>
  <dimension ref="A1:IM31"/>
  <sheetViews>
    <sheetView view="pageBreakPreview" zoomScaleNormal="100" zoomScaleSheetLayoutView="100" workbookViewId="0">
      <pane ySplit="18" topLeftCell="A19" activePane="bottomLeft" state="frozen"/>
      <selection pane="bottomLeft" activeCell="A14" sqref="A14:B15"/>
    </sheetView>
  </sheetViews>
  <sheetFormatPr defaultColWidth="7.7109375" defaultRowHeight="15" x14ac:dyDescent="0.25"/>
  <cols>
    <col min="1" max="1" width="17.7109375" style="3" customWidth="1"/>
    <col min="2" max="2" width="9" style="3" customWidth="1"/>
    <col min="3" max="3" width="5.42578125" style="3" customWidth="1"/>
    <col min="4" max="4" width="7.42578125" style="3" customWidth="1"/>
    <col min="5" max="5" width="6.7109375" style="3" customWidth="1"/>
    <col min="6" max="6" width="12.42578125" style="3" customWidth="1"/>
    <col min="7" max="7" width="49" style="3" customWidth="1"/>
    <col min="8" max="8" width="15" style="3" customWidth="1"/>
    <col min="9" max="16" width="10.140625" style="3" customWidth="1"/>
    <col min="17" max="247" width="7.7109375" style="3" customWidth="1"/>
    <col min="248" max="16384" width="7.7109375" style="9"/>
  </cols>
  <sheetData>
    <row r="1" spans="1:16" s="3" customFormat="1" ht="47.25" customHeight="1" x14ac:dyDescent="0.25">
      <c r="A1" s="1"/>
      <c r="B1" s="2"/>
      <c r="C1" s="2"/>
      <c r="D1" s="2"/>
      <c r="E1" s="2"/>
      <c r="F1" s="2"/>
      <c r="G1" s="2"/>
      <c r="H1" s="2"/>
      <c r="L1" s="4" t="s">
        <v>534</v>
      </c>
      <c r="M1" s="4"/>
      <c r="N1" s="4"/>
      <c r="O1" s="4"/>
      <c r="P1" s="4"/>
    </row>
    <row r="2" spans="1:16" s="3" customFormat="1" ht="11.65" customHeight="1" x14ac:dyDescent="0.2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3" customFormat="1" ht="27.75" customHeight="1" x14ac:dyDescent="0.25">
      <c r="A3" s="469" t="s">
        <v>0</v>
      </c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2"/>
      <c r="N3" s="2"/>
      <c r="O3" s="2"/>
      <c r="P3" s="2"/>
    </row>
    <row r="4" spans="1:16" s="3" customFormat="1" ht="27.75" customHeight="1" x14ac:dyDescent="0.25">
      <c r="A4" s="5"/>
      <c r="B4" s="5"/>
      <c r="C4" s="5"/>
      <c r="D4" s="5"/>
      <c r="E4" s="467" t="s">
        <v>1</v>
      </c>
      <c r="F4" s="468"/>
      <c r="G4" s="468"/>
      <c r="H4" s="468"/>
      <c r="I4" s="5"/>
      <c r="J4" s="5"/>
      <c r="K4" s="5"/>
      <c r="L4" s="5"/>
      <c r="M4" s="2"/>
      <c r="N4" s="2"/>
      <c r="O4" s="2"/>
      <c r="P4" s="2"/>
    </row>
    <row r="5" spans="1:16" s="3" customFormat="1" ht="12.75" customHeight="1" x14ac:dyDescent="0.25">
      <c r="A5" s="2"/>
      <c r="B5" s="6"/>
      <c r="C5" s="6"/>
      <c r="D5" s="6"/>
      <c r="E5" s="6"/>
      <c r="F5" s="467" t="s">
        <v>2</v>
      </c>
      <c r="G5" s="468"/>
      <c r="H5" s="468"/>
      <c r="I5" s="6"/>
      <c r="J5" s="6"/>
      <c r="K5" s="6"/>
      <c r="L5" s="6"/>
      <c r="M5" s="2"/>
      <c r="N5" s="2"/>
      <c r="O5" s="2"/>
      <c r="P5" s="2"/>
    </row>
    <row r="6" spans="1:16" s="3" customFormat="1" ht="15.75" hidden="1" customHeight="1" x14ac:dyDescent="0.25">
      <c r="A6" s="2"/>
      <c r="B6" s="6"/>
      <c r="C6" s="6"/>
      <c r="D6" s="6"/>
      <c r="E6" s="6"/>
      <c r="F6" s="467" t="s">
        <v>3</v>
      </c>
      <c r="G6" s="468"/>
      <c r="H6" s="468"/>
      <c r="I6" s="6"/>
      <c r="J6" s="6"/>
      <c r="K6" s="6"/>
      <c r="L6" s="6"/>
      <c r="M6" s="2"/>
      <c r="N6" s="2"/>
      <c r="O6" s="2"/>
      <c r="P6" s="2"/>
    </row>
    <row r="7" spans="1:16" s="3" customFormat="1" ht="15.75" hidden="1" customHeight="1" x14ac:dyDescent="0.25">
      <c r="A7" s="2"/>
      <c r="B7" s="6"/>
      <c r="C7" s="6"/>
      <c r="D7" s="6"/>
      <c r="E7" s="6"/>
      <c r="F7" s="468"/>
      <c r="G7" s="468"/>
      <c r="H7" s="468"/>
      <c r="I7" s="6"/>
      <c r="J7" s="6"/>
      <c r="K7" s="6"/>
      <c r="L7" s="6"/>
      <c r="M7" s="2"/>
      <c r="N7" s="2"/>
      <c r="O7" s="2"/>
      <c r="P7" s="2"/>
    </row>
    <row r="8" spans="1:16" s="3" customFormat="1" ht="15.75" hidden="1" customHeight="1" x14ac:dyDescent="0.25">
      <c r="A8" s="2"/>
      <c r="B8" s="6"/>
      <c r="C8" s="6"/>
      <c r="D8" s="6"/>
      <c r="E8" s="6"/>
      <c r="F8" s="467" t="s">
        <v>4</v>
      </c>
      <c r="G8" s="468"/>
      <c r="H8" s="468"/>
      <c r="I8" s="6"/>
      <c r="J8" s="6"/>
      <c r="K8" s="6"/>
      <c r="L8" s="6"/>
      <c r="M8" s="2"/>
      <c r="N8" s="2"/>
      <c r="O8" s="2"/>
      <c r="P8" s="2"/>
    </row>
    <row r="9" spans="1:16" s="3" customFormat="1" ht="15.75" hidden="1" customHeight="1" x14ac:dyDescent="0.25">
      <c r="A9" s="2"/>
      <c r="B9" s="6"/>
      <c r="C9" s="6"/>
      <c r="D9" s="6"/>
      <c r="E9" s="6"/>
      <c r="F9" s="467" t="s">
        <v>5</v>
      </c>
      <c r="G9" s="468"/>
      <c r="H9" s="468"/>
      <c r="I9" s="6"/>
      <c r="J9" s="6"/>
      <c r="K9" s="6"/>
      <c r="L9" s="6"/>
      <c r="M9" s="2"/>
      <c r="N9" s="2"/>
      <c r="O9" s="2"/>
      <c r="P9" s="2"/>
    </row>
    <row r="10" spans="1:16" s="3" customFormat="1" ht="26.25" hidden="1" customHeight="1" x14ac:dyDescent="0.25">
      <c r="A10" s="2"/>
      <c r="B10" s="6"/>
      <c r="C10" s="6"/>
      <c r="D10" s="6"/>
      <c r="E10" s="467" t="s">
        <v>6</v>
      </c>
      <c r="F10" s="468"/>
      <c r="G10" s="468"/>
      <c r="H10" s="468"/>
      <c r="I10" s="6"/>
      <c r="J10" s="6"/>
      <c r="K10" s="6"/>
      <c r="L10" s="6"/>
      <c r="M10" s="2"/>
      <c r="N10" s="2"/>
      <c r="O10" s="2"/>
      <c r="P10" s="2"/>
    </row>
    <row r="11" spans="1:16" s="3" customFormat="1" ht="15.75" hidden="1" customHeight="1" x14ac:dyDescent="0.25">
      <c r="A11" s="2"/>
      <c r="B11" s="6"/>
      <c r="C11" s="6"/>
      <c r="D11" s="6"/>
      <c r="E11" s="7"/>
      <c r="F11" s="467" t="s">
        <v>7</v>
      </c>
      <c r="G11" s="468"/>
      <c r="H11" s="468"/>
      <c r="I11" s="6"/>
      <c r="J11" s="6"/>
      <c r="K11" s="6"/>
      <c r="L11" s="6"/>
      <c r="M11" s="2"/>
      <c r="N11" s="2"/>
      <c r="O11" s="2"/>
      <c r="P11" s="2"/>
    </row>
    <row r="12" spans="1:16" s="3" customFormat="1" ht="15.75" hidden="1" customHeight="1" x14ac:dyDescent="0.25">
      <c r="A12" s="2"/>
      <c r="B12" s="6"/>
      <c r="C12" s="6"/>
      <c r="D12" s="6"/>
      <c r="E12" s="7"/>
      <c r="F12" s="467" t="s">
        <v>8</v>
      </c>
      <c r="G12" s="468"/>
      <c r="H12" s="468"/>
      <c r="I12" s="6"/>
      <c r="J12" s="6"/>
      <c r="K12" s="6"/>
      <c r="L12" s="6"/>
      <c r="M12" s="2"/>
      <c r="N12" s="2"/>
      <c r="O12" s="2"/>
      <c r="P12" s="2"/>
    </row>
    <row r="13" spans="1:16" s="3" customFormat="1" ht="11.65" customHeight="1" x14ac:dyDescent="0.25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8"/>
      <c r="M13" s="2"/>
      <c r="N13" s="2"/>
      <c r="O13" s="2"/>
      <c r="P13" s="2"/>
    </row>
    <row r="14" spans="1:16" s="3" customFormat="1" ht="20.25" customHeight="1" x14ac:dyDescent="0.25">
      <c r="A14" s="471" t="s">
        <v>9</v>
      </c>
      <c r="B14" s="472"/>
      <c r="C14" s="471" t="s">
        <v>10</v>
      </c>
      <c r="D14" s="473"/>
      <c r="E14" s="473"/>
      <c r="F14" s="471" t="s">
        <v>11</v>
      </c>
      <c r="G14" s="471" t="s">
        <v>12</v>
      </c>
      <c r="H14" s="474"/>
      <c r="I14" s="475" t="s">
        <v>404</v>
      </c>
      <c r="J14" s="476"/>
      <c r="K14" s="476"/>
      <c r="L14" s="477"/>
      <c r="M14" s="475" t="s">
        <v>405</v>
      </c>
      <c r="N14" s="476"/>
      <c r="O14" s="476"/>
      <c r="P14" s="477"/>
    </row>
    <row r="15" spans="1:16" s="3" customFormat="1" ht="11.25" customHeight="1" x14ac:dyDescent="0.25">
      <c r="A15" s="473"/>
      <c r="B15" s="472"/>
      <c r="C15" s="473"/>
      <c r="D15" s="473"/>
      <c r="E15" s="473"/>
      <c r="F15" s="473"/>
      <c r="G15" s="473"/>
      <c r="H15" s="474"/>
      <c r="I15" s="478" t="s">
        <v>533</v>
      </c>
      <c r="J15" s="480" t="s">
        <v>13</v>
      </c>
      <c r="K15" s="476"/>
      <c r="L15" s="481" t="s">
        <v>14</v>
      </c>
      <c r="M15" s="478" t="s">
        <v>533</v>
      </c>
      <c r="N15" s="480" t="s">
        <v>13</v>
      </c>
      <c r="O15" s="476"/>
      <c r="P15" s="481" t="s">
        <v>14</v>
      </c>
    </row>
    <row r="16" spans="1:16" s="3" customFormat="1" ht="13.5" customHeight="1" x14ac:dyDescent="0.25">
      <c r="A16" s="471" t="s">
        <v>15</v>
      </c>
      <c r="B16" s="471" t="s">
        <v>16</v>
      </c>
      <c r="C16" s="485" t="s">
        <v>17</v>
      </c>
      <c r="D16" s="485" t="s">
        <v>18</v>
      </c>
      <c r="E16" s="485" t="s">
        <v>19</v>
      </c>
      <c r="F16" s="471" t="s">
        <v>16</v>
      </c>
      <c r="G16" s="471" t="s">
        <v>20</v>
      </c>
      <c r="H16" s="488" t="s">
        <v>16</v>
      </c>
      <c r="I16" s="479"/>
      <c r="J16" s="483" t="s">
        <v>21</v>
      </c>
      <c r="K16" s="483" t="s">
        <v>22</v>
      </c>
      <c r="L16" s="482"/>
      <c r="M16" s="479"/>
      <c r="N16" s="483" t="s">
        <v>21</v>
      </c>
      <c r="O16" s="483" t="s">
        <v>22</v>
      </c>
      <c r="P16" s="482"/>
    </row>
    <row r="17" spans="1:247" ht="13.5" customHeight="1" x14ac:dyDescent="0.25">
      <c r="A17" s="473"/>
      <c r="B17" s="473"/>
      <c r="C17" s="486"/>
      <c r="D17" s="486"/>
      <c r="E17" s="486"/>
      <c r="F17" s="473"/>
      <c r="G17" s="473"/>
      <c r="H17" s="474"/>
      <c r="I17" s="479"/>
      <c r="J17" s="484"/>
      <c r="K17" s="484"/>
      <c r="L17" s="482"/>
      <c r="M17" s="479"/>
      <c r="N17" s="484"/>
      <c r="O17" s="484"/>
      <c r="P17" s="482"/>
    </row>
    <row r="18" spans="1:247" ht="11.65" customHeight="1" x14ac:dyDescent="0.25">
      <c r="A18" s="473"/>
      <c r="B18" s="473"/>
      <c r="C18" s="487"/>
      <c r="D18" s="487"/>
      <c r="E18" s="487"/>
      <c r="F18" s="473"/>
      <c r="G18" s="473"/>
      <c r="H18" s="474"/>
      <c r="I18" s="479"/>
      <c r="J18" s="484"/>
      <c r="K18" s="484"/>
      <c r="L18" s="482"/>
      <c r="M18" s="479"/>
      <c r="N18" s="484"/>
      <c r="O18" s="484"/>
      <c r="P18" s="482"/>
    </row>
    <row r="19" spans="1:247" s="19" customFormat="1" hidden="1" x14ac:dyDescent="0.25">
      <c r="A19" s="10" t="s">
        <v>23</v>
      </c>
      <c r="B19" s="11" t="s">
        <v>24</v>
      </c>
      <c r="C19" s="490" t="s">
        <v>25</v>
      </c>
      <c r="D19" s="490"/>
      <c r="E19" s="490"/>
      <c r="F19" s="12" t="s">
        <v>26</v>
      </c>
      <c r="G19" s="10" t="s">
        <v>27</v>
      </c>
      <c r="H19" s="13" t="s">
        <v>28</v>
      </c>
      <c r="I19" s="14">
        <v>0</v>
      </c>
      <c r="J19" s="15"/>
      <c r="K19" s="15"/>
      <c r="L19" s="16">
        <f>+I19-J19+K19</f>
        <v>0</v>
      </c>
      <c r="M19" s="14">
        <v>0</v>
      </c>
      <c r="N19" s="15"/>
      <c r="O19" s="15"/>
      <c r="P19" s="16">
        <f>+M19-N19+O19</f>
        <v>0</v>
      </c>
      <c r="Q19" s="17"/>
      <c r="R19" s="18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</row>
    <row r="20" spans="1:247" s="19" customFormat="1" ht="30" hidden="1" x14ac:dyDescent="0.25">
      <c r="A20" s="10" t="s">
        <v>23</v>
      </c>
      <c r="B20" s="11" t="s">
        <v>24</v>
      </c>
      <c r="C20" s="490" t="s">
        <v>29</v>
      </c>
      <c r="D20" s="490"/>
      <c r="E20" s="490"/>
      <c r="F20" s="12" t="s">
        <v>30</v>
      </c>
      <c r="G20" s="10" t="s">
        <v>31</v>
      </c>
      <c r="H20" s="13" t="s">
        <v>32</v>
      </c>
      <c r="I20" s="14">
        <v>0</v>
      </c>
      <c r="J20" s="15"/>
      <c r="K20" s="15"/>
      <c r="L20" s="16">
        <f>+I20-J20+K20</f>
        <v>0</v>
      </c>
      <c r="M20" s="14">
        <v>0</v>
      </c>
      <c r="N20" s="15"/>
      <c r="O20" s="15"/>
      <c r="P20" s="16">
        <f>+M20-N20+O20</f>
        <v>0</v>
      </c>
      <c r="Q20" s="17"/>
      <c r="R20" s="18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</row>
    <row r="21" spans="1:247" s="19" customFormat="1" ht="30" hidden="1" x14ac:dyDescent="0.25">
      <c r="A21" s="10" t="s">
        <v>23</v>
      </c>
      <c r="B21" s="11" t="s">
        <v>24</v>
      </c>
      <c r="C21" s="490" t="s">
        <v>33</v>
      </c>
      <c r="D21" s="490"/>
      <c r="E21" s="490"/>
      <c r="F21" s="12" t="s">
        <v>30</v>
      </c>
      <c r="G21" s="10" t="s">
        <v>31</v>
      </c>
      <c r="H21" s="13" t="s">
        <v>32</v>
      </c>
      <c r="I21" s="14">
        <v>0</v>
      </c>
      <c r="J21" s="15"/>
      <c r="K21" s="15"/>
      <c r="L21" s="16">
        <f>+I21-J21+K21</f>
        <v>0</v>
      </c>
      <c r="M21" s="14">
        <v>0</v>
      </c>
      <c r="N21" s="15"/>
      <c r="O21" s="15"/>
      <c r="P21" s="16">
        <f>+M21-N21+O21</f>
        <v>0</v>
      </c>
      <c r="Q21" s="17"/>
      <c r="R21" s="18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</row>
    <row r="22" spans="1:247" s="19" customFormat="1" ht="30" hidden="1" x14ac:dyDescent="0.25">
      <c r="A22" s="10" t="s">
        <v>23</v>
      </c>
      <c r="B22" s="11" t="s">
        <v>24</v>
      </c>
      <c r="C22" s="490" t="s">
        <v>34</v>
      </c>
      <c r="D22" s="490"/>
      <c r="E22" s="490"/>
      <c r="F22" s="12" t="s">
        <v>30</v>
      </c>
      <c r="G22" s="10" t="s">
        <v>31</v>
      </c>
      <c r="H22" s="13" t="s">
        <v>32</v>
      </c>
      <c r="I22" s="14">
        <v>0</v>
      </c>
      <c r="J22" s="15"/>
      <c r="K22" s="15"/>
      <c r="L22" s="16">
        <f>+I22-J22+K22</f>
        <v>0</v>
      </c>
      <c r="M22" s="14">
        <v>0</v>
      </c>
      <c r="N22" s="15"/>
      <c r="O22" s="15"/>
      <c r="P22" s="16">
        <f>+M22-N22+O22</f>
        <v>0</v>
      </c>
      <c r="Q22" s="17"/>
      <c r="R22" s="1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</row>
    <row r="23" spans="1:247" s="19" customFormat="1" ht="28.5" customHeight="1" x14ac:dyDescent="0.25">
      <c r="A23" s="10" t="s">
        <v>23</v>
      </c>
      <c r="B23" s="11" t="s">
        <v>24</v>
      </c>
      <c r="C23" s="490" t="s">
        <v>35</v>
      </c>
      <c r="D23" s="490"/>
      <c r="E23" s="490"/>
      <c r="F23" s="12" t="s">
        <v>26</v>
      </c>
      <c r="G23" s="10" t="s">
        <v>36</v>
      </c>
      <c r="H23" s="13" t="s">
        <v>37</v>
      </c>
      <c r="I23" s="14">
        <v>0</v>
      </c>
      <c r="J23" s="15"/>
      <c r="K23" s="15">
        <f>5098351+4656793</f>
        <v>9755144</v>
      </c>
      <c r="L23" s="16">
        <f>+I23-J23+K23</f>
        <v>9755144</v>
      </c>
      <c r="M23" s="14">
        <v>0</v>
      </c>
      <c r="N23" s="15"/>
      <c r="O23" s="15">
        <v>200000</v>
      </c>
      <c r="P23" s="16">
        <f>+M23-N23+O23</f>
        <v>200000</v>
      </c>
      <c r="Q23" s="17"/>
      <c r="R23" s="18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</row>
    <row r="24" spans="1:247" ht="25.5" customHeight="1" x14ac:dyDescent="0.25">
      <c r="A24" s="491" t="s">
        <v>38</v>
      </c>
      <c r="B24" s="472"/>
      <c r="C24" s="472"/>
      <c r="D24" s="472"/>
      <c r="E24" s="472"/>
      <c r="F24" s="472"/>
      <c r="G24" s="472"/>
      <c r="H24" s="492"/>
      <c r="I24" s="20">
        <f t="shared" ref="I24:P24" si="0">SUM(I19:I23)</f>
        <v>0</v>
      </c>
      <c r="J24" s="21">
        <f t="shared" si="0"/>
        <v>0</v>
      </c>
      <c r="K24" s="21">
        <f t="shared" si="0"/>
        <v>9755144</v>
      </c>
      <c r="L24" s="22">
        <f t="shared" si="0"/>
        <v>9755144</v>
      </c>
      <c r="M24" s="20">
        <f t="shared" si="0"/>
        <v>0</v>
      </c>
      <c r="N24" s="21">
        <f t="shared" si="0"/>
        <v>0</v>
      </c>
      <c r="O24" s="21">
        <f t="shared" si="0"/>
        <v>200000</v>
      </c>
      <c r="P24" s="22">
        <f t="shared" si="0"/>
        <v>200000</v>
      </c>
    </row>
    <row r="25" spans="1:247" s="23" customFormat="1" ht="105" customHeight="1" x14ac:dyDescent="0.25">
      <c r="G25" s="397"/>
      <c r="K25" s="447"/>
      <c r="N25" s="24"/>
      <c r="O25" s="24"/>
      <c r="P25" s="24"/>
    </row>
    <row r="26" spans="1:247" s="23" customFormat="1" x14ac:dyDescent="0.25">
      <c r="B26" s="489" t="s">
        <v>39</v>
      </c>
      <c r="C26" s="489"/>
      <c r="D26" s="489"/>
      <c r="E26" s="489"/>
      <c r="G26" s="398"/>
      <c r="N26" s="24"/>
      <c r="O26" s="24"/>
      <c r="P26" s="24"/>
    </row>
    <row r="27" spans="1:247" ht="12" customHeight="1" x14ac:dyDescent="0.25">
      <c r="A27" s="1"/>
      <c r="B27" s="2"/>
      <c r="C27" s="2"/>
      <c r="D27" s="2"/>
      <c r="E27" s="2"/>
      <c r="F27" s="2"/>
      <c r="G27" s="2"/>
      <c r="H27" s="2"/>
      <c r="I27" s="2"/>
      <c r="J27" s="25"/>
      <c r="K27" s="2"/>
      <c r="L27" s="2"/>
      <c r="M27" s="2"/>
      <c r="N27" s="2"/>
      <c r="O27" s="2"/>
      <c r="P27" s="2"/>
    </row>
    <row r="28" spans="1:247" ht="36" customHeight="1" x14ac:dyDescent="0.25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</row>
    <row r="29" spans="1:247" ht="11.6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247" ht="11.6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</row>
    <row r="31" spans="1:247" ht="11.65" customHeight="1" x14ac:dyDescent="0.25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</row>
  </sheetData>
  <mergeCells count="41">
    <mergeCell ref="B26:E26"/>
    <mergeCell ref="C19:E19"/>
    <mergeCell ref="C20:E20"/>
    <mergeCell ref="C21:E21"/>
    <mergeCell ref="C22:E22"/>
    <mergeCell ref="C23:E23"/>
    <mergeCell ref="A24:H24"/>
    <mergeCell ref="F16:F18"/>
    <mergeCell ref="G16:G18"/>
    <mergeCell ref="H16:H18"/>
    <mergeCell ref="J16:J18"/>
    <mergeCell ref="K16:K18"/>
    <mergeCell ref="A16:A18"/>
    <mergeCell ref="B16:B18"/>
    <mergeCell ref="C16:C18"/>
    <mergeCell ref="D16:D18"/>
    <mergeCell ref="E16:E18"/>
    <mergeCell ref="I14:L14"/>
    <mergeCell ref="M14:P14"/>
    <mergeCell ref="I15:I18"/>
    <mergeCell ref="J15:K15"/>
    <mergeCell ref="L15:L18"/>
    <mergeCell ref="M15:M18"/>
    <mergeCell ref="N15:O15"/>
    <mergeCell ref="P15:P18"/>
    <mergeCell ref="O16:O18"/>
    <mergeCell ref="N16:N18"/>
    <mergeCell ref="F9:H9"/>
    <mergeCell ref="E10:H10"/>
    <mergeCell ref="F11:H11"/>
    <mergeCell ref="F12:H12"/>
    <mergeCell ref="A14:B15"/>
    <mergeCell ref="C14:E15"/>
    <mergeCell ref="F14:F15"/>
    <mergeCell ref="G14:H15"/>
    <mergeCell ref="F8:H8"/>
    <mergeCell ref="A3:L3"/>
    <mergeCell ref="E4:H4"/>
    <mergeCell ref="F5:H5"/>
    <mergeCell ref="F6:H6"/>
    <mergeCell ref="F7:H7"/>
  </mergeCells>
  <printOptions horizontalCentered="1"/>
  <pageMargins left="0.59055118110236227" right="0.59055118110236227" top="0.59055118110236227" bottom="0.59055118110236227" header="0.39370078740157483" footer="0.39370078740157483"/>
  <pageSetup paperSize="9" scale="65" orientation="landscape" horizontalDpi="4294967293" verticalDpi="4294967293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8A892-BD19-4895-9D27-44E043C033F1}">
  <sheetPr filterMode="1">
    <tabColor rgb="FF00CCFF"/>
  </sheetPr>
  <dimension ref="A1:BD921"/>
  <sheetViews>
    <sheetView tabSelected="1" view="pageBreakPreview" zoomScaleNormal="100" zoomScaleSheetLayoutView="100" workbookViewId="0">
      <pane ySplit="9" topLeftCell="A10" activePane="bottomLeft" state="frozen"/>
      <selection activeCell="A14" sqref="A14:B15"/>
      <selection pane="bottomLeft" activeCell="A8" sqref="A8:A9"/>
    </sheetView>
  </sheetViews>
  <sheetFormatPr defaultColWidth="9.140625" defaultRowHeight="12.75" x14ac:dyDescent="0.25"/>
  <cols>
    <col min="1" max="1" width="6" style="26" customWidth="1"/>
    <col min="2" max="2" width="5.5703125" style="27" customWidth="1"/>
    <col min="3" max="3" width="12.85546875" style="28" bestFit="1" customWidth="1"/>
    <col min="4" max="4" width="33.7109375" style="26" customWidth="1"/>
    <col min="5" max="7" width="2.85546875" style="26" customWidth="1"/>
    <col min="8" max="9" width="4.42578125" style="26" customWidth="1"/>
    <col min="10" max="10" width="10.140625" style="26" customWidth="1"/>
    <col min="11" max="11" width="10.28515625" style="29" customWidth="1"/>
    <col min="12" max="12" width="10.28515625" style="30" customWidth="1"/>
    <col min="13" max="13" width="9.5703125" style="30" customWidth="1"/>
    <col min="14" max="15" width="10.28515625" style="29" customWidth="1"/>
    <col min="16" max="18" width="10" style="30" customWidth="1"/>
    <col min="19" max="25" width="10" style="26" customWidth="1"/>
    <col min="26" max="26" width="9.140625" style="37" customWidth="1"/>
    <col min="27" max="27" width="26.7109375" style="380" hidden="1" customWidth="1"/>
    <col min="28" max="28" width="14.7109375" style="38" hidden="1" customWidth="1"/>
    <col min="29" max="29" width="20.7109375" style="39" hidden="1" customWidth="1"/>
    <col min="30" max="30" width="19.42578125" style="39" hidden="1" customWidth="1"/>
    <col min="31" max="31" width="13.42578125" style="40" hidden="1" customWidth="1"/>
    <col min="32" max="32" width="32.5703125" style="36" hidden="1" customWidth="1"/>
    <col min="33" max="34" width="9.140625" style="36" hidden="1" customWidth="1"/>
    <col min="35" max="35" width="12.42578125" style="39" hidden="1" customWidth="1"/>
    <col min="36" max="36" width="11.7109375" style="36" hidden="1" customWidth="1"/>
    <col min="37" max="38" width="34" style="36" hidden="1" customWidth="1"/>
    <col min="39" max="39" width="41.42578125" style="36" hidden="1" customWidth="1"/>
    <col min="40" max="40" width="12.85546875" style="36" hidden="1" customWidth="1"/>
    <col min="41" max="42" width="10.140625" style="36" hidden="1" customWidth="1"/>
    <col min="43" max="43" width="11.5703125" style="36" hidden="1" customWidth="1"/>
    <col min="44" max="52" width="10.140625" style="36" hidden="1" customWidth="1"/>
    <col min="53" max="53" width="7.28515625" style="36" hidden="1" customWidth="1"/>
    <col min="54" max="55" width="6.7109375" style="41" hidden="1" customWidth="1"/>
    <col min="56" max="16384" width="9.140625" style="36"/>
  </cols>
  <sheetData>
    <row r="1" spans="1:56" ht="51" customHeight="1" x14ac:dyDescent="0.25">
      <c r="N1" s="31" t="s">
        <v>535</v>
      </c>
      <c r="O1" s="31"/>
      <c r="P1" s="31"/>
      <c r="Q1" s="31"/>
      <c r="R1" s="31"/>
      <c r="S1" s="32"/>
      <c r="T1" s="32"/>
      <c r="U1" s="32"/>
      <c r="V1" s="32"/>
      <c r="Z1" s="33" t="str">
        <f ca="1">IF((ROWS(Z10:Z888)-COUNTA(Z10:Z888))=0,"","Przeciągnij formułę")</f>
        <v/>
      </c>
      <c r="AA1" s="379"/>
      <c r="AB1" s="34" t="str">
        <f ca="1">IF((ROWS(AB10:AB885)-COUNTA(AB10:AB885))=0,"","Przeciągnij formułę")</f>
        <v/>
      </c>
      <c r="AC1" s="34" t="str">
        <f t="shared" ref="AC1:BC1" ca="1" si="0">IF((ROWS(AC10:AC888)-COUNTA(AC10:AC888))=0,"","Przeciągnij formułę")</f>
        <v/>
      </c>
      <c r="AD1" s="34" t="str">
        <f t="shared" ca="1" si="0"/>
        <v/>
      </c>
      <c r="AE1" s="34" t="str">
        <f t="shared" ca="1" si="0"/>
        <v/>
      </c>
      <c r="AF1" s="34" t="str">
        <f t="shared" ca="1" si="0"/>
        <v/>
      </c>
      <c r="AG1" s="34" t="str">
        <f t="shared" ca="1" si="0"/>
        <v/>
      </c>
      <c r="AH1" s="34" t="str">
        <f t="shared" ca="1" si="0"/>
        <v/>
      </c>
      <c r="AI1" s="34" t="str">
        <f t="shared" ca="1" si="0"/>
        <v/>
      </c>
      <c r="AJ1" s="34" t="str">
        <f t="shared" ca="1" si="0"/>
        <v/>
      </c>
      <c r="AK1" s="34" t="str">
        <f t="shared" ca="1" si="0"/>
        <v/>
      </c>
      <c r="AL1" s="34" t="str">
        <f t="shared" ca="1" si="0"/>
        <v/>
      </c>
      <c r="AM1" s="34" t="str">
        <f t="shared" ca="1" si="0"/>
        <v/>
      </c>
      <c r="AN1" s="34" t="str">
        <f t="shared" ca="1" si="0"/>
        <v/>
      </c>
      <c r="AO1" s="34" t="str">
        <f t="shared" ca="1" si="0"/>
        <v/>
      </c>
      <c r="AP1" s="34" t="str">
        <f t="shared" ca="1" si="0"/>
        <v/>
      </c>
      <c r="AQ1" s="34" t="str">
        <f t="shared" ca="1" si="0"/>
        <v/>
      </c>
      <c r="AR1" s="34" t="str">
        <f t="shared" ca="1" si="0"/>
        <v/>
      </c>
      <c r="AS1" s="34" t="str">
        <f t="shared" ca="1" si="0"/>
        <v/>
      </c>
      <c r="AT1" s="34" t="str">
        <f t="shared" ca="1" si="0"/>
        <v/>
      </c>
      <c r="AU1" s="34" t="str">
        <f t="shared" ca="1" si="0"/>
        <v/>
      </c>
      <c r="AV1" s="34" t="str">
        <f t="shared" ca="1" si="0"/>
        <v/>
      </c>
      <c r="AW1" s="34" t="str">
        <f t="shared" ca="1" si="0"/>
        <v/>
      </c>
      <c r="AX1" s="34" t="str">
        <f t="shared" ca="1" si="0"/>
        <v/>
      </c>
      <c r="AY1" s="34" t="str">
        <f t="shared" ca="1" si="0"/>
        <v/>
      </c>
      <c r="AZ1" s="34" t="str">
        <f t="shared" ca="1" si="0"/>
        <v/>
      </c>
      <c r="BA1" s="34" t="str">
        <f t="shared" ca="1" si="0"/>
        <v/>
      </c>
      <c r="BB1" s="35" t="str">
        <f t="shared" ca="1" si="0"/>
        <v/>
      </c>
      <c r="BC1" s="35" t="str">
        <f t="shared" ca="1" si="0"/>
        <v/>
      </c>
    </row>
    <row r="2" spans="1:56" ht="15" customHeight="1" x14ac:dyDescent="0.25"/>
    <row r="3" spans="1:56" s="51" customFormat="1" ht="16.5" x14ac:dyDescent="0.25">
      <c r="A3" s="42" t="s">
        <v>40</v>
      </c>
      <c r="B3" s="43"/>
      <c r="C3" s="44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5"/>
      <c r="T3" s="45"/>
      <c r="U3" s="45"/>
      <c r="V3" s="45"/>
      <c r="W3" s="45"/>
      <c r="X3" s="45"/>
      <c r="Y3" s="45"/>
      <c r="Z3" s="46"/>
      <c r="AA3" s="381"/>
      <c r="AB3" s="47"/>
      <c r="AC3" s="48"/>
      <c r="AD3" s="48"/>
      <c r="AE3" s="49"/>
      <c r="AF3" s="50"/>
      <c r="AG3" s="50"/>
      <c r="AH3" s="50"/>
      <c r="AI3" s="48"/>
      <c r="AJ3" s="50"/>
      <c r="AK3" s="50"/>
      <c r="AL3" s="50"/>
      <c r="BA3" s="50"/>
      <c r="BB3" s="52"/>
      <c r="BC3" s="52"/>
    </row>
    <row r="4" spans="1:56" s="66" customFormat="1" ht="15" customHeight="1" x14ac:dyDescent="0.25">
      <c r="A4" s="53"/>
      <c r="B4" s="54"/>
      <c r="C4" s="54"/>
      <c r="D4" s="53"/>
      <c r="E4" s="53"/>
      <c r="F4" s="53"/>
      <c r="G4" s="53"/>
      <c r="H4" s="53"/>
      <c r="I4" s="53"/>
      <c r="J4" s="53"/>
      <c r="K4" s="53"/>
      <c r="L4" s="53"/>
      <c r="M4" s="55"/>
      <c r="N4" s="53"/>
      <c r="O4" s="53"/>
      <c r="P4" s="53"/>
      <c r="Q4" s="55"/>
      <c r="R4" s="55"/>
      <c r="S4" s="53"/>
      <c r="T4" s="53"/>
      <c r="U4" s="53"/>
      <c r="V4" s="53"/>
      <c r="W4" s="53"/>
      <c r="X4" s="53"/>
      <c r="Y4" s="53"/>
      <c r="Z4" s="37"/>
      <c r="AA4" s="380"/>
      <c r="AB4" s="56"/>
      <c r="AC4" s="57"/>
      <c r="AD4" s="57"/>
      <c r="AE4" s="58"/>
      <c r="AF4" s="59"/>
      <c r="AG4" s="59"/>
      <c r="AH4" s="59"/>
      <c r="AI4" s="57"/>
      <c r="AJ4" s="59"/>
      <c r="AK4" s="59"/>
      <c r="AL4" s="59"/>
      <c r="AM4" s="60" t="s">
        <v>41</v>
      </c>
      <c r="AN4" s="61">
        <f t="shared" ref="AN4:AZ4" ca="1" si="1">SUMIFS(AN$10:AN$888,$AD$10:$AD$888,"*przed*",$AJ$10:$AJ$888,"*w tym*")</f>
        <v>213864077</v>
      </c>
      <c r="AO4" s="62">
        <f t="shared" ca="1" si="1"/>
        <v>57305405</v>
      </c>
      <c r="AP4" s="63">
        <f t="shared" ca="1" si="1"/>
        <v>44435549</v>
      </c>
      <c r="AQ4" s="64">
        <f t="shared" ca="1" si="1"/>
        <v>56727923</v>
      </c>
      <c r="AR4" s="64">
        <f t="shared" ca="1" si="1"/>
        <v>39935815</v>
      </c>
      <c r="AS4" s="64">
        <f t="shared" ca="1" si="1"/>
        <v>15459385</v>
      </c>
      <c r="AT4" s="64">
        <f t="shared" ca="1" si="1"/>
        <v>0</v>
      </c>
      <c r="AU4" s="64">
        <f t="shared" ca="1" si="1"/>
        <v>0</v>
      </c>
      <c r="AV4" s="64">
        <f t="shared" ca="1" si="1"/>
        <v>0</v>
      </c>
      <c r="AW4" s="64">
        <f t="shared" ca="1" si="1"/>
        <v>0</v>
      </c>
      <c r="AX4" s="64">
        <f t="shared" ca="1" si="1"/>
        <v>0</v>
      </c>
      <c r="AY4" s="64">
        <f t="shared" ca="1" si="1"/>
        <v>0</v>
      </c>
      <c r="AZ4" s="64">
        <f t="shared" ca="1" si="1"/>
        <v>0</v>
      </c>
      <c r="BA4" s="59"/>
      <c r="BB4" s="65"/>
      <c r="BC4" s="65"/>
    </row>
    <row r="5" spans="1:56" s="82" customFormat="1" ht="16.5" customHeight="1" x14ac:dyDescent="0.25">
      <c r="A5" s="67" t="s">
        <v>42</v>
      </c>
      <c r="B5" s="68"/>
      <c r="C5" s="69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70"/>
      <c r="T5" s="70"/>
      <c r="U5" s="70"/>
      <c r="V5" s="70"/>
      <c r="W5" s="70"/>
      <c r="X5" s="70"/>
      <c r="Y5" s="70"/>
      <c r="Z5" s="71"/>
      <c r="AA5" s="382"/>
      <c r="AB5" s="72"/>
      <c r="AC5" s="73"/>
      <c r="AD5" s="73"/>
      <c r="AE5" s="74"/>
      <c r="AF5" s="75"/>
      <c r="AG5" s="75"/>
      <c r="AH5" s="75"/>
      <c r="AI5" s="73"/>
      <c r="AJ5" s="75"/>
      <c r="AK5" s="75"/>
      <c r="AL5" s="75"/>
      <c r="AM5" s="76" t="s">
        <v>43</v>
      </c>
      <c r="AN5" s="77">
        <f t="shared" ref="AN5:AZ5" ca="1" si="2">SUMIFS(AN$10:AN$888,$AD$10:$AD$888,"*prop*",$AJ$10:$AJ$888,"*w tym*")</f>
        <v>10255144</v>
      </c>
      <c r="AO5" s="78">
        <f t="shared" ca="1" si="2"/>
        <v>0</v>
      </c>
      <c r="AP5" s="79">
        <f t="shared" ca="1" si="2"/>
        <v>0</v>
      </c>
      <c r="AQ5" s="80">
        <f t="shared" ca="1" si="2"/>
        <v>200000</v>
      </c>
      <c r="AR5" s="80">
        <f t="shared" ca="1" si="2"/>
        <v>9855144</v>
      </c>
      <c r="AS5" s="80">
        <f t="shared" ca="1" si="2"/>
        <v>200000</v>
      </c>
      <c r="AT5" s="80">
        <f t="shared" ca="1" si="2"/>
        <v>0</v>
      </c>
      <c r="AU5" s="80">
        <f t="shared" ca="1" si="2"/>
        <v>0</v>
      </c>
      <c r="AV5" s="80">
        <f t="shared" ca="1" si="2"/>
        <v>0</v>
      </c>
      <c r="AW5" s="80">
        <f t="shared" ca="1" si="2"/>
        <v>0</v>
      </c>
      <c r="AX5" s="80">
        <f t="shared" ca="1" si="2"/>
        <v>0</v>
      </c>
      <c r="AY5" s="80">
        <f t="shared" ca="1" si="2"/>
        <v>0</v>
      </c>
      <c r="AZ5" s="80">
        <f t="shared" ca="1" si="2"/>
        <v>0</v>
      </c>
      <c r="BA5" s="75"/>
      <c r="BB5" s="81"/>
      <c r="BC5" s="81"/>
    </row>
    <row r="6" spans="1:56" ht="15" customHeight="1" x14ac:dyDescent="0.25">
      <c r="A6" s="83" t="s">
        <v>44</v>
      </c>
      <c r="B6" s="84"/>
      <c r="C6" s="85"/>
      <c r="D6" s="83"/>
      <c r="E6" s="83"/>
      <c r="F6" s="83"/>
      <c r="G6" s="83"/>
      <c r="H6" s="83"/>
      <c r="I6" s="83"/>
      <c r="J6" s="83"/>
      <c r="K6" s="86"/>
      <c r="L6" s="86"/>
      <c r="M6" s="86"/>
      <c r="N6" s="86"/>
      <c r="O6" s="86"/>
      <c r="P6" s="87"/>
      <c r="Q6" s="87"/>
      <c r="R6" s="86"/>
      <c r="S6" s="83"/>
      <c r="U6" s="83"/>
      <c r="V6" s="83"/>
      <c r="W6" s="83"/>
      <c r="X6" s="83"/>
      <c r="Y6" s="83"/>
      <c r="Z6" s="88"/>
      <c r="AA6" s="383"/>
      <c r="AC6" s="89"/>
      <c r="AD6" s="89"/>
      <c r="AF6" s="89"/>
      <c r="AG6" s="89"/>
      <c r="AH6" s="89"/>
      <c r="AI6" s="89"/>
      <c r="AJ6" s="89"/>
      <c r="AK6" s="89"/>
      <c r="AL6" s="89"/>
      <c r="AM6" s="102" t="s">
        <v>45</v>
      </c>
      <c r="AN6" s="103">
        <f t="shared" ref="AN6:AZ6" ca="1" si="3">SUMIFS(AN$10:AN$888,$AD$10:$AD$888,"*prop*",$AJ$10:$AJ$888,"*WPF/PM*")</f>
        <v>10255144</v>
      </c>
      <c r="AO6" s="104">
        <f t="shared" ca="1" si="3"/>
        <v>0</v>
      </c>
      <c r="AP6" s="105">
        <f t="shared" ca="1" si="3"/>
        <v>0</v>
      </c>
      <c r="AQ6" s="106">
        <f t="shared" ca="1" si="3"/>
        <v>200000</v>
      </c>
      <c r="AR6" s="106">
        <f t="shared" ca="1" si="3"/>
        <v>9855144</v>
      </c>
      <c r="AS6" s="106">
        <f t="shared" ca="1" si="3"/>
        <v>200000</v>
      </c>
      <c r="AT6" s="106">
        <f t="shared" ca="1" si="3"/>
        <v>0</v>
      </c>
      <c r="AU6" s="106">
        <f t="shared" ca="1" si="3"/>
        <v>0</v>
      </c>
      <c r="AV6" s="106">
        <f t="shared" ca="1" si="3"/>
        <v>0</v>
      </c>
      <c r="AW6" s="106">
        <f t="shared" ca="1" si="3"/>
        <v>0</v>
      </c>
      <c r="AX6" s="106">
        <f t="shared" ca="1" si="3"/>
        <v>0</v>
      </c>
      <c r="AY6" s="106">
        <f t="shared" ca="1" si="3"/>
        <v>0</v>
      </c>
      <c r="AZ6" s="106">
        <f t="shared" ca="1" si="3"/>
        <v>0</v>
      </c>
      <c r="BA6" s="89"/>
    </row>
    <row r="7" spans="1:56" s="66" customFormat="1" ht="12.95" customHeight="1" x14ac:dyDescent="0.25">
      <c r="A7" s="90"/>
      <c r="B7" s="91"/>
      <c r="C7" s="92"/>
      <c r="D7" s="90"/>
      <c r="E7" s="90"/>
      <c r="F7" s="90"/>
      <c r="G7" s="90"/>
      <c r="H7" s="90"/>
      <c r="I7" s="90"/>
      <c r="J7" s="90"/>
      <c r="K7" s="93"/>
      <c r="L7" s="94"/>
      <c r="M7" s="94"/>
      <c r="N7" s="93"/>
      <c r="O7" s="93"/>
      <c r="P7" s="94"/>
      <c r="Q7" s="94"/>
      <c r="R7" s="95" t="s">
        <v>46</v>
      </c>
      <c r="S7" s="96"/>
      <c r="T7" s="96"/>
      <c r="U7" s="97"/>
      <c r="V7" s="90"/>
      <c r="W7" s="98"/>
      <c r="X7" s="90"/>
      <c r="Y7" s="90"/>
      <c r="Z7" s="37"/>
      <c r="AA7" s="380"/>
      <c r="AB7" s="56"/>
      <c r="AC7" s="99"/>
      <c r="AD7" s="99"/>
      <c r="AE7" s="100"/>
      <c r="AF7" s="101"/>
      <c r="AG7" s="101"/>
      <c r="AH7" s="101"/>
      <c r="AI7" s="99"/>
      <c r="AJ7" s="101"/>
      <c r="AK7" s="101"/>
      <c r="AL7" s="101"/>
      <c r="AM7" s="102" t="s">
        <v>47</v>
      </c>
      <c r="AN7" s="103">
        <f t="shared" ref="AN7:AZ7" ca="1" si="4">SUMIFS(AN$10:AN$888,$AD$10:$AD$888,"*prop*",$AJ$10:$AJ$888,"*WPF/UM*")</f>
        <v>0</v>
      </c>
      <c r="AO7" s="104">
        <f t="shared" ca="1" si="4"/>
        <v>0</v>
      </c>
      <c r="AP7" s="105">
        <f t="shared" ca="1" si="4"/>
        <v>0</v>
      </c>
      <c r="AQ7" s="106">
        <f t="shared" ca="1" si="4"/>
        <v>0</v>
      </c>
      <c r="AR7" s="106">
        <f t="shared" ca="1" si="4"/>
        <v>0</v>
      </c>
      <c r="AS7" s="106">
        <f t="shared" ca="1" si="4"/>
        <v>0</v>
      </c>
      <c r="AT7" s="106">
        <f t="shared" ca="1" si="4"/>
        <v>0</v>
      </c>
      <c r="AU7" s="106">
        <f t="shared" ca="1" si="4"/>
        <v>0</v>
      </c>
      <c r="AV7" s="106">
        <f t="shared" ca="1" si="4"/>
        <v>0</v>
      </c>
      <c r="AW7" s="106">
        <f t="shared" ca="1" si="4"/>
        <v>0</v>
      </c>
      <c r="AX7" s="106">
        <f t="shared" ca="1" si="4"/>
        <v>0</v>
      </c>
      <c r="AY7" s="106">
        <f t="shared" ca="1" si="4"/>
        <v>0</v>
      </c>
      <c r="AZ7" s="106">
        <f t="shared" ca="1" si="4"/>
        <v>0</v>
      </c>
      <c r="BA7" s="107"/>
      <c r="BB7" s="108"/>
      <c r="BC7" s="108"/>
      <c r="BD7" s="109"/>
    </row>
    <row r="8" spans="1:56" s="125" customFormat="1" ht="15" customHeight="1" x14ac:dyDescent="0.25">
      <c r="A8" s="514" t="s">
        <v>48</v>
      </c>
      <c r="B8" s="514" t="s">
        <v>49</v>
      </c>
      <c r="C8" s="523" t="s">
        <v>50</v>
      </c>
      <c r="D8" s="525" t="s">
        <v>51</v>
      </c>
      <c r="E8" s="527" t="s">
        <v>52</v>
      </c>
      <c r="F8" s="528"/>
      <c r="G8" s="528"/>
      <c r="H8" s="514" t="s">
        <v>53</v>
      </c>
      <c r="I8" s="514" t="s">
        <v>54</v>
      </c>
      <c r="J8" s="516" t="s">
        <v>55</v>
      </c>
      <c r="K8" s="518" t="s">
        <v>56</v>
      </c>
      <c r="L8" s="520" t="s">
        <v>57</v>
      </c>
      <c r="M8" s="521"/>
      <c r="N8" s="522"/>
      <c r="O8" s="518" t="s">
        <v>58</v>
      </c>
      <c r="P8" s="110"/>
      <c r="Q8" s="111"/>
      <c r="R8" s="112"/>
      <c r="S8" s="111"/>
      <c r="T8" s="111"/>
      <c r="U8" s="111"/>
      <c r="V8" s="111"/>
      <c r="W8" s="111"/>
      <c r="X8" s="111"/>
      <c r="Y8" s="112"/>
      <c r="Z8" s="37"/>
      <c r="AA8" s="380"/>
      <c r="AB8" s="113"/>
      <c r="AC8" s="114" t="s">
        <v>59</v>
      </c>
      <c r="AD8" s="115"/>
      <c r="AE8" s="116"/>
      <c r="AF8" s="117"/>
      <c r="AG8" s="117"/>
      <c r="AH8" s="117"/>
      <c r="AI8" s="115"/>
      <c r="AJ8" s="117"/>
      <c r="AK8" s="117"/>
      <c r="AL8" s="117"/>
      <c r="AM8" s="118" t="s">
        <v>60</v>
      </c>
      <c r="AN8" s="119">
        <f t="shared" ref="AN8:AZ8" ca="1" si="5">SUMIFS(AN$10:AN$888,$AD$10:$AD$888,"*po zmi*",$AJ$10:$AJ$888,"*w tym*")</f>
        <v>224119221</v>
      </c>
      <c r="AO8" s="120">
        <f t="shared" ca="1" si="5"/>
        <v>57305405</v>
      </c>
      <c r="AP8" s="121">
        <f t="shared" ca="1" si="5"/>
        <v>44435549</v>
      </c>
      <c r="AQ8" s="122">
        <f t="shared" ca="1" si="5"/>
        <v>56927923</v>
      </c>
      <c r="AR8" s="122">
        <f t="shared" ca="1" si="5"/>
        <v>49790959</v>
      </c>
      <c r="AS8" s="122">
        <f t="shared" ca="1" si="5"/>
        <v>15659385</v>
      </c>
      <c r="AT8" s="122">
        <f t="shared" ca="1" si="5"/>
        <v>0</v>
      </c>
      <c r="AU8" s="122">
        <f t="shared" ca="1" si="5"/>
        <v>0</v>
      </c>
      <c r="AV8" s="122">
        <f t="shared" ca="1" si="5"/>
        <v>0</v>
      </c>
      <c r="AW8" s="122">
        <f t="shared" ca="1" si="5"/>
        <v>0</v>
      </c>
      <c r="AX8" s="122">
        <f t="shared" ca="1" si="5"/>
        <v>0</v>
      </c>
      <c r="AY8" s="122">
        <f t="shared" ca="1" si="5"/>
        <v>0</v>
      </c>
      <c r="AZ8" s="122">
        <f t="shared" ca="1" si="5"/>
        <v>0</v>
      </c>
      <c r="BA8" s="123"/>
      <c r="BB8" s="123"/>
      <c r="BC8" s="123"/>
      <c r="BD8" s="124"/>
    </row>
    <row r="9" spans="1:56" s="125" customFormat="1" ht="33" thickBot="1" x14ac:dyDescent="0.3">
      <c r="A9" s="515"/>
      <c r="B9" s="515"/>
      <c r="C9" s="524"/>
      <c r="D9" s="526"/>
      <c r="E9" s="126" t="s">
        <v>17</v>
      </c>
      <c r="F9" s="126" t="s">
        <v>61</v>
      </c>
      <c r="G9" s="126" t="s">
        <v>62</v>
      </c>
      <c r="H9" s="515"/>
      <c r="I9" s="515"/>
      <c r="J9" s="517"/>
      <c r="K9" s="519"/>
      <c r="L9" s="127" t="s">
        <v>63</v>
      </c>
      <c r="M9" s="128" t="s">
        <v>64</v>
      </c>
      <c r="N9" s="370" t="s">
        <v>65</v>
      </c>
      <c r="O9" s="519"/>
      <c r="P9" s="129" t="s">
        <v>66</v>
      </c>
      <c r="Q9" s="130" t="s">
        <v>67</v>
      </c>
      <c r="R9" s="130" t="s">
        <v>68</v>
      </c>
      <c r="S9" s="131" t="s">
        <v>69</v>
      </c>
      <c r="T9" s="132" t="s">
        <v>70</v>
      </c>
      <c r="U9" s="132" t="s">
        <v>71</v>
      </c>
      <c r="V9" s="132" t="s">
        <v>72</v>
      </c>
      <c r="W9" s="132" t="s">
        <v>73</v>
      </c>
      <c r="X9" s="132" t="s">
        <v>74</v>
      </c>
      <c r="Y9" s="132" t="s">
        <v>75</v>
      </c>
      <c r="Z9" s="133" t="s">
        <v>76</v>
      </c>
      <c r="AA9" s="367" t="s">
        <v>273</v>
      </c>
      <c r="AB9" s="133" t="s">
        <v>77</v>
      </c>
      <c r="AC9" s="134" t="s">
        <v>78</v>
      </c>
      <c r="AD9" s="134" t="s">
        <v>79</v>
      </c>
      <c r="AE9" s="135" t="s">
        <v>80</v>
      </c>
      <c r="AF9" s="134" t="s">
        <v>81</v>
      </c>
      <c r="AG9" s="134" t="s">
        <v>61</v>
      </c>
      <c r="AH9" s="136" t="s">
        <v>62</v>
      </c>
      <c r="AI9" s="136" t="s">
        <v>11</v>
      </c>
      <c r="AJ9" s="136" t="s">
        <v>82</v>
      </c>
      <c r="AK9" s="134" t="s">
        <v>83</v>
      </c>
      <c r="AL9" s="134" t="s">
        <v>84</v>
      </c>
      <c r="AM9" s="137" t="s">
        <v>85</v>
      </c>
      <c r="AN9" s="138" t="s">
        <v>86</v>
      </c>
      <c r="AO9" s="139" t="s">
        <v>87</v>
      </c>
      <c r="AP9" s="140">
        <v>2023</v>
      </c>
      <c r="AQ9" s="141">
        <v>2024</v>
      </c>
      <c r="AR9" s="134">
        <v>2025</v>
      </c>
      <c r="AS9" s="134">
        <v>2026</v>
      </c>
      <c r="AT9" s="134">
        <v>2027</v>
      </c>
      <c r="AU9" s="134">
        <v>2028</v>
      </c>
      <c r="AV9" s="134">
        <v>2029</v>
      </c>
      <c r="AW9" s="134">
        <v>2030</v>
      </c>
      <c r="AX9" s="134">
        <v>2031</v>
      </c>
      <c r="AY9" s="134">
        <v>2032</v>
      </c>
      <c r="AZ9" s="134">
        <v>2033</v>
      </c>
      <c r="BA9" s="134" t="s">
        <v>88</v>
      </c>
      <c r="BB9" s="133" t="s">
        <v>89</v>
      </c>
      <c r="BC9" s="142" t="s">
        <v>90</v>
      </c>
    </row>
    <row r="10" spans="1:56" s="167" customFormat="1" ht="14.45" hidden="1" customHeight="1" x14ac:dyDescent="0.25">
      <c r="A10" s="143" t="s">
        <v>91</v>
      </c>
      <c r="B10" s="144"/>
      <c r="C10" s="145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6"/>
      <c r="S10" s="147"/>
      <c r="T10" s="147"/>
      <c r="U10" s="147"/>
      <c r="V10" s="147"/>
      <c r="W10" s="147"/>
      <c r="X10" s="147"/>
      <c r="Y10" s="148"/>
      <c r="Z10" s="149" t="str">
        <f t="shared" ref="Z10:Z73" ca="1" si="6">IF(COUNTIF(A10,"*zmia*")&gt;0,OFFSET(Z10,1,0),IF(COUNTIF($AB$10:$AB$888,AE10)&gt;0,"tak","nie"))</f>
        <v>nie</v>
      </c>
      <c r="AA10" s="366"/>
      <c r="AB10" s="150" t="str">
        <f ca="1">IF(IF(OR(COUNTIF(AD10,"*bilans*")&gt;0,COUNTIF(AD10,"*prop*")&gt;0),COUNTIF(AO10:AZ10,"")+COUNTIF(AO10:AZ10,"0"),"")&lt;12,AE10,"-")</f>
        <v>-</v>
      </c>
      <c r="AC10" s="151" t="str">
        <f t="shared" ref="AC10:AC73" ca="1" si="7">IF(OR(A10="",COUNTIF(A10,"*12.000*")&gt;0),OFFSET(AC10,-1,0),A10)</f>
        <v>PRZED ZMIANĄ</v>
      </c>
      <c r="AD10" s="152" t="str">
        <f t="shared" ref="AD10:AD73" ca="1" si="8">IF(AE10="","",AC10)</f>
        <v/>
      </c>
      <c r="AE10" s="153" t="str">
        <f t="shared" ref="AE10:AE73" ca="1" si="9">IF(COUNTIF(A10,"*bilans*")&gt;0,"Bilans zmian",IF(COUNTIF(A10,"*zmi*")&gt;0,"",IF(COUNTIF(A10:C10,"")=0,C10,IF(AND(COUNTIF(C10,"")=1,COUNTIF(OFFSET(A10,-1,0),"*przed*")=1,COUNTIF(OFFSET(AE10,4,0),"")=0),OFFSET(AE10,4,0),IF(AND(COUNTIF(A10:B10,"")=0,COUNTIF(OFFSET(A10,-1,0),"*zmi*")=1),"nowe:"&amp;" "&amp;AF10,OFFSET(AE10,-1,0))))))</f>
        <v/>
      </c>
      <c r="AF10" s="154" t="str">
        <f t="shared" ref="AF10:AF73" ca="1" si="10">IF(COUNTIF(A10,"*zmi*")&gt;0,"",IF(COUNTIF(A10:C10,"")=0,D10,IF(AND(COUNTIF(C10,"")=1,COUNTIF(OFFSET(A10,-1,0),"*przed*")=1),OFFSET(AF10,4,0),IF(AND(COUNTIF(A10:B10,"")=0,COUNTIF(OFFSET(A10,-1,0),"*zmi*")=1),D10,OFFSET(AF10,-1,0)))))</f>
        <v/>
      </c>
      <c r="AG10" s="155" t="str">
        <f t="shared" ref="AG10:AG73" ca="1" si="11">IF(COUNTIF($A10,"*zmi*")&gt;0,"",IF(COUNTIF($A10:$C10,"")=0,F10,IF(AND(COUNTIF($C10,"")=1,COUNTIF(OFFSET($A10,-1,0),"*przed*")=1),OFFSET(AG10,4,0),IF(AND(COUNTIF($A10:$B10,"")=0,COUNTIF(OFFSET($A10,-1,0),"*zmi*")=1),F10,OFFSET(AG10,-1,0)))))</f>
        <v/>
      </c>
      <c r="AH10" s="155" t="str">
        <f t="shared" ref="AH10:AH73" ca="1" si="12">IF(COUNTIF($A10,"*zmi*")&gt;0,"",IF(COUNTIF($A10:$C10,"")=0,LEFT(G10,4),IF(AND(COUNTIF($C10,"")=1,COUNTIF(OFFSET($A10,-1,0),"*przed*")=1),OFFSET(AH10,4,0),IF(AND(COUNTIF($A10:$B10,"")=0,COUNTIF(OFFSET($A10,-1,0),"*zmi*")=1),LEFT(G10,4),OFFSET(AH10,-1,0)))))</f>
        <v/>
      </c>
      <c r="AI10" s="156" t="str">
        <f t="shared" ref="AI10:AI73" ca="1" si="13">IF(COUNTIF($A10,"*zmi*")&gt;0,"",IF(COUNTIF($A10:$C10,"")=0,B10,IF(AND(COUNTIF($C10,"")=1,COUNTIF(OFFSET($A10,-1,0),"*przed*")=1),OFFSET(AI10,4,0),IF(AND(COUNTIF($A10:$B10,"")=0,COUNTIF(OFFSET($A10,-1,0),"*zmi*")=1),B10,OFFSET(AI10,-1,0)))))</f>
        <v/>
      </c>
      <c r="AJ10" s="157" t="str">
        <f t="shared" ref="AJ10:AJ73" ca="1" si="14">IF(AH10="","",IF(COUNTIF(A10,"*zmi*")&gt;0,"",SUBSTITUTE(SUBSTITUTE(J10,";",""),":","")))</f>
        <v/>
      </c>
      <c r="AK10" s="158" t="str">
        <f t="shared" ref="AK10:AK73" ca="1" si="15">IF(AH10="","",AE10&amp;" "&amp;AG10&amp;" "&amp;AH10&amp;" "&amp;AI10)</f>
        <v/>
      </c>
      <c r="AL10" s="158" t="str">
        <f t="shared" ref="AL10:AL73" ca="1" si="16">IF(AH10="","",AE10&amp;" "&amp;AG10&amp;" "&amp;AH10&amp;" "&amp;AJ10)</f>
        <v/>
      </c>
      <c r="AM10" s="159" t="str">
        <f t="shared" ref="AM10:AM73" ca="1" si="17">IF(AH10="","",AE10&amp;" "&amp;AG10&amp;" "&amp;AH10&amp;" "&amp;AI10&amp;" "&amp;AJ10)</f>
        <v/>
      </c>
      <c r="AN10" s="160" t="str">
        <f t="shared" ref="AN10:AN73" ca="1" si="18">IF(COUNTIF($AE10,"*bilans*")&gt;0,K10,IF(OR(COUNTIF($A10,"*zmi*")&gt;0,$AI10=""),"",K10))</f>
        <v/>
      </c>
      <c r="AO10" s="161" t="str">
        <f t="shared" ref="AO10:AO73" ca="1" si="19">IF(COUNTIF($AE10,"*bilans*")&gt;0,L10,IF(OR(COUNTIF($A10,"*zmi*")&gt;0,$AI10=""),"",L10))</f>
        <v/>
      </c>
      <c r="AP10" s="162" t="str">
        <f t="shared" ref="AP10:AP73" ca="1" si="20">IF(COUNTIF($AE10,"*bilans*")&gt;0,M10,IF(OR(COUNTIF($A10,"*zmi*")&gt;0,$AI10=""),"",M10))</f>
        <v/>
      </c>
      <c r="AQ10" s="163" t="str">
        <f t="shared" ref="AQ10:AQ73" ca="1" si="21">IF(COUNTIF($AE10,"*bilans*")&gt;0,P10,IF(OR(COUNTIF($A10,"*zmi*")&gt;0,$AI10=""),"",P10))</f>
        <v/>
      </c>
      <c r="AR10" s="164" t="str">
        <f t="shared" ref="AR10:AR73" ca="1" si="22">IF(COUNTIF($AE10,"*bilans*")&gt;0,Q10,IF(OR(COUNTIF($A10,"*zmi*")&gt;0,$AI10=""),"",Q10))</f>
        <v/>
      </c>
      <c r="AS10" s="164" t="str">
        <f t="shared" ref="AS10:AS73" ca="1" si="23">IF(COUNTIF($AE10,"*bilans*")&gt;0,R10,IF(OR(COUNTIF($A10,"*zmi*")&gt;0,$AI10=""),"",R10))</f>
        <v/>
      </c>
      <c r="AT10" s="164" t="str">
        <f t="shared" ref="AT10:AT73" ca="1" si="24">IF(COUNTIF($AE10,"*bilans*")&gt;0,S10,IF(OR(COUNTIF($A10,"*zmi*")&gt;0,$AI10=""),"",S10))</f>
        <v/>
      </c>
      <c r="AU10" s="164" t="str">
        <f t="shared" ref="AU10:AU73" ca="1" si="25">IF(COUNTIF($AE10,"*bilans*")&gt;0,T10,IF(OR(COUNTIF($A10,"*zmi*")&gt;0,$AI10=""),"",T10))</f>
        <v/>
      </c>
      <c r="AV10" s="164" t="str">
        <f t="shared" ref="AV10:AV73" ca="1" si="26">IF(COUNTIF($AE10,"*bilans*")&gt;0,U10,IF(OR(COUNTIF($A10,"*zmi*")&gt;0,$AI10=""),"",U10))</f>
        <v/>
      </c>
      <c r="AW10" s="164" t="str">
        <f t="shared" ref="AW10:AW73" ca="1" si="27">IF(COUNTIF($AE10,"*bilans*")&gt;0,V10,IF(OR(COUNTIF($A10,"*zmi*")&gt;0,$AI10=""),"",V10))</f>
        <v/>
      </c>
      <c r="AX10" s="164" t="str">
        <f t="shared" ref="AX10:AX73" ca="1" si="28">IF(COUNTIF($AE10,"*bilans*")&gt;0,W10,IF(OR(COUNTIF($A10,"*zmi*")&gt;0,$AI10=""),"",W10))</f>
        <v/>
      </c>
      <c r="AY10" s="164" t="str">
        <f t="shared" ref="AY10:AY73" ca="1" si="29">IF(COUNTIF($AE10,"*bilans*")&gt;0,X10,IF(OR(COUNTIF($A10,"*zmi*")&gt;0,$AI10=""),"",X10))</f>
        <v/>
      </c>
      <c r="AZ10" s="164" t="str">
        <f t="shared" ref="AZ10:AZ73" ca="1" si="30">IF(COUNTIF($AE10,"*bilans*")&gt;0,Y10,IF(OR(COUNTIF($A10,"*zmi*")&gt;0,$AI10=""),"",Y10))</f>
        <v/>
      </c>
      <c r="BA10" s="165" t="str">
        <f t="shared" ref="BA10:BA73" ca="1" si="31">Z10</f>
        <v>nie</v>
      </c>
      <c r="BB10" s="166" t="str">
        <f ca="1">IF(COUNTIF(AD10,"*bilans*")&gt;0,"-",IF(IF(COUNTIF(AD10,"*prop*")&gt;0,COUNTIF(AO10:AZ10,"")+COUNTIF(AO10:AZ10,"0"),"")&lt;12,AK10,"-"))</f>
        <v>-</v>
      </c>
      <c r="BC10" s="165" t="str">
        <f t="shared" ref="BC10:BC73" ca="1" si="32">IF(AND(COUNTIF(AD10,"*zmi*")&gt;0,COUNTIF($BB$10:$BB$888,AK10)&gt;0),"tak","nie")</f>
        <v>nie</v>
      </c>
    </row>
    <row r="11" spans="1:56" s="176" customFormat="1" ht="14.45" hidden="1" customHeight="1" x14ac:dyDescent="0.25">
      <c r="A11" s="493" t="s">
        <v>24</v>
      </c>
      <c r="B11" s="493" t="s">
        <v>26</v>
      </c>
      <c r="C11" s="494" t="s">
        <v>92</v>
      </c>
      <c r="D11" s="508" t="s">
        <v>93</v>
      </c>
      <c r="E11" s="497">
        <v>600</v>
      </c>
      <c r="F11" s="497">
        <v>60014</v>
      </c>
      <c r="G11" s="497">
        <v>6050</v>
      </c>
      <c r="H11" s="507">
        <v>2001</v>
      </c>
      <c r="I11" s="499" t="str">
        <f ca="1">IF(COUNTIF(OFFSET(I11,-1,-8),"*propon*")&gt;0,OFFSET(I11,4,0),IF(Y11&gt;0,"2033",IF(X11&gt;0,"2032",IF(W11&gt;0,"2031",IF(V11&gt;0,"2030",IF(U11&gt;0,"2029",IF(T11&gt;0,"2028",IF(S11&gt;0,"2027",IF(R11&gt;0,"2026",IF(Q11&gt;0,"2025",IF(P11&gt;0,"2024",IF(M11&gt;0,"2023",IF(L11&gt;0,"2022","")))))))))))))</f>
        <v>2025</v>
      </c>
      <c r="J11" s="168" t="s">
        <v>94</v>
      </c>
      <c r="K11" s="169">
        <f>SUM(N11:O11)</f>
        <v>4810713</v>
      </c>
      <c r="L11" s="170">
        <f>SUM(L12:L13)</f>
        <v>3550900</v>
      </c>
      <c r="M11" s="171">
        <f>SUM(M12:M13)</f>
        <v>0</v>
      </c>
      <c r="N11" s="172">
        <f>SUM(L11:M11)</f>
        <v>3550900</v>
      </c>
      <c r="O11" s="169">
        <f>SUM(P11:Y11)</f>
        <v>1259813</v>
      </c>
      <c r="P11" s="173">
        <f t="shared" ref="P11:Y11" si="33">SUM(P12:P13)</f>
        <v>215642</v>
      </c>
      <c r="Q11" s="171">
        <f t="shared" si="33"/>
        <v>1044171</v>
      </c>
      <c r="R11" s="174">
        <f t="shared" si="33"/>
        <v>0</v>
      </c>
      <c r="S11" s="175">
        <f t="shared" si="33"/>
        <v>0</v>
      </c>
      <c r="T11" s="171">
        <f t="shared" si="33"/>
        <v>0</v>
      </c>
      <c r="U11" s="171">
        <f t="shared" si="33"/>
        <v>0</v>
      </c>
      <c r="V11" s="171">
        <f t="shared" si="33"/>
        <v>0</v>
      </c>
      <c r="W11" s="171">
        <f t="shared" si="33"/>
        <v>0</v>
      </c>
      <c r="X11" s="171">
        <f t="shared" si="33"/>
        <v>0</v>
      </c>
      <c r="Y11" s="174">
        <f t="shared" si="33"/>
        <v>0</v>
      </c>
      <c r="Z11" s="149" t="str">
        <f t="shared" ca="1" si="6"/>
        <v>nie</v>
      </c>
      <c r="AA11" s="366"/>
      <c r="AB11" s="150" t="str">
        <f t="shared" ref="AB11:AB74" ca="1" si="34">IF(IF(OR(COUNTIF(AD11,"*bilans*")&gt;0,COUNTIF(AD11,"*prop*")&gt;0),COUNTIF(AO11:AZ11,"")+COUNTIF(AO11:AZ11,"0"),"")&lt;12,AE11,"-")</f>
        <v>-</v>
      </c>
      <c r="AC11" s="151" t="str">
        <f t="shared" ca="1" si="7"/>
        <v>PRZED ZMIANĄ</v>
      </c>
      <c r="AD11" s="152" t="str">
        <f t="shared" ca="1" si="8"/>
        <v>PRZED ZMIANĄ</v>
      </c>
      <c r="AE11" s="153" t="str">
        <f t="shared" ca="1" si="9"/>
        <v>C/USN/I/1/1</v>
      </c>
      <c r="AF11" s="154" t="str">
        <f t="shared" ca="1" si="10"/>
        <v>Modernizacja ul. Rosoła (etap I Ciszewskiego - Płaskowickiej, etap II Płaskowickiej - Jeżewskiego, etap III Jeżewskiego - Rosnowskiego)</v>
      </c>
      <c r="AG11" s="155">
        <f t="shared" ca="1" si="11"/>
        <v>60014</v>
      </c>
      <c r="AH11" s="155" t="str">
        <f t="shared" ca="1" si="12"/>
        <v>6050</v>
      </c>
      <c r="AI11" s="156" t="str">
        <f t="shared" ca="1" si="13"/>
        <v>GMMW</v>
      </c>
      <c r="AJ11" s="157" t="str">
        <f t="shared" ca="1" si="14"/>
        <v>WPF, w tym</v>
      </c>
      <c r="AK11" s="158" t="str">
        <f t="shared" ca="1" si="15"/>
        <v>C/USN/I/1/1 60014 6050 GMMW</v>
      </c>
      <c r="AL11" s="158" t="str">
        <f t="shared" ca="1" si="16"/>
        <v>C/USN/I/1/1 60014 6050 WPF, w tym</v>
      </c>
      <c r="AM11" s="159" t="str">
        <f t="shared" ca="1" si="17"/>
        <v>C/USN/I/1/1 60014 6050 GMMW WPF, w tym</v>
      </c>
      <c r="AN11" s="160">
        <f t="shared" ca="1" si="18"/>
        <v>4810713</v>
      </c>
      <c r="AO11" s="161">
        <f t="shared" ca="1" si="19"/>
        <v>3550900</v>
      </c>
      <c r="AP11" s="162">
        <f t="shared" ca="1" si="20"/>
        <v>0</v>
      </c>
      <c r="AQ11" s="163">
        <f t="shared" ca="1" si="21"/>
        <v>215642</v>
      </c>
      <c r="AR11" s="164">
        <f t="shared" ca="1" si="22"/>
        <v>1044171</v>
      </c>
      <c r="AS11" s="164">
        <f t="shared" ca="1" si="23"/>
        <v>0</v>
      </c>
      <c r="AT11" s="164">
        <f t="shared" ca="1" si="24"/>
        <v>0</v>
      </c>
      <c r="AU11" s="164">
        <f t="shared" ca="1" si="25"/>
        <v>0</v>
      </c>
      <c r="AV11" s="164">
        <f t="shared" ca="1" si="26"/>
        <v>0</v>
      </c>
      <c r="AW11" s="164">
        <f t="shared" ca="1" si="27"/>
        <v>0</v>
      </c>
      <c r="AX11" s="164">
        <f t="shared" ca="1" si="28"/>
        <v>0</v>
      </c>
      <c r="AY11" s="164">
        <f t="shared" ca="1" si="29"/>
        <v>0</v>
      </c>
      <c r="AZ11" s="164">
        <f t="shared" ca="1" si="30"/>
        <v>0</v>
      </c>
      <c r="BA11" s="165" t="str">
        <f t="shared" ca="1" si="31"/>
        <v>nie</v>
      </c>
      <c r="BB11" s="166" t="str">
        <f t="shared" ref="BB11:BB74" ca="1" si="35">IF(COUNTIF(AD11,"*bilans*")&gt;0,"-",IF(IF(COUNTIF(AD11,"*prop*")&gt;0,COUNTIF(AO11:AZ11,"")+COUNTIF(AO11:AZ11,"0"),"")&lt;12,AK11,"-"))</f>
        <v>-</v>
      </c>
      <c r="BC11" s="165" t="str">
        <f t="shared" ca="1" si="32"/>
        <v>nie</v>
      </c>
    </row>
    <row r="12" spans="1:56" s="167" customFormat="1" ht="14.45" hidden="1" customHeight="1" x14ac:dyDescent="0.25">
      <c r="A12" s="493"/>
      <c r="B12" s="493"/>
      <c r="C12" s="494"/>
      <c r="D12" s="509"/>
      <c r="E12" s="497"/>
      <c r="F12" s="497"/>
      <c r="G12" s="497"/>
      <c r="H12" s="499"/>
      <c r="I12" s="499"/>
      <c r="J12" s="177" t="s">
        <v>95</v>
      </c>
      <c r="K12" s="178">
        <f>SUM(N12:O12)</f>
        <v>1259813</v>
      </c>
      <c r="L12" s="179"/>
      <c r="M12" s="180"/>
      <c r="N12" s="172">
        <f>SUM(L12:M12)</f>
        <v>0</v>
      </c>
      <c r="O12" s="178">
        <f>SUM(P12:Y12)</f>
        <v>1259813</v>
      </c>
      <c r="P12" s="181">
        <v>215642</v>
      </c>
      <c r="Q12" s="180">
        <v>1044171</v>
      </c>
      <c r="R12" s="182"/>
      <c r="S12" s="183"/>
      <c r="T12" s="180"/>
      <c r="U12" s="180"/>
      <c r="V12" s="180"/>
      <c r="W12" s="180"/>
      <c r="X12" s="180"/>
      <c r="Y12" s="182"/>
      <c r="Z12" s="149" t="str">
        <f t="shared" ca="1" si="6"/>
        <v>nie</v>
      </c>
      <c r="AA12" s="366"/>
      <c r="AB12" s="150" t="str">
        <f t="shared" ca="1" si="34"/>
        <v>-</v>
      </c>
      <c r="AC12" s="151" t="str">
        <f t="shared" ca="1" si="7"/>
        <v>PRZED ZMIANĄ</v>
      </c>
      <c r="AD12" s="152" t="str">
        <f t="shared" ca="1" si="8"/>
        <v>PRZED ZMIANĄ</v>
      </c>
      <c r="AE12" s="153" t="str">
        <f t="shared" ca="1" si="9"/>
        <v>C/USN/I/1/1</v>
      </c>
      <c r="AF12" s="154" t="str">
        <f t="shared" ca="1" si="10"/>
        <v>Modernizacja ul. Rosoła (etap I Ciszewskiego - Płaskowickiej, etap II Płaskowickiej - Jeżewskiego, etap III Jeżewskiego - Rosnowskiego)</v>
      </c>
      <c r="AG12" s="155">
        <f t="shared" ca="1" si="11"/>
        <v>60014</v>
      </c>
      <c r="AH12" s="155" t="str">
        <f t="shared" ca="1" si="12"/>
        <v>6050</v>
      </c>
      <c r="AI12" s="156" t="str">
        <f t="shared" ca="1" si="13"/>
        <v>GMMW</v>
      </c>
      <c r="AJ12" s="157" t="str">
        <f t="shared" ca="1" si="14"/>
        <v>WPF/PM</v>
      </c>
      <c r="AK12" s="158" t="str">
        <f t="shared" ca="1" si="15"/>
        <v>C/USN/I/1/1 60014 6050 GMMW</v>
      </c>
      <c r="AL12" s="158" t="str">
        <f t="shared" ca="1" si="16"/>
        <v>C/USN/I/1/1 60014 6050 WPF/PM</v>
      </c>
      <c r="AM12" s="159" t="str">
        <f t="shared" ca="1" si="17"/>
        <v>C/USN/I/1/1 60014 6050 GMMW WPF/PM</v>
      </c>
      <c r="AN12" s="160">
        <f t="shared" ca="1" si="18"/>
        <v>1259813</v>
      </c>
      <c r="AO12" s="161">
        <f t="shared" ca="1" si="19"/>
        <v>0</v>
      </c>
      <c r="AP12" s="162">
        <f t="shared" ca="1" si="20"/>
        <v>0</v>
      </c>
      <c r="AQ12" s="163">
        <f t="shared" ca="1" si="21"/>
        <v>215642</v>
      </c>
      <c r="AR12" s="164">
        <f t="shared" ca="1" si="22"/>
        <v>1044171</v>
      </c>
      <c r="AS12" s="164">
        <f t="shared" ca="1" si="23"/>
        <v>0</v>
      </c>
      <c r="AT12" s="164">
        <f t="shared" ca="1" si="24"/>
        <v>0</v>
      </c>
      <c r="AU12" s="164">
        <f t="shared" ca="1" si="25"/>
        <v>0</v>
      </c>
      <c r="AV12" s="164">
        <f t="shared" ca="1" si="26"/>
        <v>0</v>
      </c>
      <c r="AW12" s="164">
        <f t="shared" ca="1" si="27"/>
        <v>0</v>
      </c>
      <c r="AX12" s="164">
        <f t="shared" ca="1" si="28"/>
        <v>0</v>
      </c>
      <c r="AY12" s="164">
        <f t="shared" ca="1" si="29"/>
        <v>0</v>
      </c>
      <c r="AZ12" s="164">
        <f t="shared" ca="1" si="30"/>
        <v>0</v>
      </c>
      <c r="BA12" s="165" t="str">
        <f t="shared" ca="1" si="31"/>
        <v>nie</v>
      </c>
      <c r="BB12" s="166" t="str">
        <f t="shared" ca="1" si="35"/>
        <v>-</v>
      </c>
      <c r="BC12" s="165" t="str">
        <f t="shared" ca="1" si="32"/>
        <v>nie</v>
      </c>
    </row>
    <row r="13" spans="1:56" s="167" customFormat="1" ht="14.45" hidden="1" customHeight="1" x14ac:dyDescent="0.25">
      <c r="A13" s="493"/>
      <c r="B13" s="493"/>
      <c r="C13" s="494"/>
      <c r="D13" s="509"/>
      <c r="E13" s="497"/>
      <c r="F13" s="497"/>
      <c r="G13" s="497"/>
      <c r="H13" s="499"/>
      <c r="I13" s="499"/>
      <c r="J13" s="177" t="s">
        <v>96</v>
      </c>
      <c r="K13" s="178">
        <f>SUM(N13:O13)</f>
        <v>3550900</v>
      </c>
      <c r="L13" s="184">
        <v>3550900</v>
      </c>
      <c r="M13" s="180">
        <v>0</v>
      </c>
      <c r="N13" s="172">
        <f>SUM(L13:M13)</f>
        <v>3550900</v>
      </c>
      <c r="O13" s="178">
        <f>SUM(P13:Y13)</f>
        <v>0</v>
      </c>
      <c r="P13" s="181"/>
      <c r="Q13" s="180"/>
      <c r="R13" s="182"/>
      <c r="S13" s="183"/>
      <c r="T13" s="180"/>
      <c r="U13" s="180"/>
      <c r="V13" s="180"/>
      <c r="W13" s="180"/>
      <c r="X13" s="180"/>
      <c r="Y13" s="182"/>
      <c r="Z13" s="149" t="str">
        <f t="shared" ca="1" si="6"/>
        <v>nie</v>
      </c>
      <c r="AA13" s="366"/>
      <c r="AB13" s="150" t="str">
        <f t="shared" ca="1" si="34"/>
        <v>-</v>
      </c>
      <c r="AC13" s="151" t="str">
        <f t="shared" ca="1" si="7"/>
        <v>PRZED ZMIANĄ</v>
      </c>
      <c r="AD13" s="152" t="str">
        <f t="shared" ca="1" si="8"/>
        <v>PRZED ZMIANĄ</v>
      </c>
      <c r="AE13" s="153" t="str">
        <f t="shared" ca="1" si="9"/>
        <v>C/USN/I/1/1</v>
      </c>
      <c r="AF13" s="154" t="str">
        <f t="shared" ca="1" si="10"/>
        <v>Modernizacja ul. Rosoła (etap I Ciszewskiego - Płaskowickiej, etap II Płaskowickiej - Jeżewskiego, etap III Jeżewskiego - Rosnowskiego)</v>
      </c>
      <c r="AG13" s="155">
        <f t="shared" ca="1" si="11"/>
        <v>60014</v>
      </c>
      <c r="AH13" s="155" t="str">
        <f t="shared" ca="1" si="12"/>
        <v>6050</v>
      </c>
      <c r="AI13" s="156" t="str">
        <f t="shared" ca="1" si="13"/>
        <v>GMMW</v>
      </c>
      <c r="AJ13" s="157" t="str">
        <f t="shared" ca="1" si="14"/>
        <v>WPF/UM</v>
      </c>
      <c r="AK13" s="158" t="str">
        <f t="shared" ca="1" si="15"/>
        <v>C/USN/I/1/1 60014 6050 GMMW</v>
      </c>
      <c r="AL13" s="158" t="str">
        <f t="shared" ca="1" si="16"/>
        <v>C/USN/I/1/1 60014 6050 WPF/UM</v>
      </c>
      <c r="AM13" s="159" t="str">
        <f t="shared" ca="1" si="17"/>
        <v>C/USN/I/1/1 60014 6050 GMMW WPF/UM</v>
      </c>
      <c r="AN13" s="160">
        <f t="shared" ca="1" si="18"/>
        <v>3550900</v>
      </c>
      <c r="AO13" s="161">
        <f t="shared" ca="1" si="19"/>
        <v>3550900</v>
      </c>
      <c r="AP13" s="162">
        <f t="shared" ca="1" si="20"/>
        <v>0</v>
      </c>
      <c r="AQ13" s="163">
        <f t="shared" ca="1" si="21"/>
        <v>0</v>
      </c>
      <c r="AR13" s="164">
        <f t="shared" ca="1" si="22"/>
        <v>0</v>
      </c>
      <c r="AS13" s="164">
        <f t="shared" ca="1" si="23"/>
        <v>0</v>
      </c>
      <c r="AT13" s="164">
        <f t="shared" ca="1" si="24"/>
        <v>0</v>
      </c>
      <c r="AU13" s="164">
        <f t="shared" ca="1" si="25"/>
        <v>0</v>
      </c>
      <c r="AV13" s="164">
        <f t="shared" ca="1" si="26"/>
        <v>0</v>
      </c>
      <c r="AW13" s="164">
        <f t="shared" ca="1" si="27"/>
        <v>0</v>
      </c>
      <c r="AX13" s="164">
        <f t="shared" ca="1" si="28"/>
        <v>0</v>
      </c>
      <c r="AY13" s="164">
        <f t="shared" ca="1" si="29"/>
        <v>0</v>
      </c>
      <c r="AZ13" s="164">
        <f t="shared" ca="1" si="30"/>
        <v>0</v>
      </c>
      <c r="BA13" s="165" t="str">
        <f t="shared" ca="1" si="31"/>
        <v>nie</v>
      </c>
      <c r="BB13" s="166" t="str">
        <f t="shared" ca="1" si="35"/>
        <v>-</v>
      </c>
      <c r="BC13" s="165" t="str">
        <f t="shared" ca="1" si="32"/>
        <v>nie</v>
      </c>
    </row>
    <row r="14" spans="1:56" s="167" customFormat="1" ht="14.45" hidden="1" customHeight="1" x14ac:dyDescent="0.25">
      <c r="A14" s="185" t="s">
        <v>97</v>
      </c>
      <c r="B14" s="186"/>
      <c r="C14" s="187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8"/>
      <c r="S14" s="189"/>
      <c r="T14" s="189"/>
      <c r="U14" s="189"/>
      <c r="V14" s="189"/>
      <c r="W14" s="189"/>
      <c r="X14" s="189"/>
      <c r="Y14" s="190"/>
      <c r="Z14" s="149" t="str">
        <f t="shared" ca="1" si="6"/>
        <v>nie</v>
      </c>
      <c r="AA14" s="366"/>
      <c r="AB14" s="150" t="str">
        <f t="shared" ca="1" si="34"/>
        <v>-</v>
      </c>
      <c r="AC14" s="151" t="str">
        <f t="shared" ca="1" si="7"/>
        <v>PROPONOWANA ZMIANA</v>
      </c>
      <c r="AD14" s="152" t="str">
        <f t="shared" ca="1" si="8"/>
        <v/>
      </c>
      <c r="AE14" s="153" t="str">
        <f t="shared" ca="1" si="9"/>
        <v/>
      </c>
      <c r="AF14" s="154" t="str">
        <f t="shared" ca="1" si="10"/>
        <v/>
      </c>
      <c r="AG14" s="155" t="str">
        <f t="shared" ca="1" si="11"/>
        <v/>
      </c>
      <c r="AH14" s="155" t="str">
        <f t="shared" ca="1" si="12"/>
        <v/>
      </c>
      <c r="AI14" s="156" t="str">
        <f t="shared" ca="1" si="13"/>
        <v/>
      </c>
      <c r="AJ14" s="157" t="str">
        <f t="shared" ca="1" si="14"/>
        <v/>
      </c>
      <c r="AK14" s="158" t="str">
        <f t="shared" ca="1" si="15"/>
        <v/>
      </c>
      <c r="AL14" s="158" t="str">
        <f t="shared" ca="1" si="16"/>
        <v/>
      </c>
      <c r="AM14" s="159" t="str">
        <f t="shared" ca="1" si="17"/>
        <v/>
      </c>
      <c r="AN14" s="160" t="str">
        <f t="shared" ca="1" si="18"/>
        <v/>
      </c>
      <c r="AO14" s="161" t="str">
        <f t="shared" ca="1" si="19"/>
        <v/>
      </c>
      <c r="AP14" s="162" t="str">
        <f t="shared" ca="1" si="20"/>
        <v/>
      </c>
      <c r="AQ14" s="163" t="str">
        <f t="shared" ca="1" si="21"/>
        <v/>
      </c>
      <c r="AR14" s="164" t="str">
        <f t="shared" ca="1" si="22"/>
        <v/>
      </c>
      <c r="AS14" s="164" t="str">
        <f t="shared" ca="1" si="23"/>
        <v/>
      </c>
      <c r="AT14" s="164" t="str">
        <f t="shared" ca="1" si="24"/>
        <v/>
      </c>
      <c r="AU14" s="164" t="str">
        <f t="shared" ca="1" si="25"/>
        <v/>
      </c>
      <c r="AV14" s="164" t="str">
        <f t="shared" ca="1" si="26"/>
        <v/>
      </c>
      <c r="AW14" s="164" t="str">
        <f t="shared" ca="1" si="27"/>
        <v/>
      </c>
      <c r="AX14" s="164" t="str">
        <f t="shared" ca="1" si="28"/>
        <v/>
      </c>
      <c r="AY14" s="164" t="str">
        <f t="shared" ca="1" si="29"/>
        <v/>
      </c>
      <c r="AZ14" s="164" t="str">
        <f t="shared" ca="1" si="30"/>
        <v/>
      </c>
      <c r="BA14" s="165" t="str">
        <f t="shared" ca="1" si="31"/>
        <v>nie</v>
      </c>
      <c r="BB14" s="166" t="str">
        <f t="shared" ca="1" si="35"/>
        <v>-</v>
      </c>
      <c r="BC14" s="165" t="str">
        <f t="shared" ca="1" si="32"/>
        <v>nie</v>
      </c>
    </row>
    <row r="15" spans="1:56" s="176" customFormat="1" ht="14.45" hidden="1" customHeight="1" x14ac:dyDescent="0.25">
      <c r="A15" s="493" t="s">
        <v>24</v>
      </c>
      <c r="B15" s="493" t="s">
        <v>26</v>
      </c>
      <c r="C15" s="494" t="s">
        <v>92</v>
      </c>
      <c r="D15" s="508" t="s">
        <v>93</v>
      </c>
      <c r="E15" s="497">
        <v>600</v>
      </c>
      <c r="F15" s="497">
        <v>60014</v>
      </c>
      <c r="G15" s="497">
        <v>6050</v>
      </c>
      <c r="H15" s="507">
        <v>2001</v>
      </c>
      <c r="I15" s="499" t="str">
        <f ca="1">IF(COUNTIF(OFFSET(I15,-1,-8),"*propon*")&gt;0,OFFSET(I15,4,0),IF(Y15&gt;0,"2033",IF(X15&gt;0,"2032",IF(W15&gt;0,"2031",IF(V15&gt;0,"2030",IF(U15&gt;0,"2029",IF(T15&gt;0,"2028",IF(S15&gt;0,"2027",IF(R15&gt;0,"2026",IF(Q15&gt;0,"2025",IF(P15&gt;0,"2024",IF(M15&gt;0,"2023",IF(L15&gt;0,"2022","")))))))))))))</f>
        <v>2025</v>
      </c>
      <c r="J15" s="168" t="s">
        <v>98</v>
      </c>
      <c r="K15" s="169">
        <f>SUM(N15:O15)</f>
        <v>0</v>
      </c>
      <c r="L15" s="170">
        <f t="shared" ref="L15:M15" si="36">SUM(L16:L17)</f>
        <v>0</v>
      </c>
      <c r="M15" s="171">
        <f t="shared" si="36"/>
        <v>0</v>
      </c>
      <c r="N15" s="172">
        <f>SUM(L15:M15)</f>
        <v>0</v>
      </c>
      <c r="O15" s="169">
        <f>SUM(P15:Y15)</f>
        <v>0</v>
      </c>
      <c r="P15" s="173">
        <f t="shared" ref="P15:R15" si="37">SUM(P16:P17)</f>
        <v>0</v>
      </c>
      <c r="Q15" s="171">
        <f t="shared" si="37"/>
        <v>0</v>
      </c>
      <c r="R15" s="174">
        <f t="shared" si="37"/>
        <v>0</v>
      </c>
      <c r="S15" s="175">
        <f t="shared" ref="S15:Y15" si="38">SUM(S16:S17)</f>
        <v>0</v>
      </c>
      <c r="T15" s="171">
        <f t="shared" si="38"/>
        <v>0</v>
      </c>
      <c r="U15" s="171">
        <f t="shared" si="38"/>
        <v>0</v>
      </c>
      <c r="V15" s="171">
        <f t="shared" si="38"/>
        <v>0</v>
      </c>
      <c r="W15" s="171">
        <f t="shared" si="38"/>
        <v>0</v>
      </c>
      <c r="X15" s="171">
        <f t="shared" si="38"/>
        <v>0</v>
      </c>
      <c r="Y15" s="174">
        <f t="shared" si="38"/>
        <v>0</v>
      </c>
      <c r="Z15" s="149" t="str">
        <f t="shared" ca="1" si="6"/>
        <v>nie</v>
      </c>
      <c r="AA15" s="366"/>
      <c r="AB15" s="150" t="str">
        <f t="shared" ca="1" si="34"/>
        <v>-</v>
      </c>
      <c r="AC15" s="151" t="str">
        <f t="shared" ca="1" si="7"/>
        <v>PROPONOWANA ZMIANA</v>
      </c>
      <c r="AD15" s="152" t="str">
        <f t="shared" ca="1" si="8"/>
        <v>PROPONOWANA ZMIANA</v>
      </c>
      <c r="AE15" s="153" t="str">
        <f t="shared" ca="1" si="9"/>
        <v>C/USN/I/1/1</v>
      </c>
      <c r="AF15" s="154" t="str">
        <f t="shared" ca="1" si="10"/>
        <v>Modernizacja ul. Rosoła (etap I Ciszewskiego - Płaskowickiej, etap II Płaskowickiej - Jeżewskiego, etap III Jeżewskiego - Rosnowskiego)</v>
      </c>
      <c r="AG15" s="155">
        <f t="shared" ca="1" si="11"/>
        <v>60014</v>
      </c>
      <c r="AH15" s="155" t="str">
        <f t="shared" ca="1" si="12"/>
        <v>6050</v>
      </c>
      <c r="AI15" s="156" t="str">
        <f t="shared" ca="1" si="13"/>
        <v>GMMW</v>
      </c>
      <c r="AJ15" s="157" t="str">
        <f t="shared" ca="1" si="14"/>
        <v>WPF, w tym</v>
      </c>
      <c r="AK15" s="158" t="str">
        <f t="shared" ca="1" si="15"/>
        <v>C/USN/I/1/1 60014 6050 GMMW</v>
      </c>
      <c r="AL15" s="158" t="str">
        <f t="shared" ca="1" si="16"/>
        <v>C/USN/I/1/1 60014 6050 WPF, w tym</v>
      </c>
      <c r="AM15" s="159" t="str">
        <f t="shared" ca="1" si="17"/>
        <v>C/USN/I/1/1 60014 6050 GMMW WPF, w tym</v>
      </c>
      <c r="AN15" s="160">
        <f t="shared" ca="1" si="18"/>
        <v>0</v>
      </c>
      <c r="AO15" s="161">
        <f t="shared" ca="1" si="19"/>
        <v>0</v>
      </c>
      <c r="AP15" s="162">
        <f t="shared" ca="1" si="20"/>
        <v>0</v>
      </c>
      <c r="AQ15" s="163">
        <f t="shared" ca="1" si="21"/>
        <v>0</v>
      </c>
      <c r="AR15" s="164">
        <f t="shared" ca="1" si="22"/>
        <v>0</v>
      </c>
      <c r="AS15" s="164">
        <f t="shared" ca="1" si="23"/>
        <v>0</v>
      </c>
      <c r="AT15" s="164">
        <f t="shared" ca="1" si="24"/>
        <v>0</v>
      </c>
      <c r="AU15" s="164">
        <f t="shared" ca="1" si="25"/>
        <v>0</v>
      </c>
      <c r="AV15" s="164">
        <f t="shared" ca="1" si="26"/>
        <v>0</v>
      </c>
      <c r="AW15" s="164">
        <f t="shared" ca="1" si="27"/>
        <v>0</v>
      </c>
      <c r="AX15" s="164">
        <f t="shared" ca="1" si="28"/>
        <v>0</v>
      </c>
      <c r="AY15" s="164">
        <f t="shared" ca="1" si="29"/>
        <v>0</v>
      </c>
      <c r="AZ15" s="164">
        <f t="shared" ca="1" si="30"/>
        <v>0</v>
      </c>
      <c r="BA15" s="165" t="str">
        <f t="shared" ca="1" si="31"/>
        <v>nie</v>
      </c>
      <c r="BB15" s="166" t="str">
        <f t="shared" ca="1" si="35"/>
        <v>-</v>
      </c>
      <c r="BC15" s="165" t="str">
        <f t="shared" ca="1" si="32"/>
        <v>nie</v>
      </c>
    </row>
    <row r="16" spans="1:56" s="167" customFormat="1" ht="14.45" hidden="1" customHeight="1" x14ac:dyDescent="0.25">
      <c r="A16" s="493"/>
      <c r="B16" s="493"/>
      <c r="C16" s="494"/>
      <c r="D16" s="509"/>
      <c r="E16" s="497"/>
      <c r="F16" s="497"/>
      <c r="G16" s="497"/>
      <c r="H16" s="498"/>
      <c r="I16" s="499"/>
      <c r="J16" s="177" t="s">
        <v>99</v>
      </c>
      <c r="K16" s="178">
        <f>SUM(N16:O16)</f>
        <v>0</v>
      </c>
      <c r="L16" s="179">
        <f t="shared" ref="L16:M17" si="39">L20-L12</f>
        <v>0</v>
      </c>
      <c r="M16" s="180">
        <f t="shared" si="39"/>
        <v>0</v>
      </c>
      <c r="N16" s="172">
        <f>SUM(L16:M16)</f>
        <v>0</v>
      </c>
      <c r="O16" s="178">
        <f>SUM(P16:Y16)</f>
        <v>0</v>
      </c>
      <c r="P16" s="181">
        <f t="shared" ref="P16:R17" si="40">P20-P12</f>
        <v>0</v>
      </c>
      <c r="Q16" s="180">
        <f t="shared" si="40"/>
        <v>0</v>
      </c>
      <c r="R16" s="182">
        <f t="shared" si="40"/>
        <v>0</v>
      </c>
      <c r="S16" s="183">
        <f t="shared" ref="S16:Y17" si="41">S20-S12</f>
        <v>0</v>
      </c>
      <c r="T16" s="180">
        <f t="shared" si="41"/>
        <v>0</v>
      </c>
      <c r="U16" s="180">
        <f t="shared" si="41"/>
        <v>0</v>
      </c>
      <c r="V16" s="180">
        <f t="shared" si="41"/>
        <v>0</v>
      </c>
      <c r="W16" s="180">
        <f t="shared" si="41"/>
        <v>0</v>
      </c>
      <c r="X16" s="180">
        <f t="shared" si="41"/>
        <v>0</v>
      </c>
      <c r="Y16" s="182">
        <f t="shared" si="41"/>
        <v>0</v>
      </c>
      <c r="Z16" s="149" t="str">
        <f t="shared" ca="1" si="6"/>
        <v>nie</v>
      </c>
      <c r="AA16" s="366"/>
      <c r="AB16" s="150" t="str">
        <f t="shared" ca="1" si="34"/>
        <v>-</v>
      </c>
      <c r="AC16" s="151" t="str">
        <f t="shared" ca="1" si="7"/>
        <v>PROPONOWANA ZMIANA</v>
      </c>
      <c r="AD16" s="152" t="str">
        <f t="shared" ca="1" si="8"/>
        <v>PROPONOWANA ZMIANA</v>
      </c>
      <c r="AE16" s="153" t="str">
        <f t="shared" ca="1" si="9"/>
        <v>C/USN/I/1/1</v>
      </c>
      <c r="AF16" s="154" t="str">
        <f t="shared" ca="1" si="10"/>
        <v>Modernizacja ul. Rosoła (etap I Ciszewskiego - Płaskowickiej, etap II Płaskowickiej - Jeżewskiego, etap III Jeżewskiego - Rosnowskiego)</v>
      </c>
      <c r="AG16" s="155">
        <f t="shared" ca="1" si="11"/>
        <v>60014</v>
      </c>
      <c r="AH16" s="155" t="str">
        <f t="shared" ca="1" si="12"/>
        <v>6050</v>
      </c>
      <c r="AI16" s="156" t="str">
        <f t="shared" ca="1" si="13"/>
        <v>GMMW</v>
      </c>
      <c r="AJ16" s="157" t="str">
        <f t="shared" ca="1" si="14"/>
        <v>WPF/PM</v>
      </c>
      <c r="AK16" s="158" t="str">
        <f t="shared" ca="1" si="15"/>
        <v>C/USN/I/1/1 60014 6050 GMMW</v>
      </c>
      <c r="AL16" s="158" t="str">
        <f t="shared" ca="1" si="16"/>
        <v>C/USN/I/1/1 60014 6050 WPF/PM</v>
      </c>
      <c r="AM16" s="159" t="str">
        <f t="shared" ca="1" si="17"/>
        <v>C/USN/I/1/1 60014 6050 GMMW WPF/PM</v>
      </c>
      <c r="AN16" s="160">
        <f t="shared" ca="1" si="18"/>
        <v>0</v>
      </c>
      <c r="AO16" s="161">
        <f t="shared" ca="1" si="19"/>
        <v>0</v>
      </c>
      <c r="AP16" s="162">
        <f t="shared" ca="1" si="20"/>
        <v>0</v>
      </c>
      <c r="AQ16" s="163">
        <f t="shared" ca="1" si="21"/>
        <v>0</v>
      </c>
      <c r="AR16" s="164">
        <f t="shared" ca="1" si="22"/>
        <v>0</v>
      </c>
      <c r="AS16" s="164">
        <f t="shared" ca="1" si="23"/>
        <v>0</v>
      </c>
      <c r="AT16" s="164">
        <f t="shared" ca="1" si="24"/>
        <v>0</v>
      </c>
      <c r="AU16" s="164">
        <f t="shared" ca="1" si="25"/>
        <v>0</v>
      </c>
      <c r="AV16" s="164">
        <f t="shared" ca="1" si="26"/>
        <v>0</v>
      </c>
      <c r="AW16" s="164">
        <f t="shared" ca="1" si="27"/>
        <v>0</v>
      </c>
      <c r="AX16" s="164">
        <f t="shared" ca="1" si="28"/>
        <v>0</v>
      </c>
      <c r="AY16" s="164">
        <f t="shared" ca="1" si="29"/>
        <v>0</v>
      </c>
      <c r="AZ16" s="164">
        <f t="shared" ca="1" si="30"/>
        <v>0</v>
      </c>
      <c r="BA16" s="165" t="str">
        <f t="shared" ca="1" si="31"/>
        <v>nie</v>
      </c>
      <c r="BB16" s="166" t="str">
        <f t="shared" ca="1" si="35"/>
        <v>-</v>
      </c>
      <c r="BC16" s="165" t="str">
        <f t="shared" ca="1" si="32"/>
        <v>nie</v>
      </c>
    </row>
    <row r="17" spans="1:55" s="167" customFormat="1" ht="14.45" hidden="1" customHeight="1" x14ac:dyDescent="0.25">
      <c r="A17" s="493"/>
      <c r="B17" s="493"/>
      <c r="C17" s="494"/>
      <c r="D17" s="509"/>
      <c r="E17" s="497"/>
      <c r="F17" s="497"/>
      <c r="G17" s="497"/>
      <c r="H17" s="498"/>
      <c r="I17" s="499"/>
      <c r="J17" s="177" t="s">
        <v>100</v>
      </c>
      <c r="K17" s="178">
        <f>SUM(N17:O17)</f>
        <v>0</v>
      </c>
      <c r="L17" s="179">
        <f t="shared" si="39"/>
        <v>0</v>
      </c>
      <c r="M17" s="180">
        <f t="shared" si="39"/>
        <v>0</v>
      </c>
      <c r="N17" s="172">
        <f>SUM(L17:M17)</f>
        <v>0</v>
      </c>
      <c r="O17" s="178">
        <f>SUM(P17:Y17)</f>
        <v>0</v>
      </c>
      <c r="P17" s="181">
        <f t="shared" si="40"/>
        <v>0</v>
      </c>
      <c r="Q17" s="180">
        <f t="shared" si="40"/>
        <v>0</v>
      </c>
      <c r="R17" s="182">
        <f t="shared" si="40"/>
        <v>0</v>
      </c>
      <c r="S17" s="183">
        <f t="shared" si="41"/>
        <v>0</v>
      </c>
      <c r="T17" s="180">
        <f t="shared" si="41"/>
        <v>0</v>
      </c>
      <c r="U17" s="180">
        <f t="shared" si="41"/>
        <v>0</v>
      </c>
      <c r="V17" s="180">
        <f t="shared" si="41"/>
        <v>0</v>
      </c>
      <c r="W17" s="180">
        <f t="shared" si="41"/>
        <v>0</v>
      </c>
      <c r="X17" s="180">
        <f t="shared" si="41"/>
        <v>0</v>
      </c>
      <c r="Y17" s="182">
        <f t="shared" si="41"/>
        <v>0</v>
      </c>
      <c r="Z17" s="149" t="str">
        <f t="shared" ca="1" si="6"/>
        <v>nie</v>
      </c>
      <c r="AA17" s="366"/>
      <c r="AB17" s="150" t="str">
        <f t="shared" ca="1" si="34"/>
        <v>-</v>
      </c>
      <c r="AC17" s="151" t="str">
        <f t="shared" ca="1" si="7"/>
        <v>PROPONOWANA ZMIANA</v>
      </c>
      <c r="AD17" s="152" t="str">
        <f t="shared" ca="1" si="8"/>
        <v>PROPONOWANA ZMIANA</v>
      </c>
      <c r="AE17" s="153" t="str">
        <f t="shared" ca="1" si="9"/>
        <v>C/USN/I/1/1</v>
      </c>
      <c r="AF17" s="154" t="str">
        <f t="shared" ca="1" si="10"/>
        <v>Modernizacja ul. Rosoła (etap I Ciszewskiego - Płaskowickiej, etap II Płaskowickiej - Jeżewskiego, etap III Jeżewskiego - Rosnowskiego)</v>
      </c>
      <c r="AG17" s="155">
        <f t="shared" ca="1" si="11"/>
        <v>60014</v>
      </c>
      <c r="AH17" s="155" t="str">
        <f t="shared" ca="1" si="12"/>
        <v>6050</v>
      </c>
      <c r="AI17" s="156" t="str">
        <f t="shared" ca="1" si="13"/>
        <v>GMMW</v>
      </c>
      <c r="AJ17" s="157" t="str">
        <f t="shared" ca="1" si="14"/>
        <v>WPF/UM</v>
      </c>
      <c r="AK17" s="158" t="str">
        <f t="shared" ca="1" si="15"/>
        <v>C/USN/I/1/1 60014 6050 GMMW</v>
      </c>
      <c r="AL17" s="158" t="str">
        <f t="shared" ca="1" si="16"/>
        <v>C/USN/I/1/1 60014 6050 WPF/UM</v>
      </c>
      <c r="AM17" s="159" t="str">
        <f t="shared" ca="1" si="17"/>
        <v>C/USN/I/1/1 60014 6050 GMMW WPF/UM</v>
      </c>
      <c r="AN17" s="160">
        <f t="shared" ca="1" si="18"/>
        <v>0</v>
      </c>
      <c r="AO17" s="161">
        <f t="shared" ca="1" si="19"/>
        <v>0</v>
      </c>
      <c r="AP17" s="162">
        <f t="shared" ca="1" si="20"/>
        <v>0</v>
      </c>
      <c r="AQ17" s="163">
        <f t="shared" ca="1" si="21"/>
        <v>0</v>
      </c>
      <c r="AR17" s="164">
        <f t="shared" ca="1" si="22"/>
        <v>0</v>
      </c>
      <c r="AS17" s="164">
        <f t="shared" ca="1" si="23"/>
        <v>0</v>
      </c>
      <c r="AT17" s="164">
        <f t="shared" ca="1" si="24"/>
        <v>0</v>
      </c>
      <c r="AU17" s="164">
        <f t="shared" ca="1" si="25"/>
        <v>0</v>
      </c>
      <c r="AV17" s="164">
        <f t="shared" ca="1" si="26"/>
        <v>0</v>
      </c>
      <c r="AW17" s="164">
        <f t="shared" ca="1" si="27"/>
        <v>0</v>
      </c>
      <c r="AX17" s="164">
        <f t="shared" ca="1" si="28"/>
        <v>0</v>
      </c>
      <c r="AY17" s="164">
        <f t="shared" ca="1" si="29"/>
        <v>0</v>
      </c>
      <c r="AZ17" s="164">
        <f t="shared" ca="1" si="30"/>
        <v>0</v>
      </c>
      <c r="BA17" s="165" t="str">
        <f t="shared" ca="1" si="31"/>
        <v>nie</v>
      </c>
      <c r="BB17" s="166" t="str">
        <f t="shared" ca="1" si="35"/>
        <v>-</v>
      </c>
      <c r="BC17" s="165" t="str">
        <f t="shared" ca="1" si="32"/>
        <v>nie</v>
      </c>
    </row>
    <row r="18" spans="1:55" s="167" customFormat="1" ht="14.45" hidden="1" customHeight="1" x14ac:dyDescent="0.25">
      <c r="A18" s="191" t="s">
        <v>101</v>
      </c>
      <c r="B18" s="192"/>
      <c r="C18" s="193"/>
      <c r="D18" s="192"/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192"/>
      <c r="P18" s="192"/>
      <c r="Q18" s="192"/>
      <c r="R18" s="194"/>
      <c r="S18" s="195"/>
      <c r="T18" s="195"/>
      <c r="U18" s="195"/>
      <c r="V18" s="195"/>
      <c r="W18" s="195"/>
      <c r="X18" s="195"/>
      <c r="Y18" s="196"/>
      <c r="Z18" s="149" t="str">
        <f t="shared" ca="1" si="6"/>
        <v>nie</v>
      </c>
      <c r="AA18" s="366"/>
      <c r="AB18" s="150" t="str">
        <f t="shared" ca="1" si="34"/>
        <v>-</v>
      </c>
      <c r="AC18" s="151" t="str">
        <f t="shared" ca="1" si="7"/>
        <v>PO ZMIANIE</v>
      </c>
      <c r="AD18" s="152" t="str">
        <f t="shared" ca="1" si="8"/>
        <v/>
      </c>
      <c r="AE18" s="153" t="str">
        <f t="shared" ca="1" si="9"/>
        <v/>
      </c>
      <c r="AF18" s="154" t="str">
        <f t="shared" ca="1" si="10"/>
        <v/>
      </c>
      <c r="AG18" s="155" t="str">
        <f t="shared" ca="1" si="11"/>
        <v/>
      </c>
      <c r="AH18" s="155" t="str">
        <f t="shared" ca="1" si="12"/>
        <v/>
      </c>
      <c r="AI18" s="156" t="str">
        <f t="shared" ca="1" si="13"/>
        <v/>
      </c>
      <c r="AJ18" s="157" t="str">
        <f t="shared" ca="1" si="14"/>
        <v/>
      </c>
      <c r="AK18" s="158" t="str">
        <f t="shared" ca="1" si="15"/>
        <v/>
      </c>
      <c r="AL18" s="158" t="str">
        <f t="shared" ca="1" si="16"/>
        <v/>
      </c>
      <c r="AM18" s="159" t="str">
        <f t="shared" ca="1" si="17"/>
        <v/>
      </c>
      <c r="AN18" s="160" t="str">
        <f t="shared" ca="1" si="18"/>
        <v/>
      </c>
      <c r="AO18" s="161" t="str">
        <f t="shared" ca="1" si="19"/>
        <v/>
      </c>
      <c r="AP18" s="162" t="str">
        <f t="shared" ca="1" si="20"/>
        <v/>
      </c>
      <c r="AQ18" s="163" t="str">
        <f t="shared" ca="1" si="21"/>
        <v/>
      </c>
      <c r="AR18" s="164" t="str">
        <f t="shared" ca="1" si="22"/>
        <v/>
      </c>
      <c r="AS18" s="164" t="str">
        <f t="shared" ca="1" si="23"/>
        <v/>
      </c>
      <c r="AT18" s="164" t="str">
        <f t="shared" ca="1" si="24"/>
        <v/>
      </c>
      <c r="AU18" s="164" t="str">
        <f t="shared" ca="1" si="25"/>
        <v/>
      </c>
      <c r="AV18" s="164" t="str">
        <f t="shared" ca="1" si="26"/>
        <v/>
      </c>
      <c r="AW18" s="164" t="str">
        <f t="shared" ca="1" si="27"/>
        <v/>
      </c>
      <c r="AX18" s="164" t="str">
        <f t="shared" ca="1" si="28"/>
        <v/>
      </c>
      <c r="AY18" s="164" t="str">
        <f t="shared" ca="1" si="29"/>
        <v/>
      </c>
      <c r="AZ18" s="164" t="str">
        <f t="shared" ca="1" si="30"/>
        <v/>
      </c>
      <c r="BA18" s="165" t="str">
        <f t="shared" ca="1" si="31"/>
        <v>nie</v>
      </c>
      <c r="BB18" s="166" t="str">
        <f t="shared" ca="1" si="35"/>
        <v>-</v>
      </c>
      <c r="BC18" s="165" t="str">
        <f t="shared" ca="1" si="32"/>
        <v>nie</v>
      </c>
    </row>
    <row r="19" spans="1:55" s="176" customFormat="1" ht="14.45" hidden="1" customHeight="1" x14ac:dyDescent="0.25">
      <c r="A19" s="493" t="s">
        <v>24</v>
      </c>
      <c r="B19" s="493" t="s">
        <v>26</v>
      </c>
      <c r="C19" s="494" t="s">
        <v>92</v>
      </c>
      <c r="D19" s="508" t="s">
        <v>93</v>
      </c>
      <c r="E19" s="497">
        <v>600</v>
      </c>
      <c r="F19" s="497">
        <v>60014</v>
      </c>
      <c r="G19" s="497">
        <v>6050</v>
      </c>
      <c r="H19" s="507">
        <v>2001</v>
      </c>
      <c r="I19" s="499" t="str">
        <f ca="1">IF(COUNTIF(OFFSET(I19,-1,-8),"*propon*")&gt;0,OFFSET(I19,4,0),IF(Y19&gt;0,"2033",IF(X19&gt;0,"2032",IF(W19&gt;0,"2031",IF(V19&gt;0,"2030",IF(U19&gt;0,"2029",IF(T19&gt;0,"2028",IF(S19&gt;0,"2027",IF(R19&gt;0,"2026",IF(Q19&gt;0,"2025",IF(P19&gt;0,"2024",IF(M19&gt;0,"2023",IF(L19&gt;0,"2022","")))))))))))))</f>
        <v>2025</v>
      </c>
      <c r="J19" s="168" t="s">
        <v>102</v>
      </c>
      <c r="K19" s="169">
        <f>SUM(N19:O19)</f>
        <v>4810713</v>
      </c>
      <c r="L19" s="170">
        <f t="shared" ref="L19:M19" si="42">SUM(L20:L21)</f>
        <v>3550900</v>
      </c>
      <c r="M19" s="171">
        <f t="shared" si="42"/>
        <v>0</v>
      </c>
      <c r="N19" s="172">
        <f>SUM(L19:M19)</f>
        <v>3550900</v>
      </c>
      <c r="O19" s="169">
        <f>SUM(P19:Y19)</f>
        <v>1259813</v>
      </c>
      <c r="P19" s="173">
        <f t="shared" ref="P19:R19" si="43">SUM(P20:P21)</f>
        <v>215642</v>
      </c>
      <c r="Q19" s="171">
        <f t="shared" si="43"/>
        <v>1044171</v>
      </c>
      <c r="R19" s="174">
        <f t="shared" si="43"/>
        <v>0</v>
      </c>
      <c r="S19" s="175">
        <f t="shared" ref="S19:Y19" si="44">SUM(S20:S21)</f>
        <v>0</v>
      </c>
      <c r="T19" s="171">
        <f t="shared" si="44"/>
        <v>0</v>
      </c>
      <c r="U19" s="171">
        <f t="shared" si="44"/>
        <v>0</v>
      </c>
      <c r="V19" s="171">
        <f t="shared" si="44"/>
        <v>0</v>
      </c>
      <c r="W19" s="171">
        <f t="shared" si="44"/>
        <v>0</v>
      </c>
      <c r="X19" s="171">
        <f t="shared" si="44"/>
        <v>0</v>
      </c>
      <c r="Y19" s="174">
        <f t="shared" si="44"/>
        <v>0</v>
      </c>
      <c r="Z19" s="149" t="str">
        <f t="shared" ca="1" si="6"/>
        <v>nie</v>
      </c>
      <c r="AA19" s="366"/>
      <c r="AB19" s="150" t="str">
        <f t="shared" ca="1" si="34"/>
        <v>-</v>
      </c>
      <c r="AC19" s="151" t="str">
        <f t="shared" ca="1" si="7"/>
        <v>PO ZMIANIE</v>
      </c>
      <c r="AD19" s="152" t="str">
        <f t="shared" ca="1" si="8"/>
        <v>PO ZMIANIE</v>
      </c>
      <c r="AE19" s="153" t="str">
        <f t="shared" ca="1" si="9"/>
        <v>C/USN/I/1/1</v>
      </c>
      <c r="AF19" s="154" t="str">
        <f t="shared" ca="1" si="10"/>
        <v>Modernizacja ul. Rosoła (etap I Ciszewskiego - Płaskowickiej, etap II Płaskowickiej - Jeżewskiego, etap III Jeżewskiego - Rosnowskiego)</v>
      </c>
      <c r="AG19" s="155">
        <f t="shared" ca="1" si="11"/>
        <v>60014</v>
      </c>
      <c r="AH19" s="155" t="str">
        <f t="shared" ca="1" si="12"/>
        <v>6050</v>
      </c>
      <c r="AI19" s="156" t="str">
        <f t="shared" ca="1" si="13"/>
        <v>GMMW</v>
      </c>
      <c r="AJ19" s="157" t="str">
        <f t="shared" ca="1" si="14"/>
        <v>WPF, w tym</v>
      </c>
      <c r="AK19" s="158" t="str">
        <f t="shared" ca="1" si="15"/>
        <v>C/USN/I/1/1 60014 6050 GMMW</v>
      </c>
      <c r="AL19" s="158" t="str">
        <f t="shared" ca="1" si="16"/>
        <v>C/USN/I/1/1 60014 6050 WPF, w tym</v>
      </c>
      <c r="AM19" s="159" t="str">
        <f t="shared" ca="1" si="17"/>
        <v>C/USN/I/1/1 60014 6050 GMMW WPF, w tym</v>
      </c>
      <c r="AN19" s="160">
        <f t="shared" ca="1" si="18"/>
        <v>4810713</v>
      </c>
      <c r="AO19" s="161">
        <f t="shared" ca="1" si="19"/>
        <v>3550900</v>
      </c>
      <c r="AP19" s="162">
        <f t="shared" ca="1" si="20"/>
        <v>0</v>
      </c>
      <c r="AQ19" s="163">
        <f t="shared" ca="1" si="21"/>
        <v>215642</v>
      </c>
      <c r="AR19" s="164">
        <f t="shared" ca="1" si="22"/>
        <v>1044171</v>
      </c>
      <c r="AS19" s="164">
        <f t="shared" ca="1" si="23"/>
        <v>0</v>
      </c>
      <c r="AT19" s="164">
        <f t="shared" ca="1" si="24"/>
        <v>0</v>
      </c>
      <c r="AU19" s="164">
        <f t="shared" ca="1" si="25"/>
        <v>0</v>
      </c>
      <c r="AV19" s="164">
        <f t="shared" ca="1" si="26"/>
        <v>0</v>
      </c>
      <c r="AW19" s="164">
        <f t="shared" ca="1" si="27"/>
        <v>0</v>
      </c>
      <c r="AX19" s="164">
        <f t="shared" ca="1" si="28"/>
        <v>0</v>
      </c>
      <c r="AY19" s="164">
        <f t="shared" ca="1" si="29"/>
        <v>0</v>
      </c>
      <c r="AZ19" s="164">
        <f t="shared" ca="1" si="30"/>
        <v>0</v>
      </c>
      <c r="BA19" s="165" t="str">
        <f t="shared" ca="1" si="31"/>
        <v>nie</v>
      </c>
      <c r="BB19" s="166" t="str">
        <f t="shared" ca="1" si="35"/>
        <v>-</v>
      </c>
      <c r="BC19" s="165" t="str">
        <f t="shared" ca="1" si="32"/>
        <v>nie</v>
      </c>
    </row>
    <row r="20" spans="1:55" s="167" customFormat="1" ht="14.45" hidden="1" customHeight="1" x14ac:dyDescent="0.25">
      <c r="A20" s="493"/>
      <c r="B20" s="493"/>
      <c r="C20" s="494"/>
      <c r="D20" s="509"/>
      <c r="E20" s="497"/>
      <c r="F20" s="497"/>
      <c r="G20" s="497"/>
      <c r="H20" s="498"/>
      <c r="I20" s="499"/>
      <c r="J20" s="177" t="s">
        <v>103</v>
      </c>
      <c r="K20" s="178">
        <f>SUM(N20:O20)</f>
        <v>1259813</v>
      </c>
      <c r="L20" s="179"/>
      <c r="M20" s="180"/>
      <c r="N20" s="172">
        <f>SUM(L20:M20)</f>
        <v>0</v>
      </c>
      <c r="O20" s="178">
        <f>SUM(P20:Y20)</f>
        <v>1259813</v>
      </c>
      <c r="P20" s="181">
        <f>100000+115642</f>
        <v>215642</v>
      </c>
      <c r="Q20" s="180">
        <f>900000+144171</f>
        <v>1044171</v>
      </c>
      <c r="R20" s="182"/>
      <c r="S20" s="183"/>
      <c r="T20" s="180"/>
      <c r="U20" s="180"/>
      <c r="V20" s="180"/>
      <c r="W20" s="180"/>
      <c r="X20" s="180"/>
      <c r="Y20" s="182"/>
      <c r="Z20" s="149" t="str">
        <f t="shared" ca="1" si="6"/>
        <v>nie</v>
      </c>
      <c r="AA20" s="384"/>
      <c r="AB20" s="150" t="str">
        <f t="shared" ca="1" si="34"/>
        <v>-</v>
      </c>
      <c r="AC20" s="151" t="str">
        <f t="shared" ca="1" si="7"/>
        <v>PO ZMIANIE</v>
      </c>
      <c r="AD20" s="152" t="str">
        <f t="shared" ca="1" si="8"/>
        <v>PO ZMIANIE</v>
      </c>
      <c r="AE20" s="153" t="str">
        <f t="shared" ca="1" si="9"/>
        <v>C/USN/I/1/1</v>
      </c>
      <c r="AF20" s="154" t="str">
        <f t="shared" ca="1" si="10"/>
        <v>Modernizacja ul. Rosoła (etap I Ciszewskiego - Płaskowickiej, etap II Płaskowickiej - Jeżewskiego, etap III Jeżewskiego - Rosnowskiego)</v>
      </c>
      <c r="AG20" s="155">
        <f t="shared" ca="1" si="11"/>
        <v>60014</v>
      </c>
      <c r="AH20" s="155" t="str">
        <f t="shared" ca="1" si="12"/>
        <v>6050</v>
      </c>
      <c r="AI20" s="156" t="str">
        <f t="shared" ca="1" si="13"/>
        <v>GMMW</v>
      </c>
      <c r="AJ20" s="157" t="str">
        <f t="shared" ca="1" si="14"/>
        <v>WPF/PM</v>
      </c>
      <c r="AK20" s="158" t="str">
        <f t="shared" ca="1" si="15"/>
        <v>C/USN/I/1/1 60014 6050 GMMW</v>
      </c>
      <c r="AL20" s="158" t="str">
        <f t="shared" ca="1" si="16"/>
        <v>C/USN/I/1/1 60014 6050 WPF/PM</v>
      </c>
      <c r="AM20" s="159" t="str">
        <f t="shared" ca="1" si="17"/>
        <v>C/USN/I/1/1 60014 6050 GMMW WPF/PM</v>
      </c>
      <c r="AN20" s="160">
        <f t="shared" ca="1" si="18"/>
        <v>1259813</v>
      </c>
      <c r="AO20" s="161">
        <f t="shared" ca="1" si="19"/>
        <v>0</v>
      </c>
      <c r="AP20" s="162">
        <f t="shared" ca="1" si="20"/>
        <v>0</v>
      </c>
      <c r="AQ20" s="163">
        <f t="shared" ca="1" si="21"/>
        <v>215642</v>
      </c>
      <c r="AR20" s="164">
        <f t="shared" ca="1" si="22"/>
        <v>1044171</v>
      </c>
      <c r="AS20" s="164">
        <f t="shared" ca="1" si="23"/>
        <v>0</v>
      </c>
      <c r="AT20" s="164">
        <f t="shared" ca="1" si="24"/>
        <v>0</v>
      </c>
      <c r="AU20" s="164">
        <f t="shared" ca="1" si="25"/>
        <v>0</v>
      </c>
      <c r="AV20" s="164">
        <f t="shared" ca="1" si="26"/>
        <v>0</v>
      </c>
      <c r="AW20" s="164">
        <f t="shared" ca="1" si="27"/>
        <v>0</v>
      </c>
      <c r="AX20" s="164">
        <f t="shared" ca="1" si="28"/>
        <v>0</v>
      </c>
      <c r="AY20" s="164">
        <f t="shared" ca="1" si="29"/>
        <v>0</v>
      </c>
      <c r="AZ20" s="164">
        <f t="shared" ca="1" si="30"/>
        <v>0</v>
      </c>
      <c r="BA20" s="165" t="str">
        <f t="shared" ca="1" si="31"/>
        <v>nie</v>
      </c>
      <c r="BB20" s="166" t="str">
        <f t="shared" ca="1" si="35"/>
        <v>-</v>
      </c>
      <c r="BC20" s="165" t="str">
        <f t="shared" ca="1" si="32"/>
        <v>nie</v>
      </c>
    </row>
    <row r="21" spans="1:55" s="167" customFormat="1" ht="14.45" hidden="1" customHeight="1" thickBot="1" x14ac:dyDescent="0.3">
      <c r="A21" s="500"/>
      <c r="B21" s="500"/>
      <c r="C21" s="501"/>
      <c r="D21" s="510"/>
      <c r="E21" s="503"/>
      <c r="F21" s="503"/>
      <c r="G21" s="503"/>
      <c r="H21" s="504"/>
      <c r="I21" s="499"/>
      <c r="J21" s="197" t="s">
        <v>104</v>
      </c>
      <c r="K21" s="198">
        <f>SUM(N21:O21)</f>
        <v>3550900</v>
      </c>
      <c r="L21" s="199">
        <v>3550900</v>
      </c>
      <c r="M21" s="200">
        <f>259813-259813</f>
        <v>0</v>
      </c>
      <c r="N21" s="371">
        <f>SUM(L21:M21)</f>
        <v>3550900</v>
      </c>
      <c r="O21" s="198">
        <f>SUM(P21:Y21)</f>
        <v>0</v>
      </c>
      <c r="P21" s="201"/>
      <c r="Q21" s="200"/>
      <c r="R21" s="202"/>
      <c r="S21" s="203"/>
      <c r="T21" s="200"/>
      <c r="U21" s="200"/>
      <c r="V21" s="200"/>
      <c r="W21" s="200"/>
      <c r="X21" s="200"/>
      <c r="Y21" s="202"/>
      <c r="Z21" s="149" t="str">
        <f t="shared" ca="1" si="6"/>
        <v>nie</v>
      </c>
      <c r="AA21" s="384"/>
      <c r="AB21" s="150" t="str">
        <f t="shared" ca="1" si="34"/>
        <v>-</v>
      </c>
      <c r="AC21" s="151" t="str">
        <f t="shared" ca="1" si="7"/>
        <v>PO ZMIANIE</v>
      </c>
      <c r="AD21" s="152" t="str">
        <f t="shared" ca="1" si="8"/>
        <v>PO ZMIANIE</v>
      </c>
      <c r="AE21" s="153" t="str">
        <f t="shared" ca="1" si="9"/>
        <v>C/USN/I/1/1</v>
      </c>
      <c r="AF21" s="154" t="str">
        <f t="shared" ca="1" si="10"/>
        <v>Modernizacja ul. Rosoła (etap I Ciszewskiego - Płaskowickiej, etap II Płaskowickiej - Jeżewskiego, etap III Jeżewskiego - Rosnowskiego)</v>
      </c>
      <c r="AG21" s="155">
        <f t="shared" ca="1" si="11"/>
        <v>60014</v>
      </c>
      <c r="AH21" s="155" t="str">
        <f t="shared" ca="1" si="12"/>
        <v>6050</v>
      </c>
      <c r="AI21" s="156" t="str">
        <f t="shared" ca="1" si="13"/>
        <v>GMMW</v>
      </c>
      <c r="AJ21" s="157" t="str">
        <f t="shared" ca="1" si="14"/>
        <v>WPF/UM</v>
      </c>
      <c r="AK21" s="158" t="str">
        <f t="shared" ca="1" si="15"/>
        <v>C/USN/I/1/1 60014 6050 GMMW</v>
      </c>
      <c r="AL21" s="158" t="str">
        <f t="shared" ca="1" si="16"/>
        <v>C/USN/I/1/1 60014 6050 WPF/UM</v>
      </c>
      <c r="AM21" s="159" t="str">
        <f t="shared" ca="1" si="17"/>
        <v>C/USN/I/1/1 60014 6050 GMMW WPF/UM</v>
      </c>
      <c r="AN21" s="160">
        <f t="shared" ca="1" si="18"/>
        <v>3550900</v>
      </c>
      <c r="AO21" s="161">
        <f t="shared" ca="1" si="19"/>
        <v>3550900</v>
      </c>
      <c r="AP21" s="162">
        <f t="shared" ca="1" si="20"/>
        <v>0</v>
      </c>
      <c r="AQ21" s="163">
        <f t="shared" ca="1" si="21"/>
        <v>0</v>
      </c>
      <c r="AR21" s="164">
        <f t="shared" ca="1" si="22"/>
        <v>0</v>
      </c>
      <c r="AS21" s="164">
        <f t="shared" ca="1" si="23"/>
        <v>0</v>
      </c>
      <c r="AT21" s="164">
        <f t="shared" ca="1" si="24"/>
        <v>0</v>
      </c>
      <c r="AU21" s="164">
        <f t="shared" ca="1" si="25"/>
        <v>0</v>
      </c>
      <c r="AV21" s="164">
        <f t="shared" ca="1" si="26"/>
        <v>0</v>
      </c>
      <c r="AW21" s="164">
        <f t="shared" ca="1" si="27"/>
        <v>0</v>
      </c>
      <c r="AX21" s="164">
        <f t="shared" ca="1" si="28"/>
        <v>0</v>
      </c>
      <c r="AY21" s="164">
        <f t="shared" ca="1" si="29"/>
        <v>0</v>
      </c>
      <c r="AZ21" s="164">
        <f t="shared" ca="1" si="30"/>
        <v>0</v>
      </c>
      <c r="BA21" s="165" t="str">
        <f t="shared" ca="1" si="31"/>
        <v>nie</v>
      </c>
      <c r="BB21" s="166" t="str">
        <f t="shared" ca="1" si="35"/>
        <v>-</v>
      </c>
      <c r="BC21" s="165" t="str">
        <f t="shared" ca="1" si="32"/>
        <v>nie</v>
      </c>
    </row>
    <row r="22" spans="1:55" s="167" customFormat="1" ht="14.45" hidden="1" customHeight="1" x14ac:dyDescent="0.25">
      <c r="A22" s="143" t="s">
        <v>91</v>
      </c>
      <c r="B22" s="144"/>
      <c r="C22" s="145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6"/>
      <c r="S22" s="147"/>
      <c r="T22" s="147"/>
      <c r="U22" s="147"/>
      <c r="V22" s="147"/>
      <c r="W22" s="147"/>
      <c r="X22" s="147"/>
      <c r="Y22" s="148"/>
      <c r="Z22" s="149" t="str">
        <f t="shared" ca="1" si="6"/>
        <v>nie</v>
      </c>
      <c r="AA22" s="366"/>
      <c r="AB22" s="150" t="str">
        <f t="shared" ca="1" si="34"/>
        <v>-</v>
      </c>
      <c r="AC22" s="151" t="str">
        <f t="shared" ca="1" si="7"/>
        <v>PRZED ZMIANĄ</v>
      </c>
      <c r="AD22" s="152" t="str">
        <f t="shared" ca="1" si="8"/>
        <v/>
      </c>
      <c r="AE22" s="153" t="str">
        <f t="shared" ca="1" si="9"/>
        <v/>
      </c>
      <c r="AF22" s="154" t="str">
        <f t="shared" ca="1" si="10"/>
        <v/>
      </c>
      <c r="AG22" s="155" t="str">
        <f t="shared" ca="1" si="11"/>
        <v/>
      </c>
      <c r="AH22" s="155" t="str">
        <f t="shared" ca="1" si="12"/>
        <v/>
      </c>
      <c r="AI22" s="156" t="str">
        <f t="shared" ca="1" si="13"/>
        <v/>
      </c>
      <c r="AJ22" s="157" t="str">
        <f t="shared" ca="1" si="14"/>
        <v/>
      </c>
      <c r="AK22" s="158" t="str">
        <f t="shared" ca="1" si="15"/>
        <v/>
      </c>
      <c r="AL22" s="158" t="str">
        <f t="shared" ca="1" si="16"/>
        <v/>
      </c>
      <c r="AM22" s="159" t="str">
        <f t="shared" ca="1" si="17"/>
        <v/>
      </c>
      <c r="AN22" s="160" t="str">
        <f t="shared" ca="1" si="18"/>
        <v/>
      </c>
      <c r="AO22" s="161" t="str">
        <f t="shared" ca="1" si="19"/>
        <v/>
      </c>
      <c r="AP22" s="162" t="str">
        <f t="shared" ca="1" si="20"/>
        <v/>
      </c>
      <c r="AQ22" s="163" t="str">
        <f t="shared" ca="1" si="21"/>
        <v/>
      </c>
      <c r="AR22" s="164" t="str">
        <f t="shared" ca="1" si="22"/>
        <v/>
      </c>
      <c r="AS22" s="164" t="str">
        <f t="shared" ca="1" si="23"/>
        <v/>
      </c>
      <c r="AT22" s="164" t="str">
        <f t="shared" ca="1" si="24"/>
        <v/>
      </c>
      <c r="AU22" s="164" t="str">
        <f t="shared" ca="1" si="25"/>
        <v/>
      </c>
      <c r="AV22" s="164" t="str">
        <f t="shared" ca="1" si="26"/>
        <v/>
      </c>
      <c r="AW22" s="164" t="str">
        <f t="shared" ca="1" si="27"/>
        <v/>
      </c>
      <c r="AX22" s="164" t="str">
        <f t="shared" ca="1" si="28"/>
        <v/>
      </c>
      <c r="AY22" s="164" t="str">
        <f t="shared" ca="1" si="29"/>
        <v/>
      </c>
      <c r="AZ22" s="164" t="str">
        <f t="shared" ca="1" si="30"/>
        <v/>
      </c>
      <c r="BA22" s="165" t="str">
        <f t="shared" ca="1" si="31"/>
        <v>nie</v>
      </c>
      <c r="BB22" s="166" t="str">
        <f t="shared" ca="1" si="35"/>
        <v>-</v>
      </c>
      <c r="BC22" s="165" t="str">
        <f t="shared" ca="1" si="32"/>
        <v>nie</v>
      </c>
    </row>
    <row r="23" spans="1:55" s="176" customFormat="1" ht="14.45" hidden="1" customHeight="1" x14ac:dyDescent="0.25">
      <c r="A23" s="493" t="s">
        <v>24</v>
      </c>
      <c r="B23" s="493" t="s">
        <v>26</v>
      </c>
      <c r="C23" s="494" t="s">
        <v>105</v>
      </c>
      <c r="D23" s="511" t="s">
        <v>106</v>
      </c>
      <c r="E23" s="497">
        <v>600</v>
      </c>
      <c r="F23" s="497">
        <v>60014</v>
      </c>
      <c r="G23" s="497">
        <v>6050</v>
      </c>
      <c r="H23" s="507">
        <v>2007</v>
      </c>
      <c r="I23" s="499" t="str">
        <f ca="1">IF(COUNTIF(OFFSET(I23,-1,-8),"*propon*")&gt;0,OFFSET(I23,4,0),IF(Y23&gt;0,"2033",IF(X23&gt;0,"2032",IF(W23&gt;0,"2031",IF(V23&gt;0,"2030",IF(U23&gt;0,"2029",IF(T23&gt;0,"2028",IF(S23&gt;0,"2027",IF(R23&gt;0,"2026",IF(Q23&gt;0,"2025",IF(P23&gt;0,"2024",IF(M23&gt;0,"2023",IF(L23&gt;0,"2022","")))))))))))))</f>
        <v>2024</v>
      </c>
      <c r="J23" s="168" t="s">
        <v>94</v>
      </c>
      <c r="K23" s="169">
        <f>SUM(N23:O23)</f>
        <v>13951425</v>
      </c>
      <c r="L23" s="170">
        <f t="shared" ref="L23:M23" si="45">SUM(L24:L25)</f>
        <v>13946038</v>
      </c>
      <c r="M23" s="171">
        <f t="shared" si="45"/>
        <v>0</v>
      </c>
      <c r="N23" s="172">
        <f>SUM(L23:M23)</f>
        <v>13946038</v>
      </c>
      <c r="O23" s="169">
        <f>SUM(P23:Y23)</f>
        <v>5387</v>
      </c>
      <c r="P23" s="173">
        <f t="shared" ref="P23:R23" si="46">SUM(P24:P25)</f>
        <v>5387</v>
      </c>
      <c r="Q23" s="171">
        <f t="shared" si="46"/>
        <v>0</v>
      </c>
      <c r="R23" s="174">
        <f t="shared" si="46"/>
        <v>0</v>
      </c>
      <c r="S23" s="175">
        <f t="shared" ref="S23:Y23" si="47">SUM(S24:S25)</f>
        <v>0</v>
      </c>
      <c r="T23" s="171">
        <f t="shared" si="47"/>
        <v>0</v>
      </c>
      <c r="U23" s="171">
        <f t="shared" si="47"/>
        <v>0</v>
      </c>
      <c r="V23" s="171">
        <f t="shared" si="47"/>
        <v>0</v>
      </c>
      <c r="W23" s="171">
        <f t="shared" si="47"/>
        <v>0</v>
      </c>
      <c r="X23" s="171">
        <f t="shared" si="47"/>
        <v>0</v>
      </c>
      <c r="Y23" s="174">
        <f t="shared" si="47"/>
        <v>0</v>
      </c>
      <c r="Z23" s="149" t="str">
        <f t="shared" ca="1" si="6"/>
        <v>nie</v>
      </c>
      <c r="AA23" s="366"/>
      <c r="AB23" s="150" t="str">
        <f t="shared" ca="1" si="34"/>
        <v>-</v>
      </c>
      <c r="AC23" s="151" t="str">
        <f t="shared" ca="1" si="7"/>
        <v>PRZED ZMIANĄ</v>
      </c>
      <c r="AD23" s="152" t="str">
        <f t="shared" ca="1" si="8"/>
        <v>PRZED ZMIANĄ</v>
      </c>
      <c r="AE23" s="153" t="str">
        <f t="shared" ca="1" si="9"/>
        <v>C/USN/I/1/8</v>
      </c>
      <c r="AF23" s="154" t="str">
        <f t="shared" ca="1" si="10"/>
        <v>Przebudowa ul. Baletowej na odc. ul. Puławska - granica miasta</v>
      </c>
      <c r="AG23" s="155">
        <f t="shared" ca="1" si="11"/>
        <v>60014</v>
      </c>
      <c r="AH23" s="155" t="str">
        <f t="shared" ca="1" si="12"/>
        <v>6050</v>
      </c>
      <c r="AI23" s="156" t="str">
        <f t="shared" ca="1" si="13"/>
        <v>GMMW</v>
      </c>
      <c r="AJ23" s="157" t="str">
        <f t="shared" ca="1" si="14"/>
        <v>WPF, w tym</v>
      </c>
      <c r="AK23" s="158" t="str">
        <f t="shared" ca="1" si="15"/>
        <v>C/USN/I/1/8 60014 6050 GMMW</v>
      </c>
      <c r="AL23" s="158" t="str">
        <f t="shared" ca="1" si="16"/>
        <v>C/USN/I/1/8 60014 6050 WPF, w tym</v>
      </c>
      <c r="AM23" s="159" t="str">
        <f t="shared" ca="1" si="17"/>
        <v>C/USN/I/1/8 60014 6050 GMMW WPF, w tym</v>
      </c>
      <c r="AN23" s="160">
        <f t="shared" ca="1" si="18"/>
        <v>13951425</v>
      </c>
      <c r="AO23" s="161">
        <f t="shared" ca="1" si="19"/>
        <v>13946038</v>
      </c>
      <c r="AP23" s="162">
        <f t="shared" ca="1" si="20"/>
        <v>0</v>
      </c>
      <c r="AQ23" s="163">
        <f t="shared" ca="1" si="21"/>
        <v>5387</v>
      </c>
      <c r="AR23" s="164">
        <f t="shared" ca="1" si="22"/>
        <v>0</v>
      </c>
      <c r="AS23" s="164">
        <f t="shared" ca="1" si="23"/>
        <v>0</v>
      </c>
      <c r="AT23" s="164">
        <f t="shared" ca="1" si="24"/>
        <v>0</v>
      </c>
      <c r="AU23" s="164">
        <f t="shared" ca="1" si="25"/>
        <v>0</v>
      </c>
      <c r="AV23" s="164">
        <f t="shared" ca="1" si="26"/>
        <v>0</v>
      </c>
      <c r="AW23" s="164">
        <f t="shared" ca="1" si="27"/>
        <v>0</v>
      </c>
      <c r="AX23" s="164">
        <f t="shared" ca="1" si="28"/>
        <v>0</v>
      </c>
      <c r="AY23" s="164">
        <f t="shared" ca="1" si="29"/>
        <v>0</v>
      </c>
      <c r="AZ23" s="164">
        <f t="shared" ca="1" si="30"/>
        <v>0</v>
      </c>
      <c r="BA23" s="165" t="str">
        <f t="shared" ca="1" si="31"/>
        <v>nie</v>
      </c>
      <c r="BB23" s="166" t="str">
        <f t="shared" ca="1" si="35"/>
        <v>-</v>
      </c>
      <c r="BC23" s="165" t="str">
        <f t="shared" ca="1" si="32"/>
        <v>nie</v>
      </c>
    </row>
    <row r="24" spans="1:55" s="167" customFormat="1" ht="14.45" hidden="1" customHeight="1" x14ac:dyDescent="0.25">
      <c r="A24" s="493"/>
      <c r="B24" s="493"/>
      <c r="C24" s="494"/>
      <c r="D24" s="512"/>
      <c r="E24" s="497"/>
      <c r="F24" s="497"/>
      <c r="G24" s="497"/>
      <c r="H24" s="498"/>
      <c r="I24" s="499"/>
      <c r="J24" s="177" t="s">
        <v>95</v>
      </c>
      <c r="K24" s="178">
        <f>SUM(N24:O24)</f>
        <v>5387</v>
      </c>
      <c r="L24" s="179"/>
      <c r="M24" s="180"/>
      <c r="N24" s="172">
        <f>SUM(L24:M24)</f>
        <v>0</v>
      </c>
      <c r="O24" s="178">
        <f>SUM(P24:Y24)</f>
        <v>5387</v>
      </c>
      <c r="P24" s="181">
        <v>5387</v>
      </c>
      <c r="Q24" s="180"/>
      <c r="R24" s="182"/>
      <c r="S24" s="183"/>
      <c r="T24" s="180"/>
      <c r="U24" s="180"/>
      <c r="V24" s="180"/>
      <c r="W24" s="180"/>
      <c r="X24" s="180"/>
      <c r="Y24" s="182"/>
      <c r="Z24" s="149" t="str">
        <f t="shared" ca="1" si="6"/>
        <v>nie</v>
      </c>
      <c r="AA24" s="366"/>
      <c r="AB24" s="150" t="str">
        <f t="shared" ca="1" si="34"/>
        <v>-</v>
      </c>
      <c r="AC24" s="151" t="str">
        <f t="shared" ca="1" si="7"/>
        <v>PRZED ZMIANĄ</v>
      </c>
      <c r="AD24" s="152" t="str">
        <f t="shared" ca="1" si="8"/>
        <v>PRZED ZMIANĄ</v>
      </c>
      <c r="AE24" s="153" t="str">
        <f t="shared" ca="1" si="9"/>
        <v>C/USN/I/1/8</v>
      </c>
      <c r="AF24" s="154" t="str">
        <f t="shared" ca="1" si="10"/>
        <v>Przebudowa ul. Baletowej na odc. ul. Puławska - granica miasta</v>
      </c>
      <c r="AG24" s="155">
        <f t="shared" ca="1" si="11"/>
        <v>60014</v>
      </c>
      <c r="AH24" s="155" t="str">
        <f t="shared" ca="1" si="12"/>
        <v>6050</v>
      </c>
      <c r="AI24" s="156" t="str">
        <f t="shared" ca="1" si="13"/>
        <v>GMMW</v>
      </c>
      <c r="AJ24" s="157" t="str">
        <f t="shared" ca="1" si="14"/>
        <v>WPF/PM</v>
      </c>
      <c r="AK24" s="158" t="str">
        <f t="shared" ca="1" si="15"/>
        <v>C/USN/I/1/8 60014 6050 GMMW</v>
      </c>
      <c r="AL24" s="158" t="str">
        <f t="shared" ca="1" si="16"/>
        <v>C/USN/I/1/8 60014 6050 WPF/PM</v>
      </c>
      <c r="AM24" s="159" t="str">
        <f t="shared" ca="1" si="17"/>
        <v>C/USN/I/1/8 60014 6050 GMMW WPF/PM</v>
      </c>
      <c r="AN24" s="160">
        <f t="shared" ca="1" si="18"/>
        <v>5387</v>
      </c>
      <c r="AO24" s="161">
        <f t="shared" ca="1" si="19"/>
        <v>0</v>
      </c>
      <c r="AP24" s="162">
        <f t="shared" ca="1" si="20"/>
        <v>0</v>
      </c>
      <c r="AQ24" s="163">
        <f t="shared" ca="1" si="21"/>
        <v>5387</v>
      </c>
      <c r="AR24" s="164">
        <f t="shared" ca="1" si="22"/>
        <v>0</v>
      </c>
      <c r="AS24" s="164">
        <f t="shared" ca="1" si="23"/>
        <v>0</v>
      </c>
      <c r="AT24" s="164">
        <f t="shared" ca="1" si="24"/>
        <v>0</v>
      </c>
      <c r="AU24" s="164">
        <f t="shared" ca="1" si="25"/>
        <v>0</v>
      </c>
      <c r="AV24" s="164">
        <f t="shared" ca="1" si="26"/>
        <v>0</v>
      </c>
      <c r="AW24" s="164">
        <f t="shared" ca="1" si="27"/>
        <v>0</v>
      </c>
      <c r="AX24" s="164">
        <f t="shared" ca="1" si="28"/>
        <v>0</v>
      </c>
      <c r="AY24" s="164">
        <f t="shared" ca="1" si="29"/>
        <v>0</v>
      </c>
      <c r="AZ24" s="164">
        <f t="shared" ca="1" si="30"/>
        <v>0</v>
      </c>
      <c r="BA24" s="165" t="str">
        <f t="shared" ca="1" si="31"/>
        <v>nie</v>
      </c>
      <c r="BB24" s="166" t="str">
        <f t="shared" ca="1" si="35"/>
        <v>-</v>
      </c>
      <c r="BC24" s="165" t="str">
        <f t="shared" ca="1" si="32"/>
        <v>nie</v>
      </c>
    </row>
    <row r="25" spans="1:55" s="167" customFormat="1" ht="14.45" hidden="1" customHeight="1" x14ac:dyDescent="0.25">
      <c r="A25" s="493"/>
      <c r="B25" s="493"/>
      <c r="C25" s="494"/>
      <c r="D25" s="512"/>
      <c r="E25" s="497"/>
      <c r="F25" s="497"/>
      <c r="G25" s="497"/>
      <c r="H25" s="498"/>
      <c r="I25" s="499"/>
      <c r="J25" s="177" t="s">
        <v>96</v>
      </c>
      <c r="K25" s="178">
        <f>SUM(N25:O25)</f>
        <v>13946038</v>
      </c>
      <c r="L25" s="184">
        <v>13946038</v>
      </c>
      <c r="M25" s="180"/>
      <c r="N25" s="172">
        <f>SUM(L25:M25)</f>
        <v>13946038</v>
      </c>
      <c r="O25" s="178">
        <f>SUM(P25:Y25)</f>
        <v>0</v>
      </c>
      <c r="P25" s="181"/>
      <c r="Q25" s="180"/>
      <c r="R25" s="182"/>
      <c r="S25" s="183"/>
      <c r="T25" s="180"/>
      <c r="U25" s="180"/>
      <c r="V25" s="180"/>
      <c r="W25" s="180"/>
      <c r="X25" s="180"/>
      <c r="Y25" s="182"/>
      <c r="Z25" s="149" t="str">
        <f t="shared" ca="1" si="6"/>
        <v>nie</v>
      </c>
      <c r="AA25" s="366"/>
      <c r="AB25" s="150" t="str">
        <f t="shared" ca="1" si="34"/>
        <v>-</v>
      </c>
      <c r="AC25" s="151" t="str">
        <f t="shared" ca="1" si="7"/>
        <v>PRZED ZMIANĄ</v>
      </c>
      <c r="AD25" s="152" t="str">
        <f t="shared" ca="1" si="8"/>
        <v>PRZED ZMIANĄ</v>
      </c>
      <c r="AE25" s="153" t="str">
        <f t="shared" ca="1" si="9"/>
        <v>C/USN/I/1/8</v>
      </c>
      <c r="AF25" s="154" t="str">
        <f t="shared" ca="1" si="10"/>
        <v>Przebudowa ul. Baletowej na odc. ul. Puławska - granica miasta</v>
      </c>
      <c r="AG25" s="155">
        <f t="shared" ca="1" si="11"/>
        <v>60014</v>
      </c>
      <c r="AH25" s="155" t="str">
        <f t="shared" ca="1" si="12"/>
        <v>6050</v>
      </c>
      <c r="AI25" s="156" t="str">
        <f t="shared" ca="1" si="13"/>
        <v>GMMW</v>
      </c>
      <c r="AJ25" s="157" t="str">
        <f t="shared" ca="1" si="14"/>
        <v>WPF/UM</v>
      </c>
      <c r="AK25" s="158" t="str">
        <f t="shared" ca="1" si="15"/>
        <v>C/USN/I/1/8 60014 6050 GMMW</v>
      </c>
      <c r="AL25" s="158" t="str">
        <f t="shared" ca="1" si="16"/>
        <v>C/USN/I/1/8 60014 6050 WPF/UM</v>
      </c>
      <c r="AM25" s="159" t="str">
        <f t="shared" ca="1" si="17"/>
        <v>C/USN/I/1/8 60014 6050 GMMW WPF/UM</v>
      </c>
      <c r="AN25" s="160">
        <f t="shared" ca="1" si="18"/>
        <v>13946038</v>
      </c>
      <c r="AO25" s="161">
        <f t="shared" ca="1" si="19"/>
        <v>13946038</v>
      </c>
      <c r="AP25" s="162">
        <f t="shared" ca="1" si="20"/>
        <v>0</v>
      </c>
      <c r="AQ25" s="163">
        <f t="shared" ca="1" si="21"/>
        <v>0</v>
      </c>
      <c r="AR25" s="164">
        <f t="shared" ca="1" si="22"/>
        <v>0</v>
      </c>
      <c r="AS25" s="164">
        <f t="shared" ca="1" si="23"/>
        <v>0</v>
      </c>
      <c r="AT25" s="164">
        <f t="shared" ca="1" si="24"/>
        <v>0</v>
      </c>
      <c r="AU25" s="164">
        <f t="shared" ca="1" si="25"/>
        <v>0</v>
      </c>
      <c r="AV25" s="164">
        <f t="shared" ca="1" si="26"/>
        <v>0</v>
      </c>
      <c r="AW25" s="164">
        <f t="shared" ca="1" si="27"/>
        <v>0</v>
      </c>
      <c r="AX25" s="164">
        <f t="shared" ca="1" si="28"/>
        <v>0</v>
      </c>
      <c r="AY25" s="164">
        <f t="shared" ca="1" si="29"/>
        <v>0</v>
      </c>
      <c r="AZ25" s="164">
        <f t="shared" ca="1" si="30"/>
        <v>0</v>
      </c>
      <c r="BA25" s="165" t="str">
        <f t="shared" ca="1" si="31"/>
        <v>nie</v>
      </c>
      <c r="BB25" s="166" t="str">
        <f t="shared" ca="1" si="35"/>
        <v>-</v>
      </c>
      <c r="BC25" s="165" t="str">
        <f t="shared" ca="1" si="32"/>
        <v>nie</v>
      </c>
    </row>
    <row r="26" spans="1:55" s="167" customFormat="1" ht="14.45" hidden="1" customHeight="1" x14ac:dyDescent="0.25">
      <c r="A26" s="185" t="s">
        <v>97</v>
      </c>
      <c r="B26" s="186"/>
      <c r="C26" s="187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8"/>
      <c r="S26" s="189"/>
      <c r="T26" s="189"/>
      <c r="U26" s="189"/>
      <c r="V26" s="189"/>
      <c r="W26" s="189"/>
      <c r="X26" s="189"/>
      <c r="Y26" s="190"/>
      <c r="Z26" s="149" t="str">
        <f t="shared" ca="1" si="6"/>
        <v>nie</v>
      </c>
      <c r="AA26" s="366"/>
      <c r="AB26" s="150" t="str">
        <f t="shared" ca="1" si="34"/>
        <v>-</v>
      </c>
      <c r="AC26" s="151" t="str">
        <f t="shared" ca="1" si="7"/>
        <v>PROPONOWANA ZMIANA</v>
      </c>
      <c r="AD26" s="152" t="str">
        <f t="shared" ca="1" si="8"/>
        <v/>
      </c>
      <c r="AE26" s="153" t="str">
        <f t="shared" ca="1" si="9"/>
        <v/>
      </c>
      <c r="AF26" s="154" t="str">
        <f t="shared" ca="1" si="10"/>
        <v/>
      </c>
      <c r="AG26" s="155" t="str">
        <f t="shared" ca="1" si="11"/>
        <v/>
      </c>
      <c r="AH26" s="155" t="str">
        <f t="shared" ca="1" si="12"/>
        <v/>
      </c>
      <c r="AI26" s="156" t="str">
        <f t="shared" ca="1" si="13"/>
        <v/>
      </c>
      <c r="AJ26" s="157" t="str">
        <f t="shared" ca="1" si="14"/>
        <v/>
      </c>
      <c r="AK26" s="158" t="str">
        <f t="shared" ca="1" si="15"/>
        <v/>
      </c>
      <c r="AL26" s="158" t="str">
        <f t="shared" ca="1" si="16"/>
        <v/>
      </c>
      <c r="AM26" s="159" t="str">
        <f t="shared" ca="1" si="17"/>
        <v/>
      </c>
      <c r="AN26" s="160" t="str">
        <f t="shared" ca="1" si="18"/>
        <v/>
      </c>
      <c r="AO26" s="161" t="str">
        <f t="shared" ca="1" si="19"/>
        <v/>
      </c>
      <c r="AP26" s="162" t="str">
        <f t="shared" ca="1" si="20"/>
        <v/>
      </c>
      <c r="AQ26" s="163" t="str">
        <f t="shared" ca="1" si="21"/>
        <v/>
      </c>
      <c r="AR26" s="164" t="str">
        <f t="shared" ca="1" si="22"/>
        <v/>
      </c>
      <c r="AS26" s="164" t="str">
        <f t="shared" ca="1" si="23"/>
        <v/>
      </c>
      <c r="AT26" s="164" t="str">
        <f t="shared" ca="1" si="24"/>
        <v/>
      </c>
      <c r="AU26" s="164" t="str">
        <f t="shared" ca="1" si="25"/>
        <v/>
      </c>
      <c r="AV26" s="164" t="str">
        <f t="shared" ca="1" si="26"/>
        <v/>
      </c>
      <c r="AW26" s="164" t="str">
        <f t="shared" ca="1" si="27"/>
        <v/>
      </c>
      <c r="AX26" s="164" t="str">
        <f t="shared" ca="1" si="28"/>
        <v/>
      </c>
      <c r="AY26" s="164" t="str">
        <f t="shared" ca="1" si="29"/>
        <v/>
      </c>
      <c r="AZ26" s="164" t="str">
        <f t="shared" ca="1" si="30"/>
        <v/>
      </c>
      <c r="BA26" s="165" t="str">
        <f t="shared" ca="1" si="31"/>
        <v>nie</v>
      </c>
      <c r="BB26" s="166" t="str">
        <f t="shared" ca="1" si="35"/>
        <v>-</v>
      </c>
      <c r="BC26" s="165" t="str">
        <f t="shared" ca="1" si="32"/>
        <v>nie</v>
      </c>
    </row>
    <row r="27" spans="1:55" s="176" customFormat="1" ht="14.45" hidden="1" customHeight="1" x14ac:dyDescent="0.25">
      <c r="A27" s="493" t="s">
        <v>24</v>
      </c>
      <c r="B27" s="493" t="s">
        <v>26</v>
      </c>
      <c r="C27" s="494" t="s">
        <v>105</v>
      </c>
      <c r="D27" s="511" t="s">
        <v>106</v>
      </c>
      <c r="E27" s="497">
        <v>600</v>
      </c>
      <c r="F27" s="497">
        <v>60014</v>
      </c>
      <c r="G27" s="497">
        <v>6050</v>
      </c>
      <c r="H27" s="507">
        <v>2007</v>
      </c>
      <c r="I27" s="499" t="str">
        <f ca="1">IF(COUNTIF(OFFSET(I27,-1,-8),"*propon*")&gt;0,OFFSET(I27,4,0),IF(Y27&gt;0,"2033",IF(X27&gt;0,"2032",IF(W27&gt;0,"2031",IF(V27&gt;0,"2030",IF(U27&gt;0,"2029",IF(T27&gt;0,"2028",IF(S27&gt;0,"2027",IF(R27&gt;0,"2026",IF(Q27&gt;0,"2025",IF(P27&gt;0,"2024",IF(M27&gt;0,"2023",IF(L27&gt;0,"2022","")))))))))))))</f>
        <v>2024</v>
      </c>
      <c r="J27" s="168" t="s">
        <v>98</v>
      </c>
      <c r="K27" s="169">
        <f>SUM(N27:O27)</f>
        <v>0</v>
      </c>
      <c r="L27" s="170">
        <f t="shared" ref="L27:M27" si="48">SUM(L28:L29)</f>
        <v>0</v>
      </c>
      <c r="M27" s="171">
        <f t="shared" si="48"/>
        <v>0</v>
      </c>
      <c r="N27" s="172">
        <f>SUM(L27:M27)</f>
        <v>0</v>
      </c>
      <c r="O27" s="169">
        <f>SUM(P27:Y27)</f>
        <v>0</v>
      </c>
      <c r="P27" s="173">
        <f t="shared" ref="P27:R27" si="49">SUM(P28:P29)</f>
        <v>0</v>
      </c>
      <c r="Q27" s="171">
        <f t="shared" si="49"/>
        <v>0</v>
      </c>
      <c r="R27" s="174">
        <f t="shared" si="49"/>
        <v>0</v>
      </c>
      <c r="S27" s="175">
        <f t="shared" ref="S27:Y27" si="50">SUM(S28:S29)</f>
        <v>0</v>
      </c>
      <c r="T27" s="171">
        <f t="shared" si="50"/>
        <v>0</v>
      </c>
      <c r="U27" s="171">
        <f t="shared" si="50"/>
        <v>0</v>
      </c>
      <c r="V27" s="171">
        <f t="shared" si="50"/>
        <v>0</v>
      </c>
      <c r="W27" s="171">
        <f t="shared" si="50"/>
        <v>0</v>
      </c>
      <c r="X27" s="171">
        <f t="shared" si="50"/>
        <v>0</v>
      </c>
      <c r="Y27" s="174">
        <f t="shared" si="50"/>
        <v>0</v>
      </c>
      <c r="Z27" s="149" t="str">
        <f t="shared" ca="1" si="6"/>
        <v>nie</v>
      </c>
      <c r="AA27" s="366"/>
      <c r="AB27" s="150" t="str">
        <f t="shared" ca="1" si="34"/>
        <v>-</v>
      </c>
      <c r="AC27" s="151" t="str">
        <f t="shared" ca="1" si="7"/>
        <v>PROPONOWANA ZMIANA</v>
      </c>
      <c r="AD27" s="152" t="str">
        <f t="shared" ca="1" si="8"/>
        <v>PROPONOWANA ZMIANA</v>
      </c>
      <c r="AE27" s="153" t="str">
        <f t="shared" ca="1" si="9"/>
        <v>C/USN/I/1/8</v>
      </c>
      <c r="AF27" s="154" t="str">
        <f t="shared" ca="1" si="10"/>
        <v>Przebudowa ul. Baletowej na odc. ul. Puławska - granica miasta</v>
      </c>
      <c r="AG27" s="155">
        <f t="shared" ca="1" si="11"/>
        <v>60014</v>
      </c>
      <c r="AH27" s="155" t="str">
        <f t="shared" ca="1" si="12"/>
        <v>6050</v>
      </c>
      <c r="AI27" s="156" t="str">
        <f t="shared" ca="1" si="13"/>
        <v>GMMW</v>
      </c>
      <c r="AJ27" s="157" t="str">
        <f t="shared" ca="1" si="14"/>
        <v>WPF, w tym</v>
      </c>
      <c r="AK27" s="158" t="str">
        <f t="shared" ca="1" si="15"/>
        <v>C/USN/I/1/8 60014 6050 GMMW</v>
      </c>
      <c r="AL27" s="158" t="str">
        <f t="shared" ca="1" si="16"/>
        <v>C/USN/I/1/8 60014 6050 WPF, w tym</v>
      </c>
      <c r="AM27" s="159" t="str">
        <f t="shared" ca="1" si="17"/>
        <v>C/USN/I/1/8 60014 6050 GMMW WPF, w tym</v>
      </c>
      <c r="AN27" s="160">
        <f t="shared" ca="1" si="18"/>
        <v>0</v>
      </c>
      <c r="AO27" s="161">
        <f t="shared" ca="1" si="19"/>
        <v>0</v>
      </c>
      <c r="AP27" s="162">
        <f t="shared" ca="1" si="20"/>
        <v>0</v>
      </c>
      <c r="AQ27" s="163">
        <f t="shared" ca="1" si="21"/>
        <v>0</v>
      </c>
      <c r="AR27" s="164">
        <f t="shared" ca="1" si="22"/>
        <v>0</v>
      </c>
      <c r="AS27" s="164">
        <f t="shared" ca="1" si="23"/>
        <v>0</v>
      </c>
      <c r="AT27" s="164">
        <f t="shared" ca="1" si="24"/>
        <v>0</v>
      </c>
      <c r="AU27" s="164">
        <f t="shared" ca="1" si="25"/>
        <v>0</v>
      </c>
      <c r="AV27" s="164">
        <f t="shared" ca="1" si="26"/>
        <v>0</v>
      </c>
      <c r="AW27" s="164">
        <f t="shared" ca="1" si="27"/>
        <v>0</v>
      </c>
      <c r="AX27" s="164">
        <f t="shared" ca="1" si="28"/>
        <v>0</v>
      </c>
      <c r="AY27" s="164">
        <f t="shared" ca="1" si="29"/>
        <v>0</v>
      </c>
      <c r="AZ27" s="164">
        <f t="shared" ca="1" si="30"/>
        <v>0</v>
      </c>
      <c r="BA27" s="165" t="str">
        <f t="shared" ca="1" si="31"/>
        <v>nie</v>
      </c>
      <c r="BB27" s="166" t="str">
        <f t="shared" ca="1" si="35"/>
        <v>-</v>
      </c>
      <c r="BC27" s="165" t="str">
        <f t="shared" ca="1" si="32"/>
        <v>nie</v>
      </c>
    </row>
    <row r="28" spans="1:55" s="167" customFormat="1" ht="14.45" hidden="1" customHeight="1" x14ac:dyDescent="0.25">
      <c r="A28" s="493"/>
      <c r="B28" s="493"/>
      <c r="C28" s="494"/>
      <c r="D28" s="512"/>
      <c r="E28" s="497"/>
      <c r="F28" s="497"/>
      <c r="G28" s="497"/>
      <c r="H28" s="498"/>
      <c r="I28" s="499"/>
      <c r="J28" s="177" t="s">
        <v>99</v>
      </c>
      <c r="K28" s="178">
        <f>SUM(N28:O28)</f>
        <v>0</v>
      </c>
      <c r="L28" s="179">
        <f t="shared" ref="L28:M28" si="51">L32-L24</f>
        <v>0</v>
      </c>
      <c r="M28" s="180">
        <f t="shared" si="51"/>
        <v>0</v>
      </c>
      <c r="N28" s="172">
        <f>SUM(L28:M28)</f>
        <v>0</v>
      </c>
      <c r="O28" s="178">
        <f>SUM(P28:Y28)</f>
        <v>0</v>
      </c>
      <c r="P28" s="181">
        <f t="shared" ref="P28:R28" si="52">P32-P24</f>
        <v>0</v>
      </c>
      <c r="Q28" s="180">
        <f t="shared" si="52"/>
        <v>0</v>
      </c>
      <c r="R28" s="182">
        <f t="shared" si="52"/>
        <v>0</v>
      </c>
      <c r="S28" s="183">
        <f t="shared" ref="S28:Y29" si="53">S32-S24</f>
        <v>0</v>
      </c>
      <c r="T28" s="180">
        <f t="shared" si="53"/>
        <v>0</v>
      </c>
      <c r="U28" s="180">
        <f t="shared" si="53"/>
        <v>0</v>
      </c>
      <c r="V28" s="180">
        <f t="shared" si="53"/>
        <v>0</v>
      </c>
      <c r="W28" s="180">
        <f t="shared" si="53"/>
        <v>0</v>
      </c>
      <c r="X28" s="180">
        <f t="shared" si="53"/>
        <v>0</v>
      </c>
      <c r="Y28" s="182">
        <f t="shared" si="53"/>
        <v>0</v>
      </c>
      <c r="Z28" s="149" t="str">
        <f t="shared" ca="1" si="6"/>
        <v>nie</v>
      </c>
      <c r="AA28" s="366"/>
      <c r="AB28" s="150" t="str">
        <f t="shared" ca="1" si="34"/>
        <v>-</v>
      </c>
      <c r="AC28" s="151" t="str">
        <f t="shared" ca="1" si="7"/>
        <v>PROPONOWANA ZMIANA</v>
      </c>
      <c r="AD28" s="152" t="str">
        <f t="shared" ca="1" si="8"/>
        <v>PROPONOWANA ZMIANA</v>
      </c>
      <c r="AE28" s="153" t="str">
        <f t="shared" ca="1" si="9"/>
        <v>C/USN/I/1/8</v>
      </c>
      <c r="AF28" s="154" t="str">
        <f t="shared" ca="1" si="10"/>
        <v>Przebudowa ul. Baletowej na odc. ul. Puławska - granica miasta</v>
      </c>
      <c r="AG28" s="155">
        <f t="shared" ca="1" si="11"/>
        <v>60014</v>
      </c>
      <c r="AH28" s="155" t="str">
        <f t="shared" ca="1" si="12"/>
        <v>6050</v>
      </c>
      <c r="AI28" s="156" t="str">
        <f t="shared" ca="1" si="13"/>
        <v>GMMW</v>
      </c>
      <c r="AJ28" s="157" t="str">
        <f t="shared" ca="1" si="14"/>
        <v>WPF/PM</v>
      </c>
      <c r="AK28" s="158" t="str">
        <f t="shared" ca="1" si="15"/>
        <v>C/USN/I/1/8 60014 6050 GMMW</v>
      </c>
      <c r="AL28" s="158" t="str">
        <f t="shared" ca="1" si="16"/>
        <v>C/USN/I/1/8 60014 6050 WPF/PM</v>
      </c>
      <c r="AM28" s="159" t="str">
        <f t="shared" ca="1" si="17"/>
        <v>C/USN/I/1/8 60014 6050 GMMW WPF/PM</v>
      </c>
      <c r="AN28" s="160">
        <f t="shared" ca="1" si="18"/>
        <v>0</v>
      </c>
      <c r="AO28" s="161">
        <f t="shared" ca="1" si="19"/>
        <v>0</v>
      </c>
      <c r="AP28" s="162">
        <f t="shared" ca="1" si="20"/>
        <v>0</v>
      </c>
      <c r="AQ28" s="163">
        <f t="shared" ca="1" si="21"/>
        <v>0</v>
      </c>
      <c r="AR28" s="164">
        <f t="shared" ca="1" si="22"/>
        <v>0</v>
      </c>
      <c r="AS28" s="164">
        <f t="shared" ca="1" si="23"/>
        <v>0</v>
      </c>
      <c r="AT28" s="164">
        <f t="shared" ca="1" si="24"/>
        <v>0</v>
      </c>
      <c r="AU28" s="164">
        <f t="shared" ca="1" si="25"/>
        <v>0</v>
      </c>
      <c r="AV28" s="164">
        <f t="shared" ca="1" si="26"/>
        <v>0</v>
      </c>
      <c r="AW28" s="164">
        <f t="shared" ca="1" si="27"/>
        <v>0</v>
      </c>
      <c r="AX28" s="164">
        <f t="shared" ca="1" si="28"/>
        <v>0</v>
      </c>
      <c r="AY28" s="164">
        <f t="shared" ca="1" si="29"/>
        <v>0</v>
      </c>
      <c r="AZ28" s="164">
        <f t="shared" ca="1" si="30"/>
        <v>0</v>
      </c>
      <c r="BA28" s="165" t="str">
        <f t="shared" ca="1" si="31"/>
        <v>nie</v>
      </c>
      <c r="BB28" s="166" t="str">
        <f t="shared" ca="1" si="35"/>
        <v>-</v>
      </c>
      <c r="BC28" s="165" t="str">
        <f t="shared" ca="1" si="32"/>
        <v>nie</v>
      </c>
    </row>
    <row r="29" spans="1:55" s="167" customFormat="1" ht="14.45" hidden="1" customHeight="1" x14ac:dyDescent="0.25">
      <c r="A29" s="493"/>
      <c r="B29" s="493"/>
      <c r="C29" s="494"/>
      <c r="D29" s="512"/>
      <c r="E29" s="497"/>
      <c r="F29" s="497"/>
      <c r="G29" s="497"/>
      <c r="H29" s="498"/>
      <c r="I29" s="499"/>
      <c r="J29" s="177" t="s">
        <v>100</v>
      </c>
      <c r="K29" s="178">
        <f>SUM(N29:O29)</f>
        <v>0</v>
      </c>
      <c r="L29" s="179">
        <f t="shared" ref="L29:M29" si="54">L33-L25</f>
        <v>0</v>
      </c>
      <c r="M29" s="180">
        <f t="shared" si="54"/>
        <v>0</v>
      </c>
      <c r="N29" s="172">
        <f>SUM(L29:M29)</f>
        <v>0</v>
      </c>
      <c r="O29" s="178">
        <f>SUM(P29:Y29)</f>
        <v>0</v>
      </c>
      <c r="P29" s="181">
        <f t="shared" ref="P29:R29" si="55">P33-P25</f>
        <v>0</v>
      </c>
      <c r="Q29" s="180">
        <f t="shared" si="55"/>
        <v>0</v>
      </c>
      <c r="R29" s="182">
        <f t="shared" si="55"/>
        <v>0</v>
      </c>
      <c r="S29" s="183">
        <f t="shared" si="53"/>
        <v>0</v>
      </c>
      <c r="T29" s="180">
        <f t="shared" si="53"/>
        <v>0</v>
      </c>
      <c r="U29" s="180">
        <f t="shared" si="53"/>
        <v>0</v>
      </c>
      <c r="V29" s="180">
        <f t="shared" si="53"/>
        <v>0</v>
      </c>
      <c r="W29" s="180">
        <f t="shared" si="53"/>
        <v>0</v>
      </c>
      <c r="X29" s="180">
        <f t="shared" si="53"/>
        <v>0</v>
      </c>
      <c r="Y29" s="182">
        <f t="shared" si="53"/>
        <v>0</v>
      </c>
      <c r="Z29" s="149" t="str">
        <f t="shared" ca="1" si="6"/>
        <v>nie</v>
      </c>
      <c r="AA29" s="366"/>
      <c r="AB29" s="150" t="str">
        <f t="shared" ca="1" si="34"/>
        <v>-</v>
      </c>
      <c r="AC29" s="151" t="str">
        <f t="shared" ca="1" si="7"/>
        <v>PROPONOWANA ZMIANA</v>
      </c>
      <c r="AD29" s="152" t="str">
        <f t="shared" ca="1" si="8"/>
        <v>PROPONOWANA ZMIANA</v>
      </c>
      <c r="AE29" s="153" t="str">
        <f t="shared" ca="1" si="9"/>
        <v>C/USN/I/1/8</v>
      </c>
      <c r="AF29" s="154" t="str">
        <f t="shared" ca="1" si="10"/>
        <v>Przebudowa ul. Baletowej na odc. ul. Puławska - granica miasta</v>
      </c>
      <c r="AG29" s="155">
        <f t="shared" ca="1" si="11"/>
        <v>60014</v>
      </c>
      <c r="AH29" s="155" t="str">
        <f t="shared" ca="1" si="12"/>
        <v>6050</v>
      </c>
      <c r="AI29" s="156" t="str">
        <f t="shared" ca="1" si="13"/>
        <v>GMMW</v>
      </c>
      <c r="AJ29" s="157" t="str">
        <f t="shared" ca="1" si="14"/>
        <v>WPF/UM</v>
      </c>
      <c r="AK29" s="158" t="str">
        <f t="shared" ca="1" si="15"/>
        <v>C/USN/I/1/8 60014 6050 GMMW</v>
      </c>
      <c r="AL29" s="158" t="str">
        <f t="shared" ca="1" si="16"/>
        <v>C/USN/I/1/8 60014 6050 WPF/UM</v>
      </c>
      <c r="AM29" s="159" t="str">
        <f t="shared" ca="1" si="17"/>
        <v>C/USN/I/1/8 60014 6050 GMMW WPF/UM</v>
      </c>
      <c r="AN29" s="160">
        <f t="shared" ca="1" si="18"/>
        <v>0</v>
      </c>
      <c r="AO29" s="161">
        <f t="shared" ca="1" si="19"/>
        <v>0</v>
      </c>
      <c r="AP29" s="162">
        <f t="shared" ca="1" si="20"/>
        <v>0</v>
      </c>
      <c r="AQ29" s="163">
        <f t="shared" ca="1" si="21"/>
        <v>0</v>
      </c>
      <c r="AR29" s="164">
        <f t="shared" ca="1" si="22"/>
        <v>0</v>
      </c>
      <c r="AS29" s="164">
        <f t="shared" ca="1" si="23"/>
        <v>0</v>
      </c>
      <c r="AT29" s="164">
        <f t="shared" ca="1" si="24"/>
        <v>0</v>
      </c>
      <c r="AU29" s="164">
        <f t="shared" ca="1" si="25"/>
        <v>0</v>
      </c>
      <c r="AV29" s="164">
        <f t="shared" ca="1" si="26"/>
        <v>0</v>
      </c>
      <c r="AW29" s="164">
        <f t="shared" ca="1" si="27"/>
        <v>0</v>
      </c>
      <c r="AX29" s="164">
        <f t="shared" ca="1" si="28"/>
        <v>0</v>
      </c>
      <c r="AY29" s="164">
        <f t="shared" ca="1" si="29"/>
        <v>0</v>
      </c>
      <c r="AZ29" s="164">
        <f t="shared" ca="1" si="30"/>
        <v>0</v>
      </c>
      <c r="BA29" s="165" t="str">
        <f t="shared" ca="1" si="31"/>
        <v>nie</v>
      </c>
      <c r="BB29" s="166" t="str">
        <f t="shared" ca="1" si="35"/>
        <v>-</v>
      </c>
      <c r="BC29" s="165" t="str">
        <f t="shared" ca="1" si="32"/>
        <v>nie</v>
      </c>
    </row>
    <row r="30" spans="1:55" s="167" customFormat="1" ht="14.45" hidden="1" customHeight="1" x14ac:dyDescent="0.25">
      <c r="A30" s="191" t="s">
        <v>101</v>
      </c>
      <c r="B30" s="192"/>
      <c r="C30" s="193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4"/>
      <c r="S30" s="195"/>
      <c r="T30" s="195"/>
      <c r="U30" s="195"/>
      <c r="V30" s="195"/>
      <c r="W30" s="195"/>
      <c r="X30" s="195"/>
      <c r="Y30" s="196"/>
      <c r="Z30" s="149" t="str">
        <f t="shared" ca="1" si="6"/>
        <v>nie</v>
      </c>
      <c r="AA30" s="366"/>
      <c r="AB30" s="150" t="str">
        <f t="shared" ca="1" si="34"/>
        <v>-</v>
      </c>
      <c r="AC30" s="151" t="str">
        <f t="shared" ca="1" si="7"/>
        <v>PO ZMIANIE</v>
      </c>
      <c r="AD30" s="152" t="str">
        <f t="shared" ca="1" si="8"/>
        <v/>
      </c>
      <c r="AE30" s="153" t="str">
        <f t="shared" ca="1" si="9"/>
        <v/>
      </c>
      <c r="AF30" s="154" t="str">
        <f t="shared" ca="1" si="10"/>
        <v/>
      </c>
      <c r="AG30" s="155" t="str">
        <f t="shared" ca="1" si="11"/>
        <v/>
      </c>
      <c r="AH30" s="155" t="str">
        <f t="shared" ca="1" si="12"/>
        <v/>
      </c>
      <c r="AI30" s="156" t="str">
        <f t="shared" ca="1" si="13"/>
        <v/>
      </c>
      <c r="AJ30" s="157" t="str">
        <f t="shared" ca="1" si="14"/>
        <v/>
      </c>
      <c r="AK30" s="158" t="str">
        <f t="shared" ca="1" si="15"/>
        <v/>
      </c>
      <c r="AL30" s="158" t="str">
        <f t="shared" ca="1" si="16"/>
        <v/>
      </c>
      <c r="AM30" s="159" t="str">
        <f t="shared" ca="1" si="17"/>
        <v/>
      </c>
      <c r="AN30" s="160" t="str">
        <f t="shared" ca="1" si="18"/>
        <v/>
      </c>
      <c r="AO30" s="161" t="str">
        <f t="shared" ca="1" si="19"/>
        <v/>
      </c>
      <c r="AP30" s="162" t="str">
        <f t="shared" ca="1" si="20"/>
        <v/>
      </c>
      <c r="AQ30" s="163" t="str">
        <f t="shared" ca="1" si="21"/>
        <v/>
      </c>
      <c r="AR30" s="164" t="str">
        <f t="shared" ca="1" si="22"/>
        <v/>
      </c>
      <c r="AS30" s="164" t="str">
        <f t="shared" ca="1" si="23"/>
        <v/>
      </c>
      <c r="AT30" s="164" t="str">
        <f t="shared" ca="1" si="24"/>
        <v/>
      </c>
      <c r="AU30" s="164" t="str">
        <f t="shared" ca="1" si="25"/>
        <v/>
      </c>
      <c r="AV30" s="164" t="str">
        <f t="shared" ca="1" si="26"/>
        <v/>
      </c>
      <c r="AW30" s="164" t="str">
        <f t="shared" ca="1" si="27"/>
        <v/>
      </c>
      <c r="AX30" s="164" t="str">
        <f t="shared" ca="1" si="28"/>
        <v/>
      </c>
      <c r="AY30" s="164" t="str">
        <f t="shared" ca="1" si="29"/>
        <v/>
      </c>
      <c r="AZ30" s="164" t="str">
        <f t="shared" ca="1" si="30"/>
        <v/>
      </c>
      <c r="BA30" s="165" t="str">
        <f t="shared" ca="1" si="31"/>
        <v>nie</v>
      </c>
      <c r="BB30" s="166" t="str">
        <f t="shared" ca="1" si="35"/>
        <v>-</v>
      </c>
      <c r="BC30" s="165" t="str">
        <f t="shared" ca="1" si="32"/>
        <v>nie</v>
      </c>
    </row>
    <row r="31" spans="1:55" s="176" customFormat="1" ht="14.45" hidden="1" customHeight="1" x14ac:dyDescent="0.25">
      <c r="A31" s="493" t="s">
        <v>24</v>
      </c>
      <c r="B31" s="493" t="s">
        <v>26</v>
      </c>
      <c r="C31" s="494" t="s">
        <v>105</v>
      </c>
      <c r="D31" s="511" t="s">
        <v>106</v>
      </c>
      <c r="E31" s="497">
        <v>600</v>
      </c>
      <c r="F31" s="497">
        <v>60014</v>
      </c>
      <c r="G31" s="497">
        <v>6050</v>
      </c>
      <c r="H31" s="507">
        <v>2007</v>
      </c>
      <c r="I31" s="499" t="str">
        <f ca="1">IF(COUNTIF(OFFSET(I31,-1,-8),"*propon*")&gt;0,OFFSET(I31,4,0),IF(Y31&gt;0,"2033",IF(X31&gt;0,"2032",IF(W31&gt;0,"2031",IF(V31&gt;0,"2030",IF(U31&gt;0,"2029",IF(T31&gt;0,"2028",IF(S31&gt;0,"2027",IF(R31&gt;0,"2026",IF(Q31&gt;0,"2025",IF(P31&gt;0,"2024",IF(M31&gt;0,"2023",IF(L31&gt;0,"2022","")))))))))))))</f>
        <v>2024</v>
      </c>
      <c r="J31" s="168" t="s">
        <v>102</v>
      </c>
      <c r="K31" s="169">
        <f>SUM(N31:O31)</f>
        <v>13951425</v>
      </c>
      <c r="L31" s="170">
        <f t="shared" ref="L31:M31" si="56">SUM(L32:L33)</f>
        <v>13946038</v>
      </c>
      <c r="M31" s="171">
        <f t="shared" si="56"/>
        <v>0</v>
      </c>
      <c r="N31" s="172">
        <f>SUM(L31:M31)</f>
        <v>13946038</v>
      </c>
      <c r="O31" s="169">
        <f>SUM(P31:Y31)</f>
        <v>5387</v>
      </c>
      <c r="P31" s="173">
        <f t="shared" ref="P31:R31" si="57">SUM(P32:P33)</f>
        <v>5387</v>
      </c>
      <c r="Q31" s="171">
        <f t="shared" si="57"/>
        <v>0</v>
      </c>
      <c r="R31" s="174">
        <f t="shared" si="57"/>
        <v>0</v>
      </c>
      <c r="S31" s="175">
        <f t="shared" ref="S31:Y31" si="58">SUM(S32:S33)</f>
        <v>0</v>
      </c>
      <c r="T31" s="171">
        <f t="shared" si="58"/>
        <v>0</v>
      </c>
      <c r="U31" s="171">
        <f t="shared" si="58"/>
        <v>0</v>
      </c>
      <c r="V31" s="171">
        <f t="shared" si="58"/>
        <v>0</v>
      </c>
      <c r="W31" s="171">
        <f t="shared" si="58"/>
        <v>0</v>
      </c>
      <c r="X31" s="171">
        <f t="shared" si="58"/>
        <v>0</v>
      </c>
      <c r="Y31" s="174">
        <f t="shared" si="58"/>
        <v>0</v>
      </c>
      <c r="Z31" s="149" t="str">
        <f t="shared" ca="1" si="6"/>
        <v>nie</v>
      </c>
      <c r="AA31" s="366"/>
      <c r="AB31" s="150" t="str">
        <f t="shared" ca="1" si="34"/>
        <v>-</v>
      </c>
      <c r="AC31" s="151" t="str">
        <f t="shared" ca="1" si="7"/>
        <v>PO ZMIANIE</v>
      </c>
      <c r="AD31" s="152" t="str">
        <f t="shared" ca="1" si="8"/>
        <v>PO ZMIANIE</v>
      </c>
      <c r="AE31" s="153" t="str">
        <f t="shared" ca="1" si="9"/>
        <v>C/USN/I/1/8</v>
      </c>
      <c r="AF31" s="154" t="str">
        <f t="shared" ca="1" si="10"/>
        <v>Przebudowa ul. Baletowej na odc. ul. Puławska - granica miasta</v>
      </c>
      <c r="AG31" s="155">
        <f t="shared" ca="1" si="11"/>
        <v>60014</v>
      </c>
      <c r="AH31" s="155" t="str">
        <f t="shared" ca="1" si="12"/>
        <v>6050</v>
      </c>
      <c r="AI31" s="156" t="str">
        <f t="shared" ca="1" si="13"/>
        <v>GMMW</v>
      </c>
      <c r="AJ31" s="157" t="str">
        <f t="shared" ca="1" si="14"/>
        <v>WPF, w tym</v>
      </c>
      <c r="AK31" s="158" t="str">
        <f t="shared" ca="1" si="15"/>
        <v>C/USN/I/1/8 60014 6050 GMMW</v>
      </c>
      <c r="AL31" s="158" t="str">
        <f t="shared" ca="1" si="16"/>
        <v>C/USN/I/1/8 60014 6050 WPF, w tym</v>
      </c>
      <c r="AM31" s="159" t="str">
        <f t="shared" ca="1" si="17"/>
        <v>C/USN/I/1/8 60014 6050 GMMW WPF, w tym</v>
      </c>
      <c r="AN31" s="160">
        <f t="shared" ca="1" si="18"/>
        <v>13951425</v>
      </c>
      <c r="AO31" s="161">
        <f t="shared" ca="1" si="19"/>
        <v>13946038</v>
      </c>
      <c r="AP31" s="162">
        <f t="shared" ca="1" si="20"/>
        <v>0</v>
      </c>
      <c r="AQ31" s="163">
        <f t="shared" ca="1" si="21"/>
        <v>5387</v>
      </c>
      <c r="AR31" s="164">
        <f t="shared" ca="1" si="22"/>
        <v>0</v>
      </c>
      <c r="AS31" s="164">
        <f t="shared" ca="1" si="23"/>
        <v>0</v>
      </c>
      <c r="AT31" s="164">
        <f t="shared" ca="1" si="24"/>
        <v>0</v>
      </c>
      <c r="AU31" s="164">
        <f t="shared" ca="1" si="25"/>
        <v>0</v>
      </c>
      <c r="AV31" s="164">
        <f t="shared" ca="1" si="26"/>
        <v>0</v>
      </c>
      <c r="AW31" s="164">
        <f t="shared" ca="1" si="27"/>
        <v>0</v>
      </c>
      <c r="AX31" s="164">
        <f t="shared" ca="1" si="28"/>
        <v>0</v>
      </c>
      <c r="AY31" s="164">
        <f t="shared" ca="1" si="29"/>
        <v>0</v>
      </c>
      <c r="AZ31" s="164">
        <f t="shared" ca="1" si="30"/>
        <v>0</v>
      </c>
      <c r="BA31" s="165" t="str">
        <f t="shared" ca="1" si="31"/>
        <v>nie</v>
      </c>
      <c r="BB31" s="166" t="str">
        <f t="shared" ca="1" si="35"/>
        <v>-</v>
      </c>
      <c r="BC31" s="165" t="str">
        <f t="shared" ca="1" si="32"/>
        <v>nie</v>
      </c>
    </row>
    <row r="32" spans="1:55" s="167" customFormat="1" ht="14.45" hidden="1" customHeight="1" x14ac:dyDescent="0.25">
      <c r="A32" s="493"/>
      <c r="B32" s="493"/>
      <c r="C32" s="494"/>
      <c r="D32" s="512"/>
      <c r="E32" s="497"/>
      <c r="F32" s="497"/>
      <c r="G32" s="497"/>
      <c r="H32" s="498"/>
      <c r="I32" s="499"/>
      <c r="J32" s="177" t="s">
        <v>103</v>
      </c>
      <c r="K32" s="178">
        <f>SUM(N32:O32)</f>
        <v>5387</v>
      </c>
      <c r="L32" s="179"/>
      <c r="M32" s="180"/>
      <c r="N32" s="172">
        <f>SUM(L32:M32)</f>
        <v>0</v>
      </c>
      <c r="O32" s="178">
        <f>SUM(P32:Y32)</f>
        <v>5387</v>
      </c>
      <c r="P32" s="181">
        <f>5387</f>
        <v>5387</v>
      </c>
      <c r="Q32" s="180"/>
      <c r="R32" s="182"/>
      <c r="S32" s="183"/>
      <c r="T32" s="180"/>
      <c r="U32" s="180"/>
      <c r="V32" s="180"/>
      <c r="W32" s="180"/>
      <c r="X32" s="180"/>
      <c r="Y32" s="182"/>
      <c r="Z32" s="149" t="str">
        <f t="shared" ca="1" si="6"/>
        <v>nie</v>
      </c>
      <c r="AA32" s="384"/>
      <c r="AB32" s="150" t="str">
        <f t="shared" ca="1" si="34"/>
        <v>-</v>
      </c>
      <c r="AC32" s="151" t="str">
        <f t="shared" ca="1" si="7"/>
        <v>PO ZMIANIE</v>
      </c>
      <c r="AD32" s="152" t="str">
        <f t="shared" ca="1" si="8"/>
        <v>PO ZMIANIE</v>
      </c>
      <c r="AE32" s="153" t="str">
        <f t="shared" ca="1" si="9"/>
        <v>C/USN/I/1/8</v>
      </c>
      <c r="AF32" s="154" t="str">
        <f t="shared" ca="1" si="10"/>
        <v>Przebudowa ul. Baletowej na odc. ul. Puławska - granica miasta</v>
      </c>
      <c r="AG32" s="155">
        <f t="shared" ca="1" si="11"/>
        <v>60014</v>
      </c>
      <c r="AH32" s="155" t="str">
        <f t="shared" ca="1" si="12"/>
        <v>6050</v>
      </c>
      <c r="AI32" s="156" t="str">
        <f t="shared" ca="1" si="13"/>
        <v>GMMW</v>
      </c>
      <c r="AJ32" s="157" t="str">
        <f t="shared" ca="1" si="14"/>
        <v>WPF/PM</v>
      </c>
      <c r="AK32" s="158" t="str">
        <f t="shared" ca="1" si="15"/>
        <v>C/USN/I/1/8 60014 6050 GMMW</v>
      </c>
      <c r="AL32" s="158" t="str">
        <f t="shared" ca="1" si="16"/>
        <v>C/USN/I/1/8 60014 6050 WPF/PM</v>
      </c>
      <c r="AM32" s="159" t="str">
        <f t="shared" ca="1" si="17"/>
        <v>C/USN/I/1/8 60014 6050 GMMW WPF/PM</v>
      </c>
      <c r="AN32" s="160">
        <f t="shared" ca="1" si="18"/>
        <v>5387</v>
      </c>
      <c r="AO32" s="161">
        <f t="shared" ca="1" si="19"/>
        <v>0</v>
      </c>
      <c r="AP32" s="162">
        <f t="shared" ca="1" si="20"/>
        <v>0</v>
      </c>
      <c r="AQ32" s="163">
        <f t="shared" ca="1" si="21"/>
        <v>5387</v>
      </c>
      <c r="AR32" s="164">
        <f t="shared" ca="1" si="22"/>
        <v>0</v>
      </c>
      <c r="AS32" s="164">
        <f t="shared" ca="1" si="23"/>
        <v>0</v>
      </c>
      <c r="AT32" s="164">
        <f t="shared" ca="1" si="24"/>
        <v>0</v>
      </c>
      <c r="AU32" s="164">
        <f t="shared" ca="1" si="25"/>
        <v>0</v>
      </c>
      <c r="AV32" s="164">
        <f t="shared" ca="1" si="26"/>
        <v>0</v>
      </c>
      <c r="AW32" s="164">
        <f t="shared" ca="1" si="27"/>
        <v>0</v>
      </c>
      <c r="AX32" s="164">
        <f t="shared" ca="1" si="28"/>
        <v>0</v>
      </c>
      <c r="AY32" s="164">
        <f t="shared" ca="1" si="29"/>
        <v>0</v>
      </c>
      <c r="AZ32" s="164">
        <f t="shared" ca="1" si="30"/>
        <v>0</v>
      </c>
      <c r="BA32" s="165" t="str">
        <f t="shared" ca="1" si="31"/>
        <v>nie</v>
      </c>
      <c r="BB32" s="166" t="str">
        <f t="shared" ca="1" si="35"/>
        <v>-</v>
      </c>
      <c r="BC32" s="165" t="str">
        <f t="shared" ca="1" si="32"/>
        <v>nie</v>
      </c>
    </row>
    <row r="33" spans="1:55" s="167" customFormat="1" ht="14.45" hidden="1" customHeight="1" thickBot="1" x14ac:dyDescent="0.3">
      <c r="A33" s="500"/>
      <c r="B33" s="500"/>
      <c r="C33" s="501"/>
      <c r="D33" s="529"/>
      <c r="E33" s="503"/>
      <c r="F33" s="503"/>
      <c r="G33" s="503"/>
      <c r="H33" s="504"/>
      <c r="I33" s="499"/>
      <c r="J33" s="197" t="s">
        <v>104</v>
      </c>
      <c r="K33" s="198">
        <f>SUM(N33:O33)</f>
        <v>13946038</v>
      </c>
      <c r="L33" s="199">
        <v>13946038</v>
      </c>
      <c r="M33" s="200"/>
      <c r="N33" s="371">
        <f>SUM(L33:M33)</f>
        <v>13946038</v>
      </c>
      <c r="O33" s="198">
        <f>SUM(P33:Y33)</f>
        <v>0</v>
      </c>
      <c r="P33" s="201"/>
      <c r="Q33" s="200"/>
      <c r="R33" s="202"/>
      <c r="S33" s="203"/>
      <c r="T33" s="200"/>
      <c r="U33" s="200"/>
      <c r="V33" s="200"/>
      <c r="W33" s="200"/>
      <c r="X33" s="200"/>
      <c r="Y33" s="202"/>
      <c r="Z33" s="149" t="str">
        <f t="shared" ca="1" si="6"/>
        <v>nie</v>
      </c>
      <c r="AA33" s="384"/>
      <c r="AB33" s="150" t="str">
        <f t="shared" ca="1" si="34"/>
        <v>-</v>
      </c>
      <c r="AC33" s="151" t="str">
        <f t="shared" ca="1" si="7"/>
        <v>PO ZMIANIE</v>
      </c>
      <c r="AD33" s="152" t="str">
        <f t="shared" ca="1" si="8"/>
        <v>PO ZMIANIE</v>
      </c>
      <c r="AE33" s="153" t="str">
        <f t="shared" ca="1" si="9"/>
        <v>C/USN/I/1/8</v>
      </c>
      <c r="AF33" s="154" t="str">
        <f t="shared" ca="1" si="10"/>
        <v>Przebudowa ul. Baletowej na odc. ul. Puławska - granica miasta</v>
      </c>
      <c r="AG33" s="155">
        <f t="shared" ca="1" si="11"/>
        <v>60014</v>
      </c>
      <c r="AH33" s="155" t="str">
        <f t="shared" ca="1" si="12"/>
        <v>6050</v>
      </c>
      <c r="AI33" s="156" t="str">
        <f t="shared" ca="1" si="13"/>
        <v>GMMW</v>
      </c>
      <c r="AJ33" s="157" t="str">
        <f t="shared" ca="1" si="14"/>
        <v>WPF/UM</v>
      </c>
      <c r="AK33" s="158" t="str">
        <f t="shared" ca="1" si="15"/>
        <v>C/USN/I/1/8 60014 6050 GMMW</v>
      </c>
      <c r="AL33" s="158" t="str">
        <f t="shared" ca="1" si="16"/>
        <v>C/USN/I/1/8 60014 6050 WPF/UM</v>
      </c>
      <c r="AM33" s="159" t="str">
        <f t="shared" ca="1" si="17"/>
        <v>C/USN/I/1/8 60014 6050 GMMW WPF/UM</v>
      </c>
      <c r="AN33" s="160">
        <f t="shared" ca="1" si="18"/>
        <v>13946038</v>
      </c>
      <c r="AO33" s="161">
        <f t="shared" ca="1" si="19"/>
        <v>13946038</v>
      </c>
      <c r="AP33" s="162">
        <f t="shared" ca="1" si="20"/>
        <v>0</v>
      </c>
      <c r="AQ33" s="163">
        <f t="shared" ca="1" si="21"/>
        <v>0</v>
      </c>
      <c r="AR33" s="164">
        <f t="shared" ca="1" si="22"/>
        <v>0</v>
      </c>
      <c r="AS33" s="164">
        <f t="shared" ca="1" si="23"/>
        <v>0</v>
      </c>
      <c r="AT33" s="164">
        <f t="shared" ca="1" si="24"/>
        <v>0</v>
      </c>
      <c r="AU33" s="164">
        <f t="shared" ca="1" si="25"/>
        <v>0</v>
      </c>
      <c r="AV33" s="164">
        <f t="shared" ca="1" si="26"/>
        <v>0</v>
      </c>
      <c r="AW33" s="164">
        <f t="shared" ca="1" si="27"/>
        <v>0</v>
      </c>
      <c r="AX33" s="164">
        <f t="shared" ca="1" si="28"/>
        <v>0</v>
      </c>
      <c r="AY33" s="164">
        <f t="shared" ca="1" si="29"/>
        <v>0</v>
      </c>
      <c r="AZ33" s="164">
        <f t="shared" ca="1" si="30"/>
        <v>0</v>
      </c>
      <c r="BA33" s="165" t="str">
        <f t="shared" ca="1" si="31"/>
        <v>nie</v>
      </c>
      <c r="BB33" s="166" t="str">
        <f t="shared" ca="1" si="35"/>
        <v>-</v>
      </c>
      <c r="BC33" s="165" t="str">
        <f t="shared" ca="1" si="32"/>
        <v>nie</v>
      </c>
    </row>
    <row r="34" spans="1:55" s="167" customFormat="1" ht="14.45" hidden="1" customHeight="1" x14ac:dyDescent="0.25">
      <c r="A34" s="143" t="s">
        <v>91</v>
      </c>
      <c r="B34" s="144"/>
      <c r="C34" s="145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6"/>
      <c r="S34" s="147"/>
      <c r="T34" s="147"/>
      <c r="U34" s="147"/>
      <c r="V34" s="147"/>
      <c r="W34" s="147"/>
      <c r="X34" s="147"/>
      <c r="Y34" s="148"/>
      <c r="Z34" s="149" t="str">
        <f t="shared" ca="1" si="6"/>
        <v>nie</v>
      </c>
      <c r="AA34" s="366"/>
      <c r="AB34" s="150" t="str">
        <f t="shared" ca="1" si="34"/>
        <v>-</v>
      </c>
      <c r="AC34" s="151" t="str">
        <f t="shared" ca="1" si="7"/>
        <v>PRZED ZMIANĄ</v>
      </c>
      <c r="AD34" s="152" t="str">
        <f t="shared" ca="1" si="8"/>
        <v/>
      </c>
      <c r="AE34" s="153" t="str">
        <f t="shared" ca="1" si="9"/>
        <v/>
      </c>
      <c r="AF34" s="154" t="str">
        <f t="shared" ca="1" si="10"/>
        <v/>
      </c>
      <c r="AG34" s="155" t="str">
        <f t="shared" ca="1" si="11"/>
        <v/>
      </c>
      <c r="AH34" s="155" t="str">
        <f t="shared" ca="1" si="12"/>
        <v/>
      </c>
      <c r="AI34" s="156" t="str">
        <f t="shared" ca="1" si="13"/>
        <v/>
      </c>
      <c r="AJ34" s="157" t="str">
        <f t="shared" ca="1" si="14"/>
        <v/>
      </c>
      <c r="AK34" s="158" t="str">
        <f t="shared" ca="1" si="15"/>
        <v/>
      </c>
      <c r="AL34" s="158" t="str">
        <f t="shared" ca="1" si="16"/>
        <v/>
      </c>
      <c r="AM34" s="159" t="str">
        <f t="shared" ca="1" si="17"/>
        <v/>
      </c>
      <c r="AN34" s="160" t="str">
        <f t="shared" ca="1" si="18"/>
        <v/>
      </c>
      <c r="AO34" s="161" t="str">
        <f t="shared" ca="1" si="19"/>
        <v/>
      </c>
      <c r="AP34" s="162" t="str">
        <f t="shared" ca="1" si="20"/>
        <v/>
      </c>
      <c r="AQ34" s="163" t="str">
        <f t="shared" ca="1" si="21"/>
        <v/>
      </c>
      <c r="AR34" s="164" t="str">
        <f t="shared" ca="1" si="22"/>
        <v/>
      </c>
      <c r="AS34" s="164" t="str">
        <f t="shared" ca="1" si="23"/>
        <v/>
      </c>
      <c r="AT34" s="164" t="str">
        <f t="shared" ca="1" si="24"/>
        <v/>
      </c>
      <c r="AU34" s="164" t="str">
        <f t="shared" ca="1" si="25"/>
        <v/>
      </c>
      <c r="AV34" s="164" t="str">
        <f t="shared" ca="1" si="26"/>
        <v/>
      </c>
      <c r="AW34" s="164" t="str">
        <f t="shared" ca="1" si="27"/>
        <v/>
      </c>
      <c r="AX34" s="164" t="str">
        <f t="shared" ca="1" si="28"/>
        <v/>
      </c>
      <c r="AY34" s="164" t="str">
        <f t="shared" ca="1" si="29"/>
        <v/>
      </c>
      <c r="AZ34" s="164" t="str">
        <f t="shared" ca="1" si="30"/>
        <v/>
      </c>
      <c r="BA34" s="165" t="str">
        <f t="shared" ca="1" si="31"/>
        <v>nie</v>
      </c>
      <c r="BB34" s="166" t="str">
        <f t="shared" ca="1" si="35"/>
        <v>-</v>
      </c>
      <c r="BC34" s="165" t="str">
        <f t="shared" ca="1" si="32"/>
        <v>nie</v>
      </c>
    </row>
    <row r="35" spans="1:55" s="176" customFormat="1" ht="14.45" hidden="1" customHeight="1" x14ac:dyDescent="0.25">
      <c r="A35" s="493" t="s">
        <v>24</v>
      </c>
      <c r="B35" s="493" t="s">
        <v>26</v>
      </c>
      <c r="C35" s="494" t="s">
        <v>107</v>
      </c>
      <c r="D35" s="511" t="s">
        <v>108</v>
      </c>
      <c r="E35" s="497">
        <v>600</v>
      </c>
      <c r="F35" s="497">
        <v>60016</v>
      </c>
      <c r="G35" s="497">
        <v>6050</v>
      </c>
      <c r="H35" s="507">
        <v>2014</v>
      </c>
      <c r="I35" s="499" t="str">
        <f ca="1">IF(COUNTIF(OFFSET(I35,-1,-8),"*propon*")&gt;0,OFFSET(I35,4,0),IF(Y35&gt;0,"2033",IF(X35&gt;0,"2032",IF(W35&gt;0,"2031",IF(V35&gt;0,"2030",IF(U35&gt;0,"2029",IF(T35&gt;0,"2028",IF(S35&gt;0,"2027",IF(R35&gt;0,"2026",IF(Q35&gt;0,"2025",IF(P35&gt;0,"2024",IF(M35&gt;0,"2023",IF(L35&gt;0,"2022","")))))))))))))</f>
        <v>2025</v>
      </c>
      <c r="J35" s="168" t="s">
        <v>94</v>
      </c>
      <c r="K35" s="169">
        <f>SUM(N35:O35)</f>
        <v>66382</v>
      </c>
      <c r="L35" s="170">
        <f t="shared" ref="L35:M35" si="59">SUM(L36:L37)</f>
        <v>21614</v>
      </c>
      <c r="M35" s="171">
        <f t="shared" si="59"/>
        <v>0</v>
      </c>
      <c r="N35" s="172">
        <f>SUM(L35:M35)</f>
        <v>21614</v>
      </c>
      <c r="O35" s="169">
        <f>SUM(P35:Y35)</f>
        <v>44768</v>
      </c>
      <c r="P35" s="173">
        <f t="shared" ref="P35:R35" si="60">SUM(P36:P37)</f>
        <v>4768</v>
      </c>
      <c r="Q35" s="171">
        <f t="shared" si="60"/>
        <v>40000</v>
      </c>
      <c r="R35" s="174">
        <f t="shared" si="60"/>
        <v>0</v>
      </c>
      <c r="S35" s="175">
        <f t="shared" ref="S35:Y35" si="61">SUM(S36:S37)</f>
        <v>0</v>
      </c>
      <c r="T35" s="171">
        <f t="shared" si="61"/>
        <v>0</v>
      </c>
      <c r="U35" s="171">
        <f t="shared" si="61"/>
        <v>0</v>
      </c>
      <c r="V35" s="171">
        <f t="shared" si="61"/>
        <v>0</v>
      </c>
      <c r="W35" s="171">
        <f t="shared" si="61"/>
        <v>0</v>
      </c>
      <c r="X35" s="171">
        <f t="shared" si="61"/>
        <v>0</v>
      </c>
      <c r="Y35" s="174">
        <f t="shared" si="61"/>
        <v>0</v>
      </c>
      <c r="Z35" s="149" t="str">
        <f t="shared" ca="1" si="6"/>
        <v>nie</v>
      </c>
      <c r="AA35" s="366"/>
      <c r="AB35" s="150" t="str">
        <f t="shared" ca="1" si="34"/>
        <v>-</v>
      </c>
      <c r="AC35" s="151" t="str">
        <f t="shared" ca="1" si="7"/>
        <v>PRZED ZMIANĄ</v>
      </c>
      <c r="AD35" s="152" t="str">
        <f t="shared" ca="1" si="8"/>
        <v>PRZED ZMIANĄ</v>
      </c>
      <c r="AE35" s="153" t="str">
        <f t="shared" ca="1" si="9"/>
        <v>C/USN/I/P2/10</v>
      </c>
      <c r="AF35" s="154" t="str">
        <f t="shared" ca="1" si="10"/>
        <v>Budowa ul. Kurantów - rozliczenie z deweloperem</v>
      </c>
      <c r="AG35" s="155">
        <f t="shared" ca="1" si="11"/>
        <v>60016</v>
      </c>
      <c r="AH35" s="155" t="str">
        <f t="shared" ca="1" si="12"/>
        <v>6050</v>
      </c>
      <c r="AI35" s="156" t="str">
        <f t="shared" ca="1" si="13"/>
        <v>GMMW</v>
      </c>
      <c r="AJ35" s="157" t="str">
        <f t="shared" ca="1" si="14"/>
        <v>WPF, w tym</v>
      </c>
      <c r="AK35" s="158" t="str">
        <f t="shared" ca="1" si="15"/>
        <v>C/USN/I/P2/10 60016 6050 GMMW</v>
      </c>
      <c r="AL35" s="158" t="str">
        <f t="shared" ca="1" si="16"/>
        <v>C/USN/I/P2/10 60016 6050 WPF, w tym</v>
      </c>
      <c r="AM35" s="159" t="str">
        <f t="shared" ca="1" si="17"/>
        <v>C/USN/I/P2/10 60016 6050 GMMW WPF, w tym</v>
      </c>
      <c r="AN35" s="160">
        <f t="shared" ca="1" si="18"/>
        <v>66382</v>
      </c>
      <c r="AO35" s="161">
        <f t="shared" ca="1" si="19"/>
        <v>21614</v>
      </c>
      <c r="AP35" s="162">
        <f t="shared" ca="1" si="20"/>
        <v>0</v>
      </c>
      <c r="AQ35" s="163">
        <f t="shared" ca="1" si="21"/>
        <v>4768</v>
      </c>
      <c r="AR35" s="164">
        <f t="shared" ca="1" si="22"/>
        <v>40000</v>
      </c>
      <c r="AS35" s="164">
        <f t="shared" ca="1" si="23"/>
        <v>0</v>
      </c>
      <c r="AT35" s="164">
        <f t="shared" ca="1" si="24"/>
        <v>0</v>
      </c>
      <c r="AU35" s="164">
        <f t="shared" ca="1" si="25"/>
        <v>0</v>
      </c>
      <c r="AV35" s="164">
        <f t="shared" ca="1" si="26"/>
        <v>0</v>
      </c>
      <c r="AW35" s="164">
        <f t="shared" ca="1" si="27"/>
        <v>0</v>
      </c>
      <c r="AX35" s="164">
        <f t="shared" ca="1" si="28"/>
        <v>0</v>
      </c>
      <c r="AY35" s="164">
        <f t="shared" ca="1" si="29"/>
        <v>0</v>
      </c>
      <c r="AZ35" s="164">
        <f t="shared" ca="1" si="30"/>
        <v>0</v>
      </c>
      <c r="BA35" s="165" t="str">
        <f t="shared" ca="1" si="31"/>
        <v>nie</v>
      </c>
      <c r="BB35" s="166" t="str">
        <f t="shared" ca="1" si="35"/>
        <v>-</v>
      </c>
      <c r="BC35" s="165" t="str">
        <f t="shared" ca="1" si="32"/>
        <v>nie</v>
      </c>
    </row>
    <row r="36" spans="1:55" s="167" customFormat="1" ht="14.45" hidden="1" customHeight="1" x14ac:dyDescent="0.25">
      <c r="A36" s="493"/>
      <c r="B36" s="493"/>
      <c r="C36" s="494"/>
      <c r="D36" s="512"/>
      <c r="E36" s="497"/>
      <c r="F36" s="497"/>
      <c r="G36" s="497"/>
      <c r="H36" s="498"/>
      <c r="I36" s="499"/>
      <c r="J36" s="177" t="s">
        <v>95</v>
      </c>
      <c r="K36" s="178">
        <f>SUM(N36:O36)</f>
        <v>44768</v>
      </c>
      <c r="L36" s="179"/>
      <c r="M36" s="180"/>
      <c r="N36" s="172">
        <f>SUM(L36:M36)</f>
        <v>0</v>
      </c>
      <c r="O36" s="178">
        <f>SUM(P36:Y36)</f>
        <v>44768</v>
      </c>
      <c r="P36" s="181">
        <v>4768</v>
      </c>
      <c r="Q36" s="180">
        <v>40000</v>
      </c>
      <c r="R36" s="182"/>
      <c r="S36" s="183"/>
      <c r="T36" s="180"/>
      <c r="U36" s="180"/>
      <c r="V36" s="180"/>
      <c r="W36" s="180"/>
      <c r="X36" s="180"/>
      <c r="Y36" s="182"/>
      <c r="Z36" s="149" t="str">
        <f t="shared" ca="1" si="6"/>
        <v>nie</v>
      </c>
      <c r="AA36" s="366"/>
      <c r="AB36" s="150" t="str">
        <f t="shared" ca="1" si="34"/>
        <v>-</v>
      </c>
      <c r="AC36" s="151" t="str">
        <f t="shared" ca="1" si="7"/>
        <v>PRZED ZMIANĄ</v>
      </c>
      <c r="AD36" s="152" t="str">
        <f t="shared" ca="1" si="8"/>
        <v>PRZED ZMIANĄ</v>
      </c>
      <c r="AE36" s="153" t="str">
        <f t="shared" ca="1" si="9"/>
        <v>C/USN/I/P2/10</v>
      </c>
      <c r="AF36" s="154" t="str">
        <f t="shared" ca="1" si="10"/>
        <v>Budowa ul. Kurantów - rozliczenie z deweloperem</v>
      </c>
      <c r="AG36" s="155">
        <f t="shared" ca="1" si="11"/>
        <v>60016</v>
      </c>
      <c r="AH36" s="155" t="str">
        <f t="shared" ca="1" si="12"/>
        <v>6050</v>
      </c>
      <c r="AI36" s="156" t="str">
        <f t="shared" ca="1" si="13"/>
        <v>GMMW</v>
      </c>
      <c r="AJ36" s="157" t="str">
        <f t="shared" ca="1" si="14"/>
        <v>WPF/PM</v>
      </c>
      <c r="AK36" s="158" t="str">
        <f t="shared" ca="1" si="15"/>
        <v>C/USN/I/P2/10 60016 6050 GMMW</v>
      </c>
      <c r="AL36" s="158" t="str">
        <f t="shared" ca="1" si="16"/>
        <v>C/USN/I/P2/10 60016 6050 WPF/PM</v>
      </c>
      <c r="AM36" s="159" t="str">
        <f t="shared" ca="1" si="17"/>
        <v>C/USN/I/P2/10 60016 6050 GMMW WPF/PM</v>
      </c>
      <c r="AN36" s="160">
        <f t="shared" ca="1" si="18"/>
        <v>44768</v>
      </c>
      <c r="AO36" s="161">
        <f t="shared" ca="1" si="19"/>
        <v>0</v>
      </c>
      <c r="AP36" s="162">
        <f t="shared" ca="1" si="20"/>
        <v>0</v>
      </c>
      <c r="AQ36" s="163">
        <f t="shared" ca="1" si="21"/>
        <v>4768</v>
      </c>
      <c r="AR36" s="164">
        <f t="shared" ca="1" si="22"/>
        <v>40000</v>
      </c>
      <c r="AS36" s="164">
        <f t="shared" ca="1" si="23"/>
        <v>0</v>
      </c>
      <c r="AT36" s="164">
        <f t="shared" ca="1" si="24"/>
        <v>0</v>
      </c>
      <c r="AU36" s="164">
        <f t="shared" ca="1" si="25"/>
        <v>0</v>
      </c>
      <c r="AV36" s="164">
        <f t="shared" ca="1" si="26"/>
        <v>0</v>
      </c>
      <c r="AW36" s="164">
        <f t="shared" ca="1" si="27"/>
        <v>0</v>
      </c>
      <c r="AX36" s="164">
        <f t="shared" ca="1" si="28"/>
        <v>0</v>
      </c>
      <c r="AY36" s="164">
        <f t="shared" ca="1" si="29"/>
        <v>0</v>
      </c>
      <c r="AZ36" s="164">
        <f t="shared" ca="1" si="30"/>
        <v>0</v>
      </c>
      <c r="BA36" s="165" t="str">
        <f t="shared" ca="1" si="31"/>
        <v>nie</v>
      </c>
      <c r="BB36" s="166" t="str">
        <f t="shared" ca="1" si="35"/>
        <v>-</v>
      </c>
      <c r="BC36" s="165" t="str">
        <f t="shared" ca="1" si="32"/>
        <v>nie</v>
      </c>
    </row>
    <row r="37" spans="1:55" s="167" customFormat="1" ht="14.45" hidden="1" customHeight="1" x14ac:dyDescent="0.25">
      <c r="A37" s="493"/>
      <c r="B37" s="493"/>
      <c r="C37" s="494"/>
      <c r="D37" s="512"/>
      <c r="E37" s="497"/>
      <c r="F37" s="497"/>
      <c r="G37" s="497"/>
      <c r="H37" s="498"/>
      <c r="I37" s="499"/>
      <c r="J37" s="177" t="s">
        <v>96</v>
      </c>
      <c r="K37" s="178">
        <f>SUM(N37:O37)</f>
        <v>21614</v>
      </c>
      <c r="L37" s="184">
        <v>21614</v>
      </c>
      <c r="M37" s="180"/>
      <c r="N37" s="172">
        <f>SUM(L37:M37)</f>
        <v>21614</v>
      </c>
      <c r="O37" s="178">
        <f>SUM(P37:Y37)</f>
        <v>0</v>
      </c>
      <c r="P37" s="181"/>
      <c r="Q37" s="180"/>
      <c r="R37" s="182"/>
      <c r="S37" s="183"/>
      <c r="T37" s="180"/>
      <c r="U37" s="180"/>
      <c r="V37" s="180"/>
      <c r="W37" s="180"/>
      <c r="X37" s="180"/>
      <c r="Y37" s="182"/>
      <c r="Z37" s="149" t="str">
        <f t="shared" ca="1" si="6"/>
        <v>nie</v>
      </c>
      <c r="AA37" s="366"/>
      <c r="AB37" s="150" t="str">
        <f t="shared" ca="1" si="34"/>
        <v>-</v>
      </c>
      <c r="AC37" s="151" t="str">
        <f t="shared" ca="1" si="7"/>
        <v>PRZED ZMIANĄ</v>
      </c>
      <c r="AD37" s="152" t="str">
        <f t="shared" ca="1" si="8"/>
        <v>PRZED ZMIANĄ</v>
      </c>
      <c r="AE37" s="153" t="str">
        <f t="shared" ca="1" si="9"/>
        <v>C/USN/I/P2/10</v>
      </c>
      <c r="AF37" s="154" t="str">
        <f t="shared" ca="1" si="10"/>
        <v>Budowa ul. Kurantów - rozliczenie z deweloperem</v>
      </c>
      <c r="AG37" s="155">
        <f t="shared" ca="1" si="11"/>
        <v>60016</v>
      </c>
      <c r="AH37" s="155" t="str">
        <f t="shared" ca="1" si="12"/>
        <v>6050</v>
      </c>
      <c r="AI37" s="156" t="str">
        <f t="shared" ca="1" si="13"/>
        <v>GMMW</v>
      </c>
      <c r="AJ37" s="157" t="str">
        <f t="shared" ca="1" si="14"/>
        <v>WPF/UM</v>
      </c>
      <c r="AK37" s="158" t="str">
        <f t="shared" ca="1" si="15"/>
        <v>C/USN/I/P2/10 60016 6050 GMMW</v>
      </c>
      <c r="AL37" s="158" t="str">
        <f t="shared" ca="1" si="16"/>
        <v>C/USN/I/P2/10 60016 6050 WPF/UM</v>
      </c>
      <c r="AM37" s="159" t="str">
        <f t="shared" ca="1" si="17"/>
        <v>C/USN/I/P2/10 60016 6050 GMMW WPF/UM</v>
      </c>
      <c r="AN37" s="160">
        <f t="shared" ca="1" si="18"/>
        <v>21614</v>
      </c>
      <c r="AO37" s="161">
        <f t="shared" ca="1" si="19"/>
        <v>21614</v>
      </c>
      <c r="AP37" s="162">
        <f t="shared" ca="1" si="20"/>
        <v>0</v>
      </c>
      <c r="AQ37" s="163">
        <f t="shared" ca="1" si="21"/>
        <v>0</v>
      </c>
      <c r="AR37" s="164">
        <f t="shared" ca="1" si="22"/>
        <v>0</v>
      </c>
      <c r="AS37" s="164">
        <f t="shared" ca="1" si="23"/>
        <v>0</v>
      </c>
      <c r="AT37" s="164">
        <f t="shared" ca="1" si="24"/>
        <v>0</v>
      </c>
      <c r="AU37" s="164">
        <f t="shared" ca="1" si="25"/>
        <v>0</v>
      </c>
      <c r="AV37" s="164">
        <f t="shared" ca="1" si="26"/>
        <v>0</v>
      </c>
      <c r="AW37" s="164">
        <f t="shared" ca="1" si="27"/>
        <v>0</v>
      </c>
      <c r="AX37" s="164">
        <f t="shared" ca="1" si="28"/>
        <v>0</v>
      </c>
      <c r="AY37" s="164">
        <f t="shared" ca="1" si="29"/>
        <v>0</v>
      </c>
      <c r="AZ37" s="164">
        <f t="shared" ca="1" si="30"/>
        <v>0</v>
      </c>
      <c r="BA37" s="165" t="str">
        <f t="shared" ca="1" si="31"/>
        <v>nie</v>
      </c>
      <c r="BB37" s="166" t="str">
        <f t="shared" ca="1" si="35"/>
        <v>-</v>
      </c>
      <c r="BC37" s="165" t="str">
        <f t="shared" ca="1" si="32"/>
        <v>nie</v>
      </c>
    </row>
    <row r="38" spans="1:55" s="167" customFormat="1" ht="14.45" hidden="1" customHeight="1" x14ac:dyDescent="0.25">
      <c r="A38" s="185" t="s">
        <v>97</v>
      </c>
      <c r="B38" s="186"/>
      <c r="C38" s="187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8"/>
      <c r="S38" s="189"/>
      <c r="T38" s="189"/>
      <c r="U38" s="189"/>
      <c r="V38" s="189"/>
      <c r="W38" s="189"/>
      <c r="X38" s="189"/>
      <c r="Y38" s="190"/>
      <c r="Z38" s="149" t="str">
        <f t="shared" ca="1" si="6"/>
        <v>nie</v>
      </c>
      <c r="AA38" s="366"/>
      <c r="AB38" s="150" t="str">
        <f t="shared" ca="1" si="34"/>
        <v>-</v>
      </c>
      <c r="AC38" s="151" t="str">
        <f t="shared" ca="1" si="7"/>
        <v>PROPONOWANA ZMIANA</v>
      </c>
      <c r="AD38" s="152" t="str">
        <f t="shared" ca="1" si="8"/>
        <v/>
      </c>
      <c r="AE38" s="153" t="str">
        <f t="shared" ca="1" si="9"/>
        <v/>
      </c>
      <c r="AF38" s="154" t="str">
        <f t="shared" ca="1" si="10"/>
        <v/>
      </c>
      <c r="AG38" s="155" t="str">
        <f t="shared" ca="1" si="11"/>
        <v/>
      </c>
      <c r="AH38" s="155" t="str">
        <f t="shared" ca="1" si="12"/>
        <v/>
      </c>
      <c r="AI38" s="156" t="str">
        <f t="shared" ca="1" si="13"/>
        <v/>
      </c>
      <c r="AJ38" s="157" t="str">
        <f t="shared" ca="1" si="14"/>
        <v/>
      </c>
      <c r="AK38" s="158" t="str">
        <f t="shared" ca="1" si="15"/>
        <v/>
      </c>
      <c r="AL38" s="158" t="str">
        <f t="shared" ca="1" si="16"/>
        <v/>
      </c>
      <c r="AM38" s="159" t="str">
        <f t="shared" ca="1" si="17"/>
        <v/>
      </c>
      <c r="AN38" s="160" t="str">
        <f t="shared" ca="1" si="18"/>
        <v/>
      </c>
      <c r="AO38" s="161" t="str">
        <f t="shared" ca="1" si="19"/>
        <v/>
      </c>
      <c r="AP38" s="162" t="str">
        <f t="shared" ca="1" si="20"/>
        <v/>
      </c>
      <c r="AQ38" s="163" t="str">
        <f t="shared" ca="1" si="21"/>
        <v/>
      </c>
      <c r="AR38" s="164" t="str">
        <f t="shared" ca="1" si="22"/>
        <v/>
      </c>
      <c r="AS38" s="164" t="str">
        <f t="shared" ca="1" si="23"/>
        <v/>
      </c>
      <c r="AT38" s="164" t="str">
        <f t="shared" ca="1" si="24"/>
        <v/>
      </c>
      <c r="AU38" s="164" t="str">
        <f t="shared" ca="1" si="25"/>
        <v/>
      </c>
      <c r="AV38" s="164" t="str">
        <f t="shared" ca="1" si="26"/>
        <v/>
      </c>
      <c r="AW38" s="164" t="str">
        <f t="shared" ca="1" si="27"/>
        <v/>
      </c>
      <c r="AX38" s="164" t="str">
        <f t="shared" ca="1" si="28"/>
        <v/>
      </c>
      <c r="AY38" s="164" t="str">
        <f t="shared" ca="1" si="29"/>
        <v/>
      </c>
      <c r="AZ38" s="164" t="str">
        <f t="shared" ca="1" si="30"/>
        <v/>
      </c>
      <c r="BA38" s="165" t="str">
        <f t="shared" ca="1" si="31"/>
        <v>nie</v>
      </c>
      <c r="BB38" s="166" t="str">
        <f t="shared" ca="1" si="35"/>
        <v>-</v>
      </c>
      <c r="BC38" s="165" t="str">
        <f t="shared" ca="1" si="32"/>
        <v>nie</v>
      </c>
    </row>
    <row r="39" spans="1:55" s="176" customFormat="1" ht="14.45" hidden="1" customHeight="1" x14ac:dyDescent="0.25">
      <c r="A39" s="493" t="s">
        <v>24</v>
      </c>
      <c r="B39" s="493" t="s">
        <v>26</v>
      </c>
      <c r="C39" s="494" t="s">
        <v>107</v>
      </c>
      <c r="D39" s="511" t="s">
        <v>108</v>
      </c>
      <c r="E39" s="497">
        <v>600</v>
      </c>
      <c r="F39" s="497">
        <v>60016</v>
      </c>
      <c r="G39" s="497">
        <v>6050</v>
      </c>
      <c r="H39" s="507">
        <v>2014</v>
      </c>
      <c r="I39" s="499" t="str">
        <f ca="1">IF(COUNTIF(OFFSET(I39,-1,-8),"*propon*")&gt;0,OFFSET(I39,4,0),IF(Y39&gt;0,"2033",IF(X39&gt;0,"2032",IF(W39&gt;0,"2031",IF(V39&gt;0,"2030",IF(U39&gt;0,"2029",IF(T39&gt;0,"2028",IF(S39&gt;0,"2027",IF(R39&gt;0,"2026",IF(Q39&gt;0,"2025",IF(P39&gt;0,"2024",IF(M39&gt;0,"2023",IF(L39&gt;0,"2022","")))))))))))))</f>
        <v>2025</v>
      </c>
      <c r="J39" s="168" t="s">
        <v>98</v>
      </c>
      <c r="K39" s="169">
        <f>SUM(N39:O39)</f>
        <v>0</v>
      </c>
      <c r="L39" s="170">
        <f t="shared" ref="L39:M39" si="62">SUM(L40:L41)</f>
        <v>0</v>
      </c>
      <c r="M39" s="171">
        <f t="shared" si="62"/>
        <v>0</v>
      </c>
      <c r="N39" s="172">
        <f>SUM(L39:M39)</f>
        <v>0</v>
      </c>
      <c r="O39" s="169">
        <f>SUM(P39:Y39)</f>
        <v>0</v>
      </c>
      <c r="P39" s="173">
        <f t="shared" ref="P39:R39" si="63">SUM(P40:P41)</f>
        <v>0</v>
      </c>
      <c r="Q39" s="171">
        <f t="shared" si="63"/>
        <v>0</v>
      </c>
      <c r="R39" s="174">
        <f t="shared" si="63"/>
        <v>0</v>
      </c>
      <c r="S39" s="175">
        <f t="shared" ref="S39:Y39" si="64">SUM(S40:S41)</f>
        <v>0</v>
      </c>
      <c r="T39" s="171">
        <f t="shared" si="64"/>
        <v>0</v>
      </c>
      <c r="U39" s="171">
        <f t="shared" si="64"/>
        <v>0</v>
      </c>
      <c r="V39" s="171">
        <f t="shared" si="64"/>
        <v>0</v>
      </c>
      <c r="W39" s="171">
        <f t="shared" si="64"/>
        <v>0</v>
      </c>
      <c r="X39" s="171">
        <f t="shared" si="64"/>
        <v>0</v>
      </c>
      <c r="Y39" s="174">
        <f t="shared" si="64"/>
        <v>0</v>
      </c>
      <c r="Z39" s="149" t="str">
        <f t="shared" ca="1" si="6"/>
        <v>nie</v>
      </c>
      <c r="AA39" s="366"/>
      <c r="AB39" s="150" t="str">
        <f t="shared" ca="1" si="34"/>
        <v>-</v>
      </c>
      <c r="AC39" s="151" t="str">
        <f t="shared" ca="1" si="7"/>
        <v>PROPONOWANA ZMIANA</v>
      </c>
      <c r="AD39" s="152" t="str">
        <f t="shared" ca="1" si="8"/>
        <v>PROPONOWANA ZMIANA</v>
      </c>
      <c r="AE39" s="153" t="str">
        <f t="shared" ca="1" si="9"/>
        <v>C/USN/I/P2/10</v>
      </c>
      <c r="AF39" s="154" t="str">
        <f t="shared" ca="1" si="10"/>
        <v>Budowa ul. Kurantów - rozliczenie z deweloperem</v>
      </c>
      <c r="AG39" s="155">
        <f t="shared" ca="1" si="11"/>
        <v>60016</v>
      </c>
      <c r="AH39" s="155" t="str">
        <f t="shared" ca="1" si="12"/>
        <v>6050</v>
      </c>
      <c r="AI39" s="156" t="str">
        <f t="shared" ca="1" si="13"/>
        <v>GMMW</v>
      </c>
      <c r="AJ39" s="157" t="str">
        <f t="shared" ca="1" si="14"/>
        <v>WPF, w tym</v>
      </c>
      <c r="AK39" s="158" t="str">
        <f t="shared" ca="1" si="15"/>
        <v>C/USN/I/P2/10 60016 6050 GMMW</v>
      </c>
      <c r="AL39" s="158" t="str">
        <f t="shared" ca="1" si="16"/>
        <v>C/USN/I/P2/10 60016 6050 WPF, w tym</v>
      </c>
      <c r="AM39" s="159" t="str">
        <f t="shared" ca="1" si="17"/>
        <v>C/USN/I/P2/10 60016 6050 GMMW WPF, w tym</v>
      </c>
      <c r="AN39" s="160">
        <f t="shared" ca="1" si="18"/>
        <v>0</v>
      </c>
      <c r="AO39" s="161">
        <f t="shared" ca="1" si="19"/>
        <v>0</v>
      </c>
      <c r="AP39" s="162">
        <f t="shared" ca="1" si="20"/>
        <v>0</v>
      </c>
      <c r="AQ39" s="163">
        <f t="shared" ca="1" si="21"/>
        <v>0</v>
      </c>
      <c r="AR39" s="164">
        <f t="shared" ca="1" si="22"/>
        <v>0</v>
      </c>
      <c r="AS39" s="164">
        <f t="shared" ca="1" si="23"/>
        <v>0</v>
      </c>
      <c r="AT39" s="164">
        <f t="shared" ca="1" si="24"/>
        <v>0</v>
      </c>
      <c r="AU39" s="164">
        <f t="shared" ca="1" si="25"/>
        <v>0</v>
      </c>
      <c r="AV39" s="164">
        <f t="shared" ca="1" si="26"/>
        <v>0</v>
      </c>
      <c r="AW39" s="164">
        <f t="shared" ca="1" si="27"/>
        <v>0</v>
      </c>
      <c r="AX39" s="164">
        <f t="shared" ca="1" si="28"/>
        <v>0</v>
      </c>
      <c r="AY39" s="164">
        <f t="shared" ca="1" si="29"/>
        <v>0</v>
      </c>
      <c r="AZ39" s="164">
        <f t="shared" ca="1" si="30"/>
        <v>0</v>
      </c>
      <c r="BA39" s="165" t="str">
        <f t="shared" ca="1" si="31"/>
        <v>nie</v>
      </c>
      <c r="BB39" s="166" t="str">
        <f t="shared" ca="1" si="35"/>
        <v>-</v>
      </c>
      <c r="BC39" s="165" t="str">
        <f t="shared" ca="1" si="32"/>
        <v>nie</v>
      </c>
    </row>
    <row r="40" spans="1:55" s="167" customFormat="1" ht="14.45" hidden="1" customHeight="1" x14ac:dyDescent="0.25">
      <c r="A40" s="493"/>
      <c r="B40" s="493"/>
      <c r="C40" s="494"/>
      <c r="D40" s="512"/>
      <c r="E40" s="497"/>
      <c r="F40" s="497"/>
      <c r="G40" s="497"/>
      <c r="H40" s="498"/>
      <c r="I40" s="499"/>
      <c r="J40" s="177" t="s">
        <v>99</v>
      </c>
      <c r="K40" s="178">
        <f>SUM(N40:O40)</f>
        <v>0</v>
      </c>
      <c r="L40" s="179">
        <f t="shared" ref="L40:M40" si="65">L44-L36</f>
        <v>0</v>
      </c>
      <c r="M40" s="180">
        <f t="shared" si="65"/>
        <v>0</v>
      </c>
      <c r="N40" s="172">
        <f>SUM(L40:M40)</f>
        <v>0</v>
      </c>
      <c r="O40" s="178">
        <f>SUM(P40:Y40)</f>
        <v>0</v>
      </c>
      <c r="P40" s="181">
        <f t="shared" ref="P40:R40" si="66">P44-P36</f>
        <v>0</v>
      </c>
      <c r="Q40" s="180">
        <f t="shared" si="66"/>
        <v>0</v>
      </c>
      <c r="R40" s="182">
        <f t="shared" si="66"/>
        <v>0</v>
      </c>
      <c r="S40" s="183">
        <f t="shared" ref="S40:Y41" si="67">S44-S36</f>
        <v>0</v>
      </c>
      <c r="T40" s="180">
        <f t="shared" si="67"/>
        <v>0</v>
      </c>
      <c r="U40" s="180">
        <f t="shared" si="67"/>
        <v>0</v>
      </c>
      <c r="V40" s="180">
        <f t="shared" si="67"/>
        <v>0</v>
      </c>
      <c r="W40" s="180">
        <f t="shared" si="67"/>
        <v>0</v>
      </c>
      <c r="X40" s="180">
        <f t="shared" si="67"/>
        <v>0</v>
      </c>
      <c r="Y40" s="182">
        <f t="shared" si="67"/>
        <v>0</v>
      </c>
      <c r="Z40" s="149" t="str">
        <f t="shared" ca="1" si="6"/>
        <v>nie</v>
      </c>
      <c r="AA40" s="366"/>
      <c r="AB40" s="150" t="str">
        <f t="shared" ca="1" si="34"/>
        <v>-</v>
      </c>
      <c r="AC40" s="151" t="str">
        <f t="shared" ca="1" si="7"/>
        <v>PROPONOWANA ZMIANA</v>
      </c>
      <c r="AD40" s="152" t="str">
        <f t="shared" ca="1" si="8"/>
        <v>PROPONOWANA ZMIANA</v>
      </c>
      <c r="AE40" s="153" t="str">
        <f t="shared" ca="1" si="9"/>
        <v>C/USN/I/P2/10</v>
      </c>
      <c r="AF40" s="154" t="str">
        <f t="shared" ca="1" si="10"/>
        <v>Budowa ul. Kurantów - rozliczenie z deweloperem</v>
      </c>
      <c r="AG40" s="155">
        <f t="shared" ca="1" si="11"/>
        <v>60016</v>
      </c>
      <c r="AH40" s="155" t="str">
        <f t="shared" ca="1" si="12"/>
        <v>6050</v>
      </c>
      <c r="AI40" s="156" t="str">
        <f t="shared" ca="1" si="13"/>
        <v>GMMW</v>
      </c>
      <c r="AJ40" s="157" t="str">
        <f t="shared" ca="1" si="14"/>
        <v>WPF/PM</v>
      </c>
      <c r="AK40" s="158" t="str">
        <f t="shared" ca="1" si="15"/>
        <v>C/USN/I/P2/10 60016 6050 GMMW</v>
      </c>
      <c r="AL40" s="158" t="str">
        <f t="shared" ca="1" si="16"/>
        <v>C/USN/I/P2/10 60016 6050 WPF/PM</v>
      </c>
      <c r="AM40" s="159" t="str">
        <f t="shared" ca="1" si="17"/>
        <v>C/USN/I/P2/10 60016 6050 GMMW WPF/PM</v>
      </c>
      <c r="AN40" s="160">
        <f t="shared" ca="1" si="18"/>
        <v>0</v>
      </c>
      <c r="AO40" s="161">
        <f t="shared" ca="1" si="19"/>
        <v>0</v>
      </c>
      <c r="AP40" s="162">
        <f t="shared" ca="1" si="20"/>
        <v>0</v>
      </c>
      <c r="AQ40" s="163">
        <f t="shared" ca="1" si="21"/>
        <v>0</v>
      </c>
      <c r="AR40" s="164">
        <f t="shared" ca="1" si="22"/>
        <v>0</v>
      </c>
      <c r="AS40" s="164">
        <f t="shared" ca="1" si="23"/>
        <v>0</v>
      </c>
      <c r="AT40" s="164">
        <f t="shared" ca="1" si="24"/>
        <v>0</v>
      </c>
      <c r="AU40" s="164">
        <f t="shared" ca="1" si="25"/>
        <v>0</v>
      </c>
      <c r="AV40" s="164">
        <f t="shared" ca="1" si="26"/>
        <v>0</v>
      </c>
      <c r="AW40" s="164">
        <f t="shared" ca="1" si="27"/>
        <v>0</v>
      </c>
      <c r="AX40" s="164">
        <f t="shared" ca="1" si="28"/>
        <v>0</v>
      </c>
      <c r="AY40" s="164">
        <f t="shared" ca="1" si="29"/>
        <v>0</v>
      </c>
      <c r="AZ40" s="164">
        <f t="shared" ca="1" si="30"/>
        <v>0</v>
      </c>
      <c r="BA40" s="165" t="str">
        <f t="shared" ca="1" si="31"/>
        <v>nie</v>
      </c>
      <c r="BB40" s="166" t="str">
        <f t="shared" ca="1" si="35"/>
        <v>-</v>
      </c>
      <c r="BC40" s="165" t="str">
        <f t="shared" ca="1" si="32"/>
        <v>nie</v>
      </c>
    </row>
    <row r="41" spans="1:55" s="167" customFormat="1" ht="14.45" hidden="1" customHeight="1" x14ac:dyDescent="0.25">
      <c r="A41" s="493"/>
      <c r="B41" s="493"/>
      <c r="C41" s="494"/>
      <c r="D41" s="512"/>
      <c r="E41" s="497"/>
      <c r="F41" s="497"/>
      <c r="G41" s="497"/>
      <c r="H41" s="498"/>
      <c r="I41" s="499"/>
      <c r="J41" s="177" t="s">
        <v>100</v>
      </c>
      <c r="K41" s="178">
        <f>SUM(N41:O41)</f>
        <v>0</v>
      </c>
      <c r="L41" s="179">
        <f t="shared" ref="L41:M41" si="68">L45-L37</f>
        <v>0</v>
      </c>
      <c r="M41" s="180">
        <f t="shared" si="68"/>
        <v>0</v>
      </c>
      <c r="N41" s="172">
        <f>SUM(L41:M41)</f>
        <v>0</v>
      </c>
      <c r="O41" s="178">
        <f>SUM(P41:Y41)</f>
        <v>0</v>
      </c>
      <c r="P41" s="181">
        <f t="shared" ref="P41:R41" si="69">P45-P37</f>
        <v>0</v>
      </c>
      <c r="Q41" s="180">
        <f t="shared" si="69"/>
        <v>0</v>
      </c>
      <c r="R41" s="182">
        <f t="shared" si="69"/>
        <v>0</v>
      </c>
      <c r="S41" s="183">
        <f t="shared" si="67"/>
        <v>0</v>
      </c>
      <c r="T41" s="180">
        <f t="shared" si="67"/>
        <v>0</v>
      </c>
      <c r="U41" s="180">
        <f t="shared" si="67"/>
        <v>0</v>
      </c>
      <c r="V41" s="180">
        <f t="shared" si="67"/>
        <v>0</v>
      </c>
      <c r="W41" s="180">
        <f t="shared" si="67"/>
        <v>0</v>
      </c>
      <c r="X41" s="180">
        <f t="shared" si="67"/>
        <v>0</v>
      </c>
      <c r="Y41" s="182">
        <f t="shared" si="67"/>
        <v>0</v>
      </c>
      <c r="Z41" s="149" t="str">
        <f t="shared" ca="1" si="6"/>
        <v>nie</v>
      </c>
      <c r="AA41" s="366"/>
      <c r="AB41" s="150" t="str">
        <f t="shared" ca="1" si="34"/>
        <v>-</v>
      </c>
      <c r="AC41" s="151" t="str">
        <f t="shared" ca="1" si="7"/>
        <v>PROPONOWANA ZMIANA</v>
      </c>
      <c r="AD41" s="152" t="str">
        <f t="shared" ca="1" si="8"/>
        <v>PROPONOWANA ZMIANA</v>
      </c>
      <c r="AE41" s="153" t="str">
        <f t="shared" ca="1" si="9"/>
        <v>C/USN/I/P2/10</v>
      </c>
      <c r="AF41" s="154" t="str">
        <f t="shared" ca="1" si="10"/>
        <v>Budowa ul. Kurantów - rozliczenie z deweloperem</v>
      </c>
      <c r="AG41" s="155">
        <f t="shared" ca="1" si="11"/>
        <v>60016</v>
      </c>
      <c r="AH41" s="155" t="str">
        <f t="shared" ca="1" si="12"/>
        <v>6050</v>
      </c>
      <c r="AI41" s="156" t="str">
        <f t="shared" ca="1" si="13"/>
        <v>GMMW</v>
      </c>
      <c r="AJ41" s="157" t="str">
        <f t="shared" ca="1" si="14"/>
        <v>WPF/UM</v>
      </c>
      <c r="AK41" s="158" t="str">
        <f t="shared" ca="1" si="15"/>
        <v>C/USN/I/P2/10 60016 6050 GMMW</v>
      </c>
      <c r="AL41" s="158" t="str">
        <f t="shared" ca="1" si="16"/>
        <v>C/USN/I/P2/10 60016 6050 WPF/UM</v>
      </c>
      <c r="AM41" s="159" t="str">
        <f t="shared" ca="1" si="17"/>
        <v>C/USN/I/P2/10 60016 6050 GMMW WPF/UM</v>
      </c>
      <c r="AN41" s="160">
        <f t="shared" ca="1" si="18"/>
        <v>0</v>
      </c>
      <c r="AO41" s="161">
        <f t="shared" ca="1" si="19"/>
        <v>0</v>
      </c>
      <c r="AP41" s="162">
        <f t="shared" ca="1" si="20"/>
        <v>0</v>
      </c>
      <c r="AQ41" s="163">
        <f t="shared" ca="1" si="21"/>
        <v>0</v>
      </c>
      <c r="AR41" s="164">
        <f t="shared" ca="1" si="22"/>
        <v>0</v>
      </c>
      <c r="AS41" s="164">
        <f t="shared" ca="1" si="23"/>
        <v>0</v>
      </c>
      <c r="AT41" s="164">
        <f t="shared" ca="1" si="24"/>
        <v>0</v>
      </c>
      <c r="AU41" s="164">
        <f t="shared" ca="1" si="25"/>
        <v>0</v>
      </c>
      <c r="AV41" s="164">
        <f t="shared" ca="1" si="26"/>
        <v>0</v>
      </c>
      <c r="AW41" s="164">
        <f t="shared" ca="1" si="27"/>
        <v>0</v>
      </c>
      <c r="AX41" s="164">
        <f t="shared" ca="1" si="28"/>
        <v>0</v>
      </c>
      <c r="AY41" s="164">
        <f t="shared" ca="1" si="29"/>
        <v>0</v>
      </c>
      <c r="AZ41" s="164">
        <f t="shared" ca="1" si="30"/>
        <v>0</v>
      </c>
      <c r="BA41" s="165" t="str">
        <f t="shared" ca="1" si="31"/>
        <v>nie</v>
      </c>
      <c r="BB41" s="166" t="str">
        <f t="shared" ca="1" si="35"/>
        <v>-</v>
      </c>
      <c r="BC41" s="165" t="str">
        <f t="shared" ca="1" si="32"/>
        <v>nie</v>
      </c>
    </row>
    <row r="42" spans="1:55" s="167" customFormat="1" ht="14.45" hidden="1" customHeight="1" x14ac:dyDescent="0.25">
      <c r="A42" s="191" t="s">
        <v>101</v>
      </c>
      <c r="B42" s="192"/>
      <c r="C42" s="193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4"/>
      <c r="S42" s="195"/>
      <c r="T42" s="195"/>
      <c r="U42" s="195"/>
      <c r="V42" s="195"/>
      <c r="W42" s="195"/>
      <c r="X42" s="195"/>
      <c r="Y42" s="196"/>
      <c r="Z42" s="149" t="str">
        <f t="shared" ca="1" si="6"/>
        <v>nie</v>
      </c>
      <c r="AA42" s="366"/>
      <c r="AB42" s="150" t="str">
        <f t="shared" ca="1" si="34"/>
        <v>-</v>
      </c>
      <c r="AC42" s="151" t="str">
        <f t="shared" ca="1" si="7"/>
        <v>PO ZMIANIE</v>
      </c>
      <c r="AD42" s="152" t="str">
        <f t="shared" ca="1" si="8"/>
        <v/>
      </c>
      <c r="AE42" s="153" t="str">
        <f t="shared" ca="1" si="9"/>
        <v/>
      </c>
      <c r="AF42" s="154" t="str">
        <f t="shared" ca="1" si="10"/>
        <v/>
      </c>
      <c r="AG42" s="155" t="str">
        <f t="shared" ca="1" si="11"/>
        <v/>
      </c>
      <c r="AH42" s="155" t="str">
        <f t="shared" ca="1" si="12"/>
        <v/>
      </c>
      <c r="AI42" s="156" t="str">
        <f t="shared" ca="1" si="13"/>
        <v/>
      </c>
      <c r="AJ42" s="157" t="str">
        <f t="shared" ca="1" si="14"/>
        <v/>
      </c>
      <c r="AK42" s="158" t="str">
        <f t="shared" ca="1" si="15"/>
        <v/>
      </c>
      <c r="AL42" s="158" t="str">
        <f t="shared" ca="1" si="16"/>
        <v/>
      </c>
      <c r="AM42" s="159" t="str">
        <f t="shared" ca="1" si="17"/>
        <v/>
      </c>
      <c r="AN42" s="160" t="str">
        <f t="shared" ca="1" si="18"/>
        <v/>
      </c>
      <c r="AO42" s="161" t="str">
        <f t="shared" ca="1" si="19"/>
        <v/>
      </c>
      <c r="AP42" s="162" t="str">
        <f t="shared" ca="1" si="20"/>
        <v/>
      </c>
      <c r="AQ42" s="163" t="str">
        <f t="shared" ca="1" si="21"/>
        <v/>
      </c>
      <c r="AR42" s="164" t="str">
        <f t="shared" ca="1" si="22"/>
        <v/>
      </c>
      <c r="AS42" s="164" t="str">
        <f t="shared" ca="1" si="23"/>
        <v/>
      </c>
      <c r="AT42" s="164" t="str">
        <f t="shared" ca="1" si="24"/>
        <v/>
      </c>
      <c r="AU42" s="164" t="str">
        <f t="shared" ca="1" si="25"/>
        <v/>
      </c>
      <c r="AV42" s="164" t="str">
        <f t="shared" ca="1" si="26"/>
        <v/>
      </c>
      <c r="AW42" s="164" t="str">
        <f t="shared" ca="1" si="27"/>
        <v/>
      </c>
      <c r="AX42" s="164" t="str">
        <f t="shared" ca="1" si="28"/>
        <v/>
      </c>
      <c r="AY42" s="164" t="str">
        <f t="shared" ca="1" si="29"/>
        <v/>
      </c>
      <c r="AZ42" s="164" t="str">
        <f t="shared" ca="1" si="30"/>
        <v/>
      </c>
      <c r="BA42" s="165" t="str">
        <f t="shared" ca="1" si="31"/>
        <v>nie</v>
      </c>
      <c r="BB42" s="166" t="str">
        <f t="shared" ca="1" si="35"/>
        <v>-</v>
      </c>
      <c r="BC42" s="165" t="str">
        <f t="shared" ca="1" si="32"/>
        <v>nie</v>
      </c>
    </row>
    <row r="43" spans="1:55" s="176" customFormat="1" ht="14.45" hidden="1" customHeight="1" x14ac:dyDescent="0.25">
      <c r="A43" s="493" t="s">
        <v>24</v>
      </c>
      <c r="B43" s="493" t="s">
        <v>26</v>
      </c>
      <c r="C43" s="494" t="s">
        <v>107</v>
      </c>
      <c r="D43" s="511" t="s">
        <v>108</v>
      </c>
      <c r="E43" s="497">
        <v>600</v>
      </c>
      <c r="F43" s="497">
        <v>60016</v>
      </c>
      <c r="G43" s="497">
        <v>6050</v>
      </c>
      <c r="H43" s="507">
        <v>2014</v>
      </c>
      <c r="I43" s="499" t="str">
        <f ca="1">IF(COUNTIF(OFFSET(I43,-1,-8),"*propon*")&gt;0,OFFSET(I43,4,0),IF(Y43&gt;0,"2033",IF(X43&gt;0,"2032",IF(W43&gt;0,"2031",IF(V43&gt;0,"2030",IF(U43&gt;0,"2029",IF(T43&gt;0,"2028",IF(S43&gt;0,"2027",IF(R43&gt;0,"2026",IF(Q43&gt;0,"2025",IF(P43&gt;0,"2024",IF(M43&gt;0,"2023",IF(L43&gt;0,"2022","")))))))))))))</f>
        <v>2025</v>
      </c>
      <c r="J43" s="168" t="s">
        <v>102</v>
      </c>
      <c r="K43" s="169">
        <f>SUM(N43:O43)</f>
        <v>66382</v>
      </c>
      <c r="L43" s="170">
        <f t="shared" ref="L43:M43" si="70">SUM(L44:L45)</f>
        <v>21614</v>
      </c>
      <c r="M43" s="171">
        <f t="shared" si="70"/>
        <v>0</v>
      </c>
      <c r="N43" s="172">
        <f>SUM(L43:M43)</f>
        <v>21614</v>
      </c>
      <c r="O43" s="169">
        <f>SUM(P43:Y43)</f>
        <v>44768</v>
      </c>
      <c r="P43" s="173">
        <f t="shared" ref="P43:R43" si="71">SUM(P44:P45)</f>
        <v>4768</v>
      </c>
      <c r="Q43" s="171">
        <f t="shared" si="71"/>
        <v>40000</v>
      </c>
      <c r="R43" s="174">
        <f t="shared" si="71"/>
        <v>0</v>
      </c>
      <c r="S43" s="175">
        <f t="shared" ref="S43:Y43" si="72">SUM(S44:S45)</f>
        <v>0</v>
      </c>
      <c r="T43" s="171">
        <f t="shared" si="72"/>
        <v>0</v>
      </c>
      <c r="U43" s="171">
        <f t="shared" si="72"/>
        <v>0</v>
      </c>
      <c r="V43" s="171">
        <f t="shared" si="72"/>
        <v>0</v>
      </c>
      <c r="W43" s="171">
        <f t="shared" si="72"/>
        <v>0</v>
      </c>
      <c r="X43" s="171">
        <f t="shared" si="72"/>
        <v>0</v>
      </c>
      <c r="Y43" s="174">
        <f t="shared" si="72"/>
        <v>0</v>
      </c>
      <c r="Z43" s="149" t="str">
        <f t="shared" ca="1" si="6"/>
        <v>nie</v>
      </c>
      <c r="AA43" s="366"/>
      <c r="AB43" s="150" t="str">
        <f t="shared" ca="1" si="34"/>
        <v>-</v>
      </c>
      <c r="AC43" s="151" t="str">
        <f t="shared" ca="1" si="7"/>
        <v>PO ZMIANIE</v>
      </c>
      <c r="AD43" s="152" t="str">
        <f t="shared" ca="1" si="8"/>
        <v>PO ZMIANIE</v>
      </c>
      <c r="AE43" s="153" t="str">
        <f t="shared" ca="1" si="9"/>
        <v>C/USN/I/P2/10</v>
      </c>
      <c r="AF43" s="154" t="str">
        <f t="shared" ca="1" si="10"/>
        <v>Budowa ul. Kurantów - rozliczenie z deweloperem</v>
      </c>
      <c r="AG43" s="155">
        <f t="shared" ca="1" si="11"/>
        <v>60016</v>
      </c>
      <c r="AH43" s="155" t="str">
        <f t="shared" ca="1" si="12"/>
        <v>6050</v>
      </c>
      <c r="AI43" s="156" t="str">
        <f t="shared" ca="1" si="13"/>
        <v>GMMW</v>
      </c>
      <c r="AJ43" s="157" t="str">
        <f t="shared" ca="1" si="14"/>
        <v>WPF, w tym</v>
      </c>
      <c r="AK43" s="158" t="str">
        <f t="shared" ca="1" si="15"/>
        <v>C/USN/I/P2/10 60016 6050 GMMW</v>
      </c>
      <c r="AL43" s="158" t="str">
        <f t="shared" ca="1" si="16"/>
        <v>C/USN/I/P2/10 60016 6050 WPF, w tym</v>
      </c>
      <c r="AM43" s="159" t="str">
        <f t="shared" ca="1" si="17"/>
        <v>C/USN/I/P2/10 60016 6050 GMMW WPF, w tym</v>
      </c>
      <c r="AN43" s="160">
        <f t="shared" ca="1" si="18"/>
        <v>66382</v>
      </c>
      <c r="AO43" s="161">
        <f t="shared" ca="1" si="19"/>
        <v>21614</v>
      </c>
      <c r="AP43" s="162">
        <f t="shared" ca="1" si="20"/>
        <v>0</v>
      </c>
      <c r="AQ43" s="163">
        <f t="shared" ca="1" si="21"/>
        <v>4768</v>
      </c>
      <c r="AR43" s="164">
        <f t="shared" ca="1" si="22"/>
        <v>40000</v>
      </c>
      <c r="AS43" s="164">
        <f t="shared" ca="1" si="23"/>
        <v>0</v>
      </c>
      <c r="AT43" s="164">
        <f t="shared" ca="1" si="24"/>
        <v>0</v>
      </c>
      <c r="AU43" s="164">
        <f t="shared" ca="1" si="25"/>
        <v>0</v>
      </c>
      <c r="AV43" s="164">
        <f t="shared" ca="1" si="26"/>
        <v>0</v>
      </c>
      <c r="AW43" s="164">
        <f t="shared" ca="1" si="27"/>
        <v>0</v>
      </c>
      <c r="AX43" s="164">
        <f t="shared" ca="1" si="28"/>
        <v>0</v>
      </c>
      <c r="AY43" s="164">
        <f t="shared" ca="1" si="29"/>
        <v>0</v>
      </c>
      <c r="AZ43" s="164">
        <f t="shared" ca="1" si="30"/>
        <v>0</v>
      </c>
      <c r="BA43" s="165" t="str">
        <f t="shared" ca="1" si="31"/>
        <v>nie</v>
      </c>
      <c r="BB43" s="166" t="str">
        <f t="shared" ca="1" si="35"/>
        <v>-</v>
      </c>
      <c r="BC43" s="165" t="str">
        <f t="shared" ca="1" si="32"/>
        <v>nie</v>
      </c>
    </row>
    <row r="44" spans="1:55" s="167" customFormat="1" ht="14.45" hidden="1" customHeight="1" x14ac:dyDescent="0.25">
      <c r="A44" s="493"/>
      <c r="B44" s="493"/>
      <c r="C44" s="494"/>
      <c r="D44" s="512"/>
      <c r="E44" s="497"/>
      <c r="F44" s="497"/>
      <c r="G44" s="497"/>
      <c r="H44" s="498"/>
      <c r="I44" s="499"/>
      <c r="J44" s="177" t="s">
        <v>103</v>
      </c>
      <c r="K44" s="178">
        <f>SUM(N44:O44)</f>
        <v>44768</v>
      </c>
      <c r="L44" s="179"/>
      <c r="M44" s="180"/>
      <c r="N44" s="172">
        <f>SUM(L44:M44)</f>
        <v>0</v>
      </c>
      <c r="O44" s="178">
        <f>SUM(P44:Y44)</f>
        <v>44768</v>
      </c>
      <c r="P44" s="181">
        <f>4768</f>
        <v>4768</v>
      </c>
      <c r="Q44" s="180">
        <f>40000</f>
        <v>40000</v>
      </c>
      <c r="R44" s="182"/>
      <c r="S44" s="183"/>
      <c r="T44" s="180"/>
      <c r="U44" s="180"/>
      <c r="V44" s="180"/>
      <c r="W44" s="180"/>
      <c r="X44" s="180"/>
      <c r="Y44" s="182"/>
      <c r="Z44" s="149" t="str">
        <f t="shared" ca="1" si="6"/>
        <v>nie</v>
      </c>
      <c r="AA44" s="384"/>
      <c r="AB44" s="150" t="str">
        <f t="shared" ca="1" si="34"/>
        <v>-</v>
      </c>
      <c r="AC44" s="151" t="str">
        <f t="shared" ca="1" si="7"/>
        <v>PO ZMIANIE</v>
      </c>
      <c r="AD44" s="152" t="str">
        <f t="shared" ca="1" si="8"/>
        <v>PO ZMIANIE</v>
      </c>
      <c r="AE44" s="153" t="str">
        <f t="shared" ca="1" si="9"/>
        <v>C/USN/I/P2/10</v>
      </c>
      <c r="AF44" s="154" t="str">
        <f t="shared" ca="1" si="10"/>
        <v>Budowa ul. Kurantów - rozliczenie z deweloperem</v>
      </c>
      <c r="AG44" s="155">
        <f t="shared" ca="1" si="11"/>
        <v>60016</v>
      </c>
      <c r="AH44" s="155" t="str">
        <f t="shared" ca="1" si="12"/>
        <v>6050</v>
      </c>
      <c r="AI44" s="156" t="str">
        <f t="shared" ca="1" si="13"/>
        <v>GMMW</v>
      </c>
      <c r="AJ44" s="157" t="str">
        <f t="shared" ca="1" si="14"/>
        <v>WPF/PM</v>
      </c>
      <c r="AK44" s="158" t="str">
        <f t="shared" ca="1" si="15"/>
        <v>C/USN/I/P2/10 60016 6050 GMMW</v>
      </c>
      <c r="AL44" s="158" t="str">
        <f t="shared" ca="1" si="16"/>
        <v>C/USN/I/P2/10 60016 6050 WPF/PM</v>
      </c>
      <c r="AM44" s="159" t="str">
        <f t="shared" ca="1" si="17"/>
        <v>C/USN/I/P2/10 60016 6050 GMMW WPF/PM</v>
      </c>
      <c r="AN44" s="160">
        <f t="shared" ca="1" si="18"/>
        <v>44768</v>
      </c>
      <c r="AO44" s="161">
        <f t="shared" ca="1" si="19"/>
        <v>0</v>
      </c>
      <c r="AP44" s="162">
        <f t="shared" ca="1" si="20"/>
        <v>0</v>
      </c>
      <c r="AQ44" s="163">
        <f t="shared" ca="1" si="21"/>
        <v>4768</v>
      </c>
      <c r="AR44" s="164">
        <f t="shared" ca="1" si="22"/>
        <v>40000</v>
      </c>
      <c r="AS44" s="164">
        <f t="shared" ca="1" si="23"/>
        <v>0</v>
      </c>
      <c r="AT44" s="164">
        <f t="shared" ca="1" si="24"/>
        <v>0</v>
      </c>
      <c r="AU44" s="164">
        <f t="shared" ca="1" si="25"/>
        <v>0</v>
      </c>
      <c r="AV44" s="164">
        <f t="shared" ca="1" si="26"/>
        <v>0</v>
      </c>
      <c r="AW44" s="164">
        <f t="shared" ca="1" si="27"/>
        <v>0</v>
      </c>
      <c r="AX44" s="164">
        <f t="shared" ca="1" si="28"/>
        <v>0</v>
      </c>
      <c r="AY44" s="164">
        <f t="shared" ca="1" si="29"/>
        <v>0</v>
      </c>
      <c r="AZ44" s="164">
        <f t="shared" ca="1" si="30"/>
        <v>0</v>
      </c>
      <c r="BA44" s="165" t="str">
        <f t="shared" ca="1" si="31"/>
        <v>nie</v>
      </c>
      <c r="BB44" s="166" t="str">
        <f t="shared" ca="1" si="35"/>
        <v>-</v>
      </c>
      <c r="BC44" s="165" t="str">
        <f t="shared" ca="1" si="32"/>
        <v>nie</v>
      </c>
    </row>
    <row r="45" spans="1:55" s="167" customFormat="1" ht="14.45" hidden="1" customHeight="1" thickBot="1" x14ac:dyDescent="0.3">
      <c r="A45" s="500"/>
      <c r="B45" s="500"/>
      <c r="C45" s="501"/>
      <c r="D45" s="529"/>
      <c r="E45" s="503"/>
      <c r="F45" s="503"/>
      <c r="G45" s="503"/>
      <c r="H45" s="504"/>
      <c r="I45" s="499"/>
      <c r="J45" s="197" t="s">
        <v>104</v>
      </c>
      <c r="K45" s="198">
        <f>SUM(N45:O45)</f>
        <v>21614</v>
      </c>
      <c r="L45" s="199">
        <v>21614</v>
      </c>
      <c r="M45" s="200"/>
      <c r="N45" s="371">
        <f>SUM(L45:M45)</f>
        <v>21614</v>
      </c>
      <c r="O45" s="198">
        <f>SUM(P45:Y45)</f>
        <v>0</v>
      </c>
      <c r="P45" s="201"/>
      <c r="Q45" s="200"/>
      <c r="R45" s="202"/>
      <c r="S45" s="203"/>
      <c r="T45" s="200"/>
      <c r="U45" s="200"/>
      <c r="V45" s="200"/>
      <c r="W45" s="200"/>
      <c r="X45" s="200"/>
      <c r="Y45" s="202"/>
      <c r="Z45" s="149" t="str">
        <f t="shared" ca="1" si="6"/>
        <v>nie</v>
      </c>
      <c r="AA45" s="384"/>
      <c r="AB45" s="150" t="str">
        <f t="shared" ca="1" si="34"/>
        <v>-</v>
      </c>
      <c r="AC45" s="151" t="str">
        <f t="shared" ca="1" si="7"/>
        <v>PO ZMIANIE</v>
      </c>
      <c r="AD45" s="152" t="str">
        <f t="shared" ca="1" si="8"/>
        <v>PO ZMIANIE</v>
      </c>
      <c r="AE45" s="153" t="str">
        <f t="shared" ca="1" si="9"/>
        <v>C/USN/I/P2/10</v>
      </c>
      <c r="AF45" s="154" t="str">
        <f t="shared" ca="1" si="10"/>
        <v>Budowa ul. Kurantów - rozliczenie z deweloperem</v>
      </c>
      <c r="AG45" s="155">
        <f t="shared" ca="1" si="11"/>
        <v>60016</v>
      </c>
      <c r="AH45" s="155" t="str">
        <f t="shared" ca="1" si="12"/>
        <v>6050</v>
      </c>
      <c r="AI45" s="156" t="str">
        <f t="shared" ca="1" si="13"/>
        <v>GMMW</v>
      </c>
      <c r="AJ45" s="157" t="str">
        <f t="shared" ca="1" si="14"/>
        <v>WPF/UM</v>
      </c>
      <c r="AK45" s="158" t="str">
        <f t="shared" ca="1" si="15"/>
        <v>C/USN/I/P2/10 60016 6050 GMMW</v>
      </c>
      <c r="AL45" s="158" t="str">
        <f t="shared" ca="1" si="16"/>
        <v>C/USN/I/P2/10 60016 6050 WPF/UM</v>
      </c>
      <c r="AM45" s="159" t="str">
        <f t="shared" ca="1" si="17"/>
        <v>C/USN/I/P2/10 60016 6050 GMMW WPF/UM</v>
      </c>
      <c r="AN45" s="160">
        <f t="shared" ca="1" si="18"/>
        <v>21614</v>
      </c>
      <c r="AO45" s="161">
        <f t="shared" ca="1" si="19"/>
        <v>21614</v>
      </c>
      <c r="AP45" s="162">
        <f t="shared" ca="1" si="20"/>
        <v>0</v>
      </c>
      <c r="AQ45" s="163">
        <f t="shared" ca="1" si="21"/>
        <v>0</v>
      </c>
      <c r="AR45" s="164">
        <f t="shared" ca="1" si="22"/>
        <v>0</v>
      </c>
      <c r="AS45" s="164">
        <f t="shared" ca="1" si="23"/>
        <v>0</v>
      </c>
      <c r="AT45" s="164">
        <f t="shared" ca="1" si="24"/>
        <v>0</v>
      </c>
      <c r="AU45" s="164">
        <f t="shared" ca="1" si="25"/>
        <v>0</v>
      </c>
      <c r="AV45" s="164">
        <f t="shared" ca="1" si="26"/>
        <v>0</v>
      </c>
      <c r="AW45" s="164">
        <f t="shared" ca="1" si="27"/>
        <v>0</v>
      </c>
      <c r="AX45" s="164">
        <f t="shared" ca="1" si="28"/>
        <v>0</v>
      </c>
      <c r="AY45" s="164">
        <f t="shared" ca="1" si="29"/>
        <v>0</v>
      </c>
      <c r="AZ45" s="164">
        <f t="shared" ca="1" si="30"/>
        <v>0</v>
      </c>
      <c r="BA45" s="165" t="str">
        <f t="shared" ca="1" si="31"/>
        <v>nie</v>
      </c>
      <c r="BB45" s="166" t="str">
        <f t="shared" ca="1" si="35"/>
        <v>-</v>
      </c>
      <c r="BC45" s="165" t="str">
        <f t="shared" ca="1" si="32"/>
        <v>nie</v>
      </c>
    </row>
    <row r="46" spans="1:55" s="167" customFormat="1" ht="14.45" hidden="1" customHeight="1" x14ac:dyDescent="0.25">
      <c r="A46" s="143" t="s">
        <v>91</v>
      </c>
      <c r="B46" s="144"/>
      <c r="C46" s="145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6"/>
      <c r="S46" s="147"/>
      <c r="T46" s="147"/>
      <c r="U46" s="147"/>
      <c r="V46" s="147"/>
      <c r="W46" s="147"/>
      <c r="X46" s="147"/>
      <c r="Y46" s="148"/>
      <c r="Z46" s="149" t="str">
        <f t="shared" ca="1" si="6"/>
        <v>nie</v>
      </c>
      <c r="AA46" s="366"/>
      <c r="AB46" s="150" t="str">
        <f t="shared" ca="1" si="34"/>
        <v>-</v>
      </c>
      <c r="AC46" s="151" t="str">
        <f t="shared" ca="1" si="7"/>
        <v>PRZED ZMIANĄ</v>
      </c>
      <c r="AD46" s="152" t="str">
        <f t="shared" ca="1" si="8"/>
        <v/>
      </c>
      <c r="AE46" s="153" t="str">
        <f t="shared" ca="1" si="9"/>
        <v/>
      </c>
      <c r="AF46" s="154" t="str">
        <f t="shared" ca="1" si="10"/>
        <v/>
      </c>
      <c r="AG46" s="155" t="str">
        <f t="shared" ca="1" si="11"/>
        <v/>
      </c>
      <c r="AH46" s="155" t="str">
        <f t="shared" ca="1" si="12"/>
        <v/>
      </c>
      <c r="AI46" s="156" t="str">
        <f t="shared" ca="1" si="13"/>
        <v/>
      </c>
      <c r="AJ46" s="157" t="str">
        <f t="shared" ca="1" si="14"/>
        <v/>
      </c>
      <c r="AK46" s="158" t="str">
        <f t="shared" ca="1" si="15"/>
        <v/>
      </c>
      <c r="AL46" s="158" t="str">
        <f t="shared" ca="1" si="16"/>
        <v/>
      </c>
      <c r="AM46" s="159" t="str">
        <f t="shared" ca="1" si="17"/>
        <v/>
      </c>
      <c r="AN46" s="160" t="str">
        <f t="shared" ca="1" si="18"/>
        <v/>
      </c>
      <c r="AO46" s="161" t="str">
        <f t="shared" ca="1" si="19"/>
        <v/>
      </c>
      <c r="AP46" s="162" t="str">
        <f t="shared" ca="1" si="20"/>
        <v/>
      </c>
      <c r="AQ46" s="163" t="str">
        <f t="shared" ca="1" si="21"/>
        <v/>
      </c>
      <c r="AR46" s="164" t="str">
        <f t="shared" ca="1" si="22"/>
        <v/>
      </c>
      <c r="AS46" s="164" t="str">
        <f t="shared" ca="1" si="23"/>
        <v/>
      </c>
      <c r="AT46" s="164" t="str">
        <f t="shared" ca="1" si="24"/>
        <v/>
      </c>
      <c r="AU46" s="164" t="str">
        <f t="shared" ca="1" si="25"/>
        <v/>
      </c>
      <c r="AV46" s="164" t="str">
        <f t="shared" ca="1" si="26"/>
        <v/>
      </c>
      <c r="AW46" s="164" t="str">
        <f t="shared" ca="1" si="27"/>
        <v/>
      </c>
      <c r="AX46" s="164" t="str">
        <f t="shared" ca="1" si="28"/>
        <v/>
      </c>
      <c r="AY46" s="164" t="str">
        <f t="shared" ca="1" si="29"/>
        <v/>
      </c>
      <c r="AZ46" s="164" t="str">
        <f t="shared" ca="1" si="30"/>
        <v/>
      </c>
      <c r="BA46" s="165" t="str">
        <f t="shared" ca="1" si="31"/>
        <v>nie</v>
      </c>
      <c r="BB46" s="166" t="str">
        <f t="shared" ca="1" si="35"/>
        <v>-</v>
      </c>
      <c r="BC46" s="165" t="str">
        <f t="shared" ca="1" si="32"/>
        <v>nie</v>
      </c>
    </row>
    <row r="47" spans="1:55" s="176" customFormat="1" ht="14.45" hidden="1" customHeight="1" x14ac:dyDescent="0.25">
      <c r="A47" s="493" t="s">
        <v>24</v>
      </c>
      <c r="B47" s="493" t="s">
        <v>26</v>
      </c>
      <c r="C47" s="530" t="s">
        <v>109</v>
      </c>
      <c r="D47" s="511" t="s">
        <v>110</v>
      </c>
      <c r="E47" s="497">
        <v>600</v>
      </c>
      <c r="F47" s="497">
        <v>60016</v>
      </c>
      <c r="G47" s="497">
        <v>6060</v>
      </c>
      <c r="H47" s="507">
        <v>2016</v>
      </c>
      <c r="I47" s="499" t="str">
        <f ca="1">IF(COUNTIF(OFFSET(I47,-1,-8),"*propon*")&gt;0,OFFSET(I47,4,0),IF(Y47&gt;0,"2033",IF(X47&gt;0,"2032",IF(W47&gt;0,"2031",IF(V47&gt;0,"2030",IF(U47&gt;0,"2029",IF(T47&gt;0,"2028",IF(S47&gt;0,"2027",IF(R47&gt;0,"2026",IF(Q47&gt;0,"2025",IF(P47&gt;0,"2024",IF(M47&gt;0,"2023",IF(L47&gt;0,"2022","")))))))))))))</f>
        <v>2024</v>
      </c>
      <c r="J47" s="168" t="s">
        <v>94</v>
      </c>
      <c r="K47" s="169">
        <f>SUM(N47:O47)</f>
        <v>856197</v>
      </c>
      <c r="L47" s="170">
        <f t="shared" ref="L47:M47" si="73">SUM(L48:L49)</f>
        <v>850879</v>
      </c>
      <c r="M47" s="171">
        <f t="shared" si="73"/>
        <v>0</v>
      </c>
      <c r="N47" s="172">
        <f>SUM(L47:M47)</f>
        <v>850879</v>
      </c>
      <c r="O47" s="169">
        <f>SUM(P47:Y47)</f>
        <v>5318</v>
      </c>
      <c r="P47" s="173">
        <f t="shared" ref="P47:R47" si="74">SUM(P48:P49)</f>
        <v>5318</v>
      </c>
      <c r="Q47" s="171">
        <f t="shared" si="74"/>
        <v>0</v>
      </c>
      <c r="R47" s="174">
        <f t="shared" si="74"/>
        <v>0</v>
      </c>
      <c r="S47" s="175">
        <f t="shared" ref="S47:Y47" si="75">SUM(S48:S49)</f>
        <v>0</v>
      </c>
      <c r="T47" s="171">
        <f t="shared" si="75"/>
        <v>0</v>
      </c>
      <c r="U47" s="171">
        <f t="shared" si="75"/>
        <v>0</v>
      </c>
      <c r="V47" s="171">
        <f t="shared" si="75"/>
        <v>0</v>
      </c>
      <c r="W47" s="171">
        <f t="shared" si="75"/>
        <v>0</v>
      </c>
      <c r="X47" s="171">
        <f t="shared" si="75"/>
        <v>0</v>
      </c>
      <c r="Y47" s="174">
        <f t="shared" si="75"/>
        <v>0</v>
      </c>
      <c r="Z47" s="149" t="str">
        <f t="shared" ca="1" si="6"/>
        <v>nie</v>
      </c>
      <c r="AA47" s="366"/>
      <c r="AB47" s="150" t="str">
        <f t="shared" ca="1" si="34"/>
        <v>-</v>
      </c>
      <c r="AC47" s="151" t="str">
        <f t="shared" ca="1" si="7"/>
        <v>PRZED ZMIANĄ</v>
      </c>
      <c r="AD47" s="152" t="str">
        <f t="shared" ca="1" si="8"/>
        <v>PRZED ZMIANĄ</v>
      </c>
      <c r="AE47" s="153" t="str">
        <f t="shared" ca="1" si="9"/>
        <v>C/USN/I/P2/21</v>
      </c>
      <c r="AF47" s="154" t="str">
        <f t="shared" ca="1" si="10"/>
        <v>Nabycie gruntów pod budowę ul. Wędrowców - rozliczenie z deweloperem</v>
      </c>
      <c r="AG47" s="155">
        <f t="shared" ca="1" si="11"/>
        <v>60016</v>
      </c>
      <c r="AH47" s="155" t="str">
        <f t="shared" ca="1" si="12"/>
        <v>6060</v>
      </c>
      <c r="AI47" s="156" t="str">
        <f t="shared" ca="1" si="13"/>
        <v>GMMW</v>
      </c>
      <c r="AJ47" s="157" t="str">
        <f t="shared" ca="1" si="14"/>
        <v>WPF, w tym</v>
      </c>
      <c r="AK47" s="158" t="str">
        <f t="shared" ca="1" si="15"/>
        <v>C/USN/I/P2/21 60016 6060 GMMW</v>
      </c>
      <c r="AL47" s="158" t="str">
        <f t="shared" ca="1" si="16"/>
        <v>C/USN/I/P2/21 60016 6060 WPF, w tym</v>
      </c>
      <c r="AM47" s="159" t="str">
        <f t="shared" ca="1" si="17"/>
        <v>C/USN/I/P2/21 60016 6060 GMMW WPF, w tym</v>
      </c>
      <c r="AN47" s="160">
        <f t="shared" ca="1" si="18"/>
        <v>856197</v>
      </c>
      <c r="AO47" s="161">
        <f t="shared" ca="1" si="19"/>
        <v>850879</v>
      </c>
      <c r="AP47" s="162">
        <f t="shared" ca="1" si="20"/>
        <v>0</v>
      </c>
      <c r="AQ47" s="163">
        <f t="shared" ca="1" si="21"/>
        <v>5318</v>
      </c>
      <c r="AR47" s="164">
        <f t="shared" ca="1" si="22"/>
        <v>0</v>
      </c>
      <c r="AS47" s="164">
        <f t="shared" ca="1" si="23"/>
        <v>0</v>
      </c>
      <c r="AT47" s="164">
        <f t="shared" ca="1" si="24"/>
        <v>0</v>
      </c>
      <c r="AU47" s="164">
        <f t="shared" ca="1" si="25"/>
        <v>0</v>
      </c>
      <c r="AV47" s="164">
        <f t="shared" ca="1" si="26"/>
        <v>0</v>
      </c>
      <c r="AW47" s="164">
        <f t="shared" ca="1" si="27"/>
        <v>0</v>
      </c>
      <c r="AX47" s="164">
        <f t="shared" ca="1" si="28"/>
        <v>0</v>
      </c>
      <c r="AY47" s="164">
        <f t="shared" ca="1" si="29"/>
        <v>0</v>
      </c>
      <c r="AZ47" s="164">
        <f t="shared" ca="1" si="30"/>
        <v>0</v>
      </c>
      <c r="BA47" s="165" t="str">
        <f t="shared" ca="1" si="31"/>
        <v>nie</v>
      </c>
      <c r="BB47" s="166" t="str">
        <f t="shared" ca="1" si="35"/>
        <v>-</v>
      </c>
      <c r="BC47" s="165" t="str">
        <f t="shared" ca="1" si="32"/>
        <v>nie</v>
      </c>
    </row>
    <row r="48" spans="1:55" s="167" customFormat="1" ht="14.45" hidden="1" customHeight="1" x14ac:dyDescent="0.25">
      <c r="A48" s="493"/>
      <c r="B48" s="493"/>
      <c r="C48" s="530"/>
      <c r="D48" s="512"/>
      <c r="E48" s="497"/>
      <c r="F48" s="497"/>
      <c r="G48" s="497"/>
      <c r="H48" s="498"/>
      <c r="I48" s="499"/>
      <c r="J48" s="177" t="s">
        <v>95</v>
      </c>
      <c r="K48" s="178">
        <f>SUM(N48:O48)</f>
        <v>5318</v>
      </c>
      <c r="L48" s="179"/>
      <c r="M48" s="180"/>
      <c r="N48" s="172">
        <f>SUM(L48:M48)</f>
        <v>0</v>
      </c>
      <c r="O48" s="178">
        <f>SUM(P48:Y48)</f>
        <v>5318</v>
      </c>
      <c r="P48" s="181">
        <v>5318</v>
      </c>
      <c r="Q48" s="180"/>
      <c r="R48" s="182"/>
      <c r="S48" s="183"/>
      <c r="T48" s="180"/>
      <c r="U48" s="180"/>
      <c r="V48" s="180"/>
      <c r="W48" s="180"/>
      <c r="X48" s="180"/>
      <c r="Y48" s="182"/>
      <c r="Z48" s="149" t="str">
        <f t="shared" ca="1" si="6"/>
        <v>nie</v>
      </c>
      <c r="AA48" s="366"/>
      <c r="AB48" s="150" t="str">
        <f t="shared" ca="1" si="34"/>
        <v>-</v>
      </c>
      <c r="AC48" s="151" t="str">
        <f t="shared" ca="1" si="7"/>
        <v>PRZED ZMIANĄ</v>
      </c>
      <c r="AD48" s="152" t="str">
        <f t="shared" ca="1" si="8"/>
        <v>PRZED ZMIANĄ</v>
      </c>
      <c r="AE48" s="153" t="str">
        <f t="shared" ca="1" si="9"/>
        <v>C/USN/I/P2/21</v>
      </c>
      <c r="AF48" s="154" t="str">
        <f t="shared" ca="1" si="10"/>
        <v>Nabycie gruntów pod budowę ul. Wędrowców - rozliczenie z deweloperem</v>
      </c>
      <c r="AG48" s="155">
        <f t="shared" ca="1" si="11"/>
        <v>60016</v>
      </c>
      <c r="AH48" s="155" t="str">
        <f t="shared" ca="1" si="12"/>
        <v>6060</v>
      </c>
      <c r="AI48" s="156" t="str">
        <f t="shared" ca="1" si="13"/>
        <v>GMMW</v>
      </c>
      <c r="AJ48" s="157" t="str">
        <f t="shared" ca="1" si="14"/>
        <v>WPF/PM</v>
      </c>
      <c r="AK48" s="158" t="str">
        <f t="shared" ca="1" si="15"/>
        <v>C/USN/I/P2/21 60016 6060 GMMW</v>
      </c>
      <c r="AL48" s="158" t="str">
        <f t="shared" ca="1" si="16"/>
        <v>C/USN/I/P2/21 60016 6060 WPF/PM</v>
      </c>
      <c r="AM48" s="159" t="str">
        <f t="shared" ca="1" si="17"/>
        <v>C/USN/I/P2/21 60016 6060 GMMW WPF/PM</v>
      </c>
      <c r="AN48" s="160">
        <f t="shared" ca="1" si="18"/>
        <v>5318</v>
      </c>
      <c r="AO48" s="161">
        <f t="shared" ca="1" si="19"/>
        <v>0</v>
      </c>
      <c r="AP48" s="162">
        <f t="shared" ca="1" si="20"/>
        <v>0</v>
      </c>
      <c r="AQ48" s="163">
        <f t="shared" ca="1" si="21"/>
        <v>5318</v>
      </c>
      <c r="AR48" s="164">
        <f t="shared" ca="1" si="22"/>
        <v>0</v>
      </c>
      <c r="AS48" s="164">
        <f t="shared" ca="1" si="23"/>
        <v>0</v>
      </c>
      <c r="AT48" s="164">
        <f t="shared" ca="1" si="24"/>
        <v>0</v>
      </c>
      <c r="AU48" s="164">
        <f t="shared" ca="1" si="25"/>
        <v>0</v>
      </c>
      <c r="AV48" s="164">
        <f t="shared" ca="1" si="26"/>
        <v>0</v>
      </c>
      <c r="AW48" s="164">
        <f t="shared" ca="1" si="27"/>
        <v>0</v>
      </c>
      <c r="AX48" s="164">
        <f t="shared" ca="1" si="28"/>
        <v>0</v>
      </c>
      <c r="AY48" s="164">
        <f t="shared" ca="1" si="29"/>
        <v>0</v>
      </c>
      <c r="AZ48" s="164">
        <f t="shared" ca="1" si="30"/>
        <v>0</v>
      </c>
      <c r="BA48" s="165" t="str">
        <f t="shared" ca="1" si="31"/>
        <v>nie</v>
      </c>
      <c r="BB48" s="166" t="str">
        <f t="shared" ca="1" si="35"/>
        <v>-</v>
      </c>
      <c r="BC48" s="165" t="str">
        <f t="shared" ca="1" si="32"/>
        <v>nie</v>
      </c>
    </row>
    <row r="49" spans="1:55" s="167" customFormat="1" ht="14.45" hidden="1" customHeight="1" x14ac:dyDescent="0.25">
      <c r="A49" s="493"/>
      <c r="B49" s="493"/>
      <c r="C49" s="530"/>
      <c r="D49" s="512"/>
      <c r="E49" s="497"/>
      <c r="F49" s="497"/>
      <c r="G49" s="497"/>
      <c r="H49" s="498"/>
      <c r="I49" s="499"/>
      <c r="J49" s="177" t="s">
        <v>96</v>
      </c>
      <c r="K49" s="178">
        <f>SUM(N49:O49)</f>
        <v>850879</v>
      </c>
      <c r="L49" s="184">
        <v>850879</v>
      </c>
      <c r="M49" s="180"/>
      <c r="N49" s="172">
        <f>SUM(L49:M49)</f>
        <v>850879</v>
      </c>
      <c r="O49" s="178">
        <f>SUM(P49:Y49)</f>
        <v>0</v>
      </c>
      <c r="P49" s="181"/>
      <c r="Q49" s="180"/>
      <c r="R49" s="182"/>
      <c r="S49" s="183"/>
      <c r="T49" s="180"/>
      <c r="U49" s="180"/>
      <c r="V49" s="180"/>
      <c r="W49" s="180"/>
      <c r="X49" s="180"/>
      <c r="Y49" s="182"/>
      <c r="Z49" s="149" t="str">
        <f t="shared" ca="1" si="6"/>
        <v>nie</v>
      </c>
      <c r="AA49" s="366"/>
      <c r="AB49" s="150" t="str">
        <f t="shared" ca="1" si="34"/>
        <v>-</v>
      </c>
      <c r="AC49" s="151" t="str">
        <f t="shared" ca="1" si="7"/>
        <v>PRZED ZMIANĄ</v>
      </c>
      <c r="AD49" s="152" t="str">
        <f t="shared" ca="1" si="8"/>
        <v>PRZED ZMIANĄ</v>
      </c>
      <c r="AE49" s="153" t="str">
        <f t="shared" ca="1" si="9"/>
        <v>C/USN/I/P2/21</v>
      </c>
      <c r="AF49" s="154" t="str">
        <f t="shared" ca="1" si="10"/>
        <v>Nabycie gruntów pod budowę ul. Wędrowców - rozliczenie z deweloperem</v>
      </c>
      <c r="AG49" s="155">
        <f t="shared" ca="1" si="11"/>
        <v>60016</v>
      </c>
      <c r="AH49" s="155" t="str">
        <f t="shared" ca="1" si="12"/>
        <v>6060</v>
      </c>
      <c r="AI49" s="156" t="str">
        <f t="shared" ca="1" si="13"/>
        <v>GMMW</v>
      </c>
      <c r="AJ49" s="157" t="str">
        <f t="shared" ca="1" si="14"/>
        <v>WPF/UM</v>
      </c>
      <c r="AK49" s="158" t="str">
        <f t="shared" ca="1" si="15"/>
        <v>C/USN/I/P2/21 60016 6060 GMMW</v>
      </c>
      <c r="AL49" s="158" t="str">
        <f t="shared" ca="1" si="16"/>
        <v>C/USN/I/P2/21 60016 6060 WPF/UM</v>
      </c>
      <c r="AM49" s="159" t="str">
        <f t="shared" ca="1" si="17"/>
        <v>C/USN/I/P2/21 60016 6060 GMMW WPF/UM</v>
      </c>
      <c r="AN49" s="160">
        <f t="shared" ca="1" si="18"/>
        <v>850879</v>
      </c>
      <c r="AO49" s="161">
        <f t="shared" ca="1" si="19"/>
        <v>850879</v>
      </c>
      <c r="AP49" s="162">
        <f t="shared" ca="1" si="20"/>
        <v>0</v>
      </c>
      <c r="AQ49" s="163">
        <f t="shared" ca="1" si="21"/>
        <v>0</v>
      </c>
      <c r="AR49" s="164">
        <f t="shared" ca="1" si="22"/>
        <v>0</v>
      </c>
      <c r="AS49" s="164">
        <f t="shared" ca="1" si="23"/>
        <v>0</v>
      </c>
      <c r="AT49" s="164">
        <f t="shared" ca="1" si="24"/>
        <v>0</v>
      </c>
      <c r="AU49" s="164">
        <f t="shared" ca="1" si="25"/>
        <v>0</v>
      </c>
      <c r="AV49" s="164">
        <f t="shared" ca="1" si="26"/>
        <v>0</v>
      </c>
      <c r="AW49" s="164">
        <f t="shared" ca="1" si="27"/>
        <v>0</v>
      </c>
      <c r="AX49" s="164">
        <f t="shared" ca="1" si="28"/>
        <v>0</v>
      </c>
      <c r="AY49" s="164">
        <f t="shared" ca="1" si="29"/>
        <v>0</v>
      </c>
      <c r="AZ49" s="164">
        <f t="shared" ca="1" si="30"/>
        <v>0</v>
      </c>
      <c r="BA49" s="165" t="str">
        <f t="shared" ca="1" si="31"/>
        <v>nie</v>
      </c>
      <c r="BB49" s="166" t="str">
        <f t="shared" ca="1" si="35"/>
        <v>-</v>
      </c>
      <c r="BC49" s="165" t="str">
        <f t="shared" ca="1" si="32"/>
        <v>nie</v>
      </c>
    </row>
    <row r="50" spans="1:55" s="167" customFormat="1" ht="14.45" hidden="1" customHeight="1" x14ac:dyDescent="0.25">
      <c r="A50" s="185" t="s">
        <v>97</v>
      </c>
      <c r="B50" s="186"/>
      <c r="C50" s="187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8"/>
      <c r="S50" s="189"/>
      <c r="T50" s="189"/>
      <c r="U50" s="189"/>
      <c r="V50" s="189"/>
      <c r="W50" s="189"/>
      <c r="X50" s="189"/>
      <c r="Y50" s="190"/>
      <c r="Z50" s="149" t="str">
        <f t="shared" ca="1" si="6"/>
        <v>nie</v>
      </c>
      <c r="AA50" s="366"/>
      <c r="AB50" s="150" t="str">
        <f t="shared" ca="1" si="34"/>
        <v>-</v>
      </c>
      <c r="AC50" s="151" t="str">
        <f t="shared" ca="1" si="7"/>
        <v>PROPONOWANA ZMIANA</v>
      </c>
      <c r="AD50" s="152" t="str">
        <f t="shared" ca="1" si="8"/>
        <v/>
      </c>
      <c r="AE50" s="153" t="str">
        <f t="shared" ca="1" si="9"/>
        <v/>
      </c>
      <c r="AF50" s="154" t="str">
        <f t="shared" ca="1" si="10"/>
        <v/>
      </c>
      <c r="AG50" s="155" t="str">
        <f t="shared" ca="1" si="11"/>
        <v/>
      </c>
      <c r="AH50" s="155" t="str">
        <f t="shared" ca="1" si="12"/>
        <v/>
      </c>
      <c r="AI50" s="156" t="str">
        <f t="shared" ca="1" si="13"/>
        <v/>
      </c>
      <c r="AJ50" s="157" t="str">
        <f t="shared" ca="1" si="14"/>
        <v/>
      </c>
      <c r="AK50" s="158" t="str">
        <f t="shared" ca="1" si="15"/>
        <v/>
      </c>
      <c r="AL50" s="158" t="str">
        <f t="shared" ca="1" si="16"/>
        <v/>
      </c>
      <c r="AM50" s="159" t="str">
        <f t="shared" ca="1" si="17"/>
        <v/>
      </c>
      <c r="AN50" s="160" t="str">
        <f t="shared" ca="1" si="18"/>
        <v/>
      </c>
      <c r="AO50" s="161" t="str">
        <f t="shared" ca="1" si="19"/>
        <v/>
      </c>
      <c r="AP50" s="162" t="str">
        <f t="shared" ca="1" si="20"/>
        <v/>
      </c>
      <c r="AQ50" s="163" t="str">
        <f t="shared" ca="1" si="21"/>
        <v/>
      </c>
      <c r="AR50" s="164" t="str">
        <f t="shared" ca="1" si="22"/>
        <v/>
      </c>
      <c r="AS50" s="164" t="str">
        <f t="shared" ca="1" si="23"/>
        <v/>
      </c>
      <c r="AT50" s="164" t="str">
        <f t="shared" ca="1" si="24"/>
        <v/>
      </c>
      <c r="AU50" s="164" t="str">
        <f t="shared" ca="1" si="25"/>
        <v/>
      </c>
      <c r="AV50" s="164" t="str">
        <f t="shared" ca="1" si="26"/>
        <v/>
      </c>
      <c r="AW50" s="164" t="str">
        <f t="shared" ca="1" si="27"/>
        <v/>
      </c>
      <c r="AX50" s="164" t="str">
        <f t="shared" ca="1" si="28"/>
        <v/>
      </c>
      <c r="AY50" s="164" t="str">
        <f t="shared" ca="1" si="29"/>
        <v/>
      </c>
      <c r="AZ50" s="164" t="str">
        <f t="shared" ca="1" si="30"/>
        <v/>
      </c>
      <c r="BA50" s="165" t="str">
        <f t="shared" ca="1" si="31"/>
        <v>nie</v>
      </c>
      <c r="BB50" s="166" t="str">
        <f t="shared" ca="1" si="35"/>
        <v>-</v>
      </c>
      <c r="BC50" s="165" t="str">
        <f t="shared" ca="1" si="32"/>
        <v>nie</v>
      </c>
    </row>
    <row r="51" spans="1:55" s="176" customFormat="1" ht="14.45" hidden="1" customHeight="1" x14ac:dyDescent="0.25">
      <c r="A51" s="493" t="s">
        <v>24</v>
      </c>
      <c r="B51" s="493" t="s">
        <v>26</v>
      </c>
      <c r="C51" s="530" t="s">
        <v>109</v>
      </c>
      <c r="D51" s="511" t="s">
        <v>110</v>
      </c>
      <c r="E51" s="497">
        <v>600</v>
      </c>
      <c r="F51" s="497">
        <v>60016</v>
      </c>
      <c r="G51" s="497">
        <v>6060</v>
      </c>
      <c r="H51" s="507">
        <v>2016</v>
      </c>
      <c r="I51" s="499" t="str">
        <f ca="1">IF(COUNTIF(OFFSET(I51,-1,-8),"*propon*")&gt;0,OFFSET(I51,4,0),IF(Y51&gt;0,"2033",IF(X51&gt;0,"2032",IF(W51&gt;0,"2031",IF(V51&gt;0,"2030",IF(U51&gt;0,"2029",IF(T51&gt;0,"2028",IF(S51&gt;0,"2027",IF(R51&gt;0,"2026",IF(Q51&gt;0,"2025",IF(P51&gt;0,"2024",IF(M51&gt;0,"2023",IF(L51&gt;0,"2022","")))))))))))))</f>
        <v>2024</v>
      </c>
      <c r="J51" s="168" t="s">
        <v>98</v>
      </c>
      <c r="K51" s="169">
        <f>SUM(N51:O51)</f>
        <v>0</v>
      </c>
      <c r="L51" s="170">
        <f t="shared" ref="L51:M51" si="76">SUM(L52:L53)</f>
        <v>0</v>
      </c>
      <c r="M51" s="171">
        <f t="shared" si="76"/>
        <v>0</v>
      </c>
      <c r="N51" s="172">
        <f>SUM(L51:M51)</f>
        <v>0</v>
      </c>
      <c r="O51" s="169">
        <f>SUM(P51:Y51)</f>
        <v>0</v>
      </c>
      <c r="P51" s="173">
        <f t="shared" ref="P51:R51" si="77">SUM(P52:P53)</f>
        <v>0</v>
      </c>
      <c r="Q51" s="171">
        <f t="shared" si="77"/>
        <v>0</v>
      </c>
      <c r="R51" s="174">
        <f t="shared" si="77"/>
        <v>0</v>
      </c>
      <c r="S51" s="175">
        <f t="shared" ref="S51:Y51" si="78">SUM(S52:S53)</f>
        <v>0</v>
      </c>
      <c r="T51" s="171">
        <f t="shared" si="78"/>
        <v>0</v>
      </c>
      <c r="U51" s="171">
        <f t="shared" si="78"/>
        <v>0</v>
      </c>
      <c r="V51" s="171">
        <f t="shared" si="78"/>
        <v>0</v>
      </c>
      <c r="W51" s="171">
        <f t="shared" si="78"/>
        <v>0</v>
      </c>
      <c r="X51" s="171">
        <f t="shared" si="78"/>
        <v>0</v>
      </c>
      <c r="Y51" s="174">
        <f t="shared" si="78"/>
        <v>0</v>
      </c>
      <c r="Z51" s="149" t="str">
        <f t="shared" ca="1" si="6"/>
        <v>nie</v>
      </c>
      <c r="AA51" s="366"/>
      <c r="AB51" s="150" t="str">
        <f t="shared" ca="1" si="34"/>
        <v>-</v>
      </c>
      <c r="AC51" s="151" t="str">
        <f t="shared" ca="1" si="7"/>
        <v>PROPONOWANA ZMIANA</v>
      </c>
      <c r="AD51" s="152" t="str">
        <f t="shared" ca="1" si="8"/>
        <v>PROPONOWANA ZMIANA</v>
      </c>
      <c r="AE51" s="153" t="str">
        <f t="shared" ca="1" si="9"/>
        <v>C/USN/I/P2/21</v>
      </c>
      <c r="AF51" s="154" t="str">
        <f t="shared" ca="1" si="10"/>
        <v>Nabycie gruntów pod budowę ul. Wędrowców - rozliczenie z deweloperem</v>
      </c>
      <c r="AG51" s="155">
        <f t="shared" ca="1" si="11"/>
        <v>60016</v>
      </c>
      <c r="AH51" s="155" t="str">
        <f t="shared" ca="1" si="12"/>
        <v>6060</v>
      </c>
      <c r="AI51" s="156" t="str">
        <f t="shared" ca="1" si="13"/>
        <v>GMMW</v>
      </c>
      <c r="AJ51" s="157" t="str">
        <f t="shared" ca="1" si="14"/>
        <v>WPF, w tym</v>
      </c>
      <c r="AK51" s="158" t="str">
        <f t="shared" ca="1" si="15"/>
        <v>C/USN/I/P2/21 60016 6060 GMMW</v>
      </c>
      <c r="AL51" s="158" t="str">
        <f t="shared" ca="1" si="16"/>
        <v>C/USN/I/P2/21 60016 6060 WPF, w tym</v>
      </c>
      <c r="AM51" s="159" t="str">
        <f t="shared" ca="1" si="17"/>
        <v>C/USN/I/P2/21 60016 6060 GMMW WPF, w tym</v>
      </c>
      <c r="AN51" s="160">
        <f t="shared" ca="1" si="18"/>
        <v>0</v>
      </c>
      <c r="AO51" s="161">
        <f t="shared" ca="1" si="19"/>
        <v>0</v>
      </c>
      <c r="AP51" s="162">
        <f t="shared" ca="1" si="20"/>
        <v>0</v>
      </c>
      <c r="AQ51" s="163">
        <f t="shared" ca="1" si="21"/>
        <v>0</v>
      </c>
      <c r="AR51" s="164">
        <f t="shared" ca="1" si="22"/>
        <v>0</v>
      </c>
      <c r="AS51" s="164">
        <f t="shared" ca="1" si="23"/>
        <v>0</v>
      </c>
      <c r="AT51" s="164">
        <f t="shared" ca="1" si="24"/>
        <v>0</v>
      </c>
      <c r="AU51" s="164">
        <f t="shared" ca="1" si="25"/>
        <v>0</v>
      </c>
      <c r="AV51" s="164">
        <f t="shared" ca="1" si="26"/>
        <v>0</v>
      </c>
      <c r="AW51" s="164">
        <f t="shared" ca="1" si="27"/>
        <v>0</v>
      </c>
      <c r="AX51" s="164">
        <f t="shared" ca="1" si="28"/>
        <v>0</v>
      </c>
      <c r="AY51" s="164">
        <f t="shared" ca="1" si="29"/>
        <v>0</v>
      </c>
      <c r="AZ51" s="164">
        <f t="shared" ca="1" si="30"/>
        <v>0</v>
      </c>
      <c r="BA51" s="165" t="str">
        <f t="shared" ca="1" si="31"/>
        <v>nie</v>
      </c>
      <c r="BB51" s="166" t="str">
        <f t="shared" ca="1" si="35"/>
        <v>-</v>
      </c>
      <c r="BC51" s="165" t="str">
        <f t="shared" ca="1" si="32"/>
        <v>nie</v>
      </c>
    </row>
    <row r="52" spans="1:55" s="167" customFormat="1" ht="14.45" hidden="1" customHeight="1" x14ac:dyDescent="0.25">
      <c r="A52" s="493"/>
      <c r="B52" s="493"/>
      <c r="C52" s="530"/>
      <c r="D52" s="512"/>
      <c r="E52" s="497"/>
      <c r="F52" s="497"/>
      <c r="G52" s="497"/>
      <c r="H52" s="498"/>
      <c r="I52" s="499"/>
      <c r="J52" s="177" t="s">
        <v>99</v>
      </c>
      <c r="K52" s="178">
        <f>SUM(N52:O52)</f>
        <v>0</v>
      </c>
      <c r="L52" s="179">
        <f t="shared" ref="L52:M52" si="79">L56-L48</f>
        <v>0</v>
      </c>
      <c r="M52" s="180">
        <f t="shared" si="79"/>
        <v>0</v>
      </c>
      <c r="N52" s="172">
        <f>SUM(L52:M52)</f>
        <v>0</v>
      </c>
      <c r="O52" s="178">
        <f>SUM(P52:Y52)</f>
        <v>0</v>
      </c>
      <c r="P52" s="181">
        <f t="shared" ref="P52:R52" si="80">P56-P48</f>
        <v>0</v>
      </c>
      <c r="Q52" s="180">
        <f t="shared" si="80"/>
        <v>0</v>
      </c>
      <c r="R52" s="182">
        <f t="shared" si="80"/>
        <v>0</v>
      </c>
      <c r="S52" s="183">
        <f t="shared" ref="S52:Y53" si="81">S56-S48</f>
        <v>0</v>
      </c>
      <c r="T52" s="180">
        <f t="shared" si="81"/>
        <v>0</v>
      </c>
      <c r="U52" s="180">
        <f t="shared" si="81"/>
        <v>0</v>
      </c>
      <c r="V52" s="180">
        <f t="shared" si="81"/>
        <v>0</v>
      </c>
      <c r="W52" s="180">
        <f t="shared" si="81"/>
        <v>0</v>
      </c>
      <c r="X52" s="180">
        <f t="shared" si="81"/>
        <v>0</v>
      </c>
      <c r="Y52" s="182">
        <f t="shared" si="81"/>
        <v>0</v>
      </c>
      <c r="Z52" s="149" t="str">
        <f t="shared" ca="1" si="6"/>
        <v>nie</v>
      </c>
      <c r="AA52" s="366"/>
      <c r="AB52" s="150" t="str">
        <f t="shared" ca="1" si="34"/>
        <v>-</v>
      </c>
      <c r="AC52" s="151" t="str">
        <f t="shared" ca="1" si="7"/>
        <v>PROPONOWANA ZMIANA</v>
      </c>
      <c r="AD52" s="152" t="str">
        <f t="shared" ca="1" si="8"/>
        <v>PROPONOWANA ZMIANA</v>
      </c>
      <c r="AE52" s="153" t="str">
        <f t="shared" ca="1" si="9"/>
        <v>C/USN/I/P2/21</v>
      </c>
      <c r="AF52" s="154" t="str">
        <f t="shared" ca="1" si="10"/>
        <v>Nabycie gruntów pod budowę ul. Wędrowców - rozliczenie z deweloperem</v>
      </c>
      <c r="AG52" s="155">
        <f t="shared" ca="1" si="11"/>
        <v>60016</v>
      </c>
      <c r="AH52" s="155" t="str">
        <f t="shared" ca="1" si="12"/>
        <v>6060</v>
      </c>
      <c r="AI52" s="156" t="str">
        <f t="shared" ca="1" si="13"/>
        <v>GMMW</v>
      </c>
      <c r="AJ52" s="157" t="str">
        <f t="shared" ca="1" si="14"/>
        <v>WPF/PM</v>
      </c>
      <c r="AK52" s="158" t="str">
        <f t="shared" ca="1" si="15"/>
        <v>C/USN/I/P2/21 60016 6060 GMMW</v>
      </c>
      <c r="AL52" s="158" t="str">
        <f t="shared" ca="1" si="16"/>
        <v>C/USN/I/P2/21 60016 6060 WPF/PM</v>
      </c>
      <c r="AM52" s="159" t="str">
        <f t="shared" ca="1" si="17"/>
        <v>C/USN/I/P2/21 60016 6060 GMMW WPF/PM</v>
      </c>
      <c r="AN52" s="160">
        <f t="shared" ca="1" si="18"/>
        <v>0</v>
      </c>
      <c r="AO52" s="161">
        <f t="shared" ca="1" si="19"/>
        <v>0</v>
      </c>
      <c r="AP52" s="162">
        <f t="shared" ca="1" si="20"/>
        <v>0</v>
      </c>
      <c r="AQ52" s="163">
        <f t="shared" ca="1" si="21"/>
        <v>0</v>
      </c>
      <c r="AR52" s="164">
        <f t="shared" ca="1" si="22"/>
        <v>0</v>
      </c>
      <c r="AS52" s="164">
        <f t="shared" ca="1" si="23"/>
        <v>0</v>
      </c>
      <c r="AT52" s="164">
        <f t="shared" ca="1" si="24"/>
        <v>0</v>
      </c>
      <c r="AU52" s="164">
        <f t="shared" ca="1" si="25"/>
        <v>0</v>
      </c>
      <c r="AV52" s="164">
        <f t="shared" ca="1" si="26"/>
        <v>0</v>
      </c>
      <c r="AW52" s="164">
        <f t="shared" ca="1" si="27"/>
        <v>0</v>
      </c>
      <c r="AX52" s="164">
        <f t="shared" ca="1" si="28"/>
        <v>0</v>
      </c>
      <c r="AY52" s="164">
        <f t="shared" ca="1" si="29"/>
        <v>0</v>
      </c>
      <c r="AZ52" s="164">
        <f t="shared" ca="1" si="30"/>
        <v>0</v>
      </c>
      <c r="BA52" s="165" t="str">
        <f t="shared" ca="1" si="31"/>
        <v>nie</v>
      </c>
      <c r="BB52" s="166" t="str">
        <f t="shared" ca="1" si="35"/>
        <v>-</v>
      </c>
      <c r="BC52" s="165" t="str">
        <f t="shared" ca="1" si="32"/>
        <v>nie</v>
      </c>
    </row>
    <row r="53" spans="1:55" s="167" customFormat="1" ht="14.45" hidden="1" customHeight="1" x14ac:dyDescent="0.25">
      <c r="A53" s="493"/>
      <c r="B53" s="493"/>
      <c r="C53" s="530"/>
      <c r="D53" s="512"/>
      <c r="E53" s="497"/>
      <c r="F53" s="497"/>
      <c r="G53" s="497"/>
      <c r="H53" s="498"/>
      <c r="I53" s="499"/>
      <c r="J53" s="177" t="s">
        <v>100</v>
      </c>
      <c r="K53" s="178">
        <f>SUM(N53:O53)</f>
        <v>0</v>
      </c>
      <c r="L53" s="179">
        <f t="shared" ref="L53:M53" si="82">L57-L49</f>
        <v>0</v>
      </c>
      <c r="M53" s="180">
        <f t="shared" si="82"/>
        <v>0</v>
      </c>
      <c r="N53" s="172">
        <f>SUM(L53:M53)</f>
        <v>0</v>
      </c>
      <c r="O53" s="178">
        <f>SUM(P53:Y53)</f>
        <v>0</v>
      </c>
      <c r="P53" s="181">
        <f t="shared" ref="P53:R53" si="83">P57-P49</f>
        <v>0</v>
      </c>
      <c r="Q53" s="180">
        <f t="shared" si="83"/>
        <v>0</v>
      </c>
      <c r="R53" s="182">
        <f t="shared" si="83"/>
        <v>0</v>
      </c>
      <c r="S53" s="183">
        <f t="shared" si="81"/>
        <v>0</v>
      </c>
      <c r="T53" s="180">
        <f t="shared" si="81"/>
        <v>0</v>
      </c>
      <c r="U53" s="180">
        <f t="shared" si="81"/>
        <v>0</v>
      </c>
      <c r="V53" s="180">
        <f t="shared" si="81"/>
        <v>0</v>
      </c>
      <c r="W53" s="180">
        <f t="shared" si="81"/>
        <v>0</v>
      </c>
      <c r="X53" s="180">
        <f t="shared" si="81"/>
        <v>0</v>
      </c>
      <c r="Y53" s="182">
        <f t="shared" si="81"/>
        <v>0</v>
      </c>
      <c r="Z53" s="149" t="str">
        <f t="shared" ca="1" si="6"/>
        <v>nie</v>
      </c>
      <c r="AA53" s="366"/>
      <c r="AB53" s="150" t="str">
        <f t="shared" ca="1" si="34"/>
        <v>-</v>
      </c>
      <c r="AC53" s="151" t="str">
        <f t="shared" ca="1" si="7"/>
        <v>PROPONOWANA ZMIANA</v>
      </c>
      <c r="AD53" s="152" t="str">
        <f t="shared" ca="1" si="8"/>
        <v>PROPONOWANA ZMIANA</v>
      </c>
      <c r="AE53" s="153" t="str">
        <f t="shared" ca="1" si="9"/>
        <v>C/USN/I/P2/21</v>
      </c>
      <c r="AF53" s="154" t="str">
        <f t="shared" ca="1" si="10"/>
        <v>Nabycie gruntów pod budowę ul. Wędrowców - rozliczenie z deweloperem</v>
      </c>
      <c r="AG53" s="155">
        <f t="shared" ca="1" si="11"/>
        <v>60016</v>
      </c>
      <c r="AH53" s="155" t="str">
        <f t="shared" ca="1" si="12"/>
        <v>6060</v>
      </c>
      <c r="AI53" s="156" t="str">
        <f t="shared" ca="1" si="13"/>
        <v>GMMW</v>
      </c>
      <c r="AJ53" s="157" t="str">
        <f t="shared" ca="1" si="14"/>
        <v>WPF/UM</v>
      </c>
      <c r="AK53" s="158" t="str">
        <f t="shared" ca="1" si="15"/>
        <v>C/USN/I/P2/21 60016 6060 GMMW</v>
      </c>
      <c r="AL53" s="158" t="str">
        <f t="shared" ca="1" si="16"/>
        <v>C/USN/I/P2/21 60016 6060 WPF/UM</v>
      </c>
      <c r="AM53" s="159" t="str">
        <f t="shared" ca="1" si="17"/>
        <v>C/USN/I/P2/21 60016 6060 GMMW WPF/UM</v>
      </c>
      <c r="AN53" s="160">
        <f t="shared" ca="1" si="18"/>
        <v>0</v>
      </c>
      <c r="AO53" s="161">
        <f t="shared" ca="1" si="19"/>
        <v>0</v>
      </c>
      <c r="AP53" s="162">
        <f t="shared" ca="1" si="20"/>
        <v>0</v>
      </c>
      <c r="AQ53" s="163">
        <f t="shared" ca="1" si="21"/>
        <v>0</v>
      </c>
      <c r="AR53" s="164">
        <f t="shared" ca="1" si="22"/>
        <v>0</v>
      </c>
      <c r="AS53" s="164">
        <f t="shared" ca="1" si="23"/>
        <v>0</v>
      </c>
      <c r="AT53" s="164">
        <f t="shared" ca="1" si="24"/>
        <v>0</v>
      </c>
      <c r="AU53" s="164">
        <f t="shared" ca="1" si="25"/>
        <v>0</v>
      </c>
      <c r="AV53" s="164">
        <f t="shared" ca="1" si="26"/>
        <v>0</v>
      </c>
      <c r="AW53" s="164">
        <f t="shared" ca="1" si="27"/>
        <v>0</v>
      </c>
      <c r="AX53" s="164">
        <f t="shared" ca="1" si="28"/>
        <v>0</v>
      </c>
      <c r="AY53" s="164">
        <f t="shared" ca="1" si="29"/>
        <v>0</v>
      </c>
      <c r="AZ53" s="164">
        <f t="shared" ca="1" si="30"/>
        <v>0</v>
      </c>
      <c r="BA53" s="165" t="str">
        <f t="shared" ca="1" si="31"/>
        <v>nie</v>
      </c>
      <c r="BB53" s="166" t="str">
        <f t="shared" ca="1" si="35"/>
        <v>-</v>
      </c>
      <c r="BC53" s="165" t="str">
        <f t="shared" ca="1" si="32"/>
        <v>nie</v>
      </c>
    </row>
    <row r="54" spans="1:55" s="167" customFormat="1" ht="14.45" hidden="1" customHeight="1" x14ac:dyDescent="0.25">
      <c r="A54" s="191" t="s">
        <v>101</v>
      </c>
      <c r="B54" s="192"/>
      <c r="C54" s="193"/>
      <c r="D54" s="192"/>
      <c r="E54" s="192"/>
      <c r="F54" s="192"/>
      <c r="G54" s="192"/>
      <c r="H54" s="192"/>
      <c r="I54" s="192"/>
      <c r="J54" s="192"/>
      <c r="K54" s="192"/>
      <c r="L54" s="192"/>
      <c r="M54" s="192"/>
      <c r="N54" s="192"/>
      <c r="O54" s="192"/>
      <c r="P54" s="192"/>
      <c r="Q54" s="192"/>
      <c r="R54" s="194"/>
      <c r="S54" s="195"/>
      <c r="T54" s="195"/>
      <c r="U54" s="195"/>
      <c r="V54" s="195"/>
      <c r="W54" s="195"/>
      <c r="X54" s="195"/>
      <c r="Y54" s="196"/>
      <c r="Z54" s="149" t="str">
        <f t="shared" ca="1" si="6"/>
        <v>nie</v>
      </c>
      <c r="AA54" s="366"/>
      <c r="AB54" s="150" t="str">
        <f t="shared" ca="1" si="34"/>
        <v>-</v>
      </c>
      <c r="AC54" s="151" t="str">
        <f t="shared" ca="1" si="7"/>
        <v>PO ZMIANIE</v>
      </c>
      <c r="AD54" s="152" t="str">
        <f t="shared" ca="1" si="8"/>
        <v/>
      </c>
      <c r="AE54" s="153" t="str">
        <f t="shared" ca="1" si="9"/>
        <v/>
      </c>
      <c r="AF54" s="154" t="str">
        <f t="shared" ca="1" si="10"/>
        <v/>
      </c>
      <c r="AG54" s="155" t="str">
        <f t="shared" ca="1" si="11"/>
        <v/>
      </c>
      <c r="AH54" s="155" t="str">
        <f t="shared" ca="1" si="12"/>
        <v/>
      </c>
      <c r="AI54" s="156" t="str">
        <f t="shared" ca="1" si="13"/>
        <v/>
      </c>
      <c r="AJ54" s="157" t="str">
        <f t="shared" ca="1" si="14"/>
        <v/>
      </c>
      <c r="AK54" s="158" t="str">
        <f t="shared" ca="1" si="15"/>
        <v/>
      </c>
      <c r="AL54" s="158" t="str">
        <f t="shared" ca="1" si="16"/>
        <v/>
      </c>
      <c r="AM54" s="159" t="str">
        <f t="shared" ca="1" si="17"/>
        <v/>
      </c>
      <c r="AN54" s="160" t="str">
        <f t="shared" ca="1" si="18"/>
        <v/>
      </c>
      <c r="AO54" s="161" t="str">
        <f t="shared" ca="1" si="19"/>
        <v/>
      </c>
      <c r="AP54" s="162" t="str">
        <f t="shared" ca="1" si="20"/>
        <v/>
      </c>
      <c r="AQ54" s="163" t="str">
        <f t="shared" ca="1" si="21"/>
        <v/>
      </c>
      <c r="AR54" s="164" t="str">
        <f t="shared" ca="1" si="22"/>
        <v/>
      </c>
      <c r="AS54" s="164" t="str">
        <f t="shared" ca="1" si="23"/>
        <v/>
      </c>
      <c r="AT54" s="164" t="str">
        <f t="shared" ca="1" si="24"/>
        <v/>
      </c>
      <c r="AU54" s="164" t="str">
        <f t="shared" ca="1" si="25"/>
        <v/>
      </c>
      <c r="AV54" s="164" t="str">
        <f t="shared" ca="1" si="26"/>
        <v/>
      </c>
      <c r="AW54" s="164" t="str">
        <f t="shared" ca="1" si="27"/>
        <v/>
      </c>
      <c r="AX54" s="164" t="str">
        <f t="shared" ca="1" si="28"/>
        <v/>
      </c>
      <c r="AY54" s="164" t="str">
        <f t="shared" ca="1" si="29"/>
        <v/>
      </c>
      <c r="AZ54" s="164" t="str">
        <f t="shared" ca="1" si="30"/>
        <v/>
      </c>
      <c r="BA54" s="165" t="str">
        <f t="shared" ca="1" si="31"/>
        <v>nie</v>
      </c>
      <c r="BB54" s="166" t="str">
        <f t="shared" ca="1" si="35"/>
        <v>-</v>
      </c>
      <c r="BC54" s="165" t="str">
        <f t="shared" ca="1" si="32"/>
        <v>nie</v>
      </c>
    </row>
    <row r="55" spans="1:55" s="176" customFormat="1" ht="14.45" hidden="1" customHeight="1" x14ac:dyDescent="0.25">
      <c r="A55" s="493" t="s">
        <v>24</v>
      </c>
      <c r="B55" s="493" t="s">
        <v>26</v>
      </c>
      <c r="C55" s="530" t="s">
        <v>109</v>
      </c>
      <c r="D55" s="511" t="s">
        <v>110</v>
      </c>
      <c r="E55" s="497">
        <v>600</v>
      </c>
      <c r="F55" s="497">
        <v>60016</v>
      </c>
      <c r="G55" s="497">
        <v>6060</v>
      </c>
      <c r="H55" s="507">
        <v>2016</v>
      </c>
      <c r="I55" s="499" t="str">
        <f ca="1">IF(COUNTIF(OFFSET(I55,-1,-8),"*propon*")&gt;0,OFFSET(I55,4,0),IF(Y55&gt;0,"2033",IF(X55&gt;0,"2032",IF(W55&gt;0,"2031",IF(V55&gt;0,"2030",IF(U55&gt;0,"2029",IF(T55&gt;0,"2028",IF(S55&gt;0,"2027",IF(R55&gt;0,"2026",IF(Q55&gt;0,"2025",IF(P55&gt;0,"2024",IF(M55&gt;0,"2023",IF(L55&gt;0,"2022","")))))))))))))</f>
        <v>2024</v>
      </c>
      <c r="J55" s="168" t="s">
        <v>102</v>
      </c>
      <c r="K55" s="169">
        <f>SUM(N55:O55)</f>
        <v>856197</v>
      </c>
      <c r="L55" s="170">
        <f t="shared" ref="L55:M55" si="84">SUM(L56:L57)</f>
        <v>850879</v>
      </c>
      <c r="M55" s="171">
        <f t="shared" si="84"/>
        <v>0</v>
      </c>
      <c r="N55" s="172">
        <f>SUM(L55:M55)</f>
        <v>850879</v>
      </c>
      <c r="O55" s="169">
        <f>SUM(P55:Y55)</f>
        <v>5318</v>
      </c>
      <c r="P55" s="173">
        <f t="shared" ref="P55:R55" si="85">SUM(P56:P57)</f>
        <v>5318</v>
      </c>
      <c r="Q55" s="171">
        <f t="shared" si="85"/>
        <v>0</v>
      </c>
      <c r="R55" s="174">
        <f t="shared" si="85"/>
        <v>0</v>
      </c>
      <c r="S55" s="175">
        <f t="shared" ref="S55:Y55" si="86">SUM(S56:S57)</f>
        <v>0</v>
      </c>
      <c r="T55" s="171">
        <f t="shared" si="86"/>
        <v>0</v>
      </c>
      <c r="U55" s="171">
        <f t="shared" si="86"/>
        <v>0</v>
      </c>
      <c r="V55" s="171">
        <f t="shared" si="86"/>
        <v>0</v>
      </c>
      <c r="W55" s="171">
        <f t="shared" si="86"/>
        <v>0</v>
      </c>
      <c r="X55" s="171">
        <f t="shared" si="86"/>
        <v>0</v>
      </c>
      <c r="Y55" s="174">
        <f t="shared" si="86"/>
        <v>0</v>
      </c>
      <c r="Z55" s="149" t="str">
        <f t="shared" ca="1" si="6"/>
        <v>nie</v>
      </c>
      <c r="AA55" s="366"/>
      <c r="AB55" s="150" t="str">
        <f t="shared" ca="1" si="34"/>
        <v>-</v>
      </c>
      <c r="AC55" s="151" t="str">
        <f t="shared" ca="1" si="7"/>
        <v>PO ZMIANIE</v>
      </c>
      <c r="AD55" s="152" t="str">
        <f t="shared" ca="1" si="8"/>
        <v>PO ZMIANIE</v>
      </c>
      <c r="AE55" s="153" t="str">
        <f t="shared" ca="1" si="9"/>
        <v>C/USN/I/P2/21</v>
      </c>
      <c r="AF55" s="154" t="str">
        <f t="shared" ca="1" si="10"/>
        <v>Nabycie gruntów pod budowę ul. Wędrowców - rozliczenie z deweloperem</v>
      </c>
      <c r="AG55" s="155">
        <f t="shared" ca="1" si="11"/>
        <v>60016</v>
      </c>
      <c r="AH55" s="155" t="str">
        <f t="shared" ca="1" si="12"/>
        <v>6060</v>
      </c>
      <c r="AI55" s="156" t="str">
        <f t="shared" ca="1" si="13"/>
        <v>GMMW</v>
      </c>
      <c r="AJ55" s="157" t="str">
        <f t="shared" ca="1" si="14"/>
        <v>WPF, w tym</v>
      </c>
      <c r="AK55" s="158" t="str">
        <f t="shared" ca="1" si="15"/>
        <v>C/USN/I/P2/21 60016 6060 GMMW</v>
      </c>
      <c r="AL55" s="158" t="str">
        <f t="shared" ca="1" si="16"/>
        <v>C/USN/I/P2/21 60016 6060 WPF, w tym</v>
      </c>
      <c r="AM55" s="159" t="str">
        <f t="shared" ca="1" si="17"/>
        <v>C/USN/I/P2/21 60016 6060 GMMW WPF, w tym</v>
      </c>
      <c r="AN55" s="160">
        <f t="shared" ca="1" si="18"/>
        <v>856197</v>
      </c>
      <c r="AO55" s="161">
        <f t="shared" ca="1" si="19"/>
        <v>850879</v>
      </c>
      <c r="AP55" s="162">
        <f t="shared" ca="1" si="20"/>
        <v>0</v>
      </c>
      <c r="AQ55" s="163">
        <f t="shared" ca="1" si="21"/>
        <v>5318</v>
      </c>
      <c r="AR55" s="164">
        <f t="shared" ca="1" si="22"/>
        <v>0</v>
      </c>
      <c r="AS55" s="164">
        <f t="shared" ca="1" si="23"/>
        <v>0</v>
      </c>
      <c r="AT55" s="164">
        <f t="shared" ca="1" si="24"/>
        <v>0</v>
      </c>
      <c r="AU55" s="164">
        <f t="shared" ca="1" si="25"/>
        <v>0</v>
      </c>
      <c r="AV55" s="164">
        <f t="shared" ca="1" si="26"/>
        <v>0</v>
      </c>
      <c r="AW55" s="164">
        <f t="shared" ca="1" si="27"/>
        <v>0</v>
      </c>
      <c r="AX55" s="164">
        <f t="shared" ca="1" si="28"/>
        <v>0</v>
      </c>
      <c r="AY55" s="164">
        <f t="shared" ca="1" si="29"/>
        <v>0</v>
      </c>
      <c r="AZ55" s="164">
        <f t="shared" ca="1" si="30"/>
        <v>0</v>
      </c>
      <c r="BA55" s="165" t="str">
        <f t="shared" ca="1" si="31"/>
        <v>nie</v>
      </c>
      <c r="BB55" s="166" t="str">
        <f t="shared" ca="1" si="35"/>
        <v>-</v>
      </c>
      <c r="BC55" s="165" t="str">
        <f t="shared" ca="1" si="32"/>
        <v>nie</v>
      </c>
    </row>
    <row r="56" spans="1:55" s="167" customFormat="1" ht="14.45" hidden="1" customHeight="1" x14ac:dyDescent="0.25">
      <c r="A56" s="493"/>
      <c r="B56" s="493"/>
      <c r="C56" s="530"/>
      <c r="D56" s="512"/>
      <c r="E56" s="497"/>
      <c r="F56" s="497"/>
      <c r="G56" s="497"/>
      <c r="H56" s="498"/>
      <c r="I56" s="499"/>
      <c r="J56" s="177" t="s">
        <v>103</v>
      </c>
      <c r="K56" s="178">
        <f>SUM(N56:O56)</f>
        <v>5318</v>
      </c>
      <c r="L56" s="179"/>
      <c r="M56" s="180"/>
      <c r="N56" s="172">
        <f>SUM(L56:M56)</f>
        <v>0</v>
      </c>
      <c r="O56" s="178">
        <f>SUM(P56:Y56)</f>
        <v>5318</v>
      </c>
      <c r="P56" s="181">
        <f>5318</f>
        <v>5318</v>
      </c>
      <c r="Q56" s="180"/>
      <c r="R56" s="182"/>
      <c r="S56" s="183"/>
      <c r="T56" s="180"/>
      <c r="U56" s="180"/>
      <c r="V56" s="180"/>
      <c r="W56" s="180"/>
      <c r="X56" s="180"/>
      <c r="Y56" s="182"/>
      <c r="Z56" s="149" t="str">
        <f t="shared" ca="1" si="6"/>
        <v>nie</v>
      </c>
      <c r="AA56" s="384"/>
      <c r="AB56" s="150" t="str">
        <f t="shared" ca="1" si="34"/>
        <v>-</v>
      </c>
      <c r="AC56" s="151" t="str">
        <f t="shared" ca="1" si="7"/>
        <v>PO ZMIANIE</v>
      </c>
      <c r="AD56" s="152" t="str">
        <f t="shared" ca="1" si="8"/>
        <v>PO ZMIANIE</v>
      </c>
      <c r="AE56" s="153" t="str">
        <f t="shared" ca="1" si="9"/>
        <v>C/USN/I/P2/21</v>
      </c>
      <c r="AF56" s="154" t="str">
        <f t="shared" ca="1" si="10"/>
        <v>Nabycie gruntów pod budowę ul. Wędrowców - rozliczenie z deweloperem</v>
      </c>
      <c r="AG56" s="155">
        <f t="shared" ca="1" si="11"/>
        <v>60016</v>
      </c>
      <c r="AH56" s="155" t="str">
        <f t="shared" ca="1" si="12"/>
        <v>6060</v>
      </c>
      <c r="AI56" s="156" t="str">
        <f t="shared" ca="1" si="13"/>
        <v>GMMW</v>
      </c>
      <c r="AJ56" s="157" t="str">
        <f t="shared" ca="1" si="14"/>
        <v>WPF/PM</v>
      </c>
      <c r="AK56" s="158" t="str">
        <f t="shared" ca="1" si="15"/>
        <v>C/USN/I/P2/21 60016 6060 GMMW</v>
      </c>
      <c r="AL56" s="158" t="str">
        <f t="shared" ca="1" si="16"/>
        <v>C/USN/I/P2/21 60016 6060 WPF/PM</v>
      </c>
      <c r="AM56" s="159" t="str">
        <f t="shared" ca="1" si="17"/>
        <v>C/USN/I/P2/21 60016 6060 GMMW WPF/PM</v>
      </c>
      <c r="AN56" s="160">
        <f t="shared" ca="1" si="18"/>
        <v>5318</v>
      </c>
      <c r="AO56" s="161">
        <f t="shared" ca="1" si="19"/>
        <v>0</v>
      </c>
      <c r="AP56" s="162">
        <f t="shared" ca="1" si="20"/>
        <v>0</v>
      </c>
      <c r="AQ56" s="163">
        <f t="shared" ca="1" si="21"/>
        <v>5318</v>
      </c>
      <c r="AR56" s="164">
        <f t="shared" ca="1" si="22"/>
        <v>0</v>
      </c>
      <c r="AS56" s="164">
        <f t="shared" ca="1" si="23"/>
        <v>0</v>
      </c>
      <c r="AT56" s="164">
        <f t="shared" ca="1" si="24"/>
        <v>0</v>
      </c>
      <c r="AU56" s="164">
        <f t="shared" ca="1" si="25"/>
        <v>0</v>
      </c>
      <c r="AV56" s="164">
        <f t="shared" ca="1" si="26"/>
        <v>0</v>
      </c>
      <c r="AW56" s="164">
        <f t="shared" ca="1" si="27"/>
        <v>0</v>
      </c>
      <c r="AX56" s="164">
        <f t="shared" ca="1" si="28"/>
        <v>0</v>
      </c>
      <c r="AY56" s="164">
        <f t="shared" ca="1" si="29"/>
        <v>0</v>
      </c>
      <c r="AZ56" s="164">
        <f t="shared" ca="1" si="30"/>
        <v>0</v>
      </c>
      <c r="BA56" s="165" t="str">
        <f t="shared" ca="1" si="31"/>
        <v>nie</v>
      </c>
      <c r="BB56" s="166" t="str">
        <f t="shared" ca="1" si="35"/>
        <v>-</v>
      </c>
      <c r="BC56" s="165" t="str">
        <f t="shared" ca="1" si="32"/>
        <v>nie</v>
      </c>
    </row>
    <row r="57" spans="1:55" s="167" customFormat="1" ht="14.45" hidden="1" customHeight="1" thickBot="1" x14ac:dyDescent="0.3">
      <c r="A57" s="500"/>
      <c r="B57" s="500"/>
      <c r="C57" s="531"/>
      <c r="D57" s="529"/>
      <c r="E57" s="503"/>
      <c r="F57" s="503"/>
      <c r="G57" s="503"/>
      <c r="H57" s="504"/>
      <c r="I57" s="499"/>
      <c r="J57" s="197" t="s">
        <v>104</v>
      </c>
      <c r="K57" s="198">
        <f>SUM(N57:O57)</f>
        <v>850879</v>
      </c>
      <c r="L57" s="199">
        <v>850879</v>
      </c>
      <c r="M57" s="200"/>
      <c r="N57" s="371">
        <f>SUM(L57:M57)</f>
        <v>850879</v>
      </c>
      <c r="O57" s="198">
        <f>SUM(P57:Y57)</f>
        <v>0</v>
      </c>
      <c r="P57" s="201"/>
      <c r="Q57" s="200"/>
      <c r="R57" s="202"/>
      <c r="S57" s="203"/>
      <c r="T57" s="200"/>
      <c r="U57" s="200"/>
      <c r="V57" s="200"/>
      <c r="W57" s="200"/>
      <c r="X57" s="200"/>
      <c r="Y57" s="202"/>
      <c r="Z57" s="149" t="str">
        <f t="shared" ca="1" si="6"/>
        <v>nie</v>
      </c>
      <c r="AA57" s="384"/>
      <c r="AB57" s="150" t="str">
        <f t="shared" ca="1" si="34"/>
        <v>-</v>
      </c>
      <c r="AC57" s="151" t="str">
        <f t="shared" ca="1" si="7"/>
        <v>PO ZMIANIE</v>
      </c>
      <c r="AD57" s="152" t="str">
        <f t="shared" ca="1" si="8"/>
        <v>PO ZMIANIE</v>
      </c>
      <c r="AE57" s="153" t="str">
        <f t="shared" ca="1" si="9"/>
        <v>C/USN/I/P2/21</v>
      </c>
      <c r="AF57" s="154" t="str">
        <f t="shared" ca="1" si="10"/>
        <v>Nabycie gruntów pod budowę ul. Wędrowców - rozliczenie z deweloperem</v>
      </c>
      <c r="AG57" s="155">
        <f t="shared" ca="1" si="11"/>
        <v>60016</v>
      </c>
      <c r="AH57" s="155" t="str">
        <f t="shared" ca="1" si="12"/>
        <v>6060</v>
      </c>
      <c r="AI57" s="156" t="str">
        <f t="shared" ca="1" si="13"/>
        <v>GMMW</v>
      </c>
      <c r="AJ57" s="157" t="str">
        <f t="shared" ca="1" si="14"/>
        <v>WPF/UM</v>
      </c>
      <c r="AK57" s="158" t="str">
        <f t="shared" ca="1" si="15"/>
        <v>C/USN/I/P2/21 60016 6060 GMMW</v>
      </c>
      <c r="AL57" s="158" t="str">
        <f t="shared" ca="1" si="16"/>
        <v>C/USN/I/P2/21 60016 6060 WPF/UM</v>
      </c>
      <c r="AM57" s="159" t="str">
        <f t="shared" ca="1" si="17"/>
        <v>C/USN/I/P2/21 60016 6060 GMMW WPF/UM</v>
      </c>
      <c r="AN57" s="160">
        <f t="shared" ca="1" si="18"/>
        <v>850879</v>
      </c>
      <c r="AO57" s="161">
        <f t="shared" ca="1" si="19"/>
        <v>850879</v>
      </c>
      <c r="AP57" s="162">
        <f t="shared" ca="1" si="20"/>
        <v>0</v>
      </c>
      <c r="AQ57" s="163">
        <f t="shared" ca="1" si="21"/>
        <v>0</v>
      </c>
      <c r="AR57" s="164">
        <f t="shared" ca="1" si="22"/>
        <v>0</v>
      </c>
      <c r="AS57" s="164">
        <f t="shared" ca="1" si="23"/>
        <v>0</v>
      </c>
      <c r="AT57" s="164">
        <f t="shared" ca="1" si="24"/>
        <v>0</v>
      </c>
      <c r="AU57" s="164">
        <f t="shared" ca="1" si="25"/>
        <v>0</v>
      </c>
      <c r="AV57" s="164">
        <f t="shared" ca="1" si="26"/>
        <v>0</v>
      </c>
      <c r="AW57" s="164">
        <f t="shared" ca="1" si="27"/>
        <v>0</v>
      </c>
      <c r="AX57" s="164">
        <f t="shared" ca="1" si="28"/>
        <v>0</v>
      </c>
      <c r="AY57" s="164">
        <f t="shared" ca="1" si="29"/>
        <v>0</v>
      </c>
      <c r="AZ57" s="164">
        <f t="shared" ca="1" si="30"/>
        <v>0</v>
      </c>
      <c r="BA57" s="165" t="str">
        <f t="shared" ca="1" si="31"/>
        <v>nie</v>
      </c>
      <c r="BB57" s="166" t="str">
        <f t="shared" ca="1" si="35"/>
        <v>-</v>
      </c>
      <c r="BC57" s="165" t="str">
        <f t="shared" ca="1" si="32"/>
        <v>nie</v>
      </c>
    </row>
    <row r="58" spans="1:55" s="167" customFormat="1" ht="14.45" hidden="1" customHeight="1" x14ac:dyDescent="0.25">
      <c r="A58" s="143" t="s">
        <v>91</v>
      </c>
      <c r="B58" s="144"/>
      <c r="C58" s="145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6"/>
      <c r="S58" s="147"/>
      <c r="T58" s="147"/>
      <c r="U58" s="147"/>
      <c r="V58" s="147"/>
      <c r="W58" s="147"/>
      <c r="X58" s="147"/>
      <c r="Y58" s="148"/>
      <c r="Z58" s="149" t="str">
        <f t="shared" ca="1" si="6"/>
        <v>nie</v>
      </c>
      <c r="AA58" s="366"/>
      <c r="AB58" s="150" t="str">
        <f t="shared" ca="1" si="34"/>
        <v>-</v>
      </c>
      <c r="AC58" s="151" t="str">
        <f t="shared" ca="1" si="7"/>
        <v>PRZED ZMIANĄ</v>
      </c>
      <c r="AD58" s="152" t="str">
        <f t="shared" ca="1" si="8"/>
        <v/>
      </c>
      <c r="AE58" s="153" t="str">
        <f t="shared" ca="1" si="9"/>
        <v/>
      </c>
      <c r="AF58" s="154" t="str">
        <f t="shared" ca="1" si="10"/>
        <v/>
      </c>
      <c r="AG58" s="155" t="str">
        <f t="shared" ca="1" si="11"/>
        <v/>
      </c>
      <c r="AH58" s="155" t="str">
        <f t="shared" ca="1" si="12"/>
        <v/>
      </c>
      <c r="AI58" s="156" t="str">
        <f t="shared" ca="1" si="13"/>
        <v/>
      </c>
      <c r="AJ58" s="157" t="str">
        <f t="shared" ca="1" si="14"/>
        <v/>
      </c>
      <c r="AK58" s="158" t="str">
        <f t="shared" ca="1" si="15"/>
        <v/>
      </c>
      <c r="AL58" s="158" t="str">
        <f t="shared" ca="1" si="16"/>
        <v/>
      </c>
      <c r="AM58" s="159" t="str">
        <f t="shared" ca="1" si="17"/>
        <v/>
      </c>
      <c r="AN58" s="160" t="str">
        <f t="shared" ca="1" si="18"/>
        <v/>
      </c>
      <c r="AO58" s="161" t="str">
        <f t="shared" ca="1" si="19"/>
        <v/>
      </c>
      <c r="AP58" s="162" t="str">
        <f t="shared" ca="1" si="20"/>
        <v/>
      </c>
      <c r="AQ58" s="163" t="str">
        <f t="shared" ca="1" si="21"/>
        <v/>
      </c>
      <c r="AR58" s="164" t="str">
        <f t="shared" ca="1" si="22"/>
        <v/>
      </c>
      <c r="AS58" s="164" t="str">
        <f t="shared" ca="1" si="23"/>
        <v/>
      </c>
      <c r="AT58" s="164" t="str">
        <f t="shared" ca="1" si="24"/>
        <v/>
      </c>
      <c r="AU58" s="164" t="str">
        <f t="shared" ca="1" si="25"/>
        <v/>
      </c>
      <c r="AV58" s="164" t="str">
        <f t="shared" ca="1" si="26"/>
        <v/>
      </c>
      <c r="AW58" s="164" t="str">
        <f t="shared" ca="1" si="27"/>
        <v/>
      </c>
      <c r="AX58" s="164" t="str">
        <f t="shared" ca="1" si="28"/>
        <v/>
      </c>
      <c r="AY58" s="164" t="str">
        <f t="shared" ca="1" si="29"/>
        <v/>
      </c>
      <c r="AZ58" s="164" t="str">
        <f t="shared" ca="1" si="30"/>
        <v/>
      </c>
      <c r="BA58" s="165" t="str">
        <f t="shared" ca="1" si="31"/>
        <v>nie</v>
      </c>
      <c r="BB58" s="166" t="str">
        <f t="shared" ca="1" si="35"/>
        <v>-</v>
      </c>
      <c r="BC58" s="165" t="str">
        <f t="shared" ca="1" si="32"/>
        <v>nie</v>
      </c>
    </row>
    <row r="59" spans="1:55" s="176" customFormat="1" ht="14.45" hidden="1" customHeight="1" x14ac:dyDescent="0.25">
      <c r="A59" s="493" t="s">
        <v>24</v>
      </c>
      <c r="B59" s="493" t="s">
        <v>26</v>
      </c>
      <c r="C59" s="530" t="s">
        <v>111</v>
      </c>
      <c r="D59" s="511" t="s">
        <v>112</v>
      </c>
      <c r="E59" s="497">
        <v>600</v>
      </c>
      <c r="F59" s="497">
        <v>60016</v>
      </c>
      <c r="G59" s="497">
        <v>6050</v>
      </c>
      <c r="H59" s="507">
        <v>2016</v>
      </c>
      <c r="I59" s="499" t="str">
        <f ca="1">IF(COUNTIF(OFFSET(I59,-1,-8),"*propon*")&gt;0,OFFSET(I59,4,0),IF(Y59&gt;0,"2033",IF(X59&gt;0,"2032",IF(W59&gt;0,"2031",IF(V59&gt;0,"2030",IF(U59&gt;0,"2029",IF(T59&gt;0,"2028",IF(S59&gt;0,"2027",IF(R59&gt;0,"2026",IF(Q59&gt;0,"2025",IF(P59&gt;0,"2024",IF(M59&gt;0,"2023",IF(L59&gt;0,"2022","")))))))))))))</f>
        <v>2025</v>
      </c>
      <c r="J59" s="168" t="s">
        <v>94</v>
      </c>
      <c r="K59" s="169">
        <f>SUM(N59:O59)</f>
        <v>801710</v>
      </c>
      <c r="L59" s="170">
        <f t="shared" ref="L59:M59" si="87">SUM(L60:L61)</f>
        <v>715003</v>
      </c>
      <c r="M59" s="171">
        <f t="shared" si="87"/>
        <v>0</v>
      </c>
      <c r="N59" s="172">
        <f>SUM(L59:M59)</f>
        <v>715003</v>
      </c>
      <c r="O59" s="169">
        <f>SUM(P59:Y59)</f>
        <v>86707</v>
      </c>
      <c r="P59" s="173">
        <f t="shared" ref="P59:R59" si="88">SUM(P60:P61)</f>
        <v>30000</v>
      </c>
      <c r="Q59" s="171">
        <f t="shared" si="88"/>
        <v>56707</v>
      </c>
      <c r="R59" s="174">
        <f t="shared" si="88"/>
        <v>0</v>
      </c>
      <c r="S59" s="175">
        <f t="shared" ref="S59:Y59" si="89">SUM(S60:S61)</f>
        <v>0</v>
      </c>
      <c r="T59" s="171">
        <f t="shared" si="89"/>
        <v>0</v>
      </c>
      <c r="U59" s="171">
        <f t="shared" si="89"/>
        <v>0</v>
      </c>
      <c r="V59" s="171">
        <f t="shared" si="89"/>
        <v>0</v>
      </c>
      <c r="W59" s="171">
        <f t="shared" si="89"/>
        <v>0</v>
      </c>
      <c r="X59" s="171">
        <f t="shared" si="89"/>
        <v>0</v>
      </c>
      <c r="Y59" s="174">
        <f t="shared" si="89"/>
        <v>0</v>
      </c>
      <c r="Z59" s="149" t="str">
        <f t="shared" ca="1" si="6"/>
        <v>nie</v>
      </c>
      <c r="AA59" s="366"/>
      <c r="AB59" s="150" t="str">
        <f t="shared" ca="1" si="34"/>
        <v>-</v>
      </c>
      <c r="AC59" s="151" t="str">
        <f t="shared" ca="1" si="7"/>
        <v>PRZED ZMIANĄ</v>
      </c>
      <c r="AD59" s="152" t="str">
        <f t="shared" ca="1" si="8"/>
        <v>PRZED ZMIANĄ</v>
      </c>
      <c r="AE59" s="153" t="str">
        <f t="shared" ca="1" si="9"/>
        <v>C/USN/I/P2/22</v>
      </c>
      <c r="AF59" s="154" t="str">
        <f t="shared" ca="1" si="10"/>
        <v>Budowa ulicy 26aKD-D z m.p.z.p. Zachodniego Pasma Pyrskiego w rejonie ul. Poleczki</v>
      </c>
      <c r="AG59" s="155">
        <f t="shared" ca="1" si="11"/>
        <v>60016</v>
      </c>
      <c r="AH59" s="155" t="str">
        <f t="shared" ca="1" si="12"/>
        <v>6050</v>
      </c>
      <c r="AI59" s="156" t="str">
        <f t="shared" ca="1" si="13"/>
        <v>GMMW</v>
      </c>
      <c r="AJ59" s="157" t="str">
        <f t="shared" ca="1" si="14"/>
        <v>WPF, w tym</v>
      </c>
      <c r="AK59" s="158" t="str">
        <f t="shared" ca="1" si="15"/>
        <v>C/USN/I/P2/22 60016 6050 GMMW</v>
      </c>
      <c r="AL59" s="158" t="str">
        <f t="shared" ca="1" si="16"/>
        <v>C/USN/I/P2/22 60016 6050 WPF, w tym</v>
      </c>
      <c r="AM59" s="159" t="str">
        <f t="shared" ca="1" si="17"/>
        <v>C/USN/I/P2/22 60016 6050 GMMW WPF, w tym</v>
      </c>
      <c r="AN59" s="160">
        <f t="shared" ca="1" si="18"/>
        <v>801710</v>
      </c>
      <c r="AO59" s="161">
        <f t="shared" ca="1" si="19"/>
        <v>715003</v>
      </c>
      <c r="AP59" s="162">
        <f t="shared" ca="1" si="20"/>
        <v>0</v>
      </c>
      <c r="AQ59" s="163">
        <f t="shared" ca="1" si="21"/>
        <v>30000</v>
      </c>
      <c r="AR59" s="164">
        <f t="shared" ca="1" si="22"/>
        <v>56707</v>
      </c>
      <c r="AS59" s="164">
        <f t="shared" ca="1" si="23"/>
        <v>0</v>
      </c>
      <c r="AT59" s="164">
        <f t="shared" ca="1" si="24"/>
        <v>0</v>
      </c>
      <c r="AU59" s="164">
        <f t="shared" ca="1" si="25"/>
        <v>0</v>
      </c>
      <c r="AV59" s="164">
        <f t="shared" ca="1" si="26"/>
        <v>0</v>
      </c>
      <c r="AW59" s="164">
        <f t="shared" ca="1" si="27"/>
        <v>0</v>
      </c>
      <c r="AX59" s="164">
        <f t="shared" ca="1" si="28"/>
        <v>0</v>
      </c>
      <c r="AY59" s="164">
        <f t="shared" ca="1" si="29"/>
        <v>0</v>
      </c>
      <c r="AZ59" s="164">
        <f t="shared" ca="1" si="30"/>
        <v>0</v>
      </c>
      <c r="BA59" s="165" t="str">
        <f t="shared" ca="1" si="31"/>
        <v>nie</v>
      </c>
      <c r="BB59" s="166" t="str">
        <f t="shared" ca="1" si="35"/>
        <v>-</v>
      </c>
      <c r="BC59" s="165" t="str">
        <f t="shared" ca="1" si="32"/>
        <v>nie</v>
      </c>
    </row>
    <row r="60" spans="1:55" s="167" customFormat="1" ht="14.45" hidden="1" customHeight="1" x14ac:dyDescent="0.25">
      <c r="A60" s="493"/>
      <c r="B60" s="493"/>
      <c r="C60" s="530"/>
      <c r="D60" s="512"/>
      <c r="E60" s="497"/>
      <c r="F60" s="497"/>
      <c r="G60" s="497"/>
      <c r="H60" s="498"/>
      <c r="I60" s="499"/>
      <c r="J60" s="177" t="s">
        <v>95</v>
      </c>
      <c r="K60" s="178">
        <f>SUM(N60:O60)</f>
        <v>86707</v>
      </c>
      <c r="L60" s="179"/>
      <c r="M60" s="180"/>
      <c r="N60" s="172">
        <f>SUM(L60:M60)</f>
        <v>0</v>
      </c>
      <c r="O60" s="178">
        <f>SUM(P60:Y60)</f>
        <v>86707</v>
      </c>
      <c r="P60" s="181">
        <v>30000</v>
      </c>
      <c r="Q60" s="180">
        <v>56707</v>
      </c>
      <c r="R60" s="182"/>
      <c r="S60" s="183"/>
      <c r="T60" s="180"/>
      <c r="U60" s="180"/>
      <c r="V60" s="180"/>
      <c r="W60" s="180"/>
      <c r="X60" s="180"/>
      <c r="Y60" s="182"/>
      <c r="Z60" s="149" t="str">
        <f t="shared" ca="1" si="6"/>
        <v>nie</v>
      </c>
      <c r="AA60" s="366"/>
      <c r="AB60" s="150" t="str">
        <f t="shared" ca="1" si="34"/>
        <v>-</v>
      </c>
      <c r="AC60" s="151" t="str">
        <f t="shared" ca="1" si="7"/>
        <v>PRZED ZMIANĄ</v>
      </c>
      <c r="AD60" s="152" t="str">
        <f t="shared" ca="1" si="8"/>
        <v>PRZED ZMIANĄ</v>
      </c>
      <c r="AE60" s="153" t="str">
        <f t="shared" ca="1" si="9"/>
        <v>C/USN/I/P2/22</v>
      </c>
      <c r="AF60" s="154" t="str">
        <f t="shared" ca="1" si="10"/>
        <v>Budowa ulicy 26aKD-D z m.p.z.p. Zachodniego Pasma Pyrskiego w rejonie ul. Poleczki</v>
      </c>
      <c r="AG60" s="155">
        <f t="shared" ca="1" si="11"/>
        <v>60016</v>
      </c>
      <c r="AH60" s="155" t="str">
        <f t="shared" ca="1" si="12"/>
        <v>6050</v>
      </c>
      <c r="AI60" s="156" t="str">
        <f t="shared" ca="1" si="13"/>
        <v>GMMW</v>
      </c>
      <c r="AJ60" s="157" t="str">
        <f t="shared" ca="1" si="14"/>
        <v>WPF/PM</v>
      </c>
      <c r="AK60" s="158" t="str">
        <f t="shared" ca="1" si="15"/>
        <v>C/USN/I/P2/22 60016 6050 GMMW</v>
      </c>
      <c r="AL60" s="158" t="str">
        <f t="shared" ca="1" si="16"/>
        <v>C/USN/I/P2/22 60016 6050 WPF/PM</v>
      </c>
      <c r="AM60" s="159" t="str">
        <f t="shared" ca="1" si="17"/>
        <v>C/USN/I/P2/22 60016 6050 GMMW WPF/PM</v>
      </c>
      <c r="AN60" s="160">
        <f t="shared" ca="1" si="18"/>
        <v>86707</v>
      </c>
      <c r="AO60" s="161">
        <f t="shared" ca="1" si="19"/>
        <v>0</v>
      </c>
      <c r="AP60" s="162">
        <f t="shared" ca="1" si="20"/>
        <v>0</v>
      </c>
      <c r="AQ60" s="163">
        <f t="shared" ca="1" si="21"/>
        <v>30000</v>
      </c>
      <c r="AR60" s="164">
        <f t="shared" ca="1" si="22"/>
        <v>56707</v>
      </c>
      <c r="AS60" s="164">
        <f t="shared" ca="1" si="23"/>
        <v>0</v>
      </c>
      <c r="AT60" s="164">
        <f t="shared" ca="1" si="24"/>
        <v>0</v>
      </c>
      <c r="AU60" s="164">
        <f t="shared" ca="1" si="25"/>
        <v>0</v>
      </c>
      <c r="AV60" s="164">
        <f t="shared" ca="1" si="26"/>
        <v>0</v>
      </c>
      <c r="AW60" s="164">
        <f t="shared" ca="1" si="27"/>
        <v>0</v>
      </c>
      <c r="AX60" s="164">
        <f t="shared" ca="1" si="28"/>
        <v>0</v>
      </c>
      <c r="AY60" s="164">
        <f t="shared" ca="1" si="29"/>
        <v>0</v>
      </c>
      <c r="AZ60" s="164">
        <f t="shared" ca="1" si="30"/>
        <v>0</v>
      </c>
      <c r="BA60" s="165" t="str">
        <f t="shared" ca="1" si="31"/>
        <v>nie</v>
      </c>
      <c r="BB60" s="166" t="str">
        <f t="shared" ca="1" si="35"/>
        <v>-</v>
      </c>
      <c r="BC60" s="165" t="str">
        <f t="shared" ca="1" si="32"/>
        <v>nie</v>
      </c>
    </row>
    <row r="61" spans="1:55" s="167" customFormat="1" ht="14.45" hidden="1" customHeight="1" x14ac:dyDescent="0.25">
      <c r="A61" s="493"/>
      <c r="B61" s="493"/>
      <c r="C61" s="530"/>
      <c r="D61" s="512"/>
      <c r="E61" s="497"/>
      <c r="F61" s="497"/>
      <c r="G61" s="497"/>
      <c r="H61" s="498"/>
      <c r="I61" s="499"/>
      <c r="J61" s="177" t="s">
        <v>96</v>
      </c>
      <c r="K61" s="178">
        <f>SUM(N61:O61)</f>
        <v>715003</v>
      </c>
      <c r="L61" s="184">
        <v>715003</v>
      </c>
      <c r="M61" s="180"/>
      <c r="N61" s="172">
        <f>SUM(L61:M61)</f>
        <v>715003</v>
      </c>
      <c r="O61" s="178">
        <f>SUM(P61:Y61)</f>
        <v>0</v>
      </c>
      <c r="P61" s="181"/>
      <c r="Q61" s="180"/>
      <c r="R61" s="182"/>
      <c r="S61" s="183"/>
      <c r="T61" s="180"/>
      <c r="U61" s="180"/>
      <c r="V61" s="180"/>
      <c r="W61" s="180"/>
      <c r="X61" s="180"/>
      <c r="Y61" s="182"/>
      <c r="Z61" s="149" t="str">
        <f t="shared" ca="1" si="6"/>
        <v>nie</v>
      </c>
      <c r="AA61" s="366"/>
      <c r="AB61" s="150" t="str">
        <f t="shared" ca="1" si="34"/>
        <v>-</v>
      </c>
      <c r="AC61" s="151" t="str">
        <f t="shared" ca="1" si="7"/>
        <v>PRZED ZMIANĄ</v>
      </c>
      <c r="AD61" s="152" t="str">
        <f t="shared" ca="1" si="8"/>
        <v>PRZED ZMIANĄ</v>
      </c>
      <c r="AE61" s="153" t="str">
        <f t="shared" ca="1" si="9"/>
        <v>C/USN/I/P2/22</v>
      </c>
      <c r="AF61" s="154" t="str">
        <f t="shared" ca="1" si="10"/>
        <v>Budowa ulicy 26aKD-D z m.p.z.p. Zachodniego Pasma Pyrskiego w rejonie ul. Poleczki</v>
      </c>
      <c r="AG61" s="155">
        <f t="shared" ca="1" si="11"/>
        <v>60016</v>
      </c>
      <c r="AH61" s="155" t="str">
        <f t="shared" ca="1" si="12"/>
        <v>6050</v>
      </c>
      <c r="AI61" s="156" t="str">
        <f t="shared" ca="1" si="13"/>
        <v>GMMW</v>
      </c>
      <c r="AJ61" s="157" t="str">
        <f t="shared" ca="1" si="14"/>
        <v>WPF/UM</v>
      </c>
      <c r="AK61" s="158" t="str">
        <f t="shared" ca="1" si="15"/>
        <v>C/USN/I/P2/22 60016 6050 GMMW</v>
      </c>
      <c r="AL61" s="158" t="str">
        <f t="shared" ca="1" si="16"/>
        <v>C/USN/I/P2/22 60016 6050 WPF/UM</v>
      </c>
      <c r="AM61" s="159" t="str">
        <f t="shared" ca="1" si="17"/>
        <v>C/USN/I/P2/22 60016 6050 GMMW WPF/UM</v>
      </c>
      <c r="AN61" s="160">
        <f t="shared" ca="1" si="18"/>
        <v>715003</v>
      </c>
      <c r="AO61" s="161">
        <f t="shared" ca="1" si="19"/>
        <v>715003</v>
      </c>
      <c r="AP61" s="162">
        <f t="shared" ca="1" si="20"/>
        <v>0</v>
      </c>
      <c r="AQ61" s="163">
        <f t="shared" ca="1" si="21"/>
        <v>0</v>
      </c>
      <c r="AR61" s="164">
        <f t="shared" ca="1" si="22"/>
        <v>0</v>
      </c>
      <c r="AS61" s="164">
        <f t="shared" ca="1" si="23"/>
        <v>0</v>
      </c>
      <c r="AT61" s="164">
        <f t="shared" ca="1" si="24"/>
        <v>0</v>
      </c>
      <c r="AU61" s="164">
        <f t="shared" ca="1" si="25"/>
        <v>0</v>
      </c>
      <c r="AV61" s="164">
        <f t="shared" ca="1" si="26"/>
        <v>0</v>
      </c>
      <c r="AW61" s="164">
        <f t="shared" ca="1" si="27"/>
        <v>0</v>
      </c>
      <c r="AX61" s="164">
        <f t="shared" ca="1" si="28"/>
        <v>0</v>
      </c>
      <c r="AY61" s="164">
        <f t="shared" ca="1" si="29"/>
        <v>0</v>
      </c>
      <c r="AZ61" s="164">
        <f t="shared" ca="1" si="30"/>
        <v>0</v>
      </c>
      <c r="BA61" s="165" t="str">
        <f t="shared" ca="1" si="31"/>
        <v>nie</v>
      </c>
      <c r="BB61" s="166" t="str">
        <f t="shared" ca="1" si="35"/>
        <v>-</v>
      </c>
      <c r="BC61" s="165" t="str">
        <f t="shared" ca="1" si="32"/>
        <v>nie</v>
      </c>
    </row>
    <row r="62" spans="1:55" s="167" customFormat="1" ht="14.45" hidden="1" customHeight="1" x14ac:dyDescent="0.25">
      <c r="A62" s="185" t="s">
        <v>97</v>
      </c>
      <c r="B62" s="186"/>
      <c r="C62" s="187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8"/>
      <c r="S62" s="189"/>
      <c r="T62" s="189"/>
      <c r="U62" s="189"/>
      <c r="V62" s="189"/>
      <c r="W62" s="189"/>
      <c r="X62" s="189"/>
      <c r="Y62" s="190"/>
      <c r="Z62" s="149" t="str">
        <f t="shared" ca="1" si="6"/>
        <v>nie</v>
      </c>
      <c r="AA62" s="366"/>
      <c r="AB62" s="150" t="str">
        <f t="shared" ca="1" si="34"/>
        <v>-</v>
      </c>
      <c r="AC62" s="151" t="str">
        <f t="shared" ca="1" si="7"/>
        <v>PROPONOWANA ZMIANA</v>
      </c>
      <c r="AD62" s="152" t="str">
        <f t="shared" ca="1" si="8"/>
        <v/>
      </c>
      <c r="AE62" s="153" t="str">
        <f t="shared" ca="1" si="9"/>
        <v/>
      </c>
      <c r="AF62" s="154" t="str">
        <f t="shared" ca="1" si="10"/>
        <v/>
      </c>
      <c r="AG62" s="155" t="str">
        <f t="shared" ca="1" si="11"/>
        <v/>
      </c>
      <c r="AH62" s="155" t="str">
        <f t="shared" ca="1" si="12"/>
        <v/>
      </c>
      <c r="AI62" s="156" t="str">
        <f t="shared" ca="1" si="13"/>
        <v/>
      </c>
      <c r="AJ62" s="157" t="str">
        <f t="shared" ca="1" si="14"/>
        <v/>
      </c>
      <c r="AK62" s="158" t="str">
        <f t="shared" ca="1" si="15"/>
        <v/>
      </c>
      <c r="AL62" s="158" t="str">
        <f t="shared" ca="1" si="16"/>
        <v/>
      </c>
      <c r="AM62" s="159" t="str">
        <f t="shared" ca="1" si="17"/>
        <v/>
      </c>
      <c r="AN62" s="160" t="str">
        <f t="shared" ca="1" si="18"/>
        <v/>
      </c>
      <c r="AO62" s="161" t="str">
        <f t="shared" ca="1" si="19"/>
        <v/>
      </c>
      <c r="AP62" s="162" t="str">
        <f t="shared" ca="1" si="20"/>
        <v/>
      </c>
      <c r="AQ62" s="163" t="str">
        <f t="shared" ca="1" si="21"/>
        <v/>
      </c>
      <c r="AR62" s="164" t="str">
        <f t="shared" ca="1" si="22"/>
        <v/>
      </c>
      <c r="AS62" s="164" t="str">
        <f t="shared" ca="1" si="23"/>
        <v/>
      </c>
      <c r="AT62" s="164" t="str">
        <f t="shared" ca="1" si="24"/>
        <v/>
      </c>
      <c r="AU62" s="164" t="str">
        <f t="shared" ca="1" si="25"/>
        <v/>
      </c>
      <c r="AV62" s="164" t="str">
        <f t="shared" ca="1" si="26"/>
        <v/>
      </c>
      <c r="AW62" s="164" t="str">
        <f t="shared" ca="1" si="27"/>
        <v/>
      </c>
      <c r="AX62" s="164" t="str">
        <f t="shared" ca="1" si="28"/>
        <v/>
      </c>
      <c r="AY62" s="164" t="str">
        <f t="shared" ca="1" si="29"/>
        <v/>
      </c>
      <c r="AZ62" s="164" t="str">
        <f t="shared" ca="1" si="30"/>
        <v/>
      </c>
      <c r="BA62" s="165" t="str">
        <f t="shared" ca="1" si="31"/>
        <v>nie</v>
      </c>
      <c r="BB62" s="166" t="str">
        <f t="shared" ca="1" si="35"/>
        <v>-</v>
      </c>
      <c r="BC62" s="165" t="str">
        <f t="shared" ca="1" si="32"/>
        <v>nie</v>
      </c>
    </row>
    <row r="63" spans="1:55" s="176" customFormat="1" ht="14.45" hidden="1" customHeight="1" x14ac:dyDescent="0.25">
      <c r="A63" s="493" t="s">
        <v>24</v>
      </c>
      <c r="B63" s="493" t="s">
        <v>26</v>
      </c>
      <c r="C63" s="530" t="s">
        <v>111</v>
      </c>
      <c r="D63" s="511" t="s">
        <v>112</v>
      </c>
      <c r="E63" s="497">
        <v>600</v>
      </c>
      <c r="F63" s="497">
        <v>60016</v>
      </c>
      <c r="G63" s="497">
        <v>6050</v>
      </c>
      <c r="H63" s="507">
        <v>2016</v>
      </c>
      <c r="I63" s="499" t="str">
        <f ca="1">IF(COUNTIF(OFFSET(I63,-1,-8),"*propon*")&gt;0,OFFSET(I63,4,0),IF(Y63&gt;0,"2033",IF(X63&gt;0,"2032",IF(W63&gt;0,"2031",IF(V63&gt;0,"2030",IF(U63&gt;0,"2029",IF(T63&gt;0,"2028",IF(S63&gt;0,"2027",IF(R63&gt;0,"2026",IF(Q63&gt;0,"2025",IF(P63&gt;0,"2024",IF(M63&gt;0,"2023",IF(L63&gt;0,"2022","")))))))))))))</f>
        <v>2025</v>
      </c>
      <c r="J63" s="168" t="s">
        <v>98</v>
      </c>
      <c r="K63" s="169">
        <f>SUM(N63:O63)</f>
        <v>0</v>
      </c>
      <c r="L63" s="170">
        <f t="shared" ref="L63:M63" si="90">SUM(L64:L65)</f>
        <v>0</v>
      </c>
      <c r="M63" s="171">
        <f t="shared" si="90"/>
        <v>0</v>
      </c>
      <c r="N63" s="172">
        <f>SUM(L63:M63)</f>
        <v>0</v>
      </c>
      <c r="O63" s="169">
        <f>SUM(P63:Y63)</f>
        <v>0</v>
      </c>
      <c r="P63" s="173">
        <f t="shared" ref="P63:R63" si="91">SUM(P64:P65)</f>
        <v>0</v>
      </c>
      <c r="Q63" s="171">
        <f t="shared" si="91"/>
        <v>0</v>
      </c>
      <c r="R63" s="174">
        <f t="shared" si="91"/>
        <v>0</v>
      </c>
      <c r="S63" s="175">
        <f t="shared" ref="S63:Y63" si="92">SUM(S64:S65)</f>
        <v>0</v>
      </c>
      <c r="T63" s="171">
        <f t="shared" si="92"/>
        <v>0</v>
      </c>
      <c r="U63" s="171">
        <f t="shared" si="92"/>
        <v>0</v>
      </c>
      <c r="V63" s="171">
        <f t="shared" si="92"/>
        <v>0</v>
      </c>
      <c r="W63" s="171">
        <f t="shared" si="92"/>
        <v>0</v>
      </c>
      <c r="X63" s="171">
        <f t="shared" si="92"/>
        <v>0</v>
      </c>
      <c r="Y63" s="174">
        <f t="shared" si="92"/>
        <v>0</v>
      </c>
      <c r="Z63" s="149" t="str">
        <f t="shared" ca="1" si="6"/>
        <v>nie</v>
      </c>
      <c r="AA63" s="366"/>
      <c r="AB63" s="150" t="str">
        <f t="shared" ca="1" si="34"/>
        <v>-</v>
      </c>
      <c r="AC63" s="151" t="str">
        <f t="shared" ca="1" si="7"/>
        <v>PROPONOWANA ZMIANA</v>
      </c>
      <c r="AD63" s="152" t="str">
        <f t="shared" ca="1" si="8"/>
        <v>PROPONOWANA ZMIANA</v>
      </c>
      <c r="AE63" s="153" t="str">
        <f t="shared" ca="1" si="9"/>
        <v>C/USN/I/P2/22</v>
      </c>
      <c r="AF63" s="154" t="str">
        <f t="shared" ca="1" si="10"/>
        <v>Budowa ulicy 26aKD-D z m.p.z.p. Zachodniego Pasma Pyrskiego w rejonie ul. Poleczki</v>
      </c>
      <c r="AG63" s="155">
        <f t="shared" ca="1" si="11"/>
        <v>60016</v>
      </c>
      <c r="AH63" s="155" t="str">
        <f t="shared" ca="1" si="12"/>
        <v>6050</v>
      </c>
      <c r="AI63" s="156" t="str">
        <f t="shared" ca="1" si="13"/>
        <v>GMMW</v>
      </c>
      <c r="AJ63" s="157" t="str">
        <f t="shared" ca="1" si="14"/>
        <v>WPF, w tym</v>
      </c>
      <c r="AK63" s="158" t="str">
        <f t="shared" ca="1" si="15"/>
        <v>C/USN/I/P2/22 60016 6050 GMMW</v>
      </c>
      <c r="AL63" s="158" t="str">
        <f t="shared" ca="1" si="16"/>
        <v>C/USN/I/P2/22 60016 6050 WPF, w tym</v>
      </c>
      <c r="AM63" s="159" t="str">
        <f t="shared" ca="1" si="17"/>
        <v>C/USN/I/P2/22 60016 6050 GMMW WPF, w tym</v>
      </c>
      <c r="AN63" s="160">
        <f t="shared" ca="1" si="18"/>
        <v>0</v>
      </c>
      <c r="AO63" s="161">
        <f t="shared" ca="1" si="19"/>
        <v>0</v>
      </c>
      <c r="AP63" s="162">
        <f t="shared" ca="1" si="20"/>
        <v>0</v>
      </c>
      <c r="AQ63" s="163">
        <f t="shared" ca="1" si="21"/>
        <v>0</v>
      </c>
      <c r="AR63" s="164">
        <f t="shared" ca="1" si="22"/>
        <v>0</v>
      </c>
      <c r="AS63" s="164">
        <f t="shared" ca="1" si="23"/>
        <v>0</v>
      </c>
      <c r="AT63" s="164">
        <f t="shared" ca="1" si="24"/>
        <v>0</v>
      </c>
      <c r="AU63" s="164">
        <f t="shared" ca="1" si="25"/>
        <v>0</v>
      </c>
      <c r="AV63" s="164">
        <f t="shared" ca="1" si="26"/>
        <v>0</v>
      </c>
      <c r="AW63" s="164">
        <f t="shared" ca="1" si="27"/>
        <v>0</v>
      </c>
      <c r="AX63" s="164">
        <f t="shared" ca="1" si="28"/>
        <v>0</v>
      </c>
      <c r="AY63" s="164">
        <f t="shared" ca="1" si="29"/>
        <v>0</v>
      </c>
      <c r="AZ63" s="164">
        <f t="shared" ca="1" si="30"/>
        <v>0</v>
      </c>
      <c r="BA63" s="165" t="str">
        <f t="shared" ca="1" si="31"/>
        <v>nie</v>
      </c>
      <c r="BB63" s="166" t="str">
        <f t="shared" ca="1" si="35"/>
        <v>-</v>
      </c>
      <c r="BC63" s="165" t="str">
        <f t="shared" ca="1" si="32"/>
        <v>nie</v>
      </c>
    </row>
    <row r="64" spans="1:55" s="167" customFormat="1" ht="14.45" hidden="1" customHeight="1" x14ac:dyDescent="0.25">
      <c r="A64" s="493"/>
      <c r="B64" s="493"/>
      <c r="C64" s="530"/>
      <c r="D64" s="512"/>
      <c r="E64" s="497"/>
      <c r="F64" s="497"/>
      <c r="G64" s="497"/>
      <c r="H64" s="498"/>
      <c r="I64" s="499"/>
      <c r="J64" s="177" t="s">
        <v>99</v>
      </c>
      <c r="K64" s="178">
        <f>SUM(N64:O64)</f>
        <v>0</v>
      </c>
      <c r="L64" s="179">
        <f t="shared" ref="L64:M64" si="93">L68-L60</f>
        <v>0</v>
      </c>
      <c r="M64" s="180">
        <f t="shared" si="93"/>
        <v>0</v>
      </c>
      <c r="N64" s="172">
        <f>SUM(L64:M64)</f>
        <v>0</v>
      </c>
      <c r="O64" s="178">
        <f>SUM(P64:Y64)</f>
        <v>0</v>
      </c>
      <c r="P64" s="181">
        <f t="shared" ref="P64:R64" si="94">P68-P60</f>
        <v>0</v>
      </c>
      <c r="Q64" s="180">
        <f t="shared" si="94"/>
        <v>0</v>
      </c>
      <c r="R64" s="182">
        <f t="shared" si="94"/>
        <v>0</v>
      </c>
      <c r="S64" s="183">
        <f t="shared" ref="S64:Y65" si="95">S68-S60</f>
        <v>0</v>
      </c>
      <c r="T64" s="180">
        <f t="shared" si="95"/>
        <v>0</v>
      </c>
      <c r="U64" s="180">
        <f t="shared" si="95"/>
        <v>0</v>
      </c>
      <c r="V64" s="180">
        <f t="shared" si="95"/>
        <v>0</v>
      </c>
      <c r="W64" s="180">
        <f t="shared" si="95"/>
        <v>0</v>
      </c>
      <c r="X64" s="180">
        <f t="shared" si="95"/>
        <v>0</v>
      </c>
      <c r="Y64" s="182">
        <f t="shared" si="95"/>
        <v>0</v>
      </c>
      <c r="Z64" s="149" t="str">
        <f t="shared" ca="1" si="6"/>
        <v>nie</v>
      </c>
      <c r="AA64" s="366"/>
      <c r="AB64" s="150" t="str">
        <f t="shared" ca="1" si="34"/>
        <v>-</v>
      </c>
      <c r="AC64" s="151" t="str">
        <f t="shared" ca="1" si="7"/>
        <v>PROPONOWANA ZMIANA</v>
      </c>
      <c r="AD64" s="152" t="str">
        <f t="shared" ca="1" si="8"/>
        <v>PROPONOWANA ZMIANA</v>
      </c>
      <c r="AE64" s="153" t="str">
        <f t="shared" ca="1" si="9"/>
        <v>C/USN/I/P2/22</v>
      </c>
      <c r="AF64" s="154" t="str">
        <f t="shared" ca="1" si="10"/>
        <v>Budowa ulicy 26aKD-D z m.p.z.p. Zachodniego Pasma Pyrskiego w rejonie ul. Poleczki</v>
      </c>
      <c r="AG64" s="155">
        <f t="shared" ca="1" si="11"/>
        <v>60016</v>
      </c>
      <c r="AH64" s="155" t="str">
        <f t="shared" ca="1" si="12"/>
        <v>6050</v>
      </c>
      <c r="AI64" s="156" t="str">
        <f t="shared" ca="1" si="13"/>
        <v>GMMW</v>
      </c>
      <c r="AJ64" s="157" t="str">
        <f t="shared" ca="1" si="14"/>
        <v>WPF/PM</v>
      </c>
      <c r="AK64" s="158" t="str">
        <f t="shared" ca="1" si="15"/>
        <v>C/USN/I/P2/22 60016 6050 GMMW</v>
      </c>
      <c r="AL64" s="158" t="str">
        <f t="shared" ca="1" si="16"/>
        <v>C/USN/I/P2/22 60016 6050 WPF/PM</v>
      </c>
      <c r="AM64" s="159" t="str">
        <f t="shared" ca="1" si="17"/>
        <v>C/USN/I/P2/22 60016 6050 GMMW WPF/PM</v>
      </c>
      <c r="AN64" s="160">
        <f t="shared" ca="1" si="18"/>
        <v>0</v>
      </c>
      <c r="AO64" s="161">
        <f t="shared" ca="1" si="19"/>
        <v>0</v>
      </c>
      <c r="AP64" s="162">
        <f t="shared" ca="1" si="20"/>
        <v>0</v>
      </c>
      <c r="AQ64" s="163">
        <f t="shared" ca="1" si="21"/>
        <v>0</v>
      </c>
      <c r="AR64" s="164">
        <f t="shared" ca="1" si="22"/>
        <v>0</v>
      </c>
      <c r="AS64" s="164">
        <f t="shared" ca="1" si="23"/>
        <v>0</v>
      </c>
      <c r="AT64" s="164">
        <f t="shared" ca="1" si="24"/>
        <v>0</v>
      </c>
      <c r="AU64" s="164">
        <f t="shared" ca="1" si="25"/>
        <v>0</v>
      </c>
      <c r="AV64" s="164">
        <f t="shared" ca="1" si="26"/>
        <v>0</v>
      </c>
      <c r="AW64" s="164">
        <f t="shared" ca="1" si="27"/>
        <v>0</v>
      </c>
      <c r="AX64" s="164">
        <f t="shared" ca="1" si="28"/>
        <v>0</v>
      </c>
      <c r="AY64" s="164">
        <f t="shared" ca="1" si="29"/>
        <v>0</v>
      </c>
      <c r="AZ64" s="164">
        <f t="shared" ca="1" si="30"/>
        <v>0</v>
      </c>
      <c r="BA64" s="165" t="str">
        <f t="shared" ca="1" si="31"/>
        <v>nie</v>
      </c>
      <c r="BB64" s="166" t="str">
        <f t="shared" ca="1" si="35"/>
        <v>-</v>
      </c>
      <c r="BC64" s="165" t="str">
        <f t="shared" ca="1" si="32"/>
        <v>nie</v>
      </c>
    </row>
    <row r="65" spans="1:55" s="167" customFormat="1" ht="14.45" hidden="1" customHeight="1" x14ac:dyDescent="0.25">
      <c r="A65" s="493"/>
      <c r="B65" s="493"/>
      <c r="C65" s="530"/>
      <c r="D65" s="512"/>
      <c r="E65" s="497"/>
      <c r="F65" s="497"/>
      <c r="G65" s="497"/>
      <c r="H65" s="498"/>
      <c r="I65" s="499"/>
      <c r="J65" s="177" t="s">
        <v>100</v>
      </c>
      <c r="K65" s="178">
        <f>SUM(N65:O65)</f>
        <v>0</v>
      </c>
      <c r="L65" s="179">
        <f t="shared" ref="L65:M65" si="96">L69-L61</f>
        <v>0</v>
      </c>
      <c r="M65" s="180">
        <f t="shared" si="96"/>
        <v>0</v>
      </c>
      <c r="N65" s="172">
        <f>SUM(L65:M65)</f>
        <v>0</v>
      </c>
      <c r="O65" s="178">
        <f>SUM(P65:Y65)</f>
        <v>0</v>
      </c>
      <c r="P65" s="181">
        <f t="shared" ref="P65:R65" si="97">P69-P61</f>
        <v>0</v>
      </c>
      <c r="Q65" s="180">
        <f t="shared" si="97"/>
        <v>0</v>
      </c>
      <c r="R65" s="182">
        <f t="shared" si="97"/>
        <v>0</v>
      </c>
      <c r="S65" s="183">
        <f t="shared" si="95"/>
        <v>0</v>
      </c>
      <c r="T65" s="180">
        <f t="shared" si="95"/>
        <v>0</v>
      </c>
      <c r="U65" s="180">
        <f t="shared" si="95"/>
        <v>0</v>
      </c>
      <c r="V65" s="180">
        <f t="shared" si="95"/>
        <v>0</v>
      </c>
      <c r="W65" s="180">
        <f t="shared" si="95"/>
        <v>0</v>
      </c>
      <c r="X65" s="180">
        <f t="shared" si="95"/>
        <v>0</v>
      </c>
      <c r="Y65" s="182">
        <f t="shared" si="95"/>
        <v>0</v>
      </c>
      <c r="Z65" s="149" t="str">
        <f t="shared" ca="1" si="6"/>
        <v>nie</v>
      </c>
      <c r="AA65" s="366"/>
      <c r="AB65" s="150" t="str">
        <f t="shared" ca="1" si="34"/>
        <v>-</v>
      </c>
      <c r="AC65" s="151" t="str">
        <f t="shared" ca="1" si="7"/>
        <v>PROPONOWANA ZMIANA</v>
      </c>
      <c r="AD65" s="152" t="str">
        <f t="shared" ca="1" si="8"/>
        <v>PROPONOWANA ZMIANA</v>
      </c>
      <c r="AE65" s="153" t="str">
        <f t="shared" ca="1" si="9"/>
        <v>C/USN/I/P2/22</v>
      </c>
      <c r="AF65" s="154" t="str">
        <f t="shared" ca="1" si="10"/>
        <v>Budowa ulicy 26aKD-D z m.p.z.p. Zachodniego Pasma Pyrskiego w rejonie ul. Poleczki</v>
      </c>
      <c r="AG65" s="155">
        <f t="shared" ca="1" si="11"/>
        <v>60016</v>
      </c>
      <c r="AH65" s="155" t="str">
        <f t="shared" ca="1" si="12"/>
        <v>6050</v>
      </c>
      <c r="AI65" s="156" t="str">
        <f t="shared" ca="1" si="13"/>
        <v>GMMW</v>
      </c>
      <c r="AJ65" s="157" t="str">
        <f t="shared" ca="1" si="14"/>
        <v>WPF/UM</v>
      </c>
      <c r="AK65" s="158" t="str">
        <f t="shared" ca="1" si="15"/>
        <v>C/USN/I/P2/22 60016 6050 GMMW</v>
      </c>
      <c r="AL65" s="158" t="str">
        <f t="shared" ca="1" si="16"/>
        <v>C/USN/I/P2/22 60016 6050 WPF/UM</v>
      </c>
      <c r="AM65" s="159" t="str">
        <f t="shared" ca="1" si="17"/>
        <v>C/USN/I/P2/22 60016 6050 GMMW WPF/UM</v>
      </c>
      <c r="AN65" s="160">
        <f t="shared" ca="1" si="18"/>
        <v>0</v>
      </c>
      <c r="AO65" s="161">
        <f t="shared" ca="1" si="19"/>
        <v>0</v>
      </c>
      <c r="AP65" s="162">
        <f t="shared" ca="1" si="20"/>
        <v>0</v>
      </c>
      <c r="AQ65" s="163">
        <f t="shared" ca="1" si="21"/>
        <v>0</v>
      </c>
      <c r="AR65" s="164">
        <f t="shared" ca="1" si="22"/>
        <v>0</v>
      </c>
      <c r="AS65" s="164">
        <f t="shared" ca="1" si="23"/>
        <v>0</v>
      </c>
      <c r="AT65" s="164">
        <f t="shared" ca="1" si="24"/>
        <v>0</v>
      </c>
      <c r="AU65" s="164">
        <f t="shared" ca="1" si="25"/>
        <v>0</v>
      </c>
      <c r="AV65" s="164">
        <f t="shared" ca="1" si="26"/>
        <v>0</v>
      </c>
      <c r="AW65" s="164">
        <f t="shared" ca="1" si="27"/>
        <v>0</v>
      </c>
      <c r="AX65" s="164">
        <f t="shared" ca="1" si="28"/>
        <v>0</v>
      </c>
      <c r="AY65" s="164">
        <f t="shared" ca="1" si="29"/>
        <v>0</v>
      </c>
      <c r="AZ65" s="164">
        <f t="shared" ca="1" si="30"/>
        <v>0</v>
      </c>
      <c r="BA65" s="165" t="str">
        <f t="shared" ca="1" si="31"/>
        <v>nie</v>
      </c>
      <c r="BB65" s="166" t="str">
        <f t="shared" ca="1" si="35"/>
        <v>-</v>
      </c>
      <c r="BC65" s="165" t="str">
        <f t="shared" ca="1" si="32"/>
        <v>nie</v>
      </c>
    </row>
    <row r="66" spans="1:55" s="167" customFormat="1" ht="14.45" hidden="1" customHeight="1" x14ac:dyDescent="0.25">
      <c r="A66" s="191" t="s">
        <v>101</v>
      </c>
      <c r="B66" s="192"/>
      <c r="C66" s="193"/>
      <c r="D66" s="192"/>
      <c r="E66" s="192"/>
      <c r="F66" s="192"/>
      <c r="G66" s="192"/>
      <c r="H66" s="192"/>
      <c r="I66" s="192"/>
      <c r="J66" s="192"/>
      <c r="K66" s="192"/>
      <c r="L66" s="192"/>
      <c r="M66" s="192"/>
      <c r="N66" s="192"/>
      <c r="O66" s="192"/>
      <c r="P66" s="192"/>
      <c r="Q66" s="192"/>
      <c r="R66" s="194"/>
      <c r="S66" s="195"/>
      <c r="T66" s="195"/>
      <c r="U66" s="195"/>
      <c r="V66" s="195"/>
      <c r="W66" s="195"/>
      <c r="X66" s="195"/>
      <c r="Y66" s="196"/>
      <c r="Z66" s="149" t="str">
        <f t="shared" ca="1" si="6"/>
        <v>nie</v>
      </c>
      <c r="AA66" s="366"/>
      <c r="AB66" s="150" t="str">
        <f t="shared" ca="1" si="34"/>
        <v>-</v>
      </c>
      <c r="AC66" s="151" t="str">
        <f t="shared" ca="1" si="7"/>
        <v>PO ZMIANIE</v>
      </c>
      <c r="AD66" s="152" t="str">
        <f t="shared" ca="1" si="8"/>
        <v/>
      </c>
      <c r="AE66" s="153" t="str">
        <f t="shared" ca="1" si="9"/>
        <v/>
      </c>
      <c r="AF66" s="154" t="str">
        <f t="shared" ca="1" si="10"/>
        <v/>
      </c>
      <c r="AG66" s="155" t="str">
        <f t="shared" ca="1" si="11"/>
        <v/>
      </c>
      <c r="AH66" s="155" t="str">
        <f t="shared" ca="1" si="12"/>
        <v/>
      </c>
      <c r="AI66" s="156" t="str">
        <f t="shared" ca="1" si="13"/>
        <v/>
      </c>
      <c r="AJ66" s="157" t="str">
        <f t="shared" ca="1" si="14"/>
        <v/>
      </c>
      <c r="AK66" s="158" t="str">
        <f t="shared" ca="1" si="15"/>
        <v/>
      </c>
      <c r="AL66" s="158" t="str">
        <f t="shared" ca="1" si="16"/>
        <v/>
      </c>
      <c r="AM66" s="159" t="str">
        <f t="shared" ca="1" si="17"/>
        <v/>
      </c>
      <c r="AN66" s="160" t="str">
        <f t="shared" ca="1" si="18"/>
        <v/>
      </c>
      <c r="AO66" s="161" t="str">
        <f t="shared" ca="1" si="19"/>
        <v/>
      </c>
      <c r="AP66" s="162" t="str">
        <f t="shared" ca="1" si="20"/>
        <v/>
      </c>
      <c r="AQ66" s="163" t="str">
        <f t="shared" ca="1" si="21"/>
        <v/>
      </c>
      <c r="AR66" s="164" t="str">
        <f t="shared" ca="1" si="22"/>
        <v/>
      </c>
      <c r="AS66" s="164" t="str">
        <f t="shared" ca="1" si="23"/>
        <v/>
      </c>
      <c r="AT66" s="164" t="str">
        <f t="shared" ca="1" si="24"/>
        <v/>
      </c>
      <c r="AU66" s="164" t="str">
        <f t="shared" ca="1" si="25"/>
        <v/>
      </c>
      <c r="AV66" s="164" t="str">
        <f t="shared" ca="1" si="26"/>
        <v/>
      </c>
      <c r="AW66" s="164" t="str">
        <f t="shared" ca="1" si="27"/>
        <v/>
      </c>
      <c r="AX66" s="164" t="str">
        <f t="shared" ca="1" si="28"/>
        <v/>
      </c>
      <c r="AY66" s="164" t="str">
        <f t="shared" ca="1" si="29"/>
        <v/>
      </c>
      <c r="AZ66" s="164" t="str">
        <f t="shared" ca="1" si="30"/>
        <v/>
      </c>
      <c r="BA66" s="165" t="str">
        <f t="shared" ca="1" si="31"/>
        <v>nie</v>
      </c>
      <c r="BB66" s="166" t="str">
        <f t="shared" ca="1" si="35"/>
        <v>-</v>
      </c>
      <c r="BC66" s="165" t="str">
        <f t="shared" ca="1" si="32"/>
        <v>nie</v>
      </c>
    </row>
    <row r="67" spans="1:55" s="176" customFormat="1" ht="14.45" hidden="1" customHeight="1" x14ac:dyDescent="0.25">
      <c r="A67" s="493" t="s">
        <v>24</v>
      </c>
      <c r="B67" s="493" t="s">
        <v>26</v>
      </c>
      <c r="C67" s="530" t="s">
        <v>111</v>
      </c>
      <c r="D67" s="511" t="s">
        <v>112</v>
      </c>
      <c r="E67" s="497">
        <v>600</v>
      </c>
      <c r="F67" s="497">
        <v>60016</v>
      </c>
      <c r="G67" s="497">
        <v>6050</v>
      </c>
      <c r="H67" s="507">
        <v>2016</v>
      </c>
      <c r="I67" s="499" t="str">
        <f ca="1">IF(COUNTIF(OFFSET(I67,-1,-8),"*propon*")&gt;0,OFFSET(I67,4,0),IF(Y67&gt;0,"2033",IF(X67&gt;0,"2032",IF(W67&gt;0,"2031",IF(V67&gt;0,"2030",IF(U67&gt;0,"2029",IF(T67&gt;0,"2028",IF(S67&gt;0,"2027",IF(R67&gt;0,"2026",IF(Q67&gt;0,"2025",IF(P67&gt;0,"2024",IF(M67&gt;0,"2023",IF(L67&gt;0,"2022","")))))))))))))</f>
        <v>2025</v>
      </c>
      <c r="J67" s="168" t="s">
        <v>102</v>
      </c>
      <c r="K67" s="169">
        <f>SUM(N67:O67)</f>
        <v>801710</v>
      </c>
      <c r="L67" s="170">
        <f t="shared" ref="L67:M67" si="98">SUM(L68:L69)</f>
        <v>715003</v>
      </c>
      <c r="M67" s="171">
        <f t="shared" si="98"/>
        <v>0</v>
      </c>
      <c r="N67" s="172">
        <f>SUM(L67:M67)</f>
        <v>715003</v>
      </c>
      <c r="O67" s="169">
        <f>SUM(P67:Y67)</f>
        <v>86707</v>
      </c>
      <c r="P67" s="173">
        <f t="shared" ref="P67:R67" si="99">SUM(P68:P69)</f>
        <v>30000</v>
      </c>
      <c r="Q67" s="171">
        <f t="shared" si="99"/>
        <v>56707</v>
      </c>
      <c r="R67" s="174">
        <f t="shared" si="99"/>
        <v>0</v>
      </c>
      <c r="S67" s="175">
        <f t="shared" ref="S67:Y67" si="100">SUM(S68:S69)</f>
        <v>0</v>
      </c>
      <c r="T67" s="171">
        <f t="shared" si="100"/>
        <v>0</v>
      </c>
      <c r="U67" s="171">
        <f t="shared" si="100"/>
        <v>0</v>
      </c>
      <c r="V67" s="171">
        <f t="shared" si="100"/>
        <v>0</v>
      </c>
      <c r="W67" s="171">
        <f t="shared" si="100"/>
        <v>0</v>
      </c>
      <c r="X67" s="171">
        <f t="shared" si="100"/>
        <v>0</v>
      </c>
      <c r="Y67" s="174">
        <f t="shared" si="100"/>
        <v>0</v>
      </c>
      <c r="Z67" s="149" t="str">
        <f t="shared" ca="1" si="6"/>
        <v>nie</v>
      </c>
      <c r="AA67" s="366"/>
      <c r="AB67" s="150" t="str">
        <f t="shared" ca="1" si="34"/>
        <v>-</v>
      </c>
      <c r="AC67" s="151" t="str">
        <f t="shared" ca="1" si="7"/>
        <v>PO ZMIANIE</v>
      </c>
      <c r="AD67" s="152" t="str">
        <f t="shared" ca="1" si="8"/>
        <v>PO ZMIANIE</v>
      </c>
      <c r="AE67" s="153" t="str">
        <f t="shared" ca="1" si="9"/>
        <v>C/USN/I/P2/22</v>
      </c>
      <c r="AF67" s="154" t="str">
        <f t="shared" ca="1" si="10"/>
        <v>Budowa ulicy 26aKD-D z m.p.z.p. Zachodniego Pasma Pyrskiego w rejonie ul. Poleczki</v>
      </c>
      <c r="AG67" s="155">
        <f t="shared" ca="1" si="11"/>
        <v>60016</v>
      </c>
      <c r="AH67" s="155" t="str">
        <f t="shared" ca="1" si="12"/>
        <v>6050</v>
      </c>
      <c r="AI67" s="156" t="str">
        <f t="shared" ca="1" si="13"/>
        <v>GMMW</v>
      </c>
      <c r="AJ67" s="157" t="str">
        <f t="shared" ca="1" si="14"/>
        <v>WPF, w tym</v>
      </c>
      <c r="AK67" s="158" t="str">
        <f t="shared" ca="1" si="15"/>
        <v>C/USN/I/P2/22 60016 6050 GMMW</v>
      </c>
      <c r="AL67" s="158" t="str">
        <f t="shared" ca="1" si="16"/>
        <v>C/USN/I/P2/22 60016 6050 WPF, w tym</v>
      </c>
      <c r="AM67" s="159" t="str">
        <f t="shared" ca="1" si="17"/>
        <v>C/USN/I/P2/22 60016 6050 GMMW WPF, w tym</v>
      </c>
      <c r="AN67" s="160">
        <f t="shared" ca="1" si="18"/>
        <v>801710</v>
      </c>
      <c r="AO67" s="161">
        <f t="shared" ca="1" si="19"/>
        <v>715003</v>
      </c>
      <c r="AP67" s="162">
        <f t="shared" ca="1" si="20"/>
        <v>0</v>
      </c>
      <c r="AQ67" s="163">
        <f t="shared" ca="1" si="21"/>
        <v>30000</v>
      </c>
      <c r="AR67" s="164">
        <f t="shared" ca="1" si="22"/>
        <v>56707</v>
      </c>
      <c r="AS67" s="164">
        <f t="shared" ca="1" si="23"/>
        <v>0</v>
      </c>
      <c r="AT67" s="164">
        <f t="shared" ca="1" si="24"/>
        <v>0</v>
      </c>
      <c r="AU67" s="164">
        <f t="shared" ca="1" si="25"/>
        <v>0</v>
      </c>
      <c r="AV67" s="164">
        <f t="shared" ca="1" si="26"/>
        <v>0</v>
      </c>
      <c r="AW67" s="164">
        <f t="shared" ca="1" si="27"/>
        <v>0</v>
      </c>
      <c r="AX67" s="164">
        <f t="shared" ca="1" si="28"/>
        <v>0</v>
      </c>
      <c r="AY67" s="164">
        <f t="shared" ca="1" si="29"/>
        <v>0</v>
      </c>
      <c r="AZ67" s="164">
        <f t="shared" ca="1" si="30"/>
        <v>0</v>
      </c>
      <c r="BA67" s="165" t="str">
        <f t="shared" ca="1" si="31"/>
        <v>nie</v>
      </c>
      <c r="BB67" s="166" t="str">
        <f t="shared" ca="1" si="35"/>
        <v>-</v>
      </c>
      <c r="BC67" s="165" t="str">
        <f t="shared" ca="1" si="32"/>
        <v>nie</v>
      </c>
    </row>
    <row r="68" spans="1:55" s="167" customFormat="1" ht="14.45" hidden="1" customHeight="1" x14ac:dyDescent="0.25">
      <c r="A68" s="493"/>
      <c r="B68" s="493"/>
      <c r="C68" s="530"/>
      <c r="D68" s="512"/>
      <c r="E68" s="497"/>
      <c r="F68" s="497"/>
      <c r="G68" s="497"/>
      <c r="H68" s="498"/>
      <c r="I68" s="499"/>
      <c r="J68" s="177" t="s">
        <v>103</v>
      </c>
      <c r="K68" s="178">
        <f>SUM(N68:O68)</f>
        <v>86707</v>
      </c>
      <c r="L68" s="179"/>
      <c r="M68" s="180"/>
      <c r="N68" s="172">
        <f>SUM(L68:M68)</f>
        <v>0</v>
      </c>
      <c r="O68" s="178">
        <f>SUM(P68:Y68)</f>
        <v>86707</v>
      </c>
      <c r="P68" s="181">
        <f>30000</f>
        <v>30000</v>
      </c>
      <c r="Q68" s="180">
        <f>56707</f>
        <v>56707</v>
      </c>
      <c r="R68" s="182"/>
      <c r="S68" s="183"/>
      <c r="T68" s="180"/>
      <c r="U68" s="180"/>
      <c r="V68" s="180"/>
      <c r="W68" s="180"/>
      <c r="X68" s="180"/>
      <c r="Y68" s="182"/>
      <c r="Z68" s="149" t="str">
        <f t="shared" ca="1" si="6"/>
        <v>nie</v>
      </c>
      <c r="AA68" s="384"/>
      <c r="AB68" s="150" t="str">
        <f t="shared" ca="1" si="34"/>
        <v>-</v>
      </c>
      <c r="AC68" s="151" t="str">
        <f t="shared" ca="1" si="7"/>
        <v>PO ZMIANIE</v>
      </c>
      <c r="AD68" s="152" t="str">
        <f t="shared" ca="1" si="8"/>
        <v>PO ZMIANIE</v>
      </c>
      <c r="AE68" s="153" t="str">
        <f t="shared" ca="1" si="9"/>
        <v>C/USN/I/P2/22</v>
      </c>
      <c r="AF68" s="154" t="str">
        <f t="shared" ca="1" si="10"/>
        <v>Budowa ulicy 26aKD-D z m.p.z.p. Zachodniego Pasma Pyrskiego w rejonie ul. Poleczki</v>
      </c>
      <c r="AG68" s="155">
        <f t="shared" ca="1" si="11"/>
        <v>60016</v>
      </c>
      <c r="AH68" s="155" t="str">
        <f t="shared" ca="1" si="12"/>
        <v>6050</v>
      </c>
      <c r="AI68" s="156" t="str">
        <f t="shared" ca="1" si="13"/>
        <v>GMMW</v>
      </c>
      <c r="AJ68" s="157" t="str">
        <f t="shared" ca="1" si="14"/>
        <v>WPF/PM</v>
      </c>
      <c r="AK68" s="158" t="str">
        <f t="shared" ca="1" si="15"/>
        <v>C/USN/I/P2/22 60016 6050 GMMW</v>
      </c>
      <c r="AL68" s="158" t="str">
        <f t="shared" ca="1" si="16"/>
        <v>C/USN/I/P2/22 60016 6050 WPF/PM</v>
      </c>
      <c r="AM68" s="159" t="str">
        <f t="shared" ca="1" si="17"/>
        <v>C/USN/I/P2/22 60016 6050 GMMW WPF/PM</v>
      </c>
      <c r="AN68" s="160">
        <f t="shared" ca="1" si="18"/>
        <v>86707</v>
      </c>
      <c r="AO68" s="161">
        <f t="shared" ca="1" si="19"/>
        <v>0</v>
      </c>
      <c r="AP68" s="162">
        <f t="shared" ca="1" si="20"/>
        <v>0</v>
      </c>
      <c r="AQ68" s="163">
        <f t="shared" ca="1" si="21"/>
        <v>30000</v>
      </c>
      <c r="AR68" s="164">
        <f t="shared" ca="1" si="22"/>
        <v>56707</v>
      </c>
      <c r="AS68" s="164">
        <f t="shared" ca="1" si="23"/>
        <v>0</v>
      </c>
      <c r="AT68" s="164">
        <f t="shared" ca="1" si="24"/>
        <v>0</v>
      </c>
      <c r="AU68" s="164">
        <f t="shared" ca="1" si="25"/>
        <v>0</v>
      </c>
      <c r="AV68" s="164">
        <f t="shared" ca="1" si="26"/>
        <v>0</v>
      </c>
      <c r="AW68" s="164">
        <f t="shared" ca="1" si="27"/>
        <v>0</v>
      </c>
      <c r="AX68" s="164">
        <f t="shared" ca="1" si="28"/>
        <v>0</v>
      </c>
      <c r="AY68" s="164">
        <f t="shared" ca="1" si="29"/>
        <v>0</v>
      </c>
      <c r="AZ68" s="164">
        <f t="shared" ca="1" si="30"/>
        <v>0</v>
      </c>
      <c r="BA68" s="165" t="str">
        <f t="shared" ca="1" si="31"/>
        <v>nie</v>
      </c>
      <c r="BB68" s="166" t="str">
        <f t="shared" ca="1" si="35"/>
        <v>-</v>
      </c>
      <c r="BC68" s="165" t="str">
        <f t="shared" ca="1" si="32"/>
        <v>nie</v>
      </c>
    </row>
    <row r="69" spans="1:55" s="167" customFormat="1" ht="14.45" hidden="1" customHeight="1" thickBot="1" x14ac:dyDescent="0.3">
      <c r="A69" s="500"/>
      <c r="B69" s="500"/>
      <c r="C69" s="531"/>
      <c r="D69" s="529"/>
      <c r="E69" s="503"/>
      <c r="F69" s="503"/>
      <c r="G69" s="503"/>
      <c r="H69" s="504"/>
      <c r="I69" s="499"/>
      <c r="J69" s="197" t="s">
        <v>104</v>
      </c>
      <c r="K69" s="198">
        <f>SUM(N69:O69)</f>
        <v>715003</v>
      </c>
      <c r="L69" s="199">
        <v>715003</v>
      </c>
      <c r="M69" s="200"/>
      <c r="N69" s="371">
        <f>SUM(L69:M69)</f>
        <v>715003</v>
      </c>
      <c r="O69" s="198">
        <f>SUM(P69:Y69)</f>
        <v>0</v>
      </c>
      <c r="P69" s="201"/>
      <c r="Q69" s="200"/>
      <c r="R69" s="202"/>
      <c r="S69" s="203"/>
      <c r="T69" s="200"/>
      <c r="U69" s="200"/>
      <c r="V69" s="200"/>
      <c r="W69" s="200"/>
      <c r="X69" s="200"/>
      <c r="Y69" s="202"/>
      <c r="Z69" s="149" t="str">
        <f t="shared" ca="1" si="6"/>
        <v>nie</v>
      </c>
      <c r="AA69" s="384"/>
      <c r="AB69" s="150" t="str">
        <f t="shared" ca="1" si="34"/>
        <v>-</v>
      </c>
      <c r="AC69" s="151" t="str">
        <f t="shared" ca="1" si="7"/>
        <v>PO ZMIANIE</v>
      </c>
      <c r="AD69" s="152" t="str">
        <f t="shared" ca="1" si="8"/>
        <v>PO ZMIANIE</v>
      </c>
      <c r="AE69" s="153" t="str">
        <f t="shared" ca="1" si="9"/>
        <v>C/USN/I/P2/22</v>
      </c>
      <c r="AF69" s="154" t="str">
        <f t="shared" ca="1" si="10"/>
        <v>Budowa ulicy 26aKD-D z m.p.z.p. Zachodniego Pasma Pyrskiego w rejonie ul. Poleczki</v>
      </c>
      <c r="AG69" s="155">
        <f t="shared" ca="1" si="11"/>
        <v>60016</v>
      </c>
      <c r="AH69" s="155" t="str">
        <f t="shared" ca="1" si="12"/>
        <v>6050</v>
      </c>
      <c r="AI69" s="156" t="str">
        <f t="shared" ca="1" si="13"/>
        <v>GMMW</v>
      </c>
      <c r="AJ69" s="157" t="str">
        <f t="shared" ca="1" si="14"/>
        <v>WPF/UM</v>
      </c>
      <c r="AK69" s="158" t="str">
        <f t="shared" ca="1" si="15"/>
        <v>C/USN/I/P2/22 60016 6050 GMMW</v>
      </c>
      <c r="AL69" s="158" t="str">
        <f t="shared" ca="1" si="16"/>
        <v>C/USN/I/P2/22 60016 6050 WPF/UM</v>
      </c>
      <c r="AM69" s="159" t="str">
        <f t="shared" ca="1" si="17"/>
        <v>C/USN/I/P2/22 60016 6050 GMMW WPF/UM</v>
      </c>
      <c r="AN69" s="160">
        <f t="shared" ca="1" si="18"/>
        <v>715003</v>
      </c>
      <c r="AO69" s="161">
        <f t="shared" ca="1" si="19"/>
        <v>715003</v>
      </c>
      <c r="AP69" s="162">
        <f t="shared" ca="1" si="20"/>
        <v>0</v>
      </c>
      <c r="AQ69" s="163">
        <f t="shared" ca="1" si="21"/>
        <v>0</v>
      </c>
      <c r="AR69" s="164">
        <f t="shared" ca="1" si="22"/>
        <v>0</v>
      </c>
      <c r="AS69" s="164">
        <f t="shared" ca="1" si="23"/>
        <v>0</v>
      </c>
      <c r="AT69" s="164">
        <f t="shared" ca="1" si="24"/>
        <v>0</v>
      </c>
      <c r="AU69" s="164">
        <f t="shared" ca="1" si="25"/>
        <v>0</v>
      </c>
      <c r="AV69" s="164">
        <f t="shared" ca="1" si="26"/>
        <v>0</v>
      </c>
      <c r="AW69" s="164">
        <f t="shared" ca="1" si="27"/>
        <v>0</v>
      </c>
      <c r="AX69" s="164">
        <f t="shared" ca="1" si="28"/>
        <v>0</v>
      </c>
      <c r="AY69" s="164">
        <f t="shared" ca="1" si="29"/>
        <v>0</v>
      </c>
      <c r="AZ69" s="164">
        <f t="shared" ca="1" si="30"/>
        <v>0</v>
      </c>
      <c r="BA69" s="165" t="str">
        <f t="shared" ca="1" si="31"/>
        <v>nie</v>
      </c>
      <c r="BB69" s="166" t="str">
        <f t="shared" ca="1" si="35"/>
        <v>-</v>
      </c>
      <c r="BC69" s="165" t="str">
        <f t="shared" ca="1" si="32"/>
        <v>nie</v>
      </c>
    </row>
    <row r="70" spans="1:55" s="167" customFormat="1" ht="14.45" hidden="1" customHeight="1" x14ac:dyDescent="0.25">
      <c r="A70" s="143" t="s">
        <v>91</v>
      </c>
      <c r="B70" s="144"/>
      <c r="C70" s="145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6"/>
      <c r="S70" s="147"/>
      <c r="T70" s="147"/>
      <c r="U70" s="147"/>
      <c r="V70" s="147"/>
      <c r="W70" s="147"/>
      <c r="X70" s="147"/>
      <c r="Y70" s="148"/>
      <c r="Z70" s="149" t="str">
        <f t="shared" ca="1" si="6"/>
        <v>nie</v>
      </c>
      <c r="AA70" s="366"/>
      <c r="AB70" s="150" t="str">
        <f t="shared" ca="1" si="34"/>
        <v>-</v>
      </c>
      <c r="AC70" s="151" t="str">
        <f t="shared" ca="1" si="7"/>
        <v>PRZED ZMIANĄ</v>
      </c>
      <c r="AD70" s="152" t="str">
        <f t="shared" ca="1" si="8"/>
        <v/>
      </c>
      <c r="AE70" s="153" t="str">
        <f t="shared" ca="1" si="9"/>
        <v/>
      </c>
      <c r="AF70" s="154" t="str">
        <f t="shared" ca="1" si="10"/>
        <v/>
      </c>
      <c r="AG70" s="155" t="str">
        <f t="shared" ca="1" si="11"/>
        <v/>
      </c>
      <c r="AH70" s="155" t="str">
        <f t="shared" ca="1" si="12"/>
        <v/>
      </c>
      <c r="AI70" s="156" t="str">
        <f t="shared" ca="1" si="13"/>
        <v/>
      </c>
      <c r="AJ70" s="157" t="str">
        <f t="shared" ca="1" si="14"/>
        <v/>
      </c>
      <c r="AK70" s="158" t="str">
        <f t="shared" ca="1" si="15"/>
        <v/>
      </c>
      <c r="AL70" s="158" t="str">
        <f t="shared" ca="1" si="16"/>
        <v/>
      </c>
      <c r="AM70" s="159" t="str">
        <f t="shared" ca="1" si="17"/>
        <v/>
      </c>
      <c r="AN70" s="160" t="str">
        <f t="shared" ca="1" si="18"/>
        <v/>
      </c>
      <c r="AO70" s="161" t="str">
        <f t="shared" ca="1" si="19"/>
        <v/>
      </c>
      <c r="AP70" s="162" t="str">
        <f t="shared" ca="1" si="20"/>
        <v/>
      </c>
      <c r="AQ70" s="163" t="str">
        <f t="shared" ca="1" si="21"/>
        <v/>
      </c>
      <c r="AR70" s="164" t="str">
        <f t="shared" ca="1" si="22"/>
        <v/>
      </c>
      <c r="AS70" s="164" t="str">
        <f t="shared" ca="1" si="23"/>
        <v/>
      </c>
      <c r="AT70" s="164" t="str">
        <f t="shared" ca="1" si="24"/>
        <v/>
      </c>
      <c r="AU70" s="164" t="str">
        <f t="shared" ca="1" si="25"/>
        <v/>
      </c>
      <c r="AV70" s="164" t="str">
        <f t="shared" ca="1" si="26"/>
        <v/>
      </c>
      <c r="AW70" s="164" t="str">
        <f t="shared" ca="1" si="27"/>
        <v/>
      </c>
      <c r="AX70" s="164" t="str">
        <f t="shared" ca="1" si="28"/>
        <v/>
      </c>
      <c r="AY70" s="164" t="str">
        <f t="shared" ca="1" si="29"/>
        <v/>
      </c>
      <c r="AZ70" s="164" t="str">
        <f t="shared" ca="1" si="30"/>
        <v/>
      </c>
      <c r="BA70" s="165" t="str">
        <f t="shared" ca="1" si="31"/>
        <v>nie</v>
      </c>
      <c r="BB70" s="166" t="str">
        <f t="shared" ca="1" si="35"/>
        <v>-</v>
      </c>
      <c r="BC70" s="165" t="str">
        <f t="shared" ca="1" si="32"/>
        <v>nie</v>
      </c>
    </row>
    <row r="71" spans="1:55" s="176" customFormat="1" ht="14.45" hidden="1" customHeight="1" x14ac:dyDescent="0.25">
      <c r="A71" s="493" t="s">
        <v>24</v>
      </c>
      <c r="B71" s="493" t="s">
        <v>26</v>
      </c>
      <c r="C71" s="494" t="s">
        <v>113</v>
      </c>
      <c r="D71" s="505" t="s">
        <v>114</v>
      </c>
      <c r="E71" s="497">
        <v>600</v>
      </c>
      <c r="F71" s="497">
        <v>60016</v>
      </c>
      <c r="G71" s="497">
        <v>6060</v>
      </c>
      <c r="H71" s="507">
        <v>2020</v>
      </c>
      <c r="I71" s="499" t="str">
        <f ca="1">IF(COUNTIF(OFFSET(I71,-1,-8),"*propon*")&gt;0,OFFSET(I71,4,0),IF(Y71&gt;0,"2033",IF(X71&gt;0,"2032",IF(W71&gt;0,"2031",IF(V71&gt;0,"2030",IF(U71&gt;0,"2029",IF(T71&gt;0,"2028",IF(S71&gt;0,"2027",IF(R71&gt;0,"2026",IF(Q71&gt;0,"2025",IF(P71&gt;0,"2024",IF(M71&gt;0,"2023",IF(L71&gt;0,"2022","")))))))))))))</f>
        <v>2025</v>
      </c>
      <c r="J71" s="168" t="s">
        <v>94</v>
      </c>
      <c r="K71" s="169">
        <f>SUM(N71:O71)</f>
        <v>4227894</v>
      </c>
      <c r="L71" s="170">
        <f t="shared" ref="L71:M71" si="101">SUM(L72:L73)</f>
        <v>0</v>
      </c>
      <c r="M71" s="171">
        <f t="shared" si="101"/>
        <v>0</v>
      </c>
      <c r="N71" s="172">
        <f>SUM(L71:M71)</f>
        <v>0</v>
      </c>
      <c r="O71" s="169">
        <f>SUM(P71:Y71)</f>
        <v>4227894</v>
      </c>
      <c r="P71" s="173">
        <f t="shared" ref="P71:R71" si="102">SUM(P72:P73)</f>
        <v>200000</v>
      </c>
      <c r="Q71" s="171">
        <f t="shared" si="102"/>
        <v>4027894</v>
      </c>
      <c r="R71" s="174">
        <f t="shared" si="102"/>
        <v>0</v>
      </c>
      <c r="S71" s="175">
        <f t="shared" ref="S71:Y71" si="103">SUM(S72:S73)</f>
        <v>0</v>
      </c>
      <c r="T71" s="171">
        <f t="shared" si="103"/>
        <v>0</v>
      </c>
      <c r="U71" s="171">
        <f t="shared" si="103"/>
        <v>0</v>
      </c>
      <c r="V71" s="171">
        <f t="shared" si="103"/>
        <v>0</v>
      </c>
      <c r="W71" s="171">
        <f t="shared" si="103"/>
        <v>0</v>
      </c>
      <c r="X71" s="171">
        <f t="shared" si="103"/>
        <v>0</v>
      </c>
      <c r="Y71" s="174">
        <f t="shared" si="103"/>
        <v>0</v>
      </c>
      <c r="Z71" s="149" t="str">
        <f t="shared" ca="1" si="6"/>
        <v>nie</v>
      </c>
      <c r="AA71" s="366"/>
      <c r="AB71" s="150" t="str">
        <f t="shared" ca="1" si="34"/>
        <v>-</v>
      </c>
      <c r="AC71" s="151" t="str">
        <f t="shared" ca="1" si="7"/>
        <v>PRZED ZMIANĄ</v>
      </c>
      <c r="AD71" s="152" t="str">
        <f t="shared" ca="1" si="8"/>
        <v>PRZED ZMIANĄ</v>
      </c>
      <c r="AE71" s="153" t="str">
        <f t="shared" ca="1" si="9"/>
        <v>C/USN/I/P2/33</v>
      </c>
      <c r="AF71" s="154" t="str">
        <f t="shared" ca="1" si="10"/>
        <v>Budowa dróg publicznych ul. Flamenco i ul. Mazura - rozliczenie z deweloperem</v>
      </c>
      <c r="AG71" s="155">
        <f t="shared" ca="1" si="11"/>
        <v>60016</v>
      </c>
      <c r="AH71" s="155" t="str">
        <f t="shared" ca="1" si="12"/>
        <v>6060</v>
      </c>
      <c r="AI71" s="156" t="str">
        <f t="shared" ca="1" si="13"/>
        <v>GMMW</v>
      </c>
      <c r="AJ71" s="157" t="str">
        <f t="shared" ca="1" si="14"/>
        <v>WPF, w tym</v>
      </c>
      <c r="AK71" s="158" t="str">
        <f t="shared" ca="1" si="15"/>
        <v>C/USN/I/P2/33 60016 6060 GMMW</v>
      </c>
      <c r="AL71" s="158" t="str">
        <f t="shared" ca="1" si="16"/>
        <v>C/USN/I/P2/33 60016 6060 WPF, w tym</v>
      </c>
      <c r="AM71" s="159" t="str">
        <f t="shared" ca="1" si="17"/>
        <v>C/USN/I/P2/33 60016 6060 GMMW WPF, w tym</v>
      </c>
      <c r="AN71" s="160">
        <f t="shared" ca="1" si="18"/>
        <v>4227894</v>
      </c>
      <c r="AO71" s="161">
        <f t="shared" ca="1" si="19"/>
        <v>0</v>
      </c>
      <c r="AP71" s="162">
        <f t="shared" ca="1" si="20"/>
        <v>0</v>
      </c>
      <c r="AQ71" s="163">
        <f t="shared" ca="1" si="21"/>
        <v>200000</v>
      </c>
      <c r="AR71" s="164">
        <f t="shared" ca="1" si="22"/>
        <v>4027894</v>
      </c>
      <c r="AS71" s="164">
        <f t="shared" ca="1" si="23"/>
        <v>0</v>
      </c>
      <c r="AT71" s="164">
        <f t="shared" ca="1" si="24"/>
        <v>0</v>
      </c>
      <c r="AU71" s="164">
        <f t="shared" ca="1" si="25"/>
        <v>0</v>
      </c>
      <c r="AV71" s="164">
        <f t="shared" ca="1" si="26"/>
        <v>0</v>
      </c>
      <c r="AW71" s="164">
        <f t="shared" ca="1" si="27"/>
        <v>0</v>
      </c>
      <c r="AX71" s="164">
        <f t="shared" ca="1" si="28"/>
        <v>0</v>
      </c>
      <c r="AY71" s="164">
        <f t="shared" ca="1" si="29"/>
        <v>0</v>
      </c>
      <c r="AZ71" s="164">
        <f t="shared" ca="1" si="30"/>
        <v>0</v>
      </c>
      <c r="BA71" s="165" t="str">
        <f t="shared" ca="1" si="31"/>
        <v>nie</v>
      </c>
      <c r="BB71" s="166" t="str">
        <f t="shared" ca="1" si="35"/>
        <v>-</v>
      </c>
      <c r="BC71" s="165" t="str">
        <f t="shared" ca="1" si="32"/>
        <v>nie</v>
      </c>
    </row>
    <row r="72" spans="1:55" s="167" customFormat="1" ht="14.45" hidden="1" customHeight="1" x14ac:dyDescent="0.25">
      <c r="A72" s="493"/>
      <c r="B72" s="493"/>
      <c r="C72" s="494"/>
      <c r="D72" s="506"/>
      <c r="E72" s="497"/>
      <c r="F72" s="497"/>
      <c r="G72" s="497"/>
      <c r="H72" s="498"/>
      <c r="I72" s="499"/>
      <c r="J72" s="177" t="s">
        <v>95</v>
      </c>
      <c r="K72" s="178">
        <f>SUM(N72:O72)</f>
        <v>4227894</v>
      </c>
      <c r="L72" s="179"/>
      <c r="M72" s="180"/>
      <c r="N72" s="172">
        <f>SUM(L72:M72)</f>
        <v>0</v>
      </c>
      <c r="O72" s="178">
        <f>SUM(P72:Y72)</f>
        <v>4227894</v>
      </c>
      <c r="P72" s="181">
        <v>200000</v>
      </c>
      <c r="Q72" s="180">
        <v>4027894</v>
      </c>
      <c r="R72" s="182"/>
      <c r="S72" s="183"/>
      <c r="T72" s="180"/>
      <c r="U72" s="180"/>
      <c r="V72" s="180"/>
      <c r="W72" s="180"/>
      <c r="X72" s="180"/>
      <c r="Y72" s="182"/>
      <c r="Z72" s="149" t="str">
        <f t="shared" ca="1" si="6"/>
        <v>nie</v>
      </c>
      <c r="AA72" s="366"/>
      <c r="AB72" s="150" t="str">
        <f t="shared" ca="1" si="34"/>
        <v>-</v>
      </c>
      <c r="AC72" s="151" t="str">
        <f t="shared" ca="1" si="7"/>
        <v>PRZED ZMIANĄ</v>
      </c>
      <c r="AD72" s="152" t="str">
        <f t="shared" ca="1" si="8"/>
        <v>PRZED ZMIANĄ</v>
      </c>
      <c r="AE72" s="153" t="str">
        <f t="shared" ca="1" si="9"/>
        <v>C/USN/I/P2/33</v>
      </c>
      <c r="AF72" s="154" t="str">
        <f t="shared" ca="1" si="10"/>
        <v>Budowa dróg publicznych ul. Flamenco i ul. Mazura - rozliczenie z deweloperem</v>
      </c>
      <c r="AG72" s="155">
        <f t="shared" ca="1" si="11"/>
        <v>60016</v>
      </c>
      <c r="AH72" s="155" t="str">
        <f t="shared" ca="1" si="12"/>
        <v>6060</v>
      </c>
      <c r="AI72" s="156" t="str">
        <f t="shared" ca="1" si="13"/>
        <v>GMMW</v>
      </c>
      <c r="AJ72" s="157" t="str">
        <f t="shared" ca="1" si="14"/>
        <v>WPF/PM</v>
      </c>
      <c r="AK72" s="158" t="str">
        <f t="shared" ca="1" si="15"/>
        <v>C/USN/I/P2/33 60016 6060 GMMW</v>
      </c>
      <c r="AL72" s="158" t="str">
        <f t="shared" ca="1" si="16"/>
        <v>C/USN/I/P2/33 60016 6060 WPF/PM</v>
      </c>
      <c r="AM72" s="159" t="str">
        <f t="shared" ca="1" si="17"/>
        <v>C/USN/I/P2/33 60016 6060 GMMW WPF/PM</v>
      </c>
      <c r="AN72" s="160">
        <f t="shared" ca="1" si="18"/>
        <v>4227894</v>
      </c>
      <c r="AO72" s="161">
        <f t="shared" ca="1" si="19"/>
        <v>0</v>
      </c>
      <c r="AP72" s="162">
        <f t="shared" ca="1" si="20"/>
        <v>0</v>
      </c>
      <c r="AQ72" s="163">
        <f t="shared" ca="1" si="21"/>
        <v>200000</v>
      </c>
      <c r="AR72" s="164">
        <f t="shared" ca="1" si="22"/>
        <v>4027894</v>
      </c>
      <c r="AS72" s="164">
        <f t="shared" ca="1" si="23"/>
        <v>0</v>
      </c>
      <c r="AT72" s="164">
        <f t="shared" ca="1" si="24"/>
        <v>0</v>
      </c>
      <c r="AU72" s="164">
        <f t="shared" ca="1" si="25"/>
        <v>0</v>
      </c>
      <c r="AV72" s="164">
        <f t="shared" ca="1" si="26"/>
        <v>0</v>
      </c>
      <c r="AW72" s="164">
        <f t="shared" ca="1" si="27"/>
        <v>0</v>
      </c>
      <c r="AX72" s="164">
        <f t="shared" ca="1" si="28"/>
        <v>0</v>
      </c>
      <c r="AY72" s="164">
        <f t="shared" ca="1" si="29"/>
        <v>0</v>
      </c>
      <c r="AZ72" s="164">
        <f t="shared" ca="1" si="30"/>
        <v>0</v>
      </c>
      <c r="BA72" s="165" t="str">
        <f t="shared" ca="1" si="31"/>
        <v>nie</v>
      </c>
      <c r="BB72" s="166" t="str">
        <f t="shared" ca="1" si="35"/>
        <v>-</v>
      </c>
      <c r="BC72" s="165" t="str">
        <f t="shared" ca="1" si="32"/>
        <v>nie</v>
      </c>
    </row>
    <row r="73" spans="1:55" s="167" customFormat="1" ht="14.45" hidden="1" customHeight="1" x14ac:dyDescent="0.25">
      <c r="A73" s="493"/>
      <c r="B73" s="493"/>
      <c r="C73" s="494"/>
      <c r="D73" s="506"/>
      <c r="E73" s="497"/>
      <c r="F73" s="497"/>
      <c r="G73" s="497"/>
      <c r="H73" s="498"/>
      <c r="I73" s="499"/>
      <c r="J73" s="177" t="s">
        <v>96</v>
      </c>
      <c r="K73" s="178">
        <f>SUM(N73:O73)</f>
        <v>0</v>
      </c>
      <c r="L73" s="184"/>
      <c r="M73" s="180"/>
      <c r="N73" s="172">
        <f>SUM(L73:M73)</f>
        <v>0</v>
      </c>
      <c r="O73" s="178">
        <f>SUM(P73:Y73)</f>
        <v>0</v>
      </c>
      <c r="P73" s="181"/>
      <c r="Q73" s="180"/>
      <c r="R73" s="182"/>
      <c r="S73" s="183"/>
      <c r="T73" s="180"/>
      <c r="U73" s="180"/>
      <c r="V73" s="180"/>
      <c r="W73" s="180"/>
      <c r="X73" s="180"/>
      <c r="Y73" s="182"/>
      <c r="Z73" s="149" t="str">
        <f t="shared" ca="1" si="6"/>
        <v>nie</v>
      </c>
      <c r="AA73" s="366"/>
      <c r="AB73" s="150" t="str">
        <f t="shared" ca="1" si="34"/>
        <v>-</v>
      </c>
      <c r="AC73" s="151" t="str">
        <f t="shared" ca="1" si="7"/>
        <v>PRZED ZMIANĄ</v>
      </c>
      <c r="AD73" s="152" t="str">
        <f t="shared" ca="1" si="8"/>
        <v>PRZED ZMIANĄ</v>
      </c>
      <c r="AE73" s="153" t="str">
        <f t="shared" ca="1" si="9"/>
        <v>C/USN/I/P2/33</v>
      </c>
      <c r="AF73" s="154" t="str">
        <f t="shared" ca="1" si="10"/>
        <v>Budowa dróg publicznych ul. Flamenco i ul. Mazura - rozliczenie z deweloperem</v>
      </c>
      <c r="AG73" s="155">
        <f t="shared" ca="1" si="11"/>
        <v>60016</v>
      </c>
      <c r="AH73" s="155" t="str">
        <f t="shared" ca="1" si="12"/>
        <v>6060</v>
      </c>
      <c r="AI73" s="156" t="str">
        <f t="shared" ca="1" si="13"/>
        <v>GMMW</v>
      </c>
      <c r="AJ73" s="157" t="str">
        <f t="shared" ca="1" si="14"/>
        <v>WPF/UM</v>
      </c>
      <c r="AK73" s="158" t="str">
        <f t="shared" ca="1" si="15"/>
        <v>C/USN/I/P2/33 60016 6060 GMMW</v>
      </c>
      <c r="AL73" s="158" t="str">
        <f t="shared" ca="1" si="16"/>
        <v>C/USN/I/P2/33 60016 6060 WPF/UM</v>
      </c>
      <c r="AM73" s="159" t="str">
        <f t="shared" ca="1" si="17"/>
        <v>C/USN/I/P2/33 60016 6060 GMMW WPF/UM</v>
      </c>
      <c r="AN73" s="160">
        <f t="shared" ca="1" si="18"/>
        <v>0</v>
      </c>
      <c r="AO73" s="161">
        <f t="shared" ca="1" si="19"/>
        <v>0</v>
      </c>
      <c r="AP73" s="162">
        <f t="shared" ca="1" si="20"/>
        <v>0</v>
      </c>
      <c r="AQ73" s="163">
        <f t="shared" ca="1" si="21"/>
        <v>0</v>
      </c>
      <c r="AR73" s="164">
        <f t="shared" ca="1" si="22"/>
        <v>0</v>
      </c>
      <c r="AS73" s="164">
        <f t="shared" ca="1" si="23"/>
        <v>0</v>
      </c>
      <c r="AT73" s="164">
        <f t="shared" ca="1" si="24"/>
        <v>0</v>
      </c>
      <c r="AU73" s="164">
        <f t="shared" ca="1" si="25"/>
        <v>0</v>
      </c>
      <c r="AV73" s="164">
        <f t="shared" ca="1" si="26"/>
        <v>0</v>
      </c>
      <c r="AW73" s="164">
        <f t="shared" ca="1" si="27"/>
        <v>0</v>
      </c>
      <c r="AX73" s="164">
        <f t="shared" ca="1" si="28"/>
        <v>0</v>
      </c>
      <c r="AY73" s="164">
        <f t="shared" ca="1" si="29"/>
        <v>0</v>
      </c>
      <c r="AZ73" s="164">
        <f t="shared" ca="1" si="30"/>
        <v>0</v>
      </c>
      <c r="BA73" s="165" t="str">
        <f t="shared" ca="1" si="31"/>
        <v>nie</v>
      </c>
      <c r="BB73" s="166" t="str">
        <f t="shared" ca="1" si="35"/>
        <v>-</v>
      </c>
      <c r="BC73" s="165" t="str">
        <f t="shared" ca="1" si="32"/>
        <v>nie</v>
      </c>
    </row>
    <row r="74" spans="1:55" s="167" customFormat="1" ht="14.45" hidden="1" customHeight="1" x14ac:dyDescent="0.25">
      <c r="A74" s="185" t="s">
        <v>97</v>
      </c>
      <c r="B74" s="186"/>
      <c r="C74" s="187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8"/>
      <c r="S74" s="189"/>
      <c r="T74" s="189"/>
      <c r="U74" s="189"/>
      <c r="V74" s="189"/>
      <c r="W74" s="189"/>
      <c r="X74" s="189"/>
      <c r="Y74" s="190"/>
      <c r="Z74" s="149" t="str">
        <f t="shared" ref="Z74:Z137" ca="1" si="104">IF(COUNTIF(A74,"*zmia*")&gt;0,OFFSET(Z74,1,0),IF(COUNTIF($AB$10:$AB$888,AE74)&gt;0,"tak","nie"))</f>
        <v>nie</v>
      </c>
      <c r="AA74" s="366"/>
      <c r="AB74" s="150" t="str">
        <f t="shared" ca="1" si="34"/>
        <v>-</v>
      </c>
      <c r="AC74" s="151" t="str">
        <f t="shared" ref="AC74:AC137" ca="1" si="105">IF(OR(A74="",COUNTIF(A74,"*12.000*")&gt;0),OFFSET(AC74,-1,0),A74)</f>
        <v>PROPONOWANA ZMIANA</v>
      </c>
      <c r="AD74" s="152" t="str">
        <f t="shared" ref="AD74:AD137" ca="1" si="106">IF(AE74="","",AC74)</f>
        <v/>
      </c>
      <c r="AE74" s="153" t="str">
        <f t="shared" ref="AE74:AE137" ca="1" si="107">IF(COUNTIF(A74,"*bilans*")&gt;0,"Bilans zmian",IF(COUNTIF(A74,"*zmi*")&gt;0,"",IF(COUNTIF(A74:C74,"")=0,C74,IF(AND(COUNTIF(C74,"")=1,COUNTIF(OFFSET(A74,-1,0),"*przed*")=1,COUNTIF(OFFSET(AE74,4,0),"")=0),OFFSET(AE74,4,0),IF(AND(COUNTIF(A74:B74,"")=0,COUNTIF(OFFSET(A74,-1,0),"*zmi*")=1),"nowe:"&amp;" "&amp;AF74,OFFSET(AE74,-1,0))))))</f>
        <v/>
      </c>
      <c r="AF74" s="154" t="str">
        <f t="shared" ref="AF74:AF137" ca="1" si="108">IF(COUNTIF(A74,"*zmi*")&gt;0,"",IF(COUNTIF(A74:C74,"")=0,D74,IF(AND(COUNTIF(C74,"")=1,COUNTIF(OFFSET(A74,-1,0),"*przed*")=1),OFFSET(AF74,4,0),IF(AND(COUNTIF(A74:B74,"")=0,COUNTIF(OFFSET(A74,-1,0),"*zmi*")=1),D74,OFFSET(AF74,-1,0)))))</f>
        <v/>
      </c>
      <c r="AG74" s="155" t="str">
        <f t="shared" ref="AG74:AG137" ca="1" si="109">IF(COUNTIF($A74,"*zmi*")&gt;0,"",IF(COUNTIF($A74:$C74,"")=0,F74,IF(AND(COUNTIF($C74,"")=1,COUNTIF(OFFSET($A74,-1,0),"*przed*")=1),OFFSET(AG74,4,0),IF(AND(COUNTIF($A74:$B74,"")=0,COUNTIF(OFFSET($A74,-1,0),"*zmi*")=1),F74,OFFSET(AG74,-1,0)))))</f>
        <v/>
      </c>
      <c r="AH74" s="155" t="str">
        <f t="shared" ref="AH74:AH137" ca="1" si="110">IF(COUNTIF($A74,"*zmi*")&gt;0,"",IF(COUNTIF($A74:$C74,"")=0,LEFT(G74,4),IF(AND(COUNTIF($C74,"")=1,COUNTIF(OFFSET($A74,-1,0),"*przed*")=1),OFFSET(AH74,4,0),IF(AND(COUNTIF($A74:$B74,"")=0,COUNTIF(OFFSET($A74,-1,0),"*zmi*")=1),LEFT(G74,4),OFFSET(AH74,-1,0)))))</f>
        <v/>
      </c>
      <c r="AI74" s="156" t="str">
        <f t="shared" ref="AI74:AI137" ca="1" si="111">IF(COUNTIF($A74,"*zmi*")&gt;0,"",IF(COUNTIF($A74:$C74,"")=0,B74,IF(AND(COUNTIF($C74,"")=1,COUNTIF(OFFSET($A74,-1,0),"*przed*")=1),OFFSET(AI74,4,0),IF(AND(COUNTIF($A74:$B74,"")=0,COUNTIF(OFFSET($A74,-1,0),"*zmi*")=1),B74,OFFSET(AI74,-1,0)))))</f>
        <v/>
      </c>
      <c r="AJ74" s="157" t="str">
        <f t="shared" ref="AJ74:AJ137" ca="1" si="112">IF(AH74="","",IF(COUNTIF(A74,"*zmi*")&gt;0,"",SUBSTITUTE(SUBSTITUTE(J74,";",""),":","")))</f>
        <v/>
      </c>
      <c r="AK74" s="158" t="str">
        <f t="shared" ref="AK74:AK137" ca="1" si="113">IF(AH74="","",AE74&amp;" "&amp;AG74&amp;" "&amp;AH74&amp;" "&amp;AI74)</f>
        <v/>
      </c>
      <c r="AL74" s="158" t="str">
        <f t="shared" ref="AL74:AL137" ca="1" si="114">IF(AH74="","",AE74&amp;" "&amp;AG74&amp;" "&amp;AH74&amp;" "&amp;AJ74)</f>
        <v/>
      </c>
      <c r="AM74" s="159" t="str">
        <f t="shared" ref="AM74:AM137" ca="1" si="115">IF(AH74="","",AE74&amp;" "&amp;AG74&amp;" "&amp;AH74&amp;" "&amp;AI74&amp;" "&amp;AJ74)</f>
        <v/>
      </c>
      <c r="AN74" s="160" t="str">
        <f t="shared" ref="AN74:AN137" ca="1" si="116">IF(COUNTIF($AE74,"*bilans*")&gt;0,K74,IF(OR(COUNTIF($A74,"*zmi*")&gt;0,$AI74=""),"",K74))</f>
        <v/>
      </c>
      <c r="AO74" s="161" t="str">
        <f t="shared" ref="AO74:AO137" ca="1" si="117">IF(COUNTIF($AE74,"*bilans*")&gt;0,L74,IF(OR(COUNTIF($A74,"*zmi*")&gt;0,$AI74=""),"",L74))</f>
        <v/>
      </c>
      <c r="AP74" s="162" t="str">
        <f t="shared" ref="AP74:AP137" ca="1" si="118">IF(COUNTIF($AE74,"*bilans*")&gt;0,M74,IF(OR(COUNTIF($A74,"*zmi*")&gt;0,$AI74=""),"",M74))</f>
        <v/>
      </c>
      <c r="AQ74" s="163" t="str">
        <f t="shared" ref="AQ74:AQ137" ca="1" si="119">IF(COUNTIF($AE74,"*bilans*")&gt;0,P74,IF(OR(COUNTIF($A74,"*zmi*")&gt;0,$AI74=""),"",P74))</f>
        <v/>
      </c>
      <c r="AR74" s="164" t="str">
        <f t="shared" ref="AR74:AR137" ca="1" si="120">IF(COUNTIF($AE74,"*bilans*")&gt;0,Q74,IF(OR(COUNTIF($A74,"*zmi*")&gt;0,$AI74=""),"",Q74))</f>
        <v/>
      </c>
      <c r="AS74" s="164" t="str">
        <f t="shared" ref="AS74:AS137" ca="1" si="121">IF(COUNTIF($AE74,"*bilans*")&gt;0,R74,IF(OR(COUNTIF($A74,"*zmi*")&gt;0,$AI74=""),"",R74))</f>
        <v/>
      </c>
      <c r="AT74" s="164" t="str">
        <f t="shared" ref="AT74:AT137" ca="1" si="122">IF(COUNTIF($AE74,"*bilans*")&gt;0,S74,IF(OR(COUNTIF($A74,"*zmi*")&gt;0,$AI74=""),"",S74))</f>
        <v/>
      </c>
      <c r="AU74" s="164" t="str">
        <f t="shared" ref="AU74:AU137" ca="1" si="123">IF(COUNTIF($AE74,"*bilans*")&gt;0,T74,IF(OR(COUNTIF($A74,"*zmi*")&gt;0,$AI74=""),"",T74))</f>
        <v/>
      </c>
      <c r="AV74" s="164" t="str">
        <f t="shared" ref="AV74:AV137" ca="1" si="124">IF(COUNTIF($AE74,"*bilans*")&gt;0,U74,IF(OR(COUNTIF($A74,"*zmi*")&gt;0,$AI74=""),"",U74))</f>
        <v/>
      </c>
      <c r="AW74" s="164" t="str">
        <f t="shared" ref="AW74:AW137" ca="1" si="125">IF(COUNTIF($AE74,"*bilans*")&gt;0,V74,IF(OR(COUNTIF($A74,"*zmi*")&gt;0,$AI74=""),"",V74))</f>
        <v/>
      </c>
      <c r="AX74" s="164" t="str">
        <f t="shared" ref="AX74:AX137" ca="1" si="126">IF(COUNTIF($AE74,"*bilans*")&gt;0,W74,IF(OR(COUNTIF($A74,"*zmi*")&gt;0,$AI74=""),"",W74))</f>
        <v/>
      </c>
      <c r="AY74" s="164" t="str">
        <f t="shared" ref="AY74:AY137" ca="1" si="127">IF(COUNTIF($AE74,"*bilans*")&gt;0,X74,IF(OR(COUNTIF($A74,"*zmi*")&gt;0,$AI74=""),"",X74))</f>
        <v/>
      </c>
      <c r="AZ74" s="164" t="str">
        <f t="shared" ref="AZ74:AZ137" ca="1" si="128">IF(COUNTIF($AE74,"*bilans*")&gt;0,Y74,IF(OR(COUNTIF($A74,"*zmi*")&gt;0,$AI74=""),"",Y74))</f>
        <v/>
      </c>
      <c r="BA74" s="165" t="str">
        <f t="shared" ref="BA74:BA137" ca="1" si="129">Z74</f>
        <v>nie</v>
      </c>
      <c r="BB74" s="166" t="str">
        <f t="shared" ca="1" si="35"/>
        <v>-</v>
      </c>
      <c r="BC74" s="165" t="str">
        <f t="shared" ref="BC74:BC137" ca="1" si="130">IF(AND(COUNTIF(AD74,"*zmi*")&gt;0,COUNTIF($BB$10:$BB$888,AK74)&gt;0),"tak","nie")</f>
        <v>nie</v>
      </c>
    </row>
    <row r="75" spans="1:55" s="176" customFormat="1" ht="14.45" hidden="1" customHeight="1" x14ac:dyDescent="0.25">
      <c r="A75" s="493" t="s">
        <v>24</v>
      </c>
      <c r="B75" s="493" t="s">
        <v>26</v>
      </c>
      <c r="C75" s="494" t="s">
        <v>113</v>
      </c>
      <c r="D75" s="505" t="s">
        <v>114</v>
      </c>
      <c r="E75" s="497">
        <v>600</v>
      </c>
      <c r="F75" s="497">
        <v>60016</v>
      </c>
      <c r="G75" s="497">
        <v>6060</v>
      </c>
      <c r="H75" s="507">
        <v>2020</v>
      </c>
      <c r="I75" s="499" t="str">
        <f ca="1">IF(COUNTIF(OFFSET(I75,-1,-8),"*propon*")&gt;0,OFFSET(I75,4,0),IF(Y75&gt;0,"2033",IF(X75&gt;0,"2032",IF(W75&gt;0,"2031",IF(V75&gt;0,"2030",IF(U75&gt;0,"2029",IF(T75&gt;0,"2028",IF(S75&gt;0,"2027",IF(R75&gt;0,"2026",IF(Q75&gt;0,"2025",IF(P75&gt;0,"2024",IF(M75&gt;0,"2023",IF(L75&gt;0,"2022","")))))))))))))</f>
        <v>2025</v>
      </c>
      <c r="J75" s="168" t="s">
        <v>98</v>
      </c>
      <c r="K75" s="169">
        <f>SUM(N75:O75)</f>
        <v>0</v>
      </c>
      <c r="L75" s="170">
        <f t="shared" ref="L75:M75" si="131">SUM(L76:L77)</f>
        <v>0</v>
      </c>
      <c r="M75" s="171">
        <f t="shared" si="131"/>
        <v>0</v>
      </c>
      <c r="N75" s="172">
        <f>SUM(L75:M75)</f>
        <v>0</v>
      </c>
      <c r="O75" s="169">
        <f>SUM(P75:Y75)</f>
        <v>0</v>
      </c>
      <c r="P75" s="173">
        <f t="shared" ref="P75:R75" si="132">SUM(P76:P77)</f>
        <v>0</v>
      </c>
      <c r="Q75" s="171">
        <f t="shared" si="132"/>
        <v>0</v>
      </c>
      <c r="R75" s="174">
        <f t="shared" si="132"/>
        <v>0</v>
      </c>
      <c r="S75" s="175">
        <f t="shared" ref="S75:Y75" si="133">SUM(S76:S77)</f>
        <v>0</v>
      </c>
      <c r="T75" s="171">
        <f t="shared" si="133"/>
        <v>0</v>
      </c>
      <c r="U75" s="171">
        <f t="shared" si="133"/>
        <v>0</v>
      </c>
      <c r="V75" s="171">
        <f t="shared" si="133"/>
        <v>0</v>
      </c>
      <c r="W75" s="171">
        <f t="shared" si="133"/>
        <v>0</v>
      </c>
      <c r="X75" s="171">
        <f t="shared" si="133"/>
        <v>0</v>
      </c>
      <c r="Y75" s="174">
        <f t="shared" si="133"/>
        <v>0</v>
      </c>
      <c r="Z75" s="149" t="str">
        <f t="shared" ca="1" si="104"/>
        <v>nie</v>
      </c>
      <c r="AA75" s="366"/>
      <c r="AB75" s="150" t="str">
        <f t="shared" ref="AB75:AB138" ca="1" si="134">IF(IF(OR(COUNTIF(AD75,"*bilans*")&gt;0,COUNTIF(AD75,"*prop*")&gt;0),COUNTIF(AO75:AZ75,"")+COUNTIF(AO75:AZ75,"0"),"")&lt;12,AE75,"-")</f>
        <v>-</v>
      </c>
      <c r="AC75" s="151" t="str">
        <f t="shared" ca="1" si="105"/>
        <v>PROPONOWANA ZMIANA</v>
      </c>
      <c r="AD75" s="152" t="str">
        <f t="shared" ca="1" si="106"/>
        <v>PROPONOWANA ZMIANA</v>
      </c>
      <c r="AE75" s="153" t="str">
        <f t="shared" ca="1" si="107"/>
        <v>C/USN/I/P2/33</v>
      </c>
      <c r="AF75" s="154" t="str">
        <f t="shared" ca="1" si="108"/>
        <v>Budowa dróg publicznych ul. Flamenco i ul. Mazura - rozliczenie z deweloperem</v>
      </c>
      <c r="AG75" s="155">
        <f t="shared" ca="1" si="109"/>
        <v>60016</v>
      </c>
      <c r="AH75" s="155" t="str">
        <f t="shared" ca="1" si="110"/>
        <v>6060</v>
      </c>
      <c r="AI75" s="156" t="str">
        <f t="shared" ca="1" si="111"/>
        <v>GMMW</v>
      </c>
      <c r="AJ75" s="157" t="str">
        <f t="shared" ca="1" si="112"/>
        <v>WPF, w tym</v>
      </c>
      <c r="AK75" s="158" t="str">
        <f t="shared" ca="1" si="113"/>
        <v>C/USN/I/P2/33 60016 6060 GMMW</v>
      </c>
      <c r="AL75" s="158" t="str">
        <f t="shared" ca="1" si="114"/>
        <v>C/USN/I/P2/33 60016 6060 WPF, w tym</v>
      </c>
      <c r="AM75" s="159" t="str">
        <f t="shared" ca="1" si="115"/>
        <v>C/USN/I/P2/33 60016 6060 GMMW WPF, w tym</v>
      </c>
      <c r="AN75" s="160">
        <f t="shared" ca="1" si="116"/>
        <v>0</v>
      </c>
      <c r="AO75" s="161">
        <f t="shared" ca="1" si="117"/>
        <v>0</v>
      </c>
      <c r="AP75" s="162">
        <f t="shared" ca="1" si="118"/>
        <v>0</v>
      </c>
      <c r="AQ75" s="163">
        <f t="shared" ca="1" si="119"/>
        <v>0</v>
      </c>
      <c r="AR75" s="164">
        <f t="shared" ca="1" si="120"/>
        <v>0</v>
      </c>
      <c r="AS75" s="164">
        <f t="shared" ca="1" si="121"/>
        <v>0</v>
      </c>
      <c r="AT75" s="164">
        <f t="shared" ca="1" si="122"/>
        <v>0</v>
      </c>
      <c r="AU75" s="164">
        <f t="shared" ca="1" si="123"/>
        <v>0</v>
      </c>
      <c r="AV75" s="164">
        <f t="shared" ca="1" si="124"/>
        <v>0</v>
      </c>
      <c r="AW75" s="164">
        <f t="shared" ca="1" si="125"/>
        <v>0</v>
      </c>
      <c r="AX75" s="164">
        <f t="shared" ca="1" si="126"/>
        <v>0</v>
      </c>
      <c r="AY75" s="164">
        <f t="shared" ca="1" si="127"/>
        <v>0</v>
      </c>
      <c r="AZ75" s="164">
        <f t="shared" ca="1" si="128"/>
        <v>0</v>
      </c>
      <c r="BA75" s="165" t="str">
        <f t="shared" ca="1" si="129"/>
        <v>nie</v>
      </c>
      <c r="BB75" s="166" t="str">
        <f t="shared" ref="BB75:BB138" ca="1" si="135">IF(COUNTIF(AD75,"*bilans*")&gt;0,"-",IF(IF(COUNTIF(AD75,"*prop*")&gt;0,COUNTIF(AO75:AZ75,"")+COUNTIF(AO75:AZ75,"0"),"")&lt;12,AK75,"-"))</f>
        <v>-</v>
      </c>
      <c r="BC75" s="165" t="str">
        <f t="shared" ca="1" si="130"/>
        <v>nie</v>
      </c>
    </row>
    <row r="76" spans="1:55" s="167" customFormat="1" ht="14.45" hidden="1" customHeight="1" x14ac:dyDescent="0.25">
      <c r="A76" s="493"/>
      <c r="B76" s="493"/>
      <c r="C76" s="494"/>
      <c r="D76" s="506"/>
      <c r="E76" s="497"/>
      <c r="F76" s="497"/>
      <c r="G76" s="497"/>
      <c r="H76" s="498"/>
      <c r="I76" s="499"/>
      <c r="J76" s="177" t="s">
        <v>99</v>
      </c>
      <c r="K76" s="178">
        <f>SUM(N76:O76)</f>
        <v>0</v>
      </c>
      <c r="L76" s="179">
        <f t="shared" ref="L76:M76" si="136">L80-L72</f>
        <v>0</v>
      </c>
      <c r="M76" s="180">
        <f t="shared" si="136"/>
        <v>0</v>
      </c>
      <c r="N76" s="172">
        <f>SUM(L76:M76)</f>
        <v>0</v>
      </c>
      <c r="O76" s="178">
        <f>SUM(P76:Y76)</f>
        <v>0</v>
      </c>
      <c r="P76" s="181">
        <f t="shared" ref="P76:R76" si="137">P80-P72</f>
        <v>0</v>
      </c>
      <c r="Q76" s="180">
        <f t="shared" si="137"/>
        <v>0</v>
      </c>
      <c r="R76" s="182">
        <f t="shared" si="137"/>
        <v>0</v>
      </c>
      <c r="S76" s="183">
        <f t="shared" ref="S76:Y77" si="138">S80-S72</f>
        <v>0</v>
      </c>
      <c r="T76" s="180">
        <f t="shared" si="138"/>
        <v>0</v>
      </c>
      <c r="U76" s="180">
        <f t="shared" si="138"/>
        <v>0</v>
      </c>
      <c r="V76" s="180">
        <f t="shared" si="138"/>
        <v>0</v>
      </c>
      <c r="W76" s="180">
        <f t="shared" si="138"/>
        <v>0</v>
      </c>
      <c r="X76" s="180">
        <f t="shared" si="138"/>
        <v>0</v>
      </c>
      <c r="Y76" s="182">
        <f t="shared" si="138"/>
        <v>0</v>
      </c>
      <c r="Z76" s="149" t="str">
        <f t="shared" ca="1" si="104"/>
        <v>nie</v>
      </c>
      <c r="AA76" s="366"/>
      <c r="AB76" s="150" t="str">
        <f t="shared" ca="1" si="134"/>
        <v>-</v>
      </c>
      <c r="AC76" s="151" t="str">
        <f t="shared" ca="1" si="105"/>
        <v>PROPONOWANA ZMIANA</v>
      </c>
      <c r="AD76" s="152" t="str">
        <f t="shared" ca="1" si="106"/>
        <v>PROPONOWANA ZMIANA</v>
      </c>
      <c r="AE76" s="153" t="str">
        <f t="shared" ca="1" si="107"/>
        <v>C/USN/I/P2/33</v>
      </c>
      <c r="AF76" s="154" t="str">
        <f t="shared" ca="1" si="108"/>
        <v>Budowa dróg publicznych ul. Flamenco i ul. Mazura - rozliczenie z deweloperem</v>
      </c>
      <c r="AG76" s="155">
        <f t="shared" ca="1" si="109"/>
        <v>60016</v>
      </c>
      <c r="AH76" s="155" t="str">
        <f t="shared" ca="1" si="110"/>
        <v>6060</v>
      </c>
      <c r="AI76" s="156" t="str">
        <f t="shared" ca="1" si="111"/>
        <v>GMMW</v>
      </c>
      <c r="AJ76" s="157" t="str">
        <f t="shared" ca="1" si="112"/>
        <v>WPF/PM</v>
      </c>
      <c r="AK76" s="158" t="str">
        <f t="shared" ca="1" si="113"/>
        <v>C/USN/I/P2/33 60016 6060 GMMW</v>
      </c>
      <c r="AL76" s="158" t="str">
        <f t="shared" ca="1" si="114"/>
        <v>C/USN/I/P2/33 60016 6060 WPF/PM</v>
      </c>
      <c r="AM76" s="159" t="str">
        <f t="shared" ca="1" si="115"/>
        <v>C/USN/I/P2/33 60016 6060 GMMW WPF/PM</v>
      </c>
      <c r="AN76" s="160">
        <f t="shared" ca="1" si="116"/>
        <v>0</v>
      </c>
      <c r="AO76" s="161">
        <f t="shared" ca="1" si="117"/>
        <v>0</v>
      </c>
      <c r="AP76" s="162">
        <f t="shared" ca="1" si="118"/>
        <v>0</v>
      </c>
      <c r="AQ76" s="163">
        <f t="shared" ca="1" si="119"/>
        <v>0</v>
      </c>
      <c r="AR76" s="164">
        <f t="shared" ca="1" si="120"/>
        <v>0</v>
      </c>
      <c r="AS76" s="164">
        <f t="shared" ca="1" si="121"/>
        <v>0</v>
      </c>
      <c r="AT76" s="164">
        <f t="shared" ca="1" si="122"/>
        <v>0</v>
      </c>
      <c r="AU76" s="164">
        <f t="shared" ca="1" si="123"/>
        <v>0</v>
      </c>
      <c r="AV76" s="164">
        <f t="shared" ca="1" si="124"/>
        <v>0</v>
      </c>
      <c r="AW76" s="164">
        <f t="shared" ca="1" si="125"/>
        <v>0</v>
      </c>
      <c r="AX76" s="164">
        <f t="shared" ca="1" si="126"/>
        <v>0</v>
      </c>
      <c r="AY76" s="164">
        <f t="shared" ca="1" si="127"/>
        <v>0</v>
      </c>
      <c r="AZ76" s="164">
        <f t="shared" ca="1" si="128"/>
        <v>0</v>
      </c>
      <c r="BA76" s="165" t="str">
        <f t="shared" ca="1" si="129"/>
        <v>nie</v>
      </c>
      <c r="BB76" s="166" t="str">
        <f t="shared" ca="1" si="135"/>
        <v>-</v>
      </c>
      <c r="BC76" s="165" t="str">
        <f t="shared" ca="1" si="130"/>
        <v>nie</v>
      </c>
    </row>
    <row r="77" spans="1:55" s="167" customFormat="1" ht="14.45" hidden="1" customHeight="1" x14ac:dyDescent="0.25">
      <c r="A77" s="493"/>
      <c r="B77" s="493"/>
      <c r="C77" s="494"/>
      <c r="D77" s="506"/>
      <c r="E77" s="497"/>
      <c r="F77" s="497"/>
      <c r="G77" s="497"/>
      <c r="H77" s="498"/>
      <c r="I77" s="499"/>
      <c r="J77" s="177" t="s">
        <v>100</v>
      </c>
      <c r="K77" s="178">
        <f>SUM(N77:O77)</f>
        <v>0</v>
      </c>
      <c r="L77" s="179">
        <f t="shared" ref="L77:M77" si="139">L81-L73</f>
        <v>0</v>
      </c>
      <c r="M77" s="180">
        <f t="shared" si="139"/>
        <v>0</v>
      </c>
      <c r="N77" s="172">
        <f>SUM(L77:M77)</f>
        <v>0</v>
      </c>
      <c r="O77" s="178">
        <f>SUM(P77:Y77)</f>
        <v>0</v>
      </c>
      <c r="P77" s="181">
        <f t="shared" ref="P77:R77" si="140">P81-P73</f>
        <v>0</v>
      </c>
      <c r="Q77" s="180">
        <f t="shared" si="140"/>
        <v>0</v>
      </c>
      <c r="R77" s="182">
        <f t="shared" si="140"/>
        <v>0</v>
      </c>
      <c r="S77" s="183">
        <f t="shared" si="138"/>
        <v>0</v>
      </c>
      <c r="T77" s="180">
        <f t="shared" si="138"/>
        <v>0</v>
      </c>
      <c r="U77" s="180">
        <f t="shared" si="138"/>
        <v>0</v>
      </c>
      <c r="V77" s="180">
        <f t="shared" si="138"/>
        <v>0</v>
      </c>
      <c r="W77" s="180">
        <f t="shared" si="138"/>
        <v>0</v>
      </c>
      <c r="X77" s="180">
        <f t="shared" si="138"/>
        <v>0</v>
      </c>
      <c r="Y77" s="182">
        <f t="shared" si="138"/>
        <v>0</v>
      </c>
      <c r="Z77" s="149" t="str">
        <f t="shared" ca="1" si="104"/>
        <v>nie</v>
      </c>
      <c r="AA77" s="366"/>
      <c r="AB77" s="150" t="str">
        <f t="shared" ca="1" si="134"/>
        <v>-</v>
      </c>
      <c r="AC77" s="151" t="str">
        <f t="shared" ca="1" si="105"/>
        <v>PROPONOWANA ZMIANA</v>
      </c>
      <c r="AD77" s="152" t="str">
        <f t="shared" ca="1" si="106"/>
        <v>PROPONOWANA ZMIANA</v>
      </c>
      <c r="AE77" s="153" t="str">
        <f t="shared" ca="1" si="107"/>
        <v>C/USN/I/P2/33</v>
      </c>
      <c r="AF77" s="154" t="str">
        <f t="shared" ca="1" si="108"/>
        <v>Budowa dróg publicznych ul. Flamenco i ul. Mazura - rozliczenie z deweloperem</v>
      </c>
      <c r="AG77" s="155">
        <f t="shared" ca="1" si="109"/>
        <v>60016</v>
      </c>
      <c r="AH77" s="155" t="str">
        <f t="shared" ca="1" si="110"/>
        <v>6060</v>
      </c>
      <c r="AI77" s="156" t="str">
        <f t="shared" ca="1" si="111"/>
        <v>GMMW</v>
      </c>
      <c r="AJ77" s="157" t="str">
        <f t="shared" ca="1" si="112"/>
        <v>WPF/UM</v>
      </c>
      <c r="AK77" s="158" t="str">
        <f t="shared" ca="1" si="113"/>
        <v>C/USN/I/P2/33 60016 6060 GMMW</v>
      </c>
      <c r="AL77" s="158" t="str">
        <f t="shared" ca="1" si="114"/>
        <v>C/USN/I/P2/33 60016 6060 WPF/UM</v>
      </c>
      <c r="AM77" s="159" t="str">
        <f t="shared" ca="1" si="115"/>
        <v>C/USN/I/P2/33 60016 6060 GMMW WPF/UM</v>
      </c>
      <c r="AN77" s="160">
        <f t="shared" ca="1" si="116"/>
        <v>0</v>
      </c>
      <c r="AO77" s="161">
        <f t="shared" ca="1" si="117"/>
        <v>0</v>
      </c>
      <c r="AP77" s="162">
        <f t="shared" ca="1" si="118"/>
        <v>0</v>
      </c>
      <c r="AQ77" s="163">
        <f t="shared" ca="1" si="119"/>
        <v>0</v>
      </c>
      <c r="AR77" s="164">
        <f t="shared" ca="1" si="120"/>
        <v>0</v>
      </c>
      <c r="AS77" s="164">
        <f t="shared" ca="1" si="121"/>
        <v>0</v>
      </c>
      <c r="AT77" s="164">
        <f t="shared" ca="1" si="122"/>
        <v>0</v>
      </c>
      <c r="AU77" s="164">
        <f t="shared" ca="1" si="123"/>
        <v>0</v>
      </c>
      <c r="AV77" s="164">
        <f t="shared" ca="1" si="124"/>
        <v>0</v>
      </c>
      <c r="AW77" s="164">
        <f t="shared" ca="1" si="125"/>
        <v>0</v>
      </c>
      <c r="AX77" s="164">
        <f t="shared" ca="1" si="126"/>
        <v>0</v>
      </c>
      <c r="AY77" s="164">
        <f t="shared" ca="1" si="127"/>
        <v>0</v>
      </c>
      <c r="AZ77" s="164">
        <f t="shared" ca="1" si="128"/>
        <v>0</v>
      </c>
      <c r="BA77" s="165" t="str">
        <f t="shared" ca="1" si="129"/>
        <v>nie</v>
      </c>
      <c r="BB77" s="166" t="str">
        <f t="shared" ca="1" si="135"/>
        <v>-</v>
      </c>
      <c r="BC77" s="165" t="str">
        <f t="shared" ca="1" si="130"/>
        <v>nie</v>
      </c>
    </row>
    <row r="78" spans="1:55" s="167" customFormat="1" ht="14.45" hidden="1" customHeight="1" x14ac:dyDescent="0.25">
      <c r="A78" s="191" t="s">
        <v>101</v>
      </c>
      <c r="B78" s="192"/>
      <c r="C78" s="193"/>
      <c r="D78" s="192"/>
      <c r="E78" s="192"/>
      <c r="F78" s="192"/>
      <c r="G78" s="192"/>
      <c r="H78" s="192"/>
      <c r="I78" s="192"/>
      <c r="J78" s="192"/>
      <c r="K78" s="192"/>
      <c r="L78" s="192"/>
      <c r="M78" s="192"/>
      <c r="N78" s="192"/>
      <c r="O78" s="192"/>
      <c r="P78" s="192"/>
      <c r="Q78" s="192"/>
      <c r="R78" s="194"/>
      <c r="S78" s="195"/>
      <c r="T78" s="195"/>
      <c r="U78" s="195"/>
      <c r="V78" s="195"/>
      <c r="W78" s="195"/>
      <c r="X78" s="195"/>
      <c r="Y78" s="196"/>
      <c r="Z78" s="149" t="str">
        <f t="shared" ca="1" si="104"/>
        <v>nie</v>
      </c>
      <c r="AA78" s="366"/>
      <c r="AB78" s="150" t="str">
        <f t="shared" ca="1" si="134"/>
        <v>-</v>
      </c>
      <c r="AC78" s="151" t="str">
        <f t="shared" ca="1" si="105"/>
        <v>PO ZMIANIE</v>
      </c>
      <c r="AD78" s="152" t="str">
        <f t="shared" ca="1" si="106"/>
        <v/>
      </c>
      <c r="AE78" s="153" t="str">
        <f t="shared" ca="1" si="107"/>
        <v/>
      </c>
      <c r="AF78" s="154" t="str">
        <f t="shared" ca="1" si="108"/>
        <v/>
      </c>
      <c r="AG78" s="155" t="str">
        <f t="shared" ca="1" si="109"/>
        <v/>
      </c>
      <c r="AH78" s="155" t="str">
        <f t="shared" ca="1" si="110"/>
        <v/>
      </c>
      <c r="AI78" s="156" t="str">
        <f t="shared" ca="1" si="111"/>
        <v/>
      </c>
      <c r="AJ78" s="157" t="str">
        <f t="shared" ca="1" si="112"/>
        <v/>
      </c>
      <c r="AK78" s="158" t="str">
        <f t="shared" ca="1" si="113"/>
        <v/>
      </c>
      <c r="AL78" s="158" t="str">
        <f t="shared" ca="1" si="114"/>
        <v/>
      </c>
      <c r="AM78" s="159" t="str">
        <f t="shared" ca="1" si="115"/>
        <v/>
      </c>
      <c r="AN78" s="160" t="str">
        <f t="shared" ca="1" si="116"/>
        <v/>
      </c>
      <c r="AO78" s="161" t="str">
        <f t="shared" ca="1" si="117"/>
        <v/>
      </c>
      <c r="AP78" s="162" t="str">
        <f t="shared" ca="1" si="118"/>
        <v/>
      </c>
      <c r="AQ78" s="163" t="str">
        <f t="shared" ca="1" si="119"/>
        <v/>
      </c>
      <c r="AR78" s="164" t="str">
        <f t="shared" ca="1" si="120"/>
        <v/>
      </c>
      <c r="AS78" s="164" t="str">
        <f t="shared" ca="1" si="121"/>
        <v/>
      </c>
      <c r="AT78" s="164" t="str">
        <f t="shared" ca="1" si="122"/>
        <v/>
      </c>
      <c r="AU78" s="164" t="str">
        <f t="shared" ca="1" si="123"/>
        <v/>
      </c>
      <c r="AV78" s="164" t="str">
        <f t="shared" ca="1" si="124"/>
        <v/>
      </c>
      <c r="AW78" s="164" t="str">
        <f t="shared" ca="1" si="125"/>
        <v/>
      </c>
      <c r="AX78" s="164" t="str">
        <f t="shared" ca="1" si="126"/>
        <v/>
      </c>
      <c r="AY78" s="164" t="str">
        <f t="shared" ca="1" si="127"/>
        <v/>
      </c>
      <c r="AZ78" s="164" t="str">
        <f t="shared" ca="1" si="128"/>
        <v/>
      </c>
      <c r="BA78" s="165" t="str">
        <f t="shared" ca="1" si="129"/>
        <v>nie</v>
      </c>
      <c r="BB78" s="166" t="str">
        <f t="shared" ca="1" si="135"/>
        <v>-</v>
      </c>
      <c r="BC78" s="165" t="str">
        <f t="shared" ca="1" si="130"/>
        <v>nie</v>
      </c>
    </row>
    <row r="79" spans="1:55" s="176" customFormat="1" ht="14.45" hidden="1" customHeight="1" x14ac:dyDescent="0.25">
      <c r="A79" s="493" t="s">
        <v>24</v>
      </c>
      <c r="B79" s="493" t="s">
        <v>26</v>
      </c>
      <c r="C79" s="494" t="s">
        <v>113</v>
      </c>
      <c r="D79" s="505" t="s">
        <v>114</v>
      </c>
      <c r="E79" s="497">
        <v>600</v>
      </c>
      <c r="F79" s="497">
        <v>60016</v>
      </c>
      <c r="G79" s="497">
        <v>6060</v>
      </c>
      <c r="H79" s="507">
        <v>2020</v>
      </c>
      <c r="I79" s="499" t="str">
        <f ca="1">IF(COUNTIF(OFFSET(I79,-1,-8),"*propon*")&gt;0,OFFSET(I79,4,0),IF(Y79&gt;0,"2033",IF(X79&gt;0,"2032",IF(W79&gt;0,"2031",IF(V79&gt;0,"2030",IF(U79&gt;0,"2029",IF(T79&gt;0,"2028",IF(S79&gt;0,"2027",IF(R79&gt;0,"2026",IF(Q79&gt;0,"2025",IF(P79&gt;0,"2024",IF(M79&gt;0,"2023",IF(L79&gt;0,"2022","")))))))))))))</f>
        <v>2025</v>
      </c>
      <c r="J79" s="168" t="s">
        <v>102</v>
      </c>
      <c r="K79" s="169">
        <f>SUM(N79:O79)</f>
        <v>4227894</v>
      </c>
      <c r="L79" s="170">
        <f t="shared" ref="L79:M79" si="141">SUM(L80:L81)</f>
        <v>0</v>
      </c>
      <c r="M79" s="171">
        <f t="shared" si="141"/>
        <v>0</v>
      </c>
      <c r="N79" s="172">
        <f>SUM(L79:M79)</f>
        <v>0</v>
      </c>
      <c r="O79" s="169">
        <f>SUM(P79:Y79)</f>
        <v>4227894</v>
      </c>
      <c r="P79" s="173">
        <f t="shared" ref="P79:R79" si="142">SUM(P80:P81)</f>
        <v>200000</v>
      </c>
      <c r="Q79" s="171">
        <f t="shared" si="142"/>
        <v>4027894</v>
      </c>
      <c r="R79" s="174">
        <f t="shared" si="142"/>
        <v>0</v>
      </c>
      <c r="S79" s="175">
        <f t="shared" ref="S79:Y79" si="143">SUM(S80:S81)</f>
        <v>0</v>
      </c>
      <c r="T79" s="171">
        <f t="shared" si="143"/>
        <v>0</v>
      </c>
      <c r="U79" s="171">
        <f t="shared" si="143"/>
        <v>0</v>
      </c>
      <c r="V79" s="171">
        <f t="shared" si="143"/>
        <v>0</v>
      </c>
      <c r="W79" s="171">
        <f t="shared" si="143"/>
        <v>0</v>
      </c>
      <c r="X79" s="171">
        <f t="shared" si="143"/>
        <v>0</v>
      </c>
      <c r="Y79" s="174">
        <f t="shared" si="143"/>
        <v>0</v>
      </c>
      <c r="Z79" s="149" t="str">
        <f t="shared" ca="1" si="104"/>
        <v>nie</v>
      </c>
      <c r="AA79" s="366"/>
      <c r="AB79" s="150" t="str">
        <f t="shared" ca="1" si="134"/>
        <v>-</v>
      </c>
      <c r="AC79" s="151" t="str">
        <f t="shared" ca="1" si="105"/>
        <v>PO ZMIANIE</v>
      </c>
      <c r="AD79" s="152" t="str">
        <f t="shared" ca="1" si="106"/>
        <v>PO ZMIANIE</v>
      </c>
      <c r="AE79" s="153" t="str">
        <f t="shared" ca="1" si="107"/>
        <v>C/USN/I/P2/33</v>
      </c>
      <c r="AF79" s="154" t="str">
        <f t="shared" ca="1" si="108"/>
        <v>Budowa dróg publicznych ul. Flamenco i ul. Mazura - rozliczenie z deweloperem</v>
      </c>
      <c r="AG79" s="155">
        <f t="shared" ca="1" si="109"/>
        <v>60016</v>
      </c>
      <c r="AH79" s="155" t="str">
        <f t="shared" ca="1" si="110"/>
        <v>6060</v>
      </c>
      <c r="AI79" s="156" t="str">
        <f t="shared" ca="1" si="111"/>
        <v>GMMW</v>
      </c>
      <c r="AJ79" s="157" t="str">
        <f t="shared" ca="1" si="112"/>
        <v>WPF, w tym</v>
      </c>
      <c r="AK79" s="158" t="str">
        <f t="shared" ca="1" si="113"/>
        <v>C/USN/I/P2/33 60016 6060 GMMW</v>
      </c>
      <c r="AL79" s="158" t="str">
        <f t="shared" ca="1" si="114"/>
        <v>C/USN/I/P2/33 60016 6060 WPF, w tym</v>
      </c>
      <c r="AM79" s="159" t="str">
        <f t="shared" ca="1" si="115"/>
        <v>C/USN/I/P2/33 60016 6060 GMMW WPF, w tym</v>
      </c>
      <c r="AN79" s="160">
        <f t="shared" ca="1" si="116"/>
        <v>4227894</v>
      </c>
      <c r="AO79" s="161">
        <f t="shared" ca="1" si="117"/>
        <v>0</v>
      </c>
      <c r="AP79" s="162">
        <f t="shared" ca="1" si="118"/>
        <v>0</v>
      </c>
      <c r="AQ79" s="163">
        <f t="shared" ca="1" si="119"/>
        <v>200000</v>
      </c>
      <c r="AR79" s="164">
        <f t="shared" ca="1" si="120"/>
        <v>4027894</v>
      </c>
      <c r="AS79" s="164">
        <f t="shared" ca="1" si="121"/>
        <v>0</v>
      </c>
      <c r="AT79" s="164">
        <f t="shared" ca="1" si="122"/>
        <v>0</v>
      </c>
      <c r="AU79" s="164">
        <f t="shared" ca="1" si="123"/>
        <v>0</v>
      </c>
      <c r="AV79" s="164">
        <f t="shared" ca="1" si="124"/>
        <v>0</v>
      </c>
      <c r="AW79" s="164">
        <f t="shared" ca="1" si="125"/>
        <v>0</v>
      </c>
      <c r="AX79" s="164">
        <f t="shared" ca="1" si="126"/>
        <v>0</v>
      </c>
      <c r="AY79" s="164">
        <f t="shared" ca="1" si="127"/>
        <v>0</v>
      </c>
      <c r="AZ79" s="164">
        <f t="shared" ca="1" si="128"/>
        <v>0</v>
      </c>
      <c r="BA79" s="165" t="str">
        <f t="shared" ca="1" si="129"/>
        <v>nie</v>
      </c>
      <c r="BB79" s="166" t="str">
        <f t="shared" ca="1" si="135"/>
        <v>-</v>
      </c>
      <c r="BC79" s="165" t="str">
        <f t="shared" ca="1" si="130"/>
        <v>nie</v>
      </c>
    </row>
    <row r="80" spans="1:55" s="167" customFormat="1" ht="14.45" hidden="1" customHeight="1" x14ac:dyDescent="0.25">
      <c r="A80" s="493"/>
      <c r="B80" s="493"/>
      <c r="C80" s="494"/>
      <c r="D80" s="506"/>
      <c r="E80" s="497"/>
      <c r="F80" s="497"/>
      <c r="G80" s="497"/>
      <c r="H80" s="498"/>
      <c r="I80" s="499"/>
      <c r="J80" s="177" t="s">
        <v>103</v>
      </c>
      <c r="K80" s="178">
        <f>SUM(N80:O80)</f>
        <v>4227894</v>
      </c>
      <c r="L80" s="179"/>
      <c r="M80" s="180"/>
      <c r="N80" s="172">
        <f>SUM(L80:M80)</f>
        <v>0</v>
      </c>
      <c r="O80" s="178">
        <f>SUM(P80:Y80)</f>
        <v>4227894</v>
      </c>
      <c r="P80" s="181">
        <v>200000</v>
      </c>
      <c r="Q80" s="180">
        <v>4027894</v>
      </c>
      <c r="R80" s="182"/>
      <c r="S80" s="183"/>
      <c r="T80" s="180"/>
      <c r="U80" s="180"/>
      <c r="V80" s="180"/>
      <c r="W80" s="180"/>
      <c r="X80" s="180"/>
      <c r="Y80" s="182"/>
      <c r="Z80" s="149" t="str">
        <f t="shared" ca="1" si="104"/>
        <v>nie</v>
      </c>
      <c r="AA80" s="384"/>
      <c r="AB80" s="150" t="str">
        <f t="shared" ca="1" si="134"/>
        <v>-</v>
      </c>
      <c r="AC80" s="151" t="str">
        <f t="shared" ca="1" si="105"/>
        <v>PO ZMIANIE</v>
      </c>
      <c r="AD80" s="152" t="str">
        <f t="shared" ca="1" si="106"/>
        <v>PO ZMIANIE</v>
      </c>
      <c r="AE80" s="153" t="str">
        <f t="shared" ca="1" si="107"/>
        <v>C/USN/I/P2/33</v>
      </c>
      <c r="AF80" s="154" t="str">
        <f t="shared" ca="1" si="108"/>
        <v>Budowa dróg publicznych ul. Flamenco i ul. Mazura - rozliczenie z deweloperem</v>
      </c>
      <c r="AG80" s="155">
        <f t="shared" ca="1" si="109"/>
        <v>60016</v>
      </c>
      <c r="AH80" s="155" t="str">
        <f t="shared" ca="1" si="110"/>
        <v>6060</v>
      </c>
      <c r="AI80" s="156" t="str">
        <f t="shared" ca="1" si="111"/>
        <v>GMMW</v>
      </c>
      <c r="AJ80" s="157" t="str">
        <f t="shared" ca="1" si="112"/>
        <v>WPF/PM</v>
      </c>
      <c r="AK80" s="158" t="str">
        <f t="shared" ca="1" si="113"/>
        <v>C/USN/I/P2/33 60016 6060 GMMW</v>
      </c>
      <c r="AL80" s="158" t="str">
        <f t="shared" ca="1" si="114"/>
        <v>C/USN/I/P2/33 60016 6060 WPF/PM</v>
      </c>
      <c r="AM80" s="159" t="str">
        <f t="shared" ca="1" si="115"/>
        <v>C/USN/I/P2/33 60016 6060 GMMW WPF/PM</v>
      </c>
      <c r="AN80" s="160">
        <f t="shared" ca="1" si="116"/>
        <v>4227894</v>
      </c>
      <c r="AO80" s="161">
        <f t="shared" ca="1" si="117"/>
        <v>0</v>
      </c>
      <c r="AP80" s="162">
        <f t="shared" ca="1" si="118"/>
        <v>0</v>
      </c>
      <c r="AQ80" s="163">
        <f t="shared" ca="1" si="119"/>
        <v>200000</v>
      </c>
      <c r="AR80" s="164">
        <f t="shared" ca="1" si="120"/>
        <v>4027894</v>
      </c>
      <c r="AS80" s="164">
        <f t="shared" ca="1" si="121"/>
        <v>0</v>
      </c>
      <c r="AT80" s="164">
        <f t="shared" ca="1" si="122"/>
        <v>0</v>
      </c>
      <c r="AU80" s="164">
        <f t="shared" ca="1" si="123"/>
        <v>0</v>
      </c>
      <c r="AV80" s="164">
        <f t="shared" ca="1" si="124"/>
        <v>0</v>
      </c>
      <c r="AW80" s="164">
        <f t="shared" ca="1" si="125"/>
        <v>0</v>
      </c>
      <c r="AX80" s="164">
        <f t="shared" ca="1" si="126"/>
        <v>0</v>
      </c>
      <c r="AY80" s="164">
        <f t="shared" ca="1" si="127"/>
        <v>0</v>
      </c>
      <c r="AZ80" s="164">
        <f t="shared" ca="1" si="128"/>
        <v>0</v>
      </c>
      <c r="BA80" s="165" t="str">
        <f t="shared" ca="1" si="129"/>
        <v>nie</v>
      </c>
      <c r="BB80" s="166" t="str">
        <f t="shared" ca="1" si="135"/>
        <v>-</v>
      </c>
      <c r="BC80" s="165" t="str">
        <f t="shared" ca="1" si="130"/>
        <v>nie</v>
      </c>
    </row>
    <row r="81" spans="1:55" s="167" customFormat="1" ht="14.45" hidden="1" customHeight="1" thickBot="1" x14ac:dyDescent="0.3">
      <c r="A81" s="500"/>
      <c r="B81" s="500"/>
      <c r="C81" s="501"/>
      <c r="D81" s="513"/>
      <c r="E81" s="503"/>
      <c r="F81" s="503"/>
      <c r="G81" s="503"/>
      <c r="H81" s="504"/>
      <c r="I81" s="499"/>
      <c r="J81" s="197" t="s">
        <v>104</v>
      </c>
      <c r="K81" s="198">
        <f>SUM(N81:O81)</f>
        <v>0</v>
      </c>
      <c r="L81" s="199"/>
      <c r="M81" s="200"/>
      <c r="N81" s="371">
        <f>SUM(L81:M81)</f>
        <v>0</v>
      </c>
      <c r="O81" s="198">
        <f>SUM(P81:Y81)</f>
        <v>0</v>
      </c>
      <c r="P81" s="201"/>
      <c r="Q81" s="200"/>
      <c r="R81" s="202"/>
      <c r="S81" s="203"/>
      <c r="T81" s="200"/>
      <c r="U81" s="200"/>
      <c r="V81" s="200"/>
      <c r="W81" s="200"/>
      <c r="X81" s="200"/>
      <c r="Y81" s="202"/>
      <c r="Z81" s="149" t="str">
        <f t="shared" ca="1" si="104"/>
        <v>nie</v>
      </c>
      <c r="AA81" s="384"/>
      <c r="AB81" s="150" t="str">
        <f t="shared" ca="1" si="134"/>
        <v>-</v>
      </c>
      <c r="AC81" s="151" t="str">
        <f t="shared" ca="1" si="105"/>
        <v>PO ZMIANIE</v>
      </c>
      <c r="AD81" s="152" t="str">
        <f t="shared" ca="1" si="106"/>
        <v>PO ZMIANIE</v>
      </c>
      <c r="AE81" s="153" t="str">
        <f t="shared" ca="1" si="107"/>
        <v>C/USN/I/P2/33</v>
      </c>
      <c r="AF81" s="154" t="str">
        <f t="shared" ca="1" si="108"/>
        <v>Budowa dróg publicznych ul. Flamenco i ul. Mazura - rozliczenie z deweloperem</v>
      </c>
      <c r="AG81" s="155">
        <f t="shared" ca="1" si="109"/>
        <v>60016</v>
      </c>
      <c r="AH81" s="155" t="str">
        <f t="shared" ca="1" si="110"/>
        <v>6060</v>
      </c>
      <c r="AI81" s="156" t="str">
        <f t="shared" ca="1" si="111"/>
        <v>GMMW</v>
      </c>
      <c r="AJ81" s="157" t="str">
        <f t="shared" ca="1" si="112"/>
        <v>WPF/UM</v>
      </c>
      <c r="AK81" s="158" t="str">
        <f t="shared" ca="1" si="113"/>
        <v>C/USN/I/P2/33 60016 6060 GMMW</v>
      </c>
      <c r="AL81" s="158" t="str">
        <f t="shared" ca="1" si="114"/>
        <v>C/USN/I/P2/33 60016 6060 WPF/UM</v>
      </c>
      <c r="AM81" s="159" t="str">
        <f t="shared" ca="1" si="115"/>
        <v>C/USN/I/P2/33 60016 6060 GMMW WPF/UM</v>
      </c>
      <c r="AN81" s="160">
        <f t="shared" ca="1" si="116"/>
        <v>0</v>
      </c>
      <c r="AO81" s="161">
        <f t="shared" ca="1" si="117"/>
        <v>0</v>
      </c>
      <c r="AP81" s="162">
        <f t="shared" ca="1" si="118"/>
        <v>0</v>
      </c>
      <c r="AQ81" s="163">
        <f t="shared" ca="1" si="119"/>
        <v>0</v>
      </c>
      <c r="AR81" s="164">
        <f t="shared" ca="1" si="120"/>
        <v>0</v>
      </c>
      <c r="AS81" s="164">
        <f t="shared" ca="1" si="121"/>
        <v>0</v>
      </c>
      <c r="AT81" s="164">
        <f t="shared" ca="1" si="122"/>
        <v>0</v>
      </c>
      <c r="AU81" s="164">
        <f t="shared" ca="1" si="123"/>
        <v>0</v>
      </c>
      <c r="AV81" s="164">
        <f t="shared" ca="1" si="124"/>
        <v>0</v>
      </c>
      <c r="AW81" s="164">
        <f t="shared" ca="1" si="125"/>
        <v>0</v>
      </c>
      <c r="AX81" s="164">
        <f t="shared" ca="1" si="126"/>
        <v>0</v>
      </c>
      <c r="AY81" s="164">
        <f t="shared" ca="1" si="127"/>
        <v>0</v>
      </c>
      <c r="AZ81" s="164">
        <f t="shared" ca="1" si="128"/>
        <v>0</v>
      </c>
      <c r="BA81" s="165" t="str">
        <f t="shared" ca="1" si="129"/>
        <v>nie</v>
      </c>
      <c r="BB81" s="166" t="str">
        <f t="shared" ca="1" si="135"/>
        <v>-</v>
      </c>
      <c r="BC81" s="165" t="str">
        <f t="shared" ca="1" si="130"/>
        <v>nie</v>
      </c>
    </row>
    <row r="82" spans="1:55" s="167" customFormat="1" ht="14.45" hidden="1" customHeight="1" x14ac:dyDescent="0.25">
      <c r="A82" s="143" t="s">
        <v>91</v>
      </c>
      <c r="B82" s="144"/>
      <c r="C82" s="145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6"/>
      <c r="S82" s="147"/>
      <c r="T82" s="147"/>
      <c r="U82" s="147"/>
      <c r="V82" s="147"/>
      <c r="W82" s="147"/>
      <c r="X82" s="147"/>
      <c r="Y82" s="148"/>
      <c r="Z82" s="149" t="str">
        <f t="shared" ca="1" si="104"/>
        <v>nie</v>
      </c>
      <c r="AA82" s="366"/>
      <c r="AB82" s="150" t="str">
        <f t="shared" ca="1" si="134"/>
        <v>-</v>
      </c>
      <c r="AC82" s="151" t="str">
        <f t="shared" ca="1" si="105"/>
        <v>PRZED ZMIANĄ</v>
      </c>
      <c r="AD82" s="152" t="str">
        <f t="shared" ca="1" si="106"/>
        <v/>
      </c>
      <c r="AE82" s="153" t="str">
        <f t="shared" ca="1" si="107"/>
        <v/>
      </c>
      <c r="AF82" s="154" t="str">
        <f t="shared" ca="1" si="108"/>
        <v/>
      </c>
      <c r="AG82" s="155" t="str">
        <f t="shared" ca="1" si="109"/>
        <v/>
      </c>
      <c r="AH82" s="155" t="str">
        <f t="shared" ca="1" si="110"/>
        <v/>
      </c>
      <c r="AI82" s="156" t="str">
        <f t="shared" ca="1" si="111"/>
        <v/>
      </c>
      <c r="AJ82" s="157" t="str">
        <f t="shared" ca="1" si="112"/>
        <v/>
      </c>
      <c r="AK82" s="158" t="str">
        <f t="shared" ca="1" si="113"/>
        <v/>
      </c>
      <c r="AL82" s="158" t="str">
        <f t="shared" ca="1" si="114"/>
        <v/>
      </c>
      <c r="AM82" s="159" t="str">
        <f t="shared" ca="1" si="115"/>
        <v/>
      </c>
      <c r="AN82" s="160" t="str">
        <f t="shared" ca="1" si="116"/>
        <v/>
      </c>
      <c r="AO82" s="161" t="str">
        <f t="shared" ca="1" si="117"/>
        <v/>
      </c>
      <c r="AP82" s="162" t="str">
        <f t="shared" ca="1" si="118"/>
        <v/>
      </c>
      <c r="AQ82" s="163" t="str">
        <f t="shared" ca="1" si="119"/>
        <v/>
      </c>
      <c r="AR82" s="164" t="str">
        <f t="shared" ca="1" si="120"/>
        <v/>
      </c>
      <c r="AS82" s="164" t="str">
        <f t="shared" ca="1" si="121"/>
        <v/>
      </c>
      <c r="AT82" s="164" t="str">
        <f t="shared" ca="1" si="122"/>
        <v/>
      </c>
      <c r="AU82" s="164" t="str">
        <f t="shared" ca="1" si="123"/>
        <v/>
      </c>
      <c r="AV82" s="164" t="str">
        <f t="shared" ca="1" si="124"/>
        <v/>
      </c>
      <c r="AW82" s="164" t="str">
        <f t="shared" ca="1" si="125"/>
        <v/>
      </c>
      <c r="AX82" s="164" t="str">
        <f t="shared" ca="1" si="126"/>
        <v/>
      </c>
      <c r="AY82" s="164" t="str">
        <f t="shared" ca="1" si="127"/>
        <v/>
      </c>
      <c r="AZ82" s="164" t="str">
        <f t="shared" ca="1" si="128"/>
        <v/>
      </c>
      <c r="BA82" s="165" t="str">
        <f t="shared" ca="1" si="129"/>
        <v>nie</v>
      </c>
      <c r="BB82" s="166" t="str">
        <f t="shared" ca="1" si="135"/>
        <v>-</v>
      </c>
      <c r="BC82" s="165" t="str">
        <f t="shared" ca="1" si="130"/>
        <v>nie</v>
      </c>
    </row>
    <row r="83" spans="1:55" s="176" customFormat="1" ht="14.45" hidden="1" customHeight="1" x14ac:dyDescent="0.25">
      <c r="A83" s="493" t="s">
        <v>24</v>
      </c>
      <c r="B83" s="493" t="s">
        <v>26</v>
      </c>
      <c r="C83" s="530" t="s">
        <v>115</v>
      </c>
      <c r="D83" s="505" t="s">
        <v>116</v>
      </c>
      <c r="E83" s="497">
        <v>600</v>
      </c>
      <c r="F83" s="497">
        <v>60016</v>
      </c>
      <c r="G83" s="497">
        <v>6060</v>
      </c>
      <c r="H83" s="507">
        <v>2020</v>
      </c>
      <c r="I83" s="499" t="str">
        <f ca="1">IF(COUNTIF(OFFSET(I83,-1,-8),"*propon*")&gt;0,OFFSET(I83,4,0),IF(Y83&gt;0,"2033",IF(X83&gt;0,"2032",IF(W83&gt;0,"2031",IF(V83&gt;0,"2030",IF(U83&gt;0,"2029",IF(T83&gt;0,"2028",IF(S83&gt;0,"2027",IF(R83&gt;0,"2026",IF(Q83&gt;0,"2025",IF(P83&gt;0,"2024",IF(M83&gt;0,"2023",IF(L83&gt;0,"2022","")))))))))))))</f>
        <v>2025</v>
      </c>
      <c r="J83" s="168" t="s">
        <v>94</v>
      </c>
      <c r="K83" s="169">
        <f>SUM(N83:O83)</f>
        <v>315000</v>
      </c>
      <c r="L83" s="170">
        <f t="shared" ref="L83:M83" si="144">SUM(L84:L85)</f>
        <v>0</v>
      </c>
      <c r="M83" s="171">
        <f t="shared" si="144"/>
        <v>0</v>
      </c>
      <c r="N83" s="172">
        <f>SUM(L83:M83)</f>
        <v>0</v>
      </c>
      <c r="O83" s="169">
        <f>SUM(P83:Y83)</f>
        <v>315000</v>
      </c>
      <c r="P83" s="173">
        <f t="shared" ref="P83:R83" si="145">SUM(P84:P85)</f>
        <v>265000</v>
      </c>
      <c r="Q83" s="171">
        <f t="shared" si="145"/>
        <v>50000</v>
      </c>
      <c r="R83" s="174">
        <f t="shared" si="145"/>
        <v>0</v>
      </c>
      <c r="S83" s="175">
        <f t="shared" ref="S83:Y83" si="146">SUM(S84:S85)</f>
        <v>0</v>
      </c>
      <c r="T83" s="171">
        <f t="shared" si="146"/>
        <v>0</v>
      </c>
      <c r="U83" s="171">
        <f t="shared" si="146"/>
        <v>0</v>
      </c>
      <c r="V83" s="171">
        <f t="shared" si="146"/>
        <v>0</v>
      </c>
      <c r="W83" s="171">
        <f t="shared" si="146"/>
        <v>0</v>
      </c>
      <c r="X83" s="171">
        <f t="shared" si="146"/>
        <v>0</v>
      </c>
      <c r="Y83" s="174">
        <f t="shared" si="146"/>
        <v>0</v>
      </c>
      <c r="Z83" s="149" t="str">
        <f t="shared" ca="1" si="104"/>
        <v>nie</v>
      </c>
      <c r="AA83" s="366"/>
      <c r="AB83" s="150" t="str">
        <f t="shared" ca="1" si="134"/>
        <v>-</v>
      </c>
      <c r="AC83" s="151" t="str">
        <f t="shared" ca="1" si="105"/>
        <v>PRZED ZMIANĄ</v>
      </c>
      <c r="AD83" s="152" t="str">
        <f t="shared" ca="1" si="106"/>
        <v>PRZED ZMIANĄ</v>
      </c>
      <c r="AE83" s="153" t="str">
        <f t="shared" ca="1" si="107"/>
        <v>C/USN/I/P2/35</v>
      </c>
      <c r="AF83" s="154" t="str">
        <f t="shared" ca="1" si="108"/>
        <v>Wykup nieruchomości z mpzp osiedla Stokłosy</v>
      </c>
      <c r="AG83" s="155">
        <f t="shared" ca="1" si="109"/>
        <v>60016</v>
      </c>
      <c r="AH83" s="155" t="str">
        <f t="shared" ca="1" si="110"/>
        <v>6060</v>
      </c>
      <c r="AI83" s="156" t="str">
        <f t="shared" ca="1" si="111"/>
        <v>GMMW</v>
      </c>
      <c r="AJ83" s="157" t="str">
        <f t="shared" ca="1" si="112"/>
        <v>WPF, w tym</v>
      </c>
      <c r="AK83" s="158" t="str">
        <f t="shared" ca="1" si="113"/>
        <v>C/USN/I/P2/35 60016 6060 GMMW</v>
      </c>
      <c r="AL83" s="158" t="str">
        <f t="shared" ca="1" si="114"/>
        <v>C/USN/I/P2/35 60016 6060 WPF, w tym</v>
      </c>
      <c r="AM83" s="159" t="str">
        <f t="shared" ca="1" si="115"/>
        <v>C/USN/I/P2/35 60016 6060 GMMW WPF, w tym</v>
      </c>
      <c r="AN83" s="160">
        <f t="shared" ca="1" si="116"/>
        <v>315000</v>
      </c>
      <c r="AO83" s="161">
        <f t="shared" ca="1" si="117"/>
        <v>0</v>
      </c>
      <c r="AP83" s="162">
        <f t="shared" ca="1" si="118"/>
        <v>0</v>
      </c>
      <c r="AQ83" s="163">
        <f t="shared" ca="1" si="119"/>
        <v>265000</v>
      </c>
      <c r="AR83" s="164">
        <f t="shared" ca="1" si="120"/>
        <v>50000</v>
      </c>
      <c r="AS83" s="164">
        <f t="shared" ca="1" si="121"/>
        <v>0</v>
      </c>
      <c r="AT83" s="164">
        <f t="shared" ca="1" si="122"/>
        <v>0</v>
      </c>
      <c r="AU83" s="164">
        <f t="shared" ca="1" si="123"/>
        <v>0</v>
      </c>
      <c r="AV83" s="164">
        <f t="shared" ca="1" si="124"/>
        <v>0</v>
      </c>
      <c r="AW83" s="164">
        <f t="shared" ca="1" si="125"/>
        <v>0</v>
      </c>
      <c r="AX83" s="164">
        <f t="shared" ca="1" si="126"/>
        <v>0</v>
      </c>
      <c r="AY83" s="164">
        <f t="shared" ca="1" si="127"/>
        <v>0</v>
      </c>
      <c r="AZ83" s="164">
        <f t="shared" ca="1" si="128"/>
        <v>0</v>
      </c>
      <c r="BA83" s="165" t="str">
        <f t="shared" ca="1" si="129"/>
        <v>nie</v>
      </c>
      <c r="BB83" s="166" t="str">
        <f t="shared" ca="1" si="135"/>
        <v>-</v>
      </c>
      <c r="BC83" s="165" t="str">
        <f t="shared" ca="1" si="130"/>
        <v>nie</v>
      </c>
    </row>
    <row r="84" spans="1:55" s="167" customFormat="1" ht="14.45" hidden="1" customHeight="1" x14ac:dyDescent="0.25">
      <c r="A84" s="493"/>
      <c r="B84" s="493"/>
      <c r="C84" s="530"/>
      <c r="D84" s="506"/>
      <c r="E84" s="497"/>
      <c r="F84" s="497"/>
      <c r="G84" s="497"/>
      <c r="H84" s="498"/>
      <c r="I84" s="499"/>
      <c r="J84" s="177" t="s">
        <v>95</v>
      </c>
      <c r="K84" s="178">
        <f>SUM(N84:O84)</f>
        <v>315000</v>
      </c>
      <c r="L84" s="179"/>
      <c r="M84" s="180"/>
      <c r="N84" s="172">
        <f>SUM(L84:M84)</f>
        <v>0</v>
      </c>
      <c r="O84" s="178">
        <f>SUM(P84:Y84)</f>
        <v>315000</v>
      </c>
      <c r="P84" s="181">
        <v>265000</v>
      </c>
      <c r="Q84" s="180">
        <v>50000</v>
      </c>
      <c r="R84" s="182"/>
      <c r="S84" s="183"/>
      <c r="T84" s="180"/>
      <c r="U84" s="180"/>
      <c r="V84" s="180"/>
      <c r="W84" s="180"/>
      <c r="X84" s="180"/>
      <c r="Y84" s="182"/>
      <c r="Z84" s="149" t="str">
        <f t="shared" ca="1" si="104"/>
        <v>nie</v>
      </c>
      <c r="AA84" s="366"/>
      <c r="AB84" s="150" t="str">
        <f t="shared" ca="1" si="134"/>
        <v>-</v>
      </c>
      <c r="AC84" s="151" t="str">
        <f t="shared" ca="1" si="105"/>
        <v>PRZED ZMIANĄ</v>
      </c>
      <c r="AD84" s="152" t="str">
        <f t="shared" ca="1" si="106"/>
        <v>PRZED ZMIANĄ</v>
      </c>
      <c r="AE84" s="153" t="str">
        <f t="shared" ca="1" si="107"/>
        <v>C/USN/I/P2/35</v>
      </c>
      <c r="AF84" s="154" t="str">
        <f t="shared" ca="1" si="108"/>
        <v>Wykup nieruchomości z mpzp osiedla Stokłosy</v>
      </c>
      <c r="AG84" s="155">
        <f t="shared" ca="1" si="109"/>
        <v>60016</v>
      </c>
      <c r="AH84" s="155" t="str">
        <f t="shared" ca="1" si="110"/>
        <v>6060</v>
      </c>
      <c r="AI84" s="156" t="str">
        <f t="shared" ca="1" si="111"/>
        <v>GMMW</v>
      </c>
      <c r="AJ84" s="157" t="str">
        <f t="shared" ca="1" si="112"/>
        <v>WPF/PM</v>
      </c>
      <c r="AK84" s="158" t="str">
        <f t="shared" ca="1" si="113"/>
        <v>C/USN/I/P2/35 60016 6060 GMMW</v>
      </c>
      <c r="AL84" s="158" t="str">
        <f t="shared" ca="1" si="114"/>
        <v>C/USN/I/P2/35 60016 6060 WPF/PM</v>
      </c>
      <c r="AM84" s="159" t="str">
        <f t="shared" ca="1" si="115"/>
        <v>C/USN/I/P2/35 60016 6060 GMMW WPF/PM</v>
      </c>
      <c r="AN84" s="160">
        <f t="shared" ca="1" si="116"/>
        <v>315000</v>
      </c>
      <c r="AO84" s="161">
        <f t="shared" ca="1" si="117"/>
        <v>0</v>
      </c>
      <c r="AP84" s="162">
        <f t="shared" ca="1" si="118"/>
        <v>0</v>
      </c>
      <c r="AQ84" s="163">
        <f t="shared" ca="1" si="119"/>
        <v>265000</v>
      </c>
      <c r="AR84" s="164">
        <f t="shared" ca="1" si="120"/>
        <v>50000</v>
      </c>
      <c r="AS84" s="164">
        <f t="shared" ca="1" si="121"/>
        <v>0</v>
      </c>
      <c r="AT84" s="164">
        <f t="shared" ca="1" si="122"/>
        <v>0</v>
      </c>
      <c r="AU84" s="164">
        <f t="shared" ca="1" si="123"/>
        <v>0</v>
      </c>
      <c r="AV84" s="164">
        <f t="shared" ca="1" si="124"/>
        <v>0</v>
      </c>
      <c r="AW84" s="164">
        <f t="shared" ca="1" si="125"/>
        <v>0</v>
      </c>
      <c r="AX84" s="164">
        <f t="shared" ca="1" si="126"/>
        <v>0</v>
      </c>
      <c r="AY84" s="164">
        <f t="shared" ca="1" si="127"/>
        <v>0</v>
      </c>
      <c r="AZ84" s="164">
        <f t="shared" ca="1" si="128"/>
        <v>0</v>
      </c>
      <c r="BA84" s="165" t="str">
        <f t="shared" ca="1" si="129"/>
        <v>nie</v>
      </c>
      <c r="BB84" s="166" t="str">
        <f t="shared" ca="1" si="135"/>
        <v>-</v>
      </c>
      <c r="BC84" s="165" t="str">
        <f t="shared" ca="1" si="130"/>
        <v>nie</v>
      </c>
    </row>
    <row r="85" spans="1:55" s="167" customFormat="1" ht="14.45" hidden="1" customHeight="1" x14ac:dyDescent="0.25">
      <c r="A85" s="493"/>
      <c r="B85" s="493"/>
      <c r="C85" s="530"/>
      <c r="D85" s="506"/>
      <c r="E85" s="497"/>
      <c r="F85" s="497"/>
      <c r="G85" s="497"/>
      <c r="H85" s="498"/>
      <c r="I85" s="499"/>
      <c r="J85" s="177" t="s">
        <v>96</v>
      </c>
      <c r="K85" s="178">
        <f>SUM(N85:O85)</f>
        <v>0</v>
      </c>
      <c r="L85" s="184"/>
      <c r="M85" s="180">
        <v>0</v>
      </c>
      <c r="N85" s="172">
        <f>SUM(L85:M85)</f>
        <v>0</v>
      </c>
      <c r="O85" s="178">
        <f>SUM(P85:Y85)</f>
        <v>0</v>
      </c>
      <c r="P85" s="181"/>
      <c r="Q85" s="180"/>
      <c r="R85" s="182"/>
      <c r="S85" s="183"/>
      <c r="T85" s="180"/>
      <c r="U85" s="180"/>
      <c r="V85" s="180"/>
      <c r="W85" s="180"/>
      <c r="X85" s="180"/>
      <c r="Y85" s="182"/>
      <c r="Z85" s="149" t="str">
        <f t="shared" ca="1" si="104"/>
        <v>nie</v>
      </c>
      <c r="AA85" s="366"/>
      <c r="AB85" s="150" t="str">
        <f t="shared" ca="1" si="134"/>
        <v>-</v>
      </c>
      <c r="AC85" s="151" t="str">
        <f t="shared" ca="1" si="105"/>
        <v>PRZED ZMIANĄ</v>
      </c>
      <c r="AD85" s="152" t="str">
        <f t="shared" ca="1" si="106"/>
        <v>PRZED ZMIANĄ</v>
      </c>
      <c r="AE85" s="153" t="str">
        <f t="shared" ca="1" si="107"/>
        <v>C/USN/I/P2/35</v>
      </c>
      <c r="AF85" s="154" t="str">
        <f t="shared" ca="1" si="108"/>
        <v>Wykup nieruchomości z mpzp osiedla Stokłosy</v>
      </c>
      <c r="AG85" s="155">
        <f t="shared" ca="1" si="109"/>
        <v>60016</v>
      </c>
      <c r="AH85" s="155" t="str">
        <f t="shared" ca="1" si="110"/>
        <v>6060</v>
      </c>
      <c r="AI85" s="156" t="str">
        <f t="shared" ca="1" si="111"/>
        <v>GMMW</v>
      </c>
      <c r="AJ85" s="157" t="str">
        <f t="shared" ca="1" si="112"/>
        <v>WPF/UM</v>
      </c>
      <c r="AK85" s="158" t="str">
        <f t="shared" ca="1" si="113"/>
        <v>C/USN/I/P2/35 60016 6060 GMMW</v>
      </c>
      <c r="AL85" s="158" t="str">
        <f t="shared" ca="1" si="114"/>
        <v>C/USN/I/P2/35 60016 6060 WPF/UM</v>
      </c>
      <c r="AM85" s="159" t="str">
        <f t="shared" ca="1" si="115"/>
        <v>C/USN/I/P2/35 60016 6060 GMMW WPF/UM</v>
      </c>
      <c r="AN85" s="160">
        <f t="shared" ca="1" si="116"/>
        <v>0</v>
      </c>
      <c r="AO85" s="161">
        <f t="shared" ca="1" si="117"/>
        <v>0</v>
      </c>
      <c r="AP85" s="162">
        <f t="shared" ca="1" si="118"/>
        <v>0</v>
      </c>
      <c r="AQ85" s="163">
        <f t="shared" ca="1" si="119"/>
        <v>0</v>
      </c>
      <c r="AR85" s="164">
        <f t="shared" ca="1" si="120"/>
        <v>0</v>
      </c>
      <c r="AS85" s="164">
        <f t="shared" ca="1" si="121"/>
        <v>0</v>
      </c>
      <c r="AT85" s="164">
        <f t="shared" ca="1" si="122"/>
        <v>0</v>
      </c>
      <c r="AU85" s="164">
        <f t="shared" ca="1" si="123"/>
        <v>0</v>
      </c>
      <c r="AV85" s="164">
        <f t="shared" ca="1" si="124"/>
        <v>0</v>
      </c>
      <c r="AW85" s="164">
        <f t="shared" ca="1" si="125"/>
        <v>0</v>
      </c>
      <c r="AX85" s="164">
        <f t="shared" ca="1" si="126"/>
        <v>0</v>
      </c>
      <c r="AY85" s="164">
        <f t="shared" ca="1" si="127"/>
        <v>0</v>
      </c>
      <c r="AZ85" s="164">
        <f t="shared" ca="1" si="128"/>
        <v>0</v>
      </c>
      <c r="BA85" s="165" t="str">
        <f t="shared" ca="1" si="129"/>
        <v>nie</v>
      </c>
      <c r="BB85" s="166" t="str">
        <f t="shared" ca="1" si="135"/>
        <v>-</v>
      </c>
      <c r="BC85" s="165" t="str">
        <f t="shared" ca="1" si="130"/>
        <v>nie</v>
      </c>
    </row>
    <row r="86" spans="1:55" s="167" customFormat="1" ht="14.45" hidden="1" customHeight="1" x14ac:dyDescent="0.25">
      <c r="A86" s="185" t="s">
        <v>97</v>
      </c>
      <c r="B86" s="186"/>
      <c r="C86" s="187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  <c r="R86" s="188"/>
      <c r="S86" s="189"/>
      <c r="T86" s="189"/>
      <c r="U86" s="189"/>
      <c r="V86" s="189"/>
      <c r="W86" s="189"/>
      <c r="X86" s="189"/>
      <c r="Y86" s="190"/>
      <c r="Z86" s="149" t="str">
        <f t="shared" ca="1" si="104"/>
        <v>nie</v>
      </c>
      <c r="AA86" s="366"/>
      <c r="AB86" s="150" t="str">
        <f t="shared" ca="1" si="134"/>
        <v>-</v>
      </c>
      <c r="AC86" s="151" t="str">
        <f t="shared" ca="1" si="105"/>
        <v>PROPONOWANA ZMIANA</v>
      </c>
      <c r="AD86" s="152" t="str">
        <f t="shared" ca="1" si="106"/>
        <v/>
      </c>
      <c r="AE86" s="153" t="str">
        <f t="shared" ca="1" si="107"/>
        <v/>
      </c>
      <c r="AF86" s="154" t="str">
        <f t="shared" ca="1" si="108"/>
        <v/>
      </c>
      <c r="AG86" s="155" t="str">
        <f t="shared" ca="1" si="109"/>
        <v/>
      </c>
      <c r="AH86" s="155" t="str">
        <f t="shared" ca="1" si="110"/>
        <v/>
      </c>
      <c r="AI86" s="156" t="str">
        <f t="shared" ca="1" si="111"/>
        <v/>
      </c>
      <c r="AJ86" s="157" t="str">
        <f t="shared" ca="1" si="112"/>
        <v/>
      </c>
      <c r="AK86" s="158" t="str">
        <f t="shared" ca="1" si="113"/>
        <v/>
      </c>
      <c r="AL86" s="158" t="str">
        <f t="shared" ca="1" si="114"/>
        <v/>
      </c>
      <c r="AM86" s="159" t="str">
        <f t="shared" ca="1" si="115"/>
        <v/>
      </c>
      <c r="AN86" s="160" t="str">
        <f t="shared" ca="1" si="116"/>
        <v/>
      </c>
      <c r="AO86" s="161" t="str">
        <f t="shared" ca="1" si="117"/>
        <v/>
      </c>
      <c r="AP86" s="162" t="str">
        <f t="shared" ca="1" si="118"/>
        <v/>
      </c>
      <c r="AQ86" s="163" t="str">
        <f t="shared" ca="1" si="119"/>
        <v/>
      </c>
      <c r="AR86" s="164" t="str">
        <f t="shared" ca="1" si="120"/>
        <v/>
      </c>
      <c r="AS86" s="164" t="str">
        <f t="shared" ca="1" si="121"/>
        <v/>
      </c>
      <c r="AT86" s="164" t="str">
        <f t="shared" ca="1" si="122"/>
        <v/>
      </c>
      <c r="AU86" s="164" t="str">
        <f t="shared" ca="1" si="123"/>
        <v/>
      </c>
      <c r="AV86" s="164" t="str">
        <f t="shared" ca="1" si="124"/>
        <v/>
      </c>
      <c r="AW86" s="164" t="str">
        <f t="shared" ca="1" si="125"/>
        <v/>
      </c>
      <c r="AX86" s="164" t="str">
        <f t="shared" ca="1" si="126"/>
        <v/>
      </c>
      <c r="AY86" s="164" t="str">
        <f t="shared" ca="1" si="127"/>
        <v/>
      </c>
      <c r="AZ86" s="164" t="str">
        <f t="shared" ca="1" si="128"/>
        <v/>
      </c>
      <c r="BA86" s="165" t="str">
        <f t="shared" ca="1" si="129"/>
        <v>nie</v>
      </c>
      <c r="BB86" s="166" t="str">
        <f t="shared" ca="1" si="135"/>
        <v>-</v>
      </c>
      <c r="BC86" s="165" t="str">
        <f t="shared" ca="1" si="130"/>
        <v>nie</v>
      </c>
    </row>
    <row r="87" spans="1:55" s="176" customFormat="1" ht="14.45" hidden="1" customHeight="1" x14ac:dyDescent="0.25">
      <c r="A87" s="493" t="s">
        <v>24</v>
      </c>
      <c r="B87" s="493" t="s">
        <v>26</v>
      </c>
      <c r="C87" s="530" t="s">
        <v>115</v>
      </c>
      <c r="D87" s="505" t="s">
        <v>116</v>
      </c>
      <c r="E87" s="497">
        <v>600</v>
      </c>
      <c r="F87" s="497">
        <v>60016</v>
      </c>
      <c r="G87" s="497">
        <v>6060</v>
      </c>
      <c r="H87" s="507">
        <v>2020</v>
      </c>
      <c r="I87" s="499" t="str">
        <f ca="1">IF(COUNTIF(OFFSET(I87,-1,-8),"*propon*")&gt;0,OFFSET(I87,4,0),IF(Y87&gt;0,"2033",IF(X87&gt;0,"2032",IF(W87&gt;0,"2031",IF(V87&gt;0,"2030",IF(U87&gt;0,"2029",IF(T87&gt;0,"2028",IF(S87&gt;0,"2027",IF(R87&gt;0,"2026",IF(Q87&gt;0,"2025",IF(P87&gt;0,"2024",IF(M87&gt;0,"2023",IF(L87&gt;0,"2022","")))))))))))))</f>
        <v>2025</v>
      </c>
      <c r="J87" s="168" t="s">
        <v>98</v>
      </c>
      <c r="K87" s="169">
        <f>SUM(N87:O87)</f>
        <v>0</v>
      </c>
      <c r="L87" s="170">
        <f t="shared" ref="L87:M87" si="147">SUM(L88:L89)</f>
        <v>0</v>
      </c>
      <c r="M87" s="171">
        <f t="shared" si="147"/>
        <v>0</v>
      </c>
      <c r="N87" s="172">
        <f>SUM(L87:M87)</f>
        <v>0</v>
      </c>
      <c r="O87" s="169">
        <f>SUM(P87:Y87)</f>
        <v>0</v>
      </c>
      <c r="P87" s="173">
        <f t="shared" ref="P87:R87" si="148">SUM(P88:P89)</f>
        <v>0</v>
      </c>
      <c r="Q87" s="171">
        <f t="shared" si="148"/>
        <v>0</v>
      </c>
      <c r="R87" s="174">
        <f t="shared" si="148"/>
        <v>0</v>
      </c>
      <c r="S87" s="175">
        <f t="shared" ref="S87:Y87" si="149">SUM(S88:S89)</f>
        <v>0</v>
      </c>
      <c r="T87" s="171">
        <f t="shared" si="149"/>
        <v>0</v>
      </c>
      <c r="U87" s="171">
        <f t="shared" si="149"/>
        <v>0</v>
      </c>
      <c r="V87" s="171">
        <f t="shared" si="149"/>
        <v>0</v>
      </c>
      <c r="W87" s="171">
        <f t="shared" si="149"/>
        <v>0</v>
      </c>
      <c r="X87" s="171">
        <f t="shared" si="149"/>
        <v>0</v>
      </c>
      <c r="Y87" s="174">
        <f t="shared" si="149"/>
        <v>0</v>
      </c>
      <c r="Z87" s="149" t="str">
        <f t="shared" ca="1" si="104"/>
        <v>nie</v>
      </c>
      <c r="AA87" s="366"/>
      <c r="AB87" s="150" t="str">
        <f t="shared" ca="1" si="134"/>
        <v>-</v>
      </c>
      <c r="AC87" s="151" t="str">
        <f t="shared" ca="1" si="105"/>
        <v>PROPONOWANA ZMIANA</v>
      </c>
      <c r="AD87" s="152" t="str">
        <f t="shared" ca="1" si="106"/>
        <v>PROPONOWANA ZMIANA</v>
      </c>
      <c r="AE87" s="153" t="str">
        <f t="shared" ca="1" si="107"/>
        <v>C/USN/I/P2/35</v>
      </c>
      <c r="AF87" s="154" t="str">
        <f t="shared" ca="1" si="108"/>
        <v>Wykup nieruchomości z mpzp osiedla Stokłosy</v>
      </c>
      <c r="AG87" s="155">
        <f t="shared" ca="1" si="109"/>
        <v>60016</v>
      </c>
      <c r="AH87" s="155" t="str">
        <f t="shared" ca="1" si="110"/>
        <v>6060</v>
      </c>
      <c r="AI87" s="156" t="str">
        <f t="shared" ca="1" si="111"/>
        <v>GMMW</v>
      </c>
      <c r="AJ87" s="157" t="str">
        <f t="shared" ca="1" si="112"/>
        <v>WPF, w tym</v>
      </c>
      <c r="AK87" s="158" t="str">
        <f t="shared" ca="1" si="113"/>
        <v>C/USN/I/P2/35 60016 6060 GMMW</v>
      </c>
      <c r="AL87" s="158" t="str">
        <f t="shared" ca="1" si="114"/>
        <v>C/USN/I/P2/35 60016 6060 WPF, w tym</v>
      </c>
      <c r="AM87" s="159" t="str">
        <f t="shared" ca="1" si="115"/>
        <v>C/USN/I/P2/35 60016 6060 GMMW WPF, w tym</v>
      </c>
      <c r="AN87" s="160">
        <f t="shared" ca="1" si="116"/>
        <v>0</v>
      </c>
      <c r="AO87" s="161">
        <f t="shared" ca="1" si="117"/>
        <v>0</v>
      </c>
      <c r="AP87" s="162">
        <f t="shared" ca="1" si="118"/>
        <v>0</v>
      </c>
      <c r="AQ87" s="163">
        <f t="shared" ca="1" si="119"/>
        <v>0</v>
      </c>
      <c r="AR87" s="164">
        <f t="shared" ca="1" si="120"/>
        <v>0</v>
      </c>
      <c r="AS87" s="164">
        <f t="shared" ca="1" si="121"/>
        <v>0</v>
      </c>
      <c r="AT87" s="164">
        <f t="shared" ca="1" si="122"/>
        <v>0</v>
      </c>
      <c r="AU87" s="164">
        <f t="shared" ca="1" si="123"/>
        <v>0</v>
      </c>
      <c r="AV87" s="164">
        <f t="shared" ca="1" si="124"/>
        <v>0</v>
      </c>
      <c r="AW87" s="164">
        <f t="shared" ca="1" si="125"/>
        <v>0</v>
      </c>
      <c r="AX87" s="164">
        <f t="shared" ca="1" si="126"/>
        <v>0</v>
      </c>
      <c r="AY87" s="164">
        <f t="shared" ca="1" si="127"/>
        <v>0</v>
      </c>
      <c r="AZ87" s="164">
        <f t="shared" ca="1" si="128"/>
        <v>0</v>
      </c>
      <c r="BA87" s="165" t="str">
        <f t="shared" ca="1" si="129"/>
        <v>nie</v>
      </c>
      <c r="BB87" s="166" t="str">
        <f t="shared" ca="1" si="135"/>
        <v>-</v>
      </c>
      <c r="BC87" s="165" t="str">
        <f t="shared" ca="1" si="130"/>
        <v>nie</v>
      </c>
    </row>
    <row r="88" spans="1:55" s="167" customFormat="1" ht="14.45" hidden="1" customHeight="1" x14ac:dyDescent="0.25">
      <c r="A88" s="493"/>
      <c r="B88" s="493"/>
      <c r="C88" s="530"/>
      <c r="D88" s="506"/>
      <c r="E88" s="497"/>
      <c r="F88" s="497"/>
      <c r="G88" s="497"/>
      <c r="H88" s="498"/>
      <c r="I88" s="499"/>
      <c r="J88" s="177" t="s">
        <v>99</v>
      </c>
      <c r="K88" s="178">
        <f>SUM(N88:O88)</f>
        <v>0</v>
      </c>
      <c r="L88" s="179">
        <f t="shared" ref="L88:M88" si="150">L92-L84</f>
        <v>0</v>
      </c>
      <c r="M88" s="180">
        <f t="shared" si="150"/>
        <v>0</v>
      </c>
      <c r="N88" s="172">
        <f>SUM(L88:M88)</f>
        <v>0</v>
      </c>
      <c r="O88" s="178">
        <f>SUM(P88:Y88)</f>
        <v>0</v>
      </c>
      <c r="P88" s="181">
        <f t="shared" ref="P88:R88" si="151">P92-P84</f>
        <v>0</v>
      </c>
      <c r="Q88" s="180">
        <f t="shared" si="151"/>
        <v>0</v>
      </c>
      <c r="R88" s="182">
        <f t="shared" si="151"/>
        <v>0</v>
      </c>
      <c r="S88" s="183">
        <f t="shared" ref="S88:Y89" si="152">S92-S84</f>
        <v>0</v>
      </c>
      <c r="T88" s="180">
        <f t="shared" si="152"/>
        <v>0</v>
      </c>
      <c r="U88" s="180">
        <f t="shared" si="152"/>
        <v>0</v>
      </c>
      <c r="V88" s="180">
        <f t="shared" si="152"/>
        <v>0</v>
      </c>
      <c r="W88" s="180">
        <f t="shared" si="152"/>
        <v>0</v>
      </c>
      <c r="X88" s="180">
        <f t="shared" si="152"/>
        <v>0</v>
      </c>
      <c r="Y88" s="182">
        <f t="shared" si="152"/>
        <v>0</v>
      </c>
      <c r="Z88" s="149" t="str">
        <f t="shared" ca="1" si="104"/>
        <v>nie</v>
      </c>
      <c r="AA88" s="366"/>
      <c r="AB88" s="150" t="str">
        <f t="shared" ca="1" si="134"/>
        <v>-</v>
      </c>
      <c r="AC88" s="151" t="str">
        <f t="shared" ca="1" si="105"/>
        <v>PROPONOWANA ZMIANA</v>
      </c>
      <c r="AD88" s="152" t="str">
        <f t="shared" ca="1" si="106"/>
        <v>PROPONOWANA ZMIANA</v>
      </c>
      <c r="AE88" s="153" t="str">
        <f t="shared" ca="1" si="107"/>
        <v>C/USN/I/P2/35</v>
      </c>
      <c r="AF88" s="154" t="str">
        <f t="shared" ca="1" si="108"/>
        <v>Wykup nieruchomości z mpzp osiedla Stokłosy</v>
      </c>
      <c r="AG88" s="155">
        <f t="shared" ca="1" si="109"/>
        <v>60016</v>
      </c>
      <c r="AH88" s="155" t="str">
        <f t="shared" ca="1" si="110"/>
        <v>6060</v>
      </c>
      <c r="AI88" s="156" t="str">
        <f t="shared" ca="1" si="111"/>
        <v>GMMW</v>
      </c>
      <c r="AJ88" s="157" t="str">
        <f t="shared" ca="1" si="112"/>
        <v>WPF/PM</v>
      </c>
      <c r="AK88" s="158" t="str">
        <f t="shared" ca="1" si="113"/>
        <v>C/USN/I/P2/35 60016 6060 GMMW</v>
      </c>
      <c r="AL88" s="158" t="str">
        <f t="shared" ca="1" si="114"/>
        <v>C/USN/I/P2/35 60016 6060 WPF/PM</v>
      </c>
      <c r="AM88" s="159" t="str">
        <f t="shared" ca="1" si="115"/>
        <v>C/USN/I/P2/35 60016 6060 GMMW WPF/PM</v>
      </c>
      <c r="AN88" s="160">
        <f t="shared" ca="1" si="116"/>
        <v>0</v>
      </c>
      <c r="AO88" s="161">
        <f t="shared" ca="1" si="117"/>
        <v>0</v>
      </c>
      <c r="AP88" s="162">
        <f t="shared" ca="1" si="118"/>
        <v>0</v>
      </c>
      <c r="AQ88" s="163">
        <f t="shared" ca="1" si="119"/>
        <v>0</v>
      </c>
      <c r="AR88" s="164">
        <f t="shared" ca="1" si="120"/>
        <v>0</v>
      </c>
      <c r="AS88" s="164">
        <f t="shared" ca="1" si="121"/>
        <v>0</v>
      </c>
      <c r="AT88" s="164">
        <f t="shared" ca="1" si="122"/>
        <v>0</v>
      </c>
      <c r="AU88" s="164">
        <f t="shared" ca="1" si="123"/>
        <v>0</v>
      </c>
      <c r="AV88" s="164">
        <f t="shared" ca="1" si="124"/>
        <v>0</v>
      </c>
      <c r="AW88" s="164">
        <f t="shared" ca="1" si="125"/>
        <v>0</v>
      </c>
      <c r="AX88" s="164">
        <f t="shared" ca="1" si="126"/>
        <v>0</v>
      </c>
      <c r="AY88" s="164">
        <f t="shared" ca="1" si="127"/>
        <v>0</v>
      </c>
      <c r="AZ88" s="164">
        <f t="shared" ca="1" si="128"/>
        <v>0</v>
      </c>
      <c r="BA88" s="165" t="str">
        <f t="shared" ca="1" si="129"/>
        <v>nie</v>
      </c>
      <c r="BB88" s="166" t="str">
        <f t="shared" ca="1" si="135"/>
        <v>-</v>
      </c>
      <c r="BC88" s="165" t="str">
        <f t="shared" ca="1" si="130"/>
        <v>nie</v>
      </c>
    </row>
    <row r="89" spans="1:55" s="167" customFormat="1" ht="14.45" hidden="1" customHeight="1" x14ac:dyDescent="0.25">
      <c r="A89" s="493"/>
      <c r="B89" s="493"/>
      <c r="C89" s="530"/>
      <c r="D89" s="506"/>
      <c r="E89" s="497"/>
      <c r="F89" s="497"/>
      <c r="G89" s="497"/>
      <c r="H89" s="498"/>
      <c r="I89" s="499"/>
      <c r="J89" s="177" t="s">
        <v>100</v>
      </c>
      <c r="K89" s="178">
        <f>SUM(N89:O89)</f>
        <v>0</v>
      </c>
      <c r="L89" s="179">
        <f t="shared" ref="L89:M89" si="153">L93-L85</f>
        <v>0</v>
      </c>
      <c r="M89" s="180">
        <f t="shared" si="153"/>
        <v>0</v>
      </c>
      <c r="N89" s="172">
        <f>SUM(L89:M89)</f>
        <v>0</v>
      </c>
      <c r="O89" s="178">
        <f>SUM(P89:Y89)</f>
        <v>0</v>
      </c>
      <c r="P89" s="181">
        <f t="shared" ref="P89:R89" si="154">P93-P85</f>
        <v>0</v>
      </c>
      <c r="Q89" s="180">
        <f t="shared" si="154"/>
        <v>0</v>
      </c>
      <c r="R89" s="182">
        <f t="shared" si="154"/>
        <v>0</v>
      </c>
      <c r="S89" s="183">
        <f t="shared" si="152"/>
        <v>0</v>
      </c>
      <c r="T89" s="180">
        <f t="shared" si="152"/>
        <v>0</v>
      </c>
      <c r="U89" s="180">
        <f t="shared" si="152"/>
        <v>0</v>
      </c>
      <c r="V89" s="180">
        <f t="shared" si="152"/>
        <v>0</v>
      </c>
      <c r="W89" s="180">
        <f t="shared" si="152"/>
        <v>0</v>
      </c>
      <c r="X89" s="180">
        <f t="shared" si="152"/>
        <v>0</v>
      </c>
      <c r="Y89" s="182">
        <f t="shared" si="152"/>
        <v>0</v>
      </c>
      <c r="Z89" s="149" t="str">
        <f t="shared" ca="1" si="104"/>
        <v>nie</v>
      </c>
      <c r="AA89" s="366"/>
      <c r="AB89" s="150" t="str">
        <f t="shared" ca="1" si="134"/>
        <v>-</v>
      </c>
      <c r="AC89" s="151" t="str">
        <f t="shared" ca="1" si="105"/>
        <v>PROPONOWANA ZMIANA</v>
      </c>
      <c r="AD89" s="152" t="str">
        <f t="shared" ca="1" si="106"/>
        <v>PROPONOWANA ZMIANA</v>
      </c>
      <c r="AE89" s="153" t="str">
        <f t="shared" ca="1" si="107"/>
        <v>C/USN/I/P2/35</v>
      </c>
      <c r="AF89" s="154" t="str">
        <f t="shared" ca="1" si="108"/>
        <v>Wykup nieruchomości z mpzp osiedla Stokłosy</v>
      </c>
      <c r="AG89" s="155">
        <f t="shared" ca="1" si="109"/>
        <v>60016</v>
      </c>
      <c r="AH89" s="155" t="str">
        <f t="shared" ca="1" si="110"/>
        <v>6060</v>
      </c>
      <c r="AI89" s="156" t="str">
        <f t="shared" ca="1" si="111"/>
        <v>GMMW</v>
      </c>
      <c r="AJ89" s="157" t="str">
        <f t="shared" ca="1" si="112"/>
        <v>WPF/UM</v>
      </c>
      <c r="AK89" s="158" t="str">
        <f t="shared" ca="1" si="113"/>
        <v>C/USN/I/P2/35 60016 6060 GMMW</v>
      </c>
      <c r="AL89" s="158" t="str">
        <f t="shared" ca="1" si="114"/>
        <v>C/USN/I/P2/35 60016 6060 WPF/UM</v>
      </c>
      <c r="AM89" s="159" t="str">
        <f t="shared" ca="1" si="115"/>
        <v>C/USN/I/P2/35 60016 6060 GMMW WPF/UM</v>
      </c>
      <c r="AN89" s="160">
        <f t="shared" ca="1" si="116"/>
        <v>0</v>
      </c>
      <c r="AO89" s="161">
        <f t="shared" ca="1" si="117"/>
        <v>0</v>
      </c>
      <c r="AP89" s="162">
        <f t="shared" ca="1" si="118"/>
        <v>0</v>
      </c>
      <c r="AQ89" s="163">
        <f t="shared" ca="1" si="119"/>
        <v>0</v>
      </c>
      <c r="AR89" s="164">
        <f t="shared" ca="1" si="120"/>
        <v>0</v>
      </c>
      <c r="AS89" s="164">
        <f t="shared" ca="1" si="121"/>
        <v>0</v>
      </c>
      <c r="AT89" s="164">
        <f t="shared" ca="1" si="122"/>
        <v>0</v>
      </c>
      <c r="AU89" s="164">
        <f t="shared" ca="1" si="123"/>
        <v>0</v>
      </c>
      <c r="AV89" s="164">
        <f t="shared" ca="1" si="124"/>
        <v>0</v>
      </c>
      <c r="AW89" s="164">
        <f t="shared" ca="1" si="125"/>
        <v>0</v>
      </c>
      <c r="AX89" s="164">
        <f t="shared" ca="1" si="126"/>
        <v>0</v>
      </c>
      <c r="AY89" s="164">
        <f t="shared" ca="1" si="127"/>
        <v>0</v>
      </c>
      <c r="AZ89" s="164">
        <f t="shared" ca="1" si="128"/>
        <v>0</v>
      </c>
      <c r="BA89" s="165" t="str">
        <f t="shared" ca="1" si="129"/>
        <v>nie</v>
      </c>
      <c r="BB89" s="166" t="str">
        <f t="shared" ca="1" si="135"/>
        <v>-</v>
      </c>
      <c r="BC89" s="165" t="str">
        <f t="shared" ca="1" si="130"/>
        <v>nie</v>
      </c>
    </row>
    <row r="90" spans="1:55" s="167" customFormat="1" ht="14.45" hidden="1" customHeight="1" x14ac:dyDescent="0.25">
      <c r="A90" s="191" t="s">
        <v>101</v>
      </c>
      <c r="B90" s="192"/>
      <c r="C90" s="193"/>
      <c r="D90" s="192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192"/>
      <c r="P90" s="192"/>
      <c r="Q90" s="192"/>
      <c r="R90" s="194"/>
      <c r="S90" s="195"/>
      <c r="T90" s="195"/>
      <c r="U90" s="195"/>
      <c r="V90" s="195"/>
      <c r="W90" s="195"/>
      <c r="X90" s="195"/>
      <c r="Y90" s="196"/>
      <c r="Z90" s="149" t="str">
        <f t="shared" ca="1" si="104"/>
        <v>nie</v>
      </c>
      <c r="AA90" s="366"/>
      <c r="AB90" s="150" t="str">
        <f t="shared" ca="1" si="134"/>
        <v>-</v>
      </c>
      <c r="AC90" s="151" t="str">
        <f t="shared" ca="1" si="105"/>
        <v>PO ZMIANIE</v>
      </c>
      <c r="AD90" s="152" t="str">
        <f t="shared" ca="1" si="106"/>
        <v/>
      </c>
      <c r="AE90" s="153" t="str">
        <f t="shared" ca="1" si="107"/>
        <v/>
      </c>
      <c r="AF90" s="154" t="str">
        <f t="shared" ca="1" si="108"/>
        <v/>
      </c>
      <c r="AG90" s="155" t="str">
        <f t="shared" ca="1" si="109"/>
        <v/>
      </c>
      <c r="AH90" s="155" t="str">
        <f t="shared" ca="1" si="110"/>
        <v/>
      </c>
      <c r="AI90" s="156" t="str">
        <f t="shared" ca="1" si="111"/>
        <v/>
      </c>
      <c r="AJ90" s="157" t="str">
        <f t="shared" ca="1" si="112"/>
        <v/>
      </c>
      <c r="AK90" s="158" t="str">
        <f t="shared" ca="1" si="113"/>
        <v/>
      </c>
      <c r="AL90" s="158" t="str">
        <f t="shared" ca="1" si="114"/>
        <v/>
      </c>
      <c r="AM90" s="159" t="str">
        <f t="shared" ca="1" si="115"/>
        <v/>
      </c>
      <c r="AN90" s="160" t="str">
        <f t="shared" ca="1" si="116"/>
        <v/>
      </c>
      <c r="AO90" s="161" t="str">
        <f t="shared" ca="1" si="117"/>
        <v/>
      </c>
      <c r="AP90" s="162" t="str">
        <f t="shared" ca="1" si="118"/>
        <v/>
      </c>
      <c r="AQ90" s="163" t="str">
        <f t="shared" ca="1" si="119"/>
        <v/>
      </c>
      <c r="AR90" s="164" t="str">
        <f t="shared" ca="1" si="120"/>
        <v/>
      </c>
      <c r="AS90" s="164" t="str">
        <f t="shared" ca="1" si="121"/>
        <v/>
      </c>
      <c r="AT90" s="164" t="str">
        <f t="shared" ca="1" si="122"/>
        <v/>
      </c>
      <c r="AU90" s="164" t="str">
        <f t="shared" ca="1" si="123"/>
        <v/>
      </c>
      <c r="AV90" s="164" t="str">
        <f t="shared" ca="1" si="124"/>
        <v/>
      </c>
      <c r="AW90" s="164" t="str">
        <f t="shared" ca="1" si="125"/>
        <v/>
      </c>
      <c r="AX90" s="164" t="str">
        <f t="shared" ca="1" si="126"/>
        <v/>
      </c>
      <c r="AY90" s="164" t="str">
        <f t="shared" ca="1" si="127"/>
        <v/>
      </c>
      <c r="AZ90" s="164" t="str">
        <f t="shared" ca="1" si="128"/>
        <v/>
      </c>
      <c r="BA90" s="165" t="str">
        <f t="shared" ca="1" si="129"/>
        <v>nie</v>
      </c>
      <c r="BB90" s="166" t="str">
        <f t="shared" ca="1" si="135"/>
        <v>-</v>
      </c>
      <c r="BC90" s="165" t="str">
        <f t="shared" ca="1" si="130"/>
        <v>nie</v>
      </c>
    </row>
    <row r="91" spans="1:55" s="176" customFormat="1" ht="14.45" hidden="1" customHeight="1" x14ac:dyDescent="0.25">
      <c r="A91" s="493" t="s">
        <v>24</v>
      </c>
      <c r="B91" s="493" t="s">
        <v>26</v>
      </c>
      <c r="C91" s="530" t="s">
        <v>115</v>
      </c>
      <c r="D91" s="505" t="s">
        <v>116</v>
      </c>
      <c r="E91" s="497">
        <v>600</v>
      </c>
      <c r="F91" s="497">
        <v>60016</v>
      </c>
      <c r="G91" s="497">
        <v>6060</v>
      </c>
      <c r="H91" s="507">
        <v>2020</v>
      </c>
      <c r="I91" s="499" t="str">
        <f ca="1">IF(COUNTIF(OFFSET(I91,-1,-8),"*propon*")&gt;0,OFFSET(I91,4,0),IF(Y91&gt;0,"2033",IF(X91&gt;0,"2032",IF(W91&gt;0,"2031",IF(V91&gt;0,"2030",IF(U91&gt;0,"2029",IF(T91&gt;0,"2028",IF(S91&gt;0,"2027",IF(R91&gt;0,"2026",IF(Q91&gt;0,"2025",IF(P91&gt;0,"2024",IF(M91&gt;0,"2023",IF(L91&gt;0,"2022","")))))))))))))</f>
        <v>2025</v>
      </c>
      <c r="J91" s="168" t="s">
        <v>102</v>
      </c>
      <c r="K91" s="169">
        <f>SUM(N91:O91)</f>
        <v>315000</v>
      </c>
      <c r="L91" s="170">
        <f t="shared" ref="L91:M91" si="155">SUM(L92:L93)</f>
        <v>0</v>
      </c>
      <c r="M91" s="171">
        <f t="shared" si="155"/>
        <v>0</v>
      </c>
      <c r="N91" s="172">
        <f>SUM(L91:M91)</f>
        <v>0</v>
      </c>
      <c r="O91" s="169">
        <f>SUM(P91:Y91)</f>
        <v>315000</v>
      </c>
      <c r="P91" s="173">
        <f t="shared" ref="P91:R91" si="156">SUM(P92:P93)</f>
        <v>265000</v>
      </c>
      <c r="Q91" s="171">
        <f t="shared" si="156"/>
        <v>50000</v>
      </c>
      <c r="R91" s="174">
        <f t="shared" si="156"/>
        <v>0</v>
      </c>
      <c r="S91" s="175">
        <f t="shared" ref="S91:Y91" si="157">SUM(S92:S93)</f>
        <v>0</v>
      </c>
      <c r="T91" s="171">
        <f t="shared" si="157"/>
        <v>0</v>
      </c>
      <c r="U91" s="171">
        <f t="shared" si="157"/>
        <v>0</v>
      </c>
      <c r="V91" s="171">
        <f t="shared" si="157"/>
        <v>0</v>
      </c>
      <c r="W91" s="171">
        <f t="shared" si="157"/>
        <v>0</v>
      </c>
      <c r="X91" s="171">
        <f t="shared" si="157"/>
        <v>0</v>
      </c>
      <c r="Y91" s="174">
        <f t="shared" si="157"/>
        <v>0</v>
      </c>
      <c r="Z91" s="149" t="str">
        <f t="shared" ca="1" si="104"/>
        <v>nie</v>
      </c>
      <c r="AA91" s="366"/>
      <c r="AB91" s="150" t="str">
        <f t="shared" ca="1" si="134"/>
        <v>-</v>
      </c>
      <c r="AC91" s="151" t="str">
        <f t="shared" ca="1" si="105"/>
        <v>PO ZMIANIE</v>
      </c>
      <c r="AD91" s="152" t="str">
        <f t="shared" ca="1" si="106"/>
        <v>PO ZMIANIE</v>
      </c>
      <c r="AE91" s="153" t="str">
        <f t="shared" ca="1" si="107"/>
        <v>C/USN/I/P2/35</v>
      </c>
      <c r="AF91" s="154" t="str">
        <f t="shared" ca="1" si="108"/>
        <v>Wykup nieruchomości z mpzp osiedla Stokłosy</v>
      </c>
      <c r="AG91" s="155">
        <f t="shared" ca="1" si="109"/>
        <v>60016</v>
      </c>
      <c r="AH91" s="155" t="str">
        <f t="shared" ca="1" si="110"/>
        <v>6060</v>
      </c>
      <c r="AI91" s="156" t="str">
        <f t="shared" ca="1" si="111"/>
        <v>GMMW</v>
      </c>
      <c r="AJ91" s="157" t="str">
        <f t="shared" ca="1" si="112"/>
        <v>WPF, w tym</v>
      </c>
      <c r="AK91" s="158" t="str">
        <f t="shared" ca="1" si="113"/>
        <v>C/USN/I/P2/35 60016 6060 GMMW</v>
      </c>
      <c r="AL91" s="158" t="str">
        <f t="shared" ca="1" si="114"/>
        <v>C/USN/I/P2/35 60016 6060 WPF, w tym</v>
      </c>
      <c r="AM91" s="159" t="str">
        <f t="shared" ca="1" si="115"/>
        <v>C/USN/I/P2/35 60016 6060 GMMW WPF, w tym</v>
      </c>
      <c r="AN91" s="160">
        <f t="shared" ca="1" si="116"/>
        <v>315000</v>
      </c>
      <c r="AO91" s="161">
        <f t="shared" ca="1" si="117"/>
        <v>0</v>
      </c>
      <c r="AP91" s="162">
        <f t="shared" ca="1" si="118"/>
        <v>0</v>
      </c>
      <c r="AQ91" s="163">
        <f t="shared" ca="1" si="119"/>
        <v>265000</v>
      </c>
      <c r="AR91" s="164">
        <f t="shared" ca="1" si="120"/>
        <v>50000</v>
      </c>
      <c r="AS91" s="164">
        <f t="shared" ca="1" si="121"/>
        <v>0</v>
      </c>
      <c r="AT91" s="164">
        <f t="shared" ca="1" si="122"/>
        <v>0</v>
      </c>
      <c r="AU91" s="164">
        <f t="shared" ca="1" si="123"/>
        <v>0</v>
      </c>
      <c r="AV91" s="164">
        <f t="shared" ca="1" si="124"/>
        <v>0</v>
      </c>
      <c r="AW91" s="164">
        <f t="shared" ca="1" si="125"/>
        <v>0</v>
      </c>
      <c r="AX91" s="164">
        <f t="shared" ca="1" si="126"/>
        <v>0</v>
      </c>
      <c r="AY91" s="164">
        <f t="shared" ca="1" si="127"/>
        <v>0</v>
      </c>
      <c r="AZ91" s="164">
        <f t="shared" ca="1" si="128"/>
        <v>0</v>
      </c>
      <c r="BA91" s="165" t="str">
        <f t="shared" ca="1" si="129"/>
        <v>nie</v>
      </c>
      <c r="BB91" s="166" t="str">
        <f t="shared" ca="1" si="135"/>
        <v>-</v>
      </c>
      <c r="BC91" s="165" t="str">
        <f t="shared" ca="1" si="130"/>
        <v>nie</v>
      </c>
    </row>
    <row r="92" spans="1:55" s="167" customFormat="1" ht="14.45" hidden="1" customHeight="1" x14ac:dyDescent="0.25">
      <c r="A92" s="493"/>
      <c r="B92" s="493"/>
      <c r="C92" s="530"/>
      <c r="D92" s="506"/>
      <c r="E92" s="497"/>
      <c r="F92" s="497"/>
      <c r="G92" s="497"/>
      <c r="H92" s="498"/>
      <c r="I92" s="499"/>
      <c r="J92" s="177" t="s">
        <v>103</v>
      </c>
      <c r="K92" s="178">
        <f>SUM(N92:O92)</f>
        <v>315000</v>
      </c>
      <c r="L92" s="179"/>
      <c r="M92" s="180"/>
      <c r="N92" s="172">
        <f>SUM(L92:M92)</f>
        <v>0</v>
      </c>
      <c r="O92" s="178">
        <f>SUM(P92:Y92)</f>
        <v>315000</v>
      </c>
      <c r="P92" s="181">
        <v>265000</v>
      </c>
      <c r="Q92" s="180">
        <f>50000</f>
        <v>50000</v>
      </c>
      <c r="R92" s="182"/>
      <c r="S92" s="183"/>
      <c r="T92" s="180"/>
      <c r="U92" s="180"/>
      <c r="V92" s="180"/>
      <c r="W92" s="180"/>
      <c r="X92" s="180"/>
      <c r="Y92" s="182"/>
      <c r="Z92" s="149" t="str">
        <f t="shared" ca="1" si="104"/>
        <v>nie</v>
      </c>
      <c r="AA92" s="384"/>
      <c r="AB92" s="150" t="str">
        <f t="shared" ca="1" si="134"/>
        <v>-</v>
      </c>
      <c r="AC92" s="151" t="str">
        <f t="shared" ca="1" si="105"/>
        <v>PO ZMIANIE</v>
      </c>
      <c r="AD92" s="152" t="str">
        <f t="shared" ca="1" si="106"/>
        <v>PO ZMIANIE</v>
      </c>
      <c r="AE92" s="153" t="str">
        <f t="shared" ca="1" si="107"/>
        <v>C/USN/I/P2/35</v>
      </c>
      <c r="AF92" s="154" t="str">
        <f t="shared" ca="1" si="108"/>
        <v>Wykup nieruchomości z mpzp osiedla Stokłosy</v>
      </c>
      <c r="AG92" s="155">
        <f t="shared" ca="1" si="109"/>
        <v>60016</v>
      </c>
      <c r="AH92" s="155" t="str">
        <f t="shared" ca="1" si="110"/>
        <v>6060</v>
      </c>
      <c r="AI92" s="156" t="str">
        <f t="shared" ca="1" si="111"/>
        <v>GMMW</v>
      </c>
      <c r="AJ92" s="157" t="str">
        <f t="shared" ca="1" si="112"/>
        <v>WPF/PM</v>
      </c>
      <c r="AK92" s="158" t="str">
        <f t="shared" ca="1" si="113"/>
        <v>C/USN/I/P2/35 60016 6060 GMMW</v>
      </c>
      <c r="AL92" s="158" t="str">
        <f t="shared" ca="1" si="114"/>
        <v>C/USN/I/P2/35 60016 6060 WPF/PM</v>
      </c>
      <c r="AM92" s="159" t="str">
        <f t="shared" ca="1" si="115"/>
        <v>C/USN/I/P2/35 60016 6060 GMMW WPF/PM</v>
      </c>
      <c r="AN92" s="160">
        <f t="shared" ca="1" si="116"/>
        <v>315000</v>
      </c>
      <c r="AO92" s="161">
        <f t="shared" ca="1" si="117"/>
        <v>0</v>
      </c>
      <c r="AP92" s="162">
        <f t="shared" ca="1" si="118"/>
        <v>0</v>
      </c>
      <c r="AQ92" s="163">
        <f t="shared" ca="1" si="119"/>
        <v>265000</v>
      </c>
      <c r="AR92" s="164">
        <f t="shared" ca="1" si="120"/>
        <v>50000</v>
      </c>
      <c r="AS92" s="164">
        <f t="shared" ca="1" si="121"/>
        <v>0</v>
      </c>
      <c r="AT92" s="164">
        <f t="shared" ca="1" si="122"/>
        <v>0</v>
      </c>
      <c r="AU92" s="164">
        <f t="shared" ca="1" si="123"/>
        <v>0</v>
      </c>
      <c r="AV92" s="164">
        <f t="shared" ca="1" si="124"/>
        <v>0</v>
      </c>
      <c r="AW92" s="164">
        <f t="shared" ca="1" si="125"/>
        <v>0</v>
      </c>
      <c r="AX92" s="164">
        <f t="shared" ca="1" si="126"/>
        <v>0</v>
      </c>
      <c r="AY92" s="164">
        <f t="shared" ca="1" si="127"/>
        <v>0</v>
      </c>
      <c r="AZ92" s="164">
        <f t="shared" ca="1" si="128"/>
        <v>0</v>
      </c>
      <c r="BA92" s="165" t="str">
        <f t="shared" ca="1" si="129"/>
        <v>nie</v>
      </c>
      <c r="BB92" s="166" t="str">
        <f t="shared" ca="1" si="135"/>
        <v>-</v>
      </c>
      <c r="BC92" s="165" t="str">
        <f t="shared" ca="1" si="130"/>
        <v>nie</v>
      </c>
    </row>
    <row r="93" spans="1:55" s="167" customFormat="1" ht="14.45" hidden="1" customHeight="1" thickBot="1" x14ac:dyDescent="0.3">
      <c r="A93" s="500"/>
      <c r="B93" s="500"/>
      <c r="C93" s="531"/>
      <c r="D93" s="513"/>
      <c r="E93" s="503"/>
      <c r="F93" s="503"/>
      <c r="G93" s="503"/>
      <c r="H93" s="504"/>
      <c r="I93" s="499"/>
      <c r="J93" s="197" t="s">
        <v>104</v>
      </c>
      <c r="K93" s="198">
        <f>SUM(N93:O93)</f>
        <v>0</v>
      </c>
      <c r="L93" s="199"/>
      <c r="M93" s="200">
        <f>50000-50000</f>
        <v>0</v>
      </c>
      <c r="N93" s="371">
        <f>SUM(L93:M93)</f>
        <v>0</v>
      </c>
      <c r="O93" s="198">
        <f>SUM(P93:Y93)</f>
        <v>0</v>
      </c>
      <c r="P93" s="201"/>
      <c r="Q93" s="200"/>
      <c r="R93" s="202"/>
      <c r="S93" s="203"/>
      <c r="T93" s="200"/>
      <c r="U93" s="200"/>
      <c r="V93" s="200"/>
      <c r="W93" s="200"/>
      <c r="X93" s="200"/>
      <c r="Y93" s="202"/>
      <c r="Z93" s="149" t="str">
        <f t="shared" ca="1" si="104"/>
        <v>nie</v>
      </c>
      <c r="AA93" s="384"/>
      <c r="AB93" s="150" t="str">
        <f t="shared" ca="1" si="134"/>
        <v>-</v>
      </c>
      <c r="AC93" s="151" t="str">
        <f t="shared" ca="1" si="105"/>
        <v>PO ZMIANIE</v>
      </c>
      <c r="AD93" s="152" t="str">
        <f t="shared" ca="1" si="106"/>
        <v>PO ZMIANIE</v>
      </c>
      <c r="AE93" s="153" t="str">
        <f t="shared" ca="1" si="107"/>
        <v>C/USN/I/P2/35</v>
      </c>
      <c r="AF93" s="154" t="str">
        <f t="shared" ca="1" si="108"/>
        <v>Wykup nieruchomości z mpzp osiedla Stokłosy</v>
      </c>
      <c r="AG93" s="155">
        <f t="shared" ca="1" si="109"/>
        <v>60016</v>
      </c>
      <c r="AH93" s="155" t="str">
        <f t="shared" ca="1" si="110"/>
        <v>6060</v>
      </c>
      <c r="AI93" s="156" t="str">
        <f t="shared" ca="1" si="111"/>
        <v>GMMW</v>
      </c>
      <c r="AJ93" s="157" t="str">
        <f t="shared" ca="1" si="112"/>
        <v>WPF/UM</v>
      </c>
      <c r="AK93" s="158" t="str">
        <f t="shared" ca="1" si="113"/>
        <v>C/USN/I/P2/35 60016 6060 GMMW</v>
      </c>
      <c r="AL93" s="158" t="str">
        <f t="shared" ca="1" si="114"/>
        <v>C/USN/I/P2/35 60016 6060 WPF/UM</v>
      </c>
      <c r="AM93" s="159" t="str">
        <f t="shared" ca="1" si="115"/>
        <v>C/USN/I/P2/35 60016 6060 GMMW WPF/UM</v>
      </c>
      <c r="AN93" s="160">
        <f t="shared" ca="1" si="116"/>
        <v>0</v>
      </c>
      <c r="AO93" s="161">
        <f t="shared" ca="1" si="117"/>
        <v>0</v>
      </c>
      <c r="AP93" s="162">
        <f t="shared" ca="1" si="118"/>
        <v>0</v>
      </c>
      <c r="AQ93" s="163">
        <f t="shared" ca="1" si="119"/>
        <v>0</v>
      </c>
      <c r="AR93" s="164">
        <f t="shared" ca="1" si="120"/>
        <v>0</v>
      </c>
      <c r="AS93" s="164">
        <f t="shared" ca="1" si="121"/>
        <v>0</v>
      </c>
      <c r="AT93" s="164">
        <f t="shared" ca="1" si="122"/>
        <v>0</v>
      </c>
      <c r="AU93" s="164">
        <f t="shared" ca="1" si="123"/>
        <v>0</v>
      </c>
      <c r="AV93" s="164">
        <f t="shared" ca="1" si="124"/>
        <v>0</v>
      </c>
      <c r="AW93" s="164">
        <f t="shared" ca="1" si="125"/>
        <v>0</v>
      </c>
      <c r="AX93" s="164">
        <f t="shared" ca="1" si="126"/>
        <v>0</v>
      </c>
      <c r="AY93" s="164">
        <f t="shared" ca="1" si="127"/>
        <v>0</v>
      </c>
      <c r="AZ93" s="164">
        <f t="shared" ca="1" si="128"/>
        <v>0</v>
      </c>
      <c r="BA93" s="165" t="str">
        <f t="shared" ca="1" si="129"/>
        <v>nie</v>
      </c>
      <c r="BB93" s="166" t="str">
        <f t="shared" ca="1" si="135"/>
        <v>-</v>
      </c>
      <c r="BC93" s="165" t="str">
        <f t="shared" ca="1" si="130"/>
        <v>nie</v>
      </c>
    </row>
    <row r="94" spans="1:55" ht="14.45" hidden="1" customHeight="1" x14ac:dyDescent="0.25">
      <c r="A94" s="143" t="s">
        <v>91</v>
      </c>
      <c r="B94" s="144"/>
      <c r="C94" s="145"/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46"/>
      <c r="S94" s="147"/>
      <c r="T94" s="147"/>
      <c r="U94" s="147"/>
      <c r="V94" s="147"/>
      <c r="W94" s="147"/>
      <c r="X94" s="147"/>
      <c r="Y94" s="148"/>
      <c r="Z94" s="149" t="str">
        <f t="shared" ca="1" si="104"/>
        <v>nie</v>
      </c>
      <c r="AA94" s="366"/>
      <c r="AB94" s="150" t="str">
        <f t="shared" ca="1" si="134"/>
        <v>-</v>
      </c>
      <c r="AC94" s="151" t="str">
        <f t="shared" ca="1" si="105"/>
        <v>PRZED ZMIANĄ</v>
      </c>
      <c r="AD94" s="152" t="str">
        <f t="shared" ca="1" si="106"/>
        <v/>
      </c>
      <c r="AE94" s="153" t="str">
        <f t="shared" ca="1" si="107"/>
        <v/>
      </c>
      <c r="AF94" s="154" t="str">
        <f t="shared" ca="1" si="108"/>
        <v/>
      </c>
      <c r="AG94" s="155" t="str">
        <f t="shared" ca="1" si="109"/>
        <v/>
      </c>
      <c r="AH94" s="155" t="str">
        <f t="shared" ca="1" si="110"/>
        <v/>
      </c>
      <c r="AI94" s="156" t="str">
        <f t="shared" ca="1" si="111"/>
        <v/>
      </c>
      <c r="AJ94" s="157" t="str">
        <f t="shared" ca="1" si="112"/>
        <v/>
      </c>
      <c r="AK94" s="158" t="str">
        <f t="shared" ca="1" si="113"/>
        <v/>
      </c>
      <c r="AL94" s="158" t="str">
        <f t="shared" ca="1" si="114"/>
        <v/>
      </c>
      <c r="AM94" s="159" t="str">
        <f t="shared" ca="1" si="115"/>
        <v/>
      </c>
      <c r="AN94" s="160" t="str">
        <f t="shared" ca="1" si="116"/>
        <v/>
      </c>
      <c r="AO94" s="161" t="str">
        <f t="shared" ca="1" si="117"/>
        <v/>
      </c>
      <c r="AP94" s="162" t="str">
        <f t="shared" ca="1" si="118"/>
        <v/>
      </c>
      <c r="AQ94" s="163" t="str">
        <f t="shared" ca="1" si="119"/>
        <v/>
      </c>
      <c r="AR94" s="164" t="str">
        <f t="shared" ca="1" si="120"/>
        <v/>
      </c>
      <c r="AS94" s="164" t="str">
        <f t="shared" ca="1" si="121"/>
        <v/>
      </c>
      <c r="AT94" s="164" t="str">
        <f t="shared" ca="1" si="122"/>
        <v/>
      </c>
      <c r="AU94" s="164" t="str">
        <f t="shared" ca="1" si="123"/>
        <v/>
      </c>
      <c r="AV94" s="164" t="str">
        <f t="shared" ca="1" si="124"/>
        <v/>
      </c>
      <c r="AW94" s="164" t="str">
        <f t="shared" ca="1" si="125"/>
        <v/>
      </c>
      <c r="AX94" s="164" t="str">
        <f t="shared" ca="1" si="126"/>
        <v/>
      </c>
      <c r="AY94" s="164" t="str">
        <f t="shared" ca="1" si="127"/>
        <v/>
      </c>
      <c r="AZ94" s="164" t="str">
        <f t="shared" ca="1" si="128"/>
        <v/>
      </c>
      <c r="BA94" s="165" t="str">
        <f t="shared" ca="1" si="129"/>
        <v>nie</v>
      </c>
      <c r="BB94" s="166" t="str">
        <f t="shared" ca="1" si="135"/>
        <v>-</v>
      </c>
      <c r="BC94" s="165" t="str">
        <f t="shared" ca="1" si="130"/>
        <v>nie</v>
      </c>
    </row>
    <row r="95" spans="1:55" ht="14.45" hidden="1" customHeight="1" x14ac:dyDescent="0.25">
      <c r="A95" s="493" t="s">
        <v>24</v>
      </c>
      <c r="B95" s="493" t="s">
        <v>26</v>
      </c>
      <c r="C95" s="494" t="s">
        <v>117</v>
      </c>
      <c r="D95" s="505" t="s">
        <v>118</v>
      </c>
      <c r="E95" s="497">
        <v>600</v>
      </c>
      <c r="F95" s="497">
        <v>60016</v>
      </c>
      <c r="G95" s="497">
        <v>6050</v>
      </c>
      <c r="H95" s="507">
        <v>2021</v>
      </c>
      <c r="I95" s="499" t="str">
        <f ca="1">IF(COUNTIF(OFFSET(I95,-1,-8),"*propon*")&gt;0,OFFSET(I95,4,0),IF(Y95&gt;0,"2033",IF(X95&gt;0,"2032",IF(W95&gt;0,"2031",IF(V95&gt;0,"2030",IF(U95&gt;0,"2029",IF(T95&gt;0,"2028",IF(S95&gt;0,"2027",IF(R95&gt;0,"2026",IF(Q95&gt;0,"2025",IF(P95&gt;0,"2024",IF(M95&gt;0,"2023",IF(L95&gt;0,"2022","")))))))))))))</f>
        <v>2026</v>
      </c>
      <c r="J95" s="168" t="s">
        <v>94</v>
      </c>
      <c r="K95" s="169">
        <f>SUM(N95:O95)</f>
        <v>22222322</v>
      </c>
      <c r="L95" s="170">
        <f t="shared" ref="L95:M95" si="158">SUM(L96:L97)</f>
        <v>50381</v>
      </c>
      <c r="M95" s="171">
        <f t="shared" si="158"/>
        <v>1241453</v>
      </c>
      <c r="N95" s="172">
        <f>SUM(L95:M95)</f>
        <v>1291834</v>
      </c>
      <c r="O95" s="169">
        <f>SUM(P95:Y95)</f>
        <v>20930488</v>
      </c>
      <c r="P95" s="173">
        <f t="shared" ref="P95:R95" si="159">SUM(P96:P97)</f>
        <v>2741188</v>
      </c>
      <c r="Q95" s="171">
        <f t="shared" si="159"/>
        <v>12301215</v>
      </c>
      <c r="R95" s="174">
        <f t="shared" si="159"/>
        <v>5888085</v>
      </c>
      <c r="S95" s="175">
        <f t="shared" ref="S95:Y95" si="160">SUM(S96:S97)</f>
        <v>0</v>
      </c>
      <c r="T95" s="171">
        <f t="shared" si="160"/>
        <v>0</v>
      </c>
      <c r="U95" s="171">
        <f t="shared" si="160"/>
        <v>0</v>
      </c>
      <c r="V95" s="171">
        <f t="shared" si="160"/>
        <v>0</v>
      </c>
      <c r="W95" s="171">
        <f t="shared" si="160"/>
        <v>0</v>
      </c>
      <c r="X95" s="171">
        <f t="shared" si="160"/>
        <v>0</v>
      </c>
      <c r="Y95" s="174">
        <f t="shared" si="160"/>
        <v>0</v>
      </c>
      <c r="Z95" s="149" t="str">
        <f t="shared" ca="1" si="104"/>
        <v>nie</v>
      </c>
      <c r="AA95" s="366"/>
      <c r="AB95" s="150" t="str">
        <f t="shared" ca="1" si="134"/>
        <v>-</v>
      </c>
      <c r="AC95" s="151" t="str">
        <f t="shared" ca="1" si="105"/>
        <v>PRZED ZMIANĄ</v>
      </c>
      <c r="AD95" s="152" t="str">
        <f t="shared" ca="1" si="106"/>
        <v>PRZED ZMIANĄ</v>
      </c>
      <c r="AE95" s="153" t="str">
        <f t="shared" ca="1" si="107"/>
        <v>C/USN/I/P2/36</v>
      </c>
      <c r="AF95" s="154" t="str">
        <f t="shared" ca="1" si="108"/>
        <v>Budowa i modernizacja infrastruktury drogowej na terenie Zielonego Ursynowa</v>
      </c>
      <c r="AG95" s="155">
        <f t="shared" ca="1" si="109"/>
        <v>60016</v>
      </c>
      <c r="AH95" s="155" t="str">
        <f t="shared" ca="1" si="110"/>
        <v>6050</v>
      </c>
      <c r="AI95" s="156" t="str">
        <f t="shared" ca="1" si="111"/>
        <v>GMMW</v>
      </c>
      <c r="AJ95" s="157" t="str">
        <f t="shared" ca="1" si="112"/>
        <v>WPF, w tym</v>
      </c>
      <c r="AK95" s="158" t="str">
        <f t="shared" ca="1" si="113"/>
        <v>C/USN/I/P2/36 60016 6050 GMMW</v>
      </c>
      <c r="AL95" s="158" t="str">
        <f t="shared" ca="1" si="114"/>
        <v>C/USN/I/P2/36 60016 6050 WPF, w tym</v>
      </c>
      <c r="AM95" s="159" t="str">
        <f t="shared" ca="1" si="115"/>
        <v>C/USN/I/P2/36 60016 6050 GMMW WPF, w tym</v>
      </c>
      <c r="AN95" s="160">
        <f t="shared" ca="1" si="116"/>
        <v>22222322</v>
      </c>
      <c r="AO95" s="161">
        <f t="shared" ca="1" si="117"/>
        <v>50381</v>
      </c>
      <c r="AP95" s="162">
        <f t="shared" ca="1" si="118"/>
        <v>1241453</v>
      </c>
      <c r="AQ95" s="163">
        <f t="shared" ca="1" si="119"/>
        <v>2741188</v>
      </c>
      <c r="AR95" s="164">
        <f t="shared" ca="1" si="120"/>
        <v>12301215</v>
      </c>
      <c r="AS95" s="164">
        <f t="shared" ca="1" si="121"/>
        <v>5888085</v>
      </c>
      <c r="AT95" s="164">
        <f t="shared" ca="1" si="122"/>
        <v>0</v>
      </c>
      <c r="AU95" s="164">
        <f t="shared" ca="1" si="123"/>
        <v>0</v>
      </c>
      <c r="AV95" s="164">
        <f t="shared" ca="1" si="124"/>
        <v>0</v>
      </c>
      <c r="AW95" s="164">
        <f t="shared" ca="1" si="125"/>
        <v>0</v>
      </c>
      <c r="AX95" s="164">
        <f t="shared" ca="1" si="126"/>
        <v>0</v>
      </c>
      <c r="AY95" s="164">
        <f t="shared" ca="1" si="127"/>
        <v>0</v>
      </c>
      <c r="AZ95" s="164">
        <f t="shared" ca="1" si="128"/>
        <v>0</v>
      </c>
      <c r="BA95" s="165" t="str">
        <f t="shared" ca="1" si="129"/>
        <v>nie</v>
      </c>
      <c r="BB95" s="166" t="str">
        <f t="shared" ca="1" si="135"/>
        <v>-</v>
      </c>
      <c r="BC95" s="165" t="str">
        <f t="shared" ca="1" si="130"/>
        <v>nie</v>
      </c>
    </row>
    <row r="96" spans="1:55" ht="14.45" hidden="1" customHeight="1" x14ac:dyDescent="0.25">
      <c r="A96" s="493"/>
      <c r="B96" s="493"/>
      <c r="C96" s="494"/>
      <c r="D96" s="506"/>
      <c r="E96" s="497"/>
      <c r="F96" s="497"/>
      <c r="G96" s="497"/>
      <c r="H96" s="498"/>
      <c r="I96" s="499"/>
      <c r="J96" s="177" t="s">
        <v>95</v>
      </c>
      <c r="K96" s="178">
        <f>SUM(N96:O96)</f>
        <v>19583424</v>
      </c>
      <c r="L96" s="179"/>
      <c r="M96" s="180"/>
      <c r="N96" s="172">
        <f>SUM(L96:M96)</f>
        <v>0</v>
      </c>
      <c r="O96" s="178">
        <f>SUM(P96:Y96)</f>
        <v>19583424</v>
      </c>
      <c r="P96" s="181">
        <v>1416694</v>
      </c>
      <c r="Q96" s="180">
        <v>12278645</v>
      </c>
      <c r="R96" s="182">
        <v>5888085</v>
      </c>
      <c r="S96" s="183"/>
      <c r="T96" s="180"/>
      <c r="U96" s="180"/>
      <c r="V96" s="180"/>
      <c r="W96" s="180"/>
      <c r="X96" s="180"/>
      <c r="Y96" s="182"/>
      <c r="Z96" s="149" t="str">
        <f t="shared" ca="1" si="104"/>
        <v>nie</v>
      </c>
      <c r="AA96" s="366"/>
      <c r="AB96" s="150" t="str">
        <f t="shared" ca="1" si="134"/>
        <v>-</v>
      </c>
      <c r="AC96" s="151" t="str">
        <f t="shared" ca="1" si="105"/>
        <v>PRZED ZMIANĄ</v>
      </c>
      <c r="AD96" s="152" t="str">
        <f t="shared" ca="1" si="106"/>
        <v>PRZED ZMIANĄ</v>
      </c>
      <c r="AE96" s="153" t="str">
        <f t="shared" ca="1" si="107"/>
        <v>C/USN/I/P2/36</v>
      </c>
      <c r="AF96" s="154" t="str">
        <f t="shared" ca="1" si="108"/>
        <v>Budowa i modernizacja infrastruktury drogowej na terenie Zielonego Ursynowa</v>
      </c>
      <c r="AG96" s="155">
        <f t="shared" ca="1" si="109"/>
        <v>60016</v>
      </c>
      <c r="AH96" s="155" t="str">
        <f t="shared" ca="1" si="110"/>
        <v>6050</v>
      </c>
      <c r="AI96" s="156" t="str">
        <f t="shared" ca="1" si="111"/>
        <v>GMMW</v>
      </c>
      <c r="AJ96" s="157" t="str">
        <f t="shared" ca="1" si="112"/>
        <v>WPF/PM</v>
      </c>
      <c r="AK96" s="158" t="str">
        <f t="shared" ca="1" si="113"/>
        <v>C/USN/I/P2/36 60016 6050 GMMW</v>
      </c>
      <c r="AL96" s="158" t="str">
        <f t="shared" ca="1" si="114"/>
        <v>C/USN/I/P2/36 60016 6050 WPF/PM</v>
      </c>
      <c r="AM96" s="159" t="str">
        <f t="shared" ca="1" si="115"/>
        <v>C/USN/I/P2/36 60016 6050 GMMW WPF/PM</v>
      </c>
      <c r="AN96" s="160">
        <f t="shared" ca="1" si="116"/>
        <v>19583424</v>
      </c>
      <c r="AO96" s="161">
        <f t="shared" ca="1" si="117"/>
        <v>0</v>
      </c>
      <c r="AP96" s="162">
        <f t="shared" ca="1" si="118"/>
        <v>0</v>
      </c>
      <c r="AQ96" s="163">
        <f t="shared" ca="1" si="119"/>
        <v>1416694</v>
      </c>
      <c r="AR96" s="164">
        <f t="shared" ca="1" si="120"/>
        <v>12278645</v>
      </c>
      <c r="AS96" s="164">
        <f t="shared" ca="1" si="121"/>
        <v>5888085</v>
      </c>
      <c r="AT96" s="164">
        <f t="shared" ca="1" si="122"/>
        <v>0</v>
      </c>
      <c r="AU96" s="164">
        <f t="shared" ca="1" si="123"/>
        <v>0</v>
      </c>
      <c r="AV96" s="164">
        <f t="shared" ca="1" si="124"/>
        <v>0</v>
      </c>
      <c r="AW96" s="164">
        <f t="shared" ca="1" si="125"/>
        <v>0</v>
      </c>
      <c r="AX96" s="164">
        <f t="shared" ca="1" si="126"/>
        <v>0</v>
      </c>
      <c r="AY96" s="164">
        <f t="shared" ca="1" si="127"/>
        <v>0</v>
      </c>
      <c r="AZ96" s="164">
        <f t="shared" ca="1" si="128"/>
        <v>0</v>
      </c>
      <c r="BA96" s="165" t="str">
        <f t="shared" ca="1" si="129"/>
        <v>nie</v>
      </c>
      <c r="BB96" s="166" t="str">
        <f t="shared" ca="1" si="135"/>
        <v>-</v>
      </c>
      <c r="BC96" s="165" t="str">
        <f t="shared" ca="1" si="130"/>
        <v>nie</v>
      </c>
    </row>
    <row r="97" spans="1:55" ht="14.45" hidden="1" customHeight="1" x14ac:dyDescent="0.25">
      <c r="A97" s="493"/>
      <c r="B97" s="493"/>
      <c r="C97" s="494"/>
      <c r="D97" s="506"/>
      <c r="E97" s="497"/>
      <c r="F97" s="497"/>
      <c r="G97" s="497"/>
      <c r="H97" s="498"/>
      <c r="I97" s="499"/>
      <c r="J97" s="177" t="s">
        <v>96</v>
      </c>
      <c r="K97" s="178">
        <f>SUM(N97:O97)</f>
        <v>2638898</v>
      </c>
      <c r="L97" s="179">
        <v>50381</v>
      </c>
      <c r="M97" s="180">
        <v>1241453</v>
      </c>
      <c r="N97" s="172">
        <f>SUM(L97:M97)</f>
        <v>1291834</v>
      </c>
      <c r="O97" s="178">
        <f>SUM(P97:Y97)</f>
        <v>1347064</v>
      </c>
      <c r="P97" s="181">
        <v>1324494</v>
      </c>
      <c r="Q97" s="180">
        <v>22570</v>
      </c>
      <c r="R97" s="182"/>
      <c r="S97" s="183"/>
      <c r="T97" s="180"/>
      <c r="U97" s="180"/>
      <c r="V97" s="180"/>
      <c r="W97" s="180"/>
      <c r="X97" s="180"/>
      <c r="Y97" s="182"/>
      <c r="Z97" s="149" t="str">
        <f t="shared" ca="1" si="104"/>
        <v>nie</v>
      </c>
      <c r="AA97" s="366"/>
      <c r="AB97" s="150" t="str">
        <f t="shared" ca="1" si="134"/>
        <v>-</v>
      </c>
      <c r="AC97" s="151" t="str">
        <f t="shared" ca="1" si="105"/>
        <v>PRZED ZMIANĄ</v>
      </c>
      <c r="AD97" s="152" t="str">
        <f t="shared" ca="1" si="106"/>
        <v>PRZED ZMIANĄ</v>
      </c>
      <c r="AE97" s="153" t="str">
        <f t="shared" ca="1" si="107"/>
        <v>C/USN/I/P2/36</v>
      </c>
      <c r="AF97" s="154" t="str">
        <f t="shared" ca="1" si="108"/>
        <v>Budowa i modernizacja infrastruktury drogowej na terenie Zielonego Ursynowa</v>
      </c>
      <c r="AG97" s="155">
        <f t="shared" ca="1" si="109"/>
        <v>60016</v>
      </c>
      <c r="AH97" s="155" t="str">
        <f t="shared" ca="1" si="110"/>
        <v>6050</v>
      </c>
      <c r="AI97" s="156" t="str">
        <f t="shared" ca="1" si="111"/>
        <v>GMMW</v>
      </c>
      <c r="AJ97" s="157" t="str">
        <f t="shared" ca="1" si="112"/>
        <v>WPF/UM</v>
      </c>
      <c r="AK97" s="158" t="str">
        <f t="shared" ca="1" si="113"/>
        <v>C/USN/I/P2/36 60016 6050 GMMW</v>
      </c>
      <c r="AL97" s="158" t="str">
        <f t="shared" ca="1" si="114"/>
        <v>C/USN/I/P2/36 60016 6050 WPF/UM</v>
      </c>
      <c r="AM97" s="159" t="str">
        <f t="shared" ca="1" si="115"/>
        <v>C/USN/I/P2/36 60016 6050 GMMW WPF/UM</v>
      </c>
      <c r="AN97" s="160">
        <f t="shared" ca="1" si="116"/>
        <v>2638898</v>
      </c>
      <c r="AO97" s="161">
        <f t="shared" ca="1" si="117"/>
        <v>50381</v>
      </c>
      <c r="AP97" s="162">
        <f t="shared" ca="1" si="118"/>
        <v>1241453</v>
      </c>
      <c r="AQ97" s="163">
        <f t="shared" ca="1" si="119"/>
        <v>1324494</v>
      </c>
      <c r="AR97" s="164">
        <f t="shared" ca="1" si="120"/>
        <v>22570</v>
      </c>
      <c r="AS97" s="164">
        <f t="shared" ca="1" si="121"/>
        <v>0</v>
      </c>
      <c r="AT97" s="164">
        <f t="shared" ca="1" si="122"/>
        <v>0</v>
      </c>
      <c r="AU97" s="164">
        <f t="shared" ca="1" si="123"/>
        <v>0</v>
      </c>
      <c r="AV97" s="164">
        <f t="shared" ca="1" si="124"/>
        <v>0</v>
      </c>
      <c r="AW97" s="164">
        <f t="shared" ca="1" si="125"/>
        <v>0</v>
      </c>
      <c r="AX97" s="164">
        <f t="shared" ca="1" si="126"/>
        <v>0</v>
      </c>
      <c r="AY97" s="164">
        <f t="shared" ca="1" si="127"/>
        <v>0</v>
      </c>
      <c r="AZ97" s="164">
        <f t="shared" ca="1" si="128"/>
        <v>0</v>
      </c>
      <c r="BA97" s="165" t="str">
        <f t="shared" ca="1" si="129"/>
        <v>nie</v>
      </c>
      <c r="BB97" s="166" t="str">
        <f t="shared" ca="1" si="135"/>
        <v>-</v>
      </c>
      <c r="BC97" s="165" t="str">
        <f t="shared" ca="1" si="130"/>
        <v>nie</v>
      </c>
    </row>
    <row r="98" spans="1:55" ht="14.45" hidden="1" customHeight="1" x14ac:dyDescent="0.25">
      <c r="A98" s="185" t="s">
        <v>97</v>
      </c>
      <c r="B98" s="186"/>
      <c r="C98" s="187"/>
      <c r="D98" s="186"/>
      <c r="E98" s="186"/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  <c r="R98" s="188"/>
      <c r="S98" s="189"/>
      <c r="T98" s="189"/>
      <c r="U98" s="189"/>
      <c r="V98" s="189"/>
      <c r="W98" s="189"/>
      <c r="X98" s="189"/>
      <c r="Y98" s="190"/>
      <c r="Z98" s="149" t="str">
        <f t="shared" ca="1" si="104"/>
        <v>nie</v>
      </c>
      <c r="AA98" s="366"/>
      <c r="AB98" s="150" t="str">
        <f t="shared" ca="1" si="134"/>
        <v>-</v>
      </c>
      <c r="AC98" s="151" t="str">
        <f t="shared" ca="1" si="105"/>
        <v>PROPONOWANA ZMIANA</v>
      </c>
      <c r="AD98" s="152" t="str">
        <f t="shared" ca="1" si="106"/>
        <v/>
      </c>
      <c r="AE98" s="153" t="str">
        <f t="shared" ca="1" si="107"/>
        <v/>
      </c>
      <c r="AF98" s="154" t="str">
        <f t="shared" ca="1" si="108"/>
        <v/>
      </c>
      <c r="AG98" s="155" t="str">
        <f t="shared" ca="1" si="109"/>
        <v/>
      </c>
      <c r="AH98" s="155" t="str">
        <f t="shared" ca="1" si="110"/>
        <v/>
      </c>
      <c r="AI98" s="156" t="str">
        <f t="shared" ca="1" si="111"/>
        <v/>
      </c>
      <c r="AJ98" s="157" t="str">
        <f t="shared" ca="1" si="112"/>
        <v/>
      </c>
      <c r="AK98" s="158" t="str">
        <f t="shared" ca="1" si="113"/>
        <v/>
      </c>
      <c r="AL98" s="158" t="str">
        <f t="shared" ca="1" si="114"/>
        <v/>
      </c>
      <c r="AM98" s="159" t="str">
        <f t="shared" ca="1" si="115"/>
        <v/>
      </c>
      <c r="AN98" s="160" t="str">
        <f t="shared" ca="1" si="116"/>
        <v/>
      </c>
      <c r="AO98" s="161" t="str">
        <f t="shared" ca="1" si="117"/>
        <v/>
      </c>
      <c r="AP98" s="162" t="str">
        <f t="shared" ca="1" si="118"/>
        <v/>
      </c>
      <c r="AQ98" s="163" t="str">
        <f t="shared" ca="1" si="119"/>
        <v/>
      </c>
      <c r="AR98" s="164" t="str">
        <f t="shared" ca="1" si="120"/>
        <v/>
      </c>
      <c r="AS98" s="164" t="str">
        <f t="shared" ca="1" si="121"/>
        <v/>
      </c>
      <c r="AT98" s="164" t="str">
        <f t="shared" ca="1" si="122"/>
        <v/>
      </c>
      <c r="AU98" s="164" t="str">
        <f t="shared" ca="1" si="123"/>
        <v/>
      </c>
      <c r="AV98" s="164" t="str">
        <f t="shared" ca="1" si="124"/>
        <v/>
      </c>
      <c r="AW98" s="164" t="str">
        <f t="shared" ca="1" si="125"/>
        <v/>
      </c>
      <c r="AX98" s="164" t="str">
        <f t="shared" ca="1" si="126"/>
        <v/>
      </c>
      <c r="AY98" s="164" t="str">
        <f t="shared" ca="1" si="127"/>
        <v/>
      </c>
      <c r="AZ98" s="164" t="str">
        <f t="shared" ca="1" si="128"/>
        <v/>
      </c>
      <c r="BA98" s="165" t="str">
        <f t="shared" ca="1" si="129"/>
        <v>nie</v>
      </c>
      <c r="BB98" s="166" t="str">
        <f t="shared" ca="1" si="135"/>
        <v>-</v>
      </c>
      <c r="BC98" s="165" t="str">
        <f t="shared" ca="1" si="130"/>
        <v>nie</v>
      </c>
    </row>
    <row r="99" spans="1:55" ht="14.45" hidden="1" customHeight="1" x14ac:dyDescent="0.25">
      <c r="A99" s="493" t="s">
        <v>24</v>
      </c>
      <c r="B99" s="493" t="s">
        <v>26</v>
      </c>
      <c r="C99" s="494" t="s">
        <v>117</v>
      </c>
      <c r="D99" s="505" t="s">
        <v>118</v>
      </c>
      <c r="E99" s="497">
        <v>600</v>
      </c>
      <c r="F99" s="497">
        <v>60016</v>
      </c>
      <c r="G99" s="497">
        <v>6050</v>
      </c>
      <c r="H99" s="507">
        <v>2021</v>
      </c>
      <c r="I99" s="499" t="str">
        <f ca="1">IF(COUNTIF(OFFSET(I99,-1,-8),"*propon*")&gt;0,OFFSET(I99,4,0),IF(Y99&gt;0,"2033",IF(X99&gt;0,"2032",IF(W99&gt;0,"2031",IF(V99&gt;0,"2030",IF(U99&gt;0,"2029",IF(T99&gt;0,"2028",IF(S99&gt;0,"2027",IF(R99&gt;0,"2026",IF(Q99&gt;0,"2025",IF(P99&gt;0,"2024",IF(M99&gt;0,"2023",IF(L99&gt;0,"2022","")))))))))))))</f>
        <v>2026</v>
      </c>
      <c r="J99" s="168" t="s">
        <v>98</v>
      </c>
      <c r="K99" s="169">
        <f>SUM(N99:O99)</f>
        <v>0</v>
      </c>
      <c r="L99" s="170">
        <f t="shared" ref="L99:M99" si="161">SUM(L100:L101)</f>
        <v>0</v>
      </c>
      <c r="M99" s="171">
        <f t="shared" si="161"/>
        <v>0</v>
      </c>
      <c r="N99" s="172">
        <f>SUM(L99:M99)</f>
        <v>0</v>
      </c>
      <c r="O99" s="169">
        <f>SUM(P99:Y99)</f>
        <v>0</v>
      </c>
      <c r="P99" s="173">
        <f t="shared" ref="P99:R99" si="162">SUM(P100:P101)</f>
        <v>0</v>
      </c>
      <c r="Q99" s="171">
        <f t="shared" si="162"/>
        <v>0</v>
      </c>
      <c r="R99" s="174">
        <f t="shared" si="162"/>
        <v>0</v>
      </c>
      <c r="S99" s="175">
        <f t="shared" ref="S99:Y99" si="163">SUM(S100:S101)</f>
        <v>0</v>
      </c>
      <c r="T99" s="171">
        <f t="shared" si="163"/>
        <v>0</v>
      </c>
      <c r="U99" s="171">
        <f t="shared" si="163"/>
        <v>0</v>
      </c>
      <c r="V99" s="171">
        <f t="shared" si="163"/>
        <v>0</v>
      </c>
      <c r="W99" s="171">
        <f t="shared" si="163"/>
        <v>0</v>
      </c>
      <c r="X99" s="171">
        <f t="shared" si="163"/>
        <v>0</v>
      </c>
      <c r="Y99" s="174">
        <f t="shared" si="163"/>
        <v>0</v>
      </c>
      <c r="Z99" s="149" t="str">
        <f t="shared" ca="1" si="104"/>
        <v>nie</v>
      </c>
      <c r="AA99" s="366"/>
      <c r="AB99" s="150" t="str">
        <f t="shared" ca="1" si="134"/>
        <v>-</v>
      </c>
      <c r="AC99" s="151" t="str">
        <f t="shared" ca="1" si="105"/>
        <v>PROPONOWANA ZMIANA</v>
      </c>
      <c r="AD99" s="152" t="str">
        <f t="shared" ca="1" si="106"/>
        <v>PROPONOWANA ZMIANA</v>
      </c>
      <c r="AE99" s="153" t="str">
        <f t="shared" ca="1" si="107"/>
        <v>C/USN/I/P2/36</v>
      </c>
      <c r="AF99" s="154" t="str">
        <f t="shared" ca="1" si="108"/>
        <v>Budowa i modernizacja infrastruktury drogowej na terenie Zielonego Ursynowa</v>
      </c>
      <c r="AG99" s="155">
        <f t="shared" ca="1" si="109"/>
        <v>60016</v>
      </c>
      <c r="AH99" s="155" t="str">
        <f t="shared" ca="1" si="110"/>
        <v>6050</v>
      </c>
      <c r="AI99" s="156" t="str">
        <f t="shared" ca="1" si="111"/>
        <v>GMMW</v>
      </c>
      <c r="AJ99" s="157" t="str">
        <f t="shared" ca="1" si="112"/>
        <v>WPF, w tym</v>
      </c>
      <c r="AK99" s="158" t="str">
        <f t="shared" ca="1" si="113"/>
        <v>C/USN/I/P2/36 60016 6050 GMMW</v>
      </c>
      <c r="AL99" s="158" t="str">
        <f t="shared" ca="1" si="114"/>
        <v>C/USN/I/P2/36 60016 6050 WPF, w tym</v>
      </c>
      <c r="AM99" s="159" t="str">
        <f t="shared" ca="1" si="115"/>
        <v>C/USN/I/P2/36 60016 6050 GMMW WPF, w tym</v>
      </c>
      <c r="AN99" s="160">
        <f t="shared" ca="1" si="116"/>
        <v>0</v>
      </c>
      <c r="AO99" s="161">
        <f t="shared" ca="1" si="117"/>
        <v>0</v>
      </c>
      <c r="AP99" s="162">
        <f t="shared" ca="1" si="118"/>
        <v>0</v>
      </c>
      <c r="AQ99" s="163">
        <f t="shared" ca="1" si="119"/>
        <v>0</v>
      </c>
      <c r="AR99" s="164">
        <f t="shared" ca="1" si="120"/>
        <v>0</v>
      </c>
      <c r="AS99" s="164">
        <f t="shared" ca="1" si="121"/>
        <v>0</v>
      </c>
      <c r="AT99" s="164">
        <f t="shared" ca="1" si="122"/>
        <v>0</v>
      </c>
      <c r="AU99" s="164">
        <f t="shared" ca="1" si="123"/>
        <v>0</v>
      </c>
      <c r="AV99" s="164">
        <f t="shared" ca="1" si="124"/>
        <v>0</v>
      </c>
      <c r="AW99" s="164">
        <f t="shared" ca="1" si="125"/>
        <v>0</v>
      </c>
      <c r="AX99" s="164">
        <f t="shared" ca="1" si="126"/>
        <v>0</v>
      </c>
      <c r="AY99" s="164">
        <f t="shared" ca="1" si="127"/>
        <v>0</v>
      </c>
      <c r="AZ99" s="164">
        <f t="shared" ca="1" si="128"/>
        <v>0</v>
      </c>
      <c r="BA99" s="165" t="str">
        <f t="shared" ca="1" si="129"/>
        <v>nie</v>
      </c>
      <c r="BB99" s="166" t="str">
        <f t="shared" ca="1" si="135"/>
        <v>-</v>
      </c>
      <c r="BC99" s="165" t="str">
        <f t="shared" ca="1" si="130"/>
        <v>nie</v>
      </c>
    </row>
    <row r="100" spans="1:55" ht="14.45" hidden="1" customHeight="1" x14ac:dyDescent="0.25">
      <c r="A100" s="493"/>
      <c r="B100" s="493"/>
      <c r="C100" s="494"/>
      <c r="D100" s="506"/>
      <c r="E100" s="497"/>
      <c r="F100" s="497"/>
      <c r="G100" s="497"/>
      <c r="H100" s="498"/>
      <c r="I100" s="499"/>
      <c r="J100" s="177" t="s">
        <v>99</v>
      </c>
      <c r="K100" s="178">
        <f>SUM(N100:O100)</f>
        <v>0</v>
      </c>
      <c r="L100" s="179">
        <f t="shared" ref="L100:M100" si="164">L104-L96</f>
        <v>0</v>
      </c>
      <c r="M100" s="180">
        <f t="shared" si="164"/>
        <v>0</v>
      </c>
      <c r="N100" s="172">
        <f>SUM(L100:M100)</f>
        <v>0</v>
      </c>
      <c r="O100" s="178">
        <f>SUM(P100:Y100)</f>
        <v>0</v>
      </c>
      <c r="P100" s="181">
        <f t="shared" ref="P100:R100" si="165">P104-P96</f>
        <v>0</v>
      </c>
      <c r="Q100" s="180">
        <f t="shared" si="165"/>
        <v>0</v>
      </c>
      <c r="R100" s="182">
        <f t="shared" si="165"/>
        <v>0</v>
      </c>
      <c r="S100" s="183">
        <f t="shared" ref="S100:Y101" si="166">S104-S96</f>
        <v>0</v>
      </c>
      <c r="T100" s="180">
        <f t="shared" si="166"/>
        <v>0</v>
      </c>
      <c r="U100" s="180">
        <f t="shared" si="166"/>
        <v>0</v>
      </c>
      <c r="V100" s="180">
        <f t="shared" si="166"/>
        <v>0</v>
      </c>
      <c r="W100" s="180">
        <f t="shared" si="166"/>
        <v>0</v>
      </c>
      <c r="X100" s="180">
        <f t="shared" si="166"/>
        <v>0</v>
      </c>
      <c r="Y100" s="182">
        <f t="shared" si="166"/>
        <v>0</v>
      </c>
      <c r="Z100" s="149" t="str">
        <f t="shared" ca="1" si="104"/>
        <v>nie</v>
      </c>
      <c r="AA100" s="366"/>
      <c r="AB100" s="150" t="str">
        <f t="shared" ca="1" si="134"/>
        <v>-</v>
      </c>
      <c r="AC100" s="151" t="str">
        <f t="shared" ca="1" si="105"/>
        <v>PROPONOWANA ZMIANA</v>
      </c>
      <c r="AD100" s="152" t="str">
        <f t="shared" ca="1" si="106"/>
        <v>PROPONOWANA ZMIANA</v>
      </c>
      <c r="AE100" s="153" t="str">
        <f t="shared" ca="1" si="107"/>
        <v>C/USN/I/P2/36</v>
      </c>
      <c r="AF100" s="154" t="str">
        <f t="shared" ca="1" si="108"/>
        <v>Budowa i modernizacja infrastruktury drogowej na terenie Zielonego Ursynowa</v>
      </c>
      <c r="AG100" s="155">
        <f t="shared" ca="1" si="109"/>
        <v>60016</v>
      </c>
      <c r="AH100" s="155" t="str">
        <f t="shared" ca="1" si="110"/>
        <v>6050</v>
      </c>
      <c r="AI100" s="156" t="str">
        <f t="shared" ca="1" si="111"/>
        <v>GMMW</v>
      </c>
      <c r="AJ100" s="157" t="str">
        <f t="shared" ca="1" si="112"/>
        <v>WPF/PM</v>
      </c>
      <c r="AK100" s="158" t="str">
        <f t="shared" ca="1" si="113"/>
        <v>C/USN/I/P2/36 60016 6050 GMMW</v>
      </c>
      <c r="AL100" s="158" t="str">
        <f t="shared" ca="1" si="114"/>
        <v>C/USN/I/P2/36 60016 6050 WPF/PM</v>
      </c>
      <c r="AM100" s="159" t="str">
        <f t="shared" ca="1" si="115"/>
        <v>C/USN/I/P2/36 60016 6050 GMMW WPF/PM</v>
      </c>
      <c r="AN100" s="160">
        <f t="shared" ca="1" si="116"/>
        <v>0</v>
      </c>
      <c r="AO100" s="161">
        <f t="shared" ca="1" si="117"/>
        <v>0</v>
      </c>
      <c r="AP100" s="162">
        <f t="shared" ca="1" si="118"/>
        <v>0</v>
      </c>
      <c r="AQ100" s="163">
        <f t="shared" ca="1" si="119"/>
        <v>0</v>
      </c>
      <c r="AR100" s="164">
        <f t="shared" ca="1" si="120"/>
        <v>0</v>
      </c>
      <c r="AS100" s="164">
        <f t="shared" ca="1" si="121"/>
        <v>0</v>
      </c>
      <c r="AT100" s="164">
        <f t="shared" ca="1" si="122"/>
        <v>0</v>
      </c>
      <c r="AU100" s="164">
        <f t="shared" ca="1" si="123"/>
        <v>0</v>
      </c>
      <c r="AV100" s="164">
        <f t="shared" ca="1" si="124"/>
        <v>0</v>
      </c>
      <c r="AW100" s="164">
        <f t="shared" ca="1" si="125"/>
        <v>0</v>
      </c>
      <c r="AX100" s="164">
        <f t="shared" ca="1" si="126"/>
        <v>0</v>
      </c>
      <c r="AY100" s="164">
        <f t="shared" ca="1" si="127"/>
        <v>0</v>
      </c>
      <c r="AZ100" s="164">
        <f t="shared" ca="1" si="128"/>
        <v>0</v>
      </c>
      <c r="BA100" s="165" t="str">
        <f t="shared" ca="1" si="129"/>
        <v>nie</v>
      </c>
      <c r="BB100" s="166" t="str">
        <f t="shared" ca="1" si="135"/>
        <v>-</v>
      </c>
      <c r="BC100" s="165" t="str">
        <f t="shared" ca="1" si="130"/>
        <v>nie</v>
      </c>
    </row>
    <row r="101" spans="1:55" ht="14.45" hidden="1" customHeight="1" x14ac:dyDescent="0.25">
      <c r="A101" s="493"/>
      <c r="B101" s="493"/>
      <c r="C101" s="494"/>
      <c r="D101" s="506"/>
      <c r="E101" s="497"/>
      <c r="F101" s="497"/>
      <c r="G101" s="497"/>
      <c r="H101" s="498"/>
      <c r="I101" s="499"/>
      <c r="J101" s="177" t="s">
        <v>100</v>
      </c>
      <c r="K101" s="178">
        <f>SUM(N101:O101)</f>
        <v>0</v>
      </c>
      <c r="L101" s="179">
        <f t="shared" ref="L101:M101" si="167">L105-L97</f>
        <v>0</v>
      </c>
      <c r="M101" s="180">
        <f t="shared" si="167"/>
        <v>0</v>
      </c>
      <c r="N101" s="172">
        <f>SUM(L101:M101)</f>
        <v>0</v>
      </c>
      <c r="O101" s="178">
        <f>SUM(P101:Y101)</f>
        <v>0</v>
      </c>
      <c r="P101" s="181">
        <f t="shared" ref="P101:R101" si="168">P105-P97</f>
        <v>0</v>
      </c>
      <c r="Q101" s="180">
        <f t="shared" si="168"/>
        <v>0</v>
      </c>
      <c r="R101" s="182">
        <f t="shared" si="168"/>
        <v>0</v>
      </c>
      <c r="S101" s="183">
        <f t="shared" si="166"/>
        <v>0</v>
      </c>
      <c r="T101" s="180">
        <f t="shared" si="166"/>
        <v>0</v>
      </c>
      <c r="U101" s="180">
        <f t="shared" si="166"/>
        <v>0</v>
      </c>
      <c r="V101" s="180">
        <f t="shared" si="166"/>
        <v>0</v>
      </c>
      <c r="W101" s="180">
        <f t="shared" si="166"/>
        <v>0</v>
      </c>
      <c r="X101" s="180">
        <f t="shared" si="166"/>
        <v>0</v>
      </c>
      <c r="Y101" s="182">
        <f t="shared" si="166"/>
        <v>0</v>
      </c>
      <c r="Z101" s="149" t="str">
        <f t="shared" ca="1" si="104"/>
        <v>nie</v>
      </c>
      <c r="AA101" s="366"/>
      <c r="AB101" s="150" t="str">
        <f t="shared" ca="1" si="134"/>
        <v>-</v>
      </c>
      <c r="AC101" s="151" t="str">
        <f t="shared" ca="1" si="105"/>
        <v>PROPONOWANA ZMIANA</v>
      </c>
      <c r="AD101" s="152" t="str">
        <f t="shared" ca="1" si="106"/>
        <v>PROPONOWANA ZMIANA</v>
      </c>
      <c r="AE101" s="153" t="str">
        <f t="shared" ca="1" si="107"/>
        <v>C/USN/I/P2/36</v>
      </c>
      <c r="AF101" s="154" t="str">
        <f t="shared" ca="1" si="108"/>
        <v>Budowa i modernizacja infrastruktury drogowej na terenie Zielonego Ursynowa</v>
      </c>
      <c r="AG101" s="155">
        <f t="shared" ca="1" si="109"/>
        <v>60016</v>
      </c>
      <c r="AH101" s="155" t="str">
        <f t="shared" ca="1" si="110"/>
        <v>6050</v>
      </c>
      <c r="AI101" s="156" t="str">
        <f t="shared" ca="1" si="111"/>
        <v>GMMW</v>
      </c>
      <c r="AJ101" s="157" t="str">
        <f t="shared" ca="1" si="112"/>
        <v>WPF/UM</v>
      </c>
      <c r="AK101" s="158" t="str">
        <f t="shared" ca="1" si="113"/>
        <v>C/USN/I/P2/36 60016 6050 GMMW</v>
      </c>
      <c r="AL101" s="158" t="str">
        <f t="shared" ca="1" si="114"/>
        <v>C/USN/I/P2/36 60016 6050 WPF/UM</v>
      </c>
      <c r="AM101" s="159" t="str">
        <f t="shared" ca="1" si="115"/>
        <v>C/USN/I/P2/36 60016 6050 GMMW WPF/UM</v>
      </c>
      <c r="AN101" s="160">
        <f t="shared" ca="1" si="116"/>
        <v>0</v>
      </c>
      <c r="AO101" s="161">
        <f t="shared" ca="1" si="117"/>
        <v>0</v>
      </c>
      <c r="AP101" s="162">
        <f t="shared" ca="1" si="118"/>
        <v>0</v>
      </c>
      <c r="AQ101" s="163">
        <f t="shared" ca="1" si="119"/>
        <v>0</v>
      </c>
      <c r="AR101" s="164">
        <f t="shared" ca="1" si="120"/>
        <v>0</v>
      </c>
      <c r="AS101" s="164">
        <f t="shared" ca="1" si="121"/>
        <v>0</v>
      </c>
      <c r="AT101" s="164">
        <f t="shared" ca="1" si="122"/>
        <v>0</v>
      </c>
      <c r="AU101" s="164">
        <f t="shared" ca="1" si="123"/>
        <v>0</v>
      </c>
      <c r="AV101" s="164">
        <f t="shared" ca="1" si="124"/>
        <v>0</v>
      </c>
      <c r="AW101" s="164">
        <f t="shared" ca="1" si="125"/>
        <v>0</v>
      </c>
      <c r="AX101" s="164">
        <f t="shared" ca="1" si="126"/>
        <v>0</v>
      </c>
      <c r="AY101" s="164">
        <f t="shared" ca="1" si="127"/>
        <v>0</v>
      </c>
      <c r="AZ101" s="164">
        <f t="shared" ca="1" si="128"/>
        <v>0</v>
      </c>
      <c r="BA101" s="165" t="str">
        <f t="shared" ca="1" si="129"/>
        <v>nie</v>
      </c>
      <c r="BB101" s="166" t="str">
        <f t="shared" ca="1" si="135"/>
        <v>-</v>
      </c>
      <c r="BC101" s="165" t="str">
        <f t="shared" ca="1" si="130"/>
        <v>nie</v>
      </c>
    </row>
    <row r="102" spans="1:55" ht="14.45" hidden="1" customHeight="1" x14ac:dyDescent="0.25">
      <c r="A102" s="191" t="s">
        <v>101</v>
      </c>
      <c r="B102" s="192"/>
      <c r="C102" s="193"/>
      <c r="D102" s="192"/>
      <c r="E102" s="192"/>
      <c r="F102" s="192"/>
      <c r="G102" s="192"/>
      <c r="H102" s="192"/>
      <c r="I102" s="192"/>
      <c r="J102" s="192"/>
      <c r="K102" s="192"/>
      <c r="L102" s="192"/>
      <c r="M102" s="192"/>
      <c r="N102" s="192"/>
      <c r="O102" s="192"/>
      <c r="P102" s="192"/>
      <c r="Q102" s="192"/>
      <c r="R102" s="194"/>
      <c r="S102" s="195"/>
      <c r="T102" s="195"/>
      <c r="U102" s="195"/>
      <c r="V102" s="195"/>
      <c r="W102" s="195"/>
      <c r="X102" s="195"/>
      <c r="Y102" s="196"/>
      <c r="Z102" s="149" t="str">
        <f t="shared" ca="1" si="104"/>
        <v>nie</v>
      </c>
      <c r="AA102" s="366"/>
      <c r="AB102" s="150" t="str">
        <f t="shared" ca="1" si="134"/>
        <v>-</v>
      </c>
      <c r="AC102" s="151" t="str">
        <f t="shared" ca="1" si="105"/>
        <v>PO ZMIANIE</v>
      </c>
      <c r="AD102" s="152" t="str">
        <f t="shared" ca="1" si="106"/>
        <v/>
      </c>
      <c r="AE102" s="153" t="str">
        <f t="shared" ca="1" si="107"/>
        <v/>
      </c>
      <c r="AF102" s="154" t="str">
        <f t="shared" ca="1" si="108"/>
        <v/>
      </c>
      <c r="AG102" s="155" t="str">
        <f t="shared" ca="1" si="109"/>
        <v/>
      </c>
      <c r="AH102" s="155" t="str">
        <f t="shared" ca="1" si="110"/>
        <v/>
      </c>
      <c r="AI102" s="156" t="str">
        <f t="shared" ca="1" si="111"/>
        <v/>
      </c>
      <c r="AJ102" s="157" t="str">
        <f t="shared" ca="1" si="112"/>
        <v/>
      </c>
      <c r="AK102" s="158" t="str">
        <f t="shared" ca="1" si="113"/>
        <v/>
      </c>
      <c r="AL102" s="158" t="str">
        <f t="shared" ca="1" si="114"/>
        <v/>
      </c>
      <c r="AM102" s="159" t="str">
        <f t="shared" ca="1" si="115"/>
        <v/>
      </c>
      <c r="AN102" s="160" t="str">
        <f t="shared" ca="1" si="116"/>
        <v/>
      </c>
      <c r="AO102" s="161" t="str">
        <f t="shared" ca="1" si="117"/>
        <v/>
      </c>
      <c r="AP102" s="162" t="str">
        <f t="shared" ca="1" si="118"/>
        <v/>
      </c>
      <c r="AQ102" s="163" t="str">
        <f t="shared" ca="1" si="119"/>
        <v/>
      </c>
      <c r="AR102" s="164" t="str">
        <f t="shared" ca="1" si="120"/>
        <v/>
      </c>
      <c r="AS102" s="164" t="str">
        <f t="shared" ca="1" si="121"/>
        <v/>
      </c>
      <c r="AT102" s="164" t="str">
        <f t="shared" ca="1" si="122"/>
        <v/>
      </c>
      <c r="AU102" s="164" t="str">
        <f t="shared" ca="1" si="123"/>
        <v/>
      </c>
      <c r="AV102" s="164" t="str">
        <f t="shared" ca="1" si="124"/>
        <v/>
      </c>
      <c r="AW102" s="164" t="str">
        <f t="shared" ca="1" si="125"/>
        <v/>
      </c>
      <c r="AX102" s="164" t="str">
        <f t="shared" ca="1" si="126"/>
        <v/>
      </c>
      <c r="AY102" s="164" t="str">
        <f t="shared" ca="1" si="127"/>
        <v/>
      </c>
      <c r="AZ102" s="164" t="str">
        <f t="shared" ca="1" si="128"/>
        <v/>
      </c>
      <c r="BA102" s="165" t="str">
        <f t="shared" ca="1" si="129"/>
        <v>nie</v>
      </c>
      <c r="BB102" s="166" t="str">
        <f t="shared" ca="1" si="135"/>
        <v>-</v>
      </c>
      <c r="BC102" s="165" t="str">
        <f t="shared" ca="1" si="130"/>
        <v>nie</v>
      </c>
    </row>
    <row r="103" spans="1:55" ht="14.45" hidden="1" customHeight="1" x14ac:dyDescent="0.25">
      <c r="A103" s="493" t="s">
        <v>24</v>
      </c>
      <c r="B103" s="493" t="s">
        <v>26</v>
      </c>
      <c r="C103" s="494" t="s">
        <v>117</v>
      </c>
      <c r="D103" s="505" t="s">
        <v>118</v>
      </c>
      <c r="E103" s="497">
        <v>600</v>
      </c>
      <c r="F103" s="497">
        <v>60016</v>
      </c>
      <c r="G103" s="497">
        <v>6050</v>
      </c>
      <c r="H103" s="507">
        <v>2021</v>
      </c>
      <c r="I103" s="499" t="str">
        <f ca="1">IF(COUNTIF(OFFSET(I103,-1,-8),"*propon*")&gt;0,OFFSET(I103,4,0),IF(Y103&gt;0,"2033",IF(X103&gt;0,"2032",IF(W103&gt;0,"2031",IF(V103&gt;0,"2030",IF(U103&gt;0,"2029",IF(T103&gt;0,"2028",IF(S103&gt;0,"2027",IF(R103&gt;0,"2026",IF(Q103&gt;0,"2025",IF(P103&gt;0,"2024",IF(M103&gt;0,"2023",IF(L103&gt;0,"2022","")))))))))))))</f>
        <v>2026</v>
      </c>
      <c r="J103" s="168" t="s">
        <v>102</v>
      </c>
      <c r="K103" s="169">
        <f>SUM(N103:O103)</f>
        <v>22222322</v>
      </c>
      <c r="L103" s="170">
        <f t="shared" ref="L103:M103" si="169">SUM(L104:L105)</f>
        <v>50381</v>
      </c>
      <c r="M103" s="171">
        <f t="shared" si="169"/>
        <v>1241453</v>
      </c>
      <c r="N103" s="172">
        <f>SUM(L103:M103)</f>
        <v>1291834</v>
      </c>
      <c r="O103" s="169">
        <f>SUM(P103:Y103)</f>
        <v>20930488</v>
      </c>
      <c r="P103" s="173">
        <f t="shared" ref="P103:R103" si="170">SUM(P104:P105)</f>
        <v>2741188</v>
      </c>
      <c r="Q103" s="171">
        <f t="shared" si="170"/>
        <v>12301215</v>
      </c>
      <c r="R103" s="174">
        <f t="shared" si="170"/>
        <v>5888085</v>
      </c>
      <c r="S103" s="175">
        <f t="shared" ref="S103:Y103" si="171">SUM(S104:S105)</f>
        <v>0</v>
      </c>
      <c r="T103" s="171">
        <f t="shared" si="171"/>
        <v>0</v>
      </c>
      <c r="U103" s="171">
        <f t="shared" si="171"/>
        <v>0</v>
      </c>
      <c r="V103" s="171">
        <f t="shared" si="171"/>
        <v>0</v>
      </c>
      <c r="W103" s="171">
        <f t="shared" si="171"/>
        <v>0</v>
      </c>
      <c r="X103" s="171">
        <f t="shared" si="171"/>
        <v>0</v>
      </c>
      <c r="Y103" s="174">
        <f t="shared" si="171"/>
        <v>0</v>
      </c>
      <c r="Z103" s="149" t="str">
        <f t="shared" ca="1" si="104"/>
        <v>nie</v>
      </c>
      <c r="AA103" s="366"/>
      <c r="AB103" s="150" t="str">
        <f t="shared" ca="1" si="134"/>
        <v>-</v>
      </c>
      <c r="AC103" s="151" t="str">
        <f t="shared" ca="1" si="105"/>
        <v>PO ZMIANIE</v>
      </c>
      <c r="AD103" s="152" t="str">
        <f t="shared" ca="1" si="106"/>
        <v>PO ZMIANIE</v>
      </c>
      <c r="AE103" s="153" t="str">
        <f t="shared" ca="1" si="107"/>
        <v>C/USN/I/P2/36</v>
      </c>
      <c r="AF103" s="154" t="str">
        <f t="shared" ca="1" si="108"/>
        <v>Budowa i modernizacja infrastruktury drogowej na terenie Zielonego Ursynowa</v>
      </c>
      <c r="AG103" s="155">
        <f t="shared" ca="1" si="109"/>
        <v>60016</v>
      </c>
      <c r="AH103" s="155" t="str">
        <f t="shared" ca="1" si="110"/>
        <v>6050</v>
      </c>
      <c r="AI103" s="156" t="str">
        <f t="shared" ca="1" si="111"/>
        <v>GMMW</v>
      </c>
      <c r="AJ103" s="157" t="str">
        <f t="shared" ca="1" si="112"/>
        <v>WPF, w tym</v>
      </c>
      <c r="AK103" s="158" t="str">
        <f t="shared" ca="1" si="113"/>
        <v>C/USN/I/P2/36 60016 6050 GMMW</v>
      </c>
      <c r="AL103" s="158" t="str">
        <f t="shared" ca="1" si="114"/>
        <v>C/USN/I/P2/36 60016 6050 WPF, w tym</v>
      </c>
      <c r="AM103" s="159" t="str">
        <f t="shared" ca="1" si="115"/>
        <v>C/USN/I/P2/36 60016 6050 GMMW WPF, w tym</v>
      </c>
      <c r="AN103" s="160">
        <f t="shared" ca="1" si="116"/>
        <v>22222322</v>
      </c>
      <c r="AO103" s="161">
        <f t="shared" ca="1" si="117"/>
        <v>50381</v>
      </c>
      <c r="AP103" s="162">
        <f t="shared" ca="1" si="118"/>
        <v>1241453</v>
      </c>
      <c r="AQ103" s="163">
        <f t="shared" ca="1" si="119"/>
        <v>2741188</v>
      </c>
      <c r="AR103" s="164">
        <f t="shared" ca="1" si="120"/>
        <v>12301215</v>
      </c>
      <c r="AS103" s="164">
        <f t="shared" ca="1" si="121"/>
        <v>5888085</v>
      </c>
      <c r="AT103" s="164">
        <f t="shared" ca="1" si="122"/>
        <v>0</v>
      </c>
      <c r="AU103" s="164">
        <f t="shared" ca="1" si="123"/>
        <v>0</v>
      </c>
      <c r="AV103" s="164">
        <f t="shared" ca="1" si="124"/>
        <v>0</v>
      </c>
      <c r="AW103" s="164">
        <f t="shared" ca="1" si="125"/>
        <v>0</v>
      </c>
      <c r="AX103" s="164">
        <f t="shared" ca="1" si="126"/>
        <v>0</v>
      </c>
      <c r="AY103" s="164">
        <f t="shared" ca="1" si="127"/>
        <v>0</v>
      </c>
      <c r="AZ103" s="164">
        <f t="shared" ca="1" si="128"/>
        <v>0</v>
      </c>
      <c r="BA103" s="165" t="str">
        <f t="shared" ca="1" si="129"/>
        <v>nie</v>
      </c>
      <c r="BB103" s="166" t="str">
        <f t="shared" ca="1" si="135"/>
        <v>-</v>
      </c>
      <c r="BC103" s="165" t="str">
        <f t="shared" ca="1" si="130"/>
        <v>nie</v>
      </c>
    </row>
    <row r="104" spans="1:55" ht="14.45" hidden="1" customHeight="1" x14ac:dyDescent="0.25">
      <c r="A104" s="493"/>
      <c r="B104" s="493"/>
      <c r="C104" s="494"/>
      <c r="D104" s="506"/>
      <c r="E104" s="497"/>
      <c r="F104" s="497"/>
      <c r="G104" s="497"/>
      <c r="H104" s="498"/>
      <c r="I104" s="499"/>
      <c r="J104" s="177" t="s">
        <v>103</v>
      </c>
      <c r="K104" s="178">
        <f>SUM(N104:O104)</f>
        <v>19583424</v>
      </c>
      <c r="L104" s="179"/>
      <c r="M104" s="180"/>
      <c r="N104" s="172">
        <f>SUM(L104:M104)</f>
        <v>0</v>
      </c>
      <c r="O104" s="178">
        <f>SUM(P104:Y104)</f>
        <v>19583424</v>
      </c>
      <c r="P104" s="181">
        <v>1416694</v>
      </c>
      <c r="Q104" s="180">
        <f>1577345+10701300</f>
        <v>12278645</v>
      </c>
      <c r="R104" s="182">
        <f>5888085</f>
        <v>5888085</v>
      </c>
      <c r="S104" s="183"/>
      <c r="T104" s="180"/>
      <c r="U104" s="180"/>
      <c r="V104" s="180"/>
      <c r="W104" s="180"/>
      <c r="X104" s="180"/>
      <c r="Y104" s="182"/>
      <c r="Z104" s="149" t="str">
        <f t="shared" ca="1" si="104"/>
        <v>nie</v>
      </c>
      <c r="AA104" s="384"/>
      <c r="AB104" s="150" t="str">
        <f t="shared" ca="1" si="134"/>
        <v>-</v>
      </c>
      <c r="AC104" s="151" t="str">
        <f t="shared" ca="1" si="105"/>
        <v>PO ZMIANIE</v>
      </c>
      <c r="AD104" s="152" t="str">
        <f t="shared" ca="1" si="106"/>
        <v>PO ZMIANIE</v>
      </c>
      <c r="AE104" s="153" t="str">
        <f t="shared" ca="1" si="107"/>
        <v>C/USN/I/P2/36</v>
      </c>
      <c r="AF104" s="154" t="str">
        <f t="shared" ca="1" si="108"/>
        <v>Budowa i modernizacja infrastruktury drogowej na terenie Zielonego Ursynowa</v>
      </c>
      <c r="AG104" s="155">
        <f t="shared" ca="1" si="109"/>
        <v>60016</v>
      </c>
      <c r="AH104" s="155" t="str">
        <f t="shared" ca="1" si="110"/>
        <v>6050</v>
      </c>
      <c r="AI104" s="156" t="str">
        <f t="shared" ca="1" si="111"/>
        <v>GMMW</v>
      </c>
      <c r="AJ104" s="157" t="str">
        <f t="shared" ca="1" si="112"/>
        <v>WPF/PM</v>
      </c>
      <c r="AK104" s="158" t="str">
        <f t="shared" ca="1" si="113"/>
        <v>C/USN/I/P2/36 60016 6050 GMMW</v>
      </c>
      <c r="AL104" s="158" t="str">
        <f t="shared" ca="1" si="114"/>
        <v>C/USN/I/P2/36 60016 6050 WPF/PM</v>
      </c>
      <c r="AM104" s="159" t="str">
        <f t="shared" ca="1" si="115"/>
        <v>C/USN/I/P2/36 60016 6050 GMMW WPF/PM</v>
      </c>
      <c r="AN104" s="160">
        <f t="shared" ca="1" si="116"/>
        <v>19583424</v>
      </c>
      <c r="AO104" s="161">
        <f t="shared" ca="1" si="117"/>
        <v>0</v>
      </c>
      <c r="AP104" s="162">
        <f t="shared" ca="1" si="118"/>
        <v>0</v>
      </c>
      <c r="AQ104" s="163">
        <f t="shared" ca="1" si="119"/>
        <v>1416694</v>
      </c>
      <c r="AR104" s="164">
        <f t="shared" ca="1" si="120"/>
        <v>12278645</v>
      </c>
      <c r="AS104" s="164">
        <f t="shared" ca="1" si="121"/>
        <v>5888085</v>
      </c>
      <c r="AT104" s="164">
        <f t="shared" ca="1" si="122"/>
        <v>0</v>
      </c>
      <c r="AU104" s="164">
        <f t="shared" ca="1" si="123"/>
        <v>0</v>
      </c>
      <c r="AV104" s="164">
        <f t="shared" ca="1" si="124"/>
        <v>0</v>
      </c>
      <c r="AW104" s="164">
        <f t="shared" ca="1" si="125"/>
        <v>0</v>
      </c>
      <c r="AX104" s="164">
        <f t="shared" ca="1" si="126"/>
        <v>0</v>
      </c>
      <c r="AY104" s="164">
        <f t="shared" ca="1" si="127"/>
        <v>0</v>
      </c>
      <c r="AZ104" s="164">
        <f t="shared" ca="1" si="128"/>
        <v>0</v>
      </c>
      <c r="BA104" s="165" t="str">
        <f t="shared" ca="1" si="129"/>
        <v>nie</v>
      </c>
      <c r="BB104" s="166" t="str">
        <f t="shared" ca="1" si="135"/>
        <v>-</v>
      </c>
      <c r="BC104" s="165" t="str">
        <f t="shared" ca="1" si="130"/>
        <v>nie</v>
      </c>
    </row>
    <row r="105" spans="1:55" ht="14.45" hidden="1" customHeight="1" thickBot="1" x14ac:dyDescent="0.3">
      <c r="A105" s="500"/>
      <c r="B105" s="500"/>
      <c r="C105" s="501"/>
      <c r="D105" s="513"/>
      <c r="E105" s="503"/>
      <c r="F105" s="503"/>
      <c r="G105" s="503"/>
      <c r="H105" s="504"/>
      <c r="I105" s="499"/>
      <c r="J105" s="197" t="s">
        <v>104</v>
      </c>
      <c r="K105" s="198">
        <f>SUM(N105:O105)</f>
        <v>2638898</v>
      </c>
      <c r="L105" s="204">
        <v>50381</v>
      </c>
      <c r="M105" s="200">
        <f>1742753-501300</f>
        <v>1241453</v>
      </c>
      <c r="N105" s="371">
        <f>SUM(L105:M105)</f>
        <v>1291834</v>
      </c>
      <c r="O105" s="198">
        <f>SUM(P105:Y105)</f>
        <v>1347064</v>
      </c>
      <c r="P105" s="201">
        <v>1324494</v>
      </c>
      <c r="Q105" s="200">
        <v>22570</v>
      </c>
      <c r="R105" s="202"/>
      <c r="S105" s="203"/>
      <c r="T105" s="200"/>
      <c r="U105" s="200"/>
      <c r="V105" s="200"/>
      <c r="W105" s="200"/>
      <c r="X105" s="200"/>
      <c r="Y105" s="202"/>
      <c r="Z105" s="149" t="str">
        <f t="shared" ca="1" si="104"/>
        <v>nie</v>
      </c>
      <c r="AA105" s="384"/>
      <c r="AB105" s="150" t="str">
        <f t="shared" ca="1" si="134"/>
        <v>-</v>
      </c>
      <c r="AC105" s="151" t="str">
        <f t="shared" ca="1" si="105"/>
        <v>PO ZMIANIE</v>
      </c>
      <c r="AD105" s="152" t="str">
        <f t="shared" ca="1" si="106"/>
        <v>PO ZMIANIE</v>
      </c>
      <c r="AE105" s="153" t="str">
        <f t="shared" ca="1" si="107"/>
        <v>C/USN/I/P2/36</v>
      </c>
      <c r="AF105" s="154" t="str">
        <f t="shared" ca="1" si="108"/>
        <v>Budowa i modernizacja infrastruktury drogowej na terenie Zielonego Ursynowa</v>
      </c>
      <c r="AG105" s="155">
        <f t="shared" ca="1" si="109"/>
        <v>60016</v>
      </c>
      <c r="AH105" s="155" t="str">
        <f t="shared" ca="1" si="110"/>
        <v>6050</v>
      </c>
      <c r="AI105" s="156" t="str">
        <f t="shared" ca="1" si="111"/>
        <v>GMMW</v>
      </c>
      <c r="AJ105" s="157" t="str">
        <f t="shared" ca="1" si="112"/>
        <v>WPF/UM</v>
      </c>
      <c r="AK105" s="158" t="str">
        <f t="shared" ca="1" si="113"/>
        <v>C/USN/I/P2/36 60016 6050 GMMW</v>
      </c>
      <c r="AL105" s="158" t="str">
        <f t="shared" ca="1" si="114"/>
        <v>C/USN/I/P2/36 60016 6050 WPF/UM</v>
      </c>
      <c r="AM105" s="159" t="str">
        <f t="shared" ca="1" si="115"/>
        <v>C/USN/I/P2/36 60016 6050 GMMW WPF/UM</v>
      </c>
      <c r="AN105" s="160">
        <f t="shared" ca="1" si="116"/>
        <v>2638898</v>
      </c>
      <c r="AO105" s="161">
        <f t="shared" ca="1" si="117"/>
        <v>50381</v>
      </c>
      <c r="AP105" s="162">
        <f t="shared" ca="1" si="118"/>
        <v>1241453</v>
      </c>
      <c r="AQ105" s="163">
        <f t="shared" ca="1" si="119"/>
        <v>1324494</v>
      </c>
      <c r="AR105" s="164">
        <f t="shared" ca="1" si="120"/>
        <v>22570</v>
      </c>
      <c r="AS105" s="164">
        <f t="shared" ca="1" si="121"/>
        <v>0</v>
      </c>
      <c r="AT105" s="164">
        <f t="shared" ca="1" si="122"/>
        <v>0</v>
      </c>
      <c r="AU105" s="164">
        <f t="shared" ca="1" si="123"/>
        <v>0</v>
      </c>
      <c r="AV105" s="164">
        <f t="shared" ca="1" si="124"/>
        <v>0</v>
      </c>
      <c r="AW105" s="164">
        <f t="shared" ca="1" si="125"/>
        <v>0</v>
      </c>
      <c r="AX105" s="164">
        <f t="shared" ca="1" si="126"/>
        <v>0</v>
      </c>
      <c r="AY105" s="164">
        <f t="shared" ca="1" si="127"/>
        <v>0</v>
      </c>
      <c r="AZ105" s="164">
        <f t="shared" ca="1" si="128"/>
        <v>0</v>
      </c>
      <c r="BA105" s="165" t="str">
        <f t="shared" ca="1" si="129"/>
        <v>nie</v>
      </c>
      <c r="BB105" s="166" t="str">
        <f t="shared" ca="1" si="135"/>
        <v>-</v>
      </c>
      <c r="BC105" s="165" t="str">
        <f t="shared" ca="1" si="130"/>
        <v>nie</v>
      </c>
    </row>
    <row r="106" spans="1:55" ht="14.45" hidden="1" customHeight="1" x14ac:dyDescent="0.25">
      <c r="A106" s="143" t="s">
        <v>91</v>
      </c>
      <c r="B106" s="144"/>
      <c r="C106" s="145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6"/>
      <c r="S106" s="147"/>
      <c r="T106" s="147"/>
      <c r="U106" s="147"/>
      <c r="V106" s="147"/>
      <c r="W106" s="147"/>
      <c r="X106" s="147"/>
      <c r="Y106" s="148"/>
      <c r="Z106" s="149" t="str">
        <f t="shared" ca="1" si="104"/>
        <v>nie</v>
      </c>
      <c r="AA106" s="366"/>
      <c r="AB106" s="150" t="str">
        <f t="shared" ca="1" si="134"/>
        <v>-</v>
      </c>
      <c r="AC106" s="151" t="str">
        <f t="shared" ca="1" si="105"/>
        <v>PRZED ZMIANĄ</v>
      </c>
      <c r="AD106" s="152" t="str">
        <f t="shared" ca="1" si="106"/>
        <v/>
      </c>
      <c r="AE106" s="153" t="str">
        <f t="shared" ca="1" si="107"/>
        <v/>
      </c>
      <c r="AF106" s="154" t="str">
        <f t="shared" ca="1" si="108"/>
        <v/>
      </c>
      <c r="AG106" s="155" t="str">
        <f t="shared" ca="1" si="109"/>
        <v/>
      </c>
      <c r="AH106" s="155" t="str">
        <f t="shared" ca="1" si="110"/>
        <v/>
      </c>
      <c r="AI106" s="156" t="str">
        <f t="shared" ca="1" si="111"/>
        <v/>
      </c>
      <c r="AJ106" s="157" t="str">
        <f t="shared" ca="1" si="112"/>
        <v/>
      </c>
      <c r="AK106" s="158" t="str">
        <f t="shared" ca="1" si="113"/>
        <v/>
      </c>
      <c r="AL106" s="158" t="str">
        <f t="shared" ca="1" si="114"/>
        <v/>
      </c>
      <c r="AM106" s="159" t="str">
        <f t="shared" ca="1" si="115"/>
        <v/>
      </c>
      <c r="AN106" s="160" t="str">
        <f t="shared" ca="1" si="116"/>
        <v/>
      </c>
      <c r="AO106" s="161" t="str">
        <f t="shared" ca="1" si="117"/>
        <v/>
      </c>
      <c r="AP106" s="162" t="str">
        <f t="shared" ca="1" si="118"/>
        <v/>
      </c>
      <c r="AQ106" s="163" t="str">
        <f t="shared" ca="1" si="119"/>
        <v/>
      </c>
      <c r="AR106" s="164" t="str">
        <f t="shared" ca="1" si="120"/>
        <v/>
      </c>
      <c r="AS106" s="164" t="str">
        <f t="shared" ca="1" si="121"/>
        <v/>
      </c>
      <c r="AT106" s="164" t="str">
        <f t="shared" ca="1" si="122"/>
        <v/>
      </c>
      <c r="AU106" s="164" t="str">
        <f t="shared" ca="1" si="123"/>
        <v/>
      </c>
      <c r="AV106" s="164" t="str">
        <f t="shared" ca="1" si="124"/>
        <v/>
      </c>
      <c r="AW106" s="164" t="str">
        <f t="shared" ca="1" si="125"/>
        <v/>
      </c>
      <c r="AX106" s="164" t="str">
        <f t="shared" ca="1" si="126"/>
        <v/>
      </c>
      <c r="AY106" s="164" t="str">
        <f t="shared" ca="1" si="127"/>
        <v/>
      </c>
      <c r="AZ106" s="164" t="str">
        <f t="shared" ca="1" si="128"/>
        <v/>
      </c>
      <c r="BA106" s="165" t="str">
        <f t="shared" ca="1" si="129"/>
        <v>nie</v>
      </c>
      <c r="BB106" s="166" t="str">
        <f t="shared" ca="1" si="135"/>
        <v>-</v>
      </c>
      <c r="BC106" s="165" t="str">
        <f t="shared" ca="1" si="130"/>
        <v>nie</v>
      </c>
    </row>
    <row r="107" spans="1:55" ht="14.45" hidden="1" customHeight="1" x14ac:dyDescent="0.25">
      <c r="A107" s="493" t="s">
        <v>24</v>
      </c>
      <c r="B107" s="493" t="s">
        <v>26</v>
      </c>
      <c r="C107" s="494" t="s">
        <v>119</v>
      </c>
      <c r="D107" s="505" t="s">
        <v>120</v>
      </c>
      <c r="E107" s="497">
        <v>600</v>
      </c>
      <c r="F107" s="497">
        <v>60095</v>
      </c>
      <c r="G107" s="497">
        <v>6050</v>
      </c>
      <c r="H107" s="507">
        <v>2022</v>
      </c>
      <c r="I107" s="499" t="str">
        <f ca="1">IF(COUNTIF(OFFSET(I107,-1,-8),"*propon*")&gt;0,OFFSET(I107,4,0),IF(Y107&gt;0,"2033",IF(X107&gt;0,"2032",IF(W107&gt;0,"2031",IF(V107&gt;0,"2030",IF(U107&gt;0,"2029",IF(T107&gt;0,"2028",IF(S107&gt;0,"2027",IF(R107&gt;0,"2026",IF(Q107&gt;0,"2025",IF(P107&gt;0,"2024",IF(M107&gt;0,"2023",IF(L107&gt;0,"2022","")))))))))))))</f>
        <v>2025</v>
      </c>
      <c r="J107" s="168" t="s">
        <v>94</v>
      </c>
      <c r="K107" s="169">
        <f>SUM(N107:O107)</f>
        <v>2910001</v>
      </c>
      <c r="L107" s="170">
        <f t="shared" ref="L107:M107" si="172">SUM(L108:L109)</f>
        <v>209124</v>
      </c>
      <c r="M107" s="171">
        <f t="shared" si="172"/>
        <v>217069</v>
      </c>
      <c r="N107" s="172">
        <f>SUM(L107:M107)</f>
        <v>426193</v>
      </c>
      <c r="O107" s="169">
        <f>SUM(P107:Y107)</f>
        <v>2483808</v>
      </c>
      <c r="P107" s="173">
        <f t="shared" ref="P107:R107" si="173">SUM(P108:P109)</f>
        <v>1983808</v>
      </c>
      <c r="Q107" s="171">
        <f t="shared" si="173"/>
        <v>500000</v>
      </c>
      <c r="R107" s="174">
        <f t="shared" si="173"/>
        <v>0</v>
      </c>
      <c r="S107" s="175">
        <f t="shared" ref="S107:Y107" si="174">SUM(S108:S109)</f>
        <v>0</v>
      </c>
      <c r="T107" s="171">
        <f t="shared" si="174"/>
        <v>0</v>
      </c>
      <c r="U107" s="171">
        <f t="shared" si="174"/>
        <v>0</v>
      </c>
      <c r="V107" s="171">
        <f t="shared" si="174"/>
        <v>0</v>
      </c>
      <c r="W107" s="171">
        <f t="shared" si="174"/>
        <v>0</v>
      </c>
      <c r="X107" s="171">
        <f t="shared" si="174"/>
        <v>0</v>
      </c>
      <c r="Y107" s="174">
        <f t="shared" si="174"/>
        <v>0</v>
      </c>
      <c r="Z107" s="149" t="str">
        <f t="shared" ca="1" si="104"/>
        <v>nie</v>
      </c>
      <c r="AA107" s="366"/>
      <c r="AB107" s="150" t="str">
        <f t="shared" ca="1" si="134"/>
        <v>-</v>
      </c>
      <c r="AC107" s="151" t="str">
        <f t="shared" ca="1" si="105"/>
        <v>PRZED ZMIANĄ</v>
      </c>
      <c r="AD107" s="152" t="str">
        <f t="shared" ca="1" si="106"/>
        <v>PRZED ZMIANĄ</v>
      </c>
      <c r="AE107" s="153" t="str">
        <f t="shared" ca="1" si="107"/>
        <v>C/USN/I/P2/37</v>
      </c>
      <c r="AF107" s="154" t="str">
        <f t="shared" ca="1" si="108"/>
        <v>Rozbudowa i modernizacja sieci dróg rowerowych na terenie Ursynowa</v>
      </c>
      <c r="AG107" s="155">
        <f t="shared" ca="1" si="109"/>
        <v>60095</v>
      </c>
      <c r="AH107" s="155" t="str">
        <f t="shared" ca="1" si="110"/>
        <v>6050</v>
      </c>
      <c r="AI107" s="156" t="str">
        <f t="shared" ca="1" si="111"/>
        <v>GMMW</v>
      </c>
      <c r="AJ107" s="157" t="str">
        <f t="shared" ca="1" si="112"/>
        <v>WPF, w tym</v>
      </c>
      <c r="AK107" s="158" t="str">
        <f t="shared" ca="1" si="113"/>
        <v>C/USN/I/P2/37 60095 6050 GMMW</v>
      </c>
      <c r="AL107" s="158" t="str">
        <f t="shared" ca="1" si="114"/>
        <v>C/USN/I/P2/37 60095 6050 WPF, w tym</v>
      </c>
      <c r="AM107" s="159" t="str">
        <f t="shared" ca="1" si="115"/>
        <v>C/USN/I/P2/37 60095 6050 GMMW WPF, w tym</v>
      </c>
      <c r="AN107" s="160">
        <f t="shared" ca="1" si="116"/>
        <v>2910001</v>
      </c>
      <c r="AO107" s="161">
        <f t="shared" ca="1" si="117"/>
        <v>209124</v>
      </c>
      <c r="AP107" s="162">
        <f t="shared" ca="1" si="118"/>
        <v>217069</v>
      </c>
      <c r="AQ107" s="163">
        <f t="shared" ca="1" si="119"/>
        <v>1983808</v>
      </c>
      <c r="AR107" s="164">
        <f t="shared" ca="1" si="120"/>
        <v>500000</v>
      </c>
      <c r="AS107" s="164">
        <f t="shared" ca="1" si="121"/>
        <v>0</v>
      </c>
      <c r="AT107" s="164">
        <f t="shared" ca="1" si="122"/>
        <v>0</v>
      </c>
      <c r="AU107" s="164">
        <f t="shared" ca="1" si="123"/>
        <v>0</v>
      </c>
      <c r="AV107" s="164">
        <f t="shared" ca="1" si="124"/>
        <v>0</v>
      </c>
      <c r="AW107" s="164">
        <f t="shared" ca="1" si="125"/>
        <v>0</v>
      </c>
      <c r="AX107" s="164">
        <f t="shared" ca="1" si="126"/>
        <v>0</v>
      </c>
      <c r="AY107" s="164">
        <f t="shared" ca="1" si="127"/>
        <v>0</v>
      </c>
      <c r="AZ107" s="164">
        <f t="shared" ca="1" si="128"/>
        <v>0</v>
      </c>
      <c r="BA107" s="165" t="str">
        <f t="shared" ca="1" si="129"/>
        <v>nie</v>
      </c>
      <c r="BB107" s="166" t="str">
        <f t="shared" ca="1" si="135"/>
        <v>-</v>
      </c>
      <c r="BC107" s="165" t="str">
        <f t="shared" ca="1" si="130"/>
        <v>nie</v>
      </c>
    </row>
    <row r="108" spans="1:55" ht="14.45" hidden="1" customHeight="1" x14ac:dyDescent="0.25">
      <c r="A108" s="493"/>
      <c r="B108" s="493"/>
      <c r="C108" s="494"/>
      <c r="D108" s="506"/>
      <c r="E108" s="497"/>
      <c r="F108" s="497"/>
      <c r="G108" s="497"/>
      <c r="H108" s="498"/>
      <c r="I108" s="499"/>
      <c r="J108" s="177" t="s">
        <v>95</v>
      </c>
      <c r="K108" s="178">
        <f>SUM(N108:O108)</f>
        <v>2467732</v>
      </c>
      <c r="L108" s="179"/>
      <c r="M108" s="180"/>
      <c r="N108" s="172">
        <f>SUM(L108:M108)</f>
        <v>0</v>
      </c>
      <c r="O108" s="178">
        <f>SUM(P108:Y108)</f>
        <v>2467732</v>
      </c>
      <c r="P108" s="181">
        <v>1967732</v>
      </c>
      <c r="Q108" s="180">
        <v>500000</v>
      </c>
      <c r="R108" s="182"/>
      <c r="S108" s="183"/>
      <c r="T108" s="180"/>
      <c r="U108" s="180"/>
      <c r="V108" s="180"/>
      <c r="W108" s="180"/>
      <c r="X108" s="180"/>
      <c r="Y108" s="182"/>
      <c r="Z108" s="149" t="str">
        <f t="shared" ca="1" si="104"/>
        <v>nie</v>
      </c>
      <c r="AA108" s="366"/>
      <c r="AB108" s="150" t="str">
        <f t="shared" ca="1" si="134"/>
        <v>-</v>
      </c>
      <c r="AC108" s="151" t="str">
        <f t="shared" ca="1" si="105"/>
        <v>PRZED ZMIANĄ</v>
      </c>
      <c r="AD108" s="152" t="str">
        <f t="shared" ca="1" si="106"/>
        <v>PRZED ZMIANĄ</v>
      </c>
      <c r="AE108" s="153" t="str">
        <f t="shared" ca="1" si="107"/>
        <v>C/USN/I/P2/37</v>
      </c>
      <c r="AF108" s="154" t="str">
        <f t="shared" ca="1" si="108"/>
        <v>Rozbudowa i modernizacja sieci dróg rowerowych na terenie Ursynowa</v>
      </c>
      <c r="AG108" s="155">
        <f t="shared" ca="1" si="109"/>
        <v>60095</v>
      </c>
      <c r="AH108" s="155" t="str">
        <f t="shared" ca="1" si="110"/>
        <v>6050</v>
      </c>
      <c r="AI108" s="156" t="str">
        <f t="shared" ca="1" si="111"/>
        <v>GMMW</v>
      </c>
      <c r="AJ108" s="157" t="str">
        <f t="shared" ca="1" si="112"/>
        <v>WPF/PM</v>
      </c>
      <c r="AK108" s="158" t="str">
        <f t="shared" ca="1" si="113"/>
        <v>C/USN/I/P2/37 60095 6050 GMMW</v>
      </c>
      <c r="AL108" s="158" t="str">
        <f t="shared" ca="1" si="114"/>
        <v>C/USN/I/P2/37 60095 6050 WPF/PM</v>
      </c>
      <c r="AM108" s="159" t="str">
        <f t="shared" ca="1" si="115"/>
        <v>C/USN/I/P2/37 60095 6050 GMMW WPF/PM</v>
      </c>
      <c r="AN108" s="160">
        <f t="shared" ca="1" si="116"/>
        <v>2467732</v>
      </c>
      <c r="AO108" s="161">
        <f t="shared" ca="1" si="117"/>
        <v>0</v>
      </c>
      <c r="AP108" s="162">
        <f t="shared" ca="1" si="118"/>
        <v>0</v>
      </c>
      <c r="AQ108" s="163">
        <f t="shared" ca="1" si="119"/>
        <v>1967732</v>
      </c>
      <c r="AR108" s="164">
        <f t="shared" ca="1" si="120"/>
        <v>500000</v>
      </c>
      <c r="AS108" s="164">
        <f t="shared" ca="1" si="121"/>
        <v>0</v>
      </c>
      <c r="AT108" s="164">
        <f t="shared" ca="1" si="122"/>
        <v>0</v>
      </c>
      <c r="AU108" s="164">
        <f t="shared" ca="1" si="123"/>
        <v>0</v>
      </c>
      <c r="AV108" s="164">
        <f t="shared" ca="1" si="124"/>
        <v>0</v>
      </c>
      <c r="AW108" s="164">
        <f t="shared" ca="1" si="125"/>
        <v>0</v>
      </c>
      <c r="AX108" s="164">
        <f t="shared" ca="1" si="126"/>
        <v>0</v>
      </c>
      <c r="AY108" s="164">
        <f t="shared" ca="1" si="127"/>
        <v>0</v>
      </c>
      <c r="AZ108" s="164">
        <f t="shared" ca="1" si="128"/>
        <v>0</v>
      </c>
      <c r="BA108" s="165" t="str">
        <f t="shared" ca="1" si="129"/>
        <v>nie</v>
      </c>
      <c r="BB108" s="166" t="str">
        <f t="shared" ca="1" si="135"/>
        <v>-</v>
      </c>
      <c r="BC108" s="165" t="str">
        <f t="shared" ca="1" si="130"/>
        <v>nie</v>
      </c>
    </row>
    <row r="109" spans="1:55" ht="14.45" hidden="1" customHeight="1" x14ac:dyDescent="0.25">
      <c r="A109" s="493"/>
      <c r="B109" s="493"/>
      <c r="C109" s="494"/>
      <c r="D109" s="506"/>
      <c r="E109" s="497"/>
      <c r="F109" s="497"/>
      <c r="G109" s="497"/>
      <c r="H109" s="498"/>
      <c r="I109" s="499"/>
      <c r="J109" s="177" t="s">
        <v>96</v>
      </c>
      <c r="K109" s="178">
        <f>SUM(N109:O109)</f>
        <v>442269</v>
      </c>
      <c r="L109" s="184">
        <v>209124</v>
      </c>
      <c r="M109" s="180">
        <v>217069</v>
      </c>
      <c r="N109" s="172">
        <f>SUM(L109:M109)</f>
        <v>426193</v>
      </c>
      <c r="O109" s="178">
        <f>SUM(P109:Y109)</f>
        <v>16076</v>
      </c>
      <c r="P109" s="181">
        <v>16076</v>
      </c>
      <c r="Q109" s="180"/>
      <c r="R109" s="182"/>
      <c r="S109" s="183"/>
      <c r="T109" s="180"/>
      <c r="U109" s="180"/>
      <c r="V109" s="180"/>
      <c r="W109" s="180"/>
      <c r="X109" s="180"/>
      <c r="Y109" s="182"/>
      <c r="Z109" s="149" t="str">
        <f t="shared" ca="1" si="104"/>
        <v>nie</v>
      </c>
      <c r="AA109" s="366"/>
      <c r="AB109" s="150" t="str">
        <f t="shared" ca="1" si="134"/>
        <v>-</v>
      </c>
      <c r="AC109" s="151" t="str">
        <f t="shared" ca="1" si="105"/>
        <v>PRZED ZMIANĄ</v>
      </c>
      <c r="AD109" s="152" t="str">
        <f t="shared" ca="1" si="106"/>
        <v>PRZED ZMIANĄ</v>
      </c>
      <c r="AE109" s="153" t="str">
        <f t="shared" ca="1" si="107"/>
        <v>C/USN/I/P2/37</v>
      </c>
      <c r="AF109" s="154" t="str">
        <f t="shared" ca="1" si="108"/>
        <v>Rozbudowa i modernizacja sieci dróg rowerowych na terenie Ursynowa</v>
      </c>
      <c r="AG109" s="155">
        <f t="shared" ca="1" si="109"/>
        <v>60095</v>
      </c>
      <c r="AH109" s="155" t="str">
        <f t="shared" ca="1" si="110"/>
        <v>6050</v>
      </c>
      <c r="AI109" s="156" t="str">
        <f t="shared" ca="1" si="111"/>
        <v>GMMW</v>
      </c>
      <c r="AJ109" s="157" t="str">
        <f t="shared" ca="1" si="112"/>
        <v>WPF/UM</v>
      </c>
      <c r="AK109" s="158" t="str">
        <f t="shared" ca="1" si="113"/>
        <v>C/USN/I/P2/37 60095 6050 GMMW</v>
      </c>
      <c r="AL109" s="158" t="str">
        <f t="shared" ca="1" si="114"/>
        <v>C/USN/I/P2/37 60095 6050 WPF/UM</v>
      </c>
      <c r="AM109" s="159" t="str">
        <f t="shared" ca="1" si="115"/>
        <v>C/USN/I/P2/37 60095 6050 GMMW WPF/UM</v>
      </c>
      <c r="AN109" s="160">
        <f t="shared" ca="1" si="116"/>
        <v>442269</v>
      </c>
      <c r="AO109" s="161">
        <f t="shared" ca="1" si="117"/>
        <v>209124</v>
      </c>
      <c r="AP109" s="162">
        <f t="shared" ca="1" si="118"/>
        <v>217069</v>
      </c>
      <c r="AQ109" s="163">
        <f t="shared" ca="1" si="119"/>
        <v>16076</v>
      </c>
      <c r="AR109" s="164">
        <f t="shared" ca="1" si="120"/>
        <v>0</v>
      </c>
      <c r="AS109" s="164">
        <f t="shared" ca="1" si="121"/>
        <v>0</v>
      </c>
      <c r="AT109" s="164">
        <f t="shared" ca="1" si="122"/>
        <v>0</v>
      </c>
      <c r="AU109" s="164">
        <f t="shared" ca="1" si="123"/>
        <v>0</v>
      </c>
      <c r="AV109" s="164">
        <f t="shared" ca="1" si="124"/>
        <v>0</v>
      </c>
      <c r="AW109" s="164">
        <f t="shared" ca="1" si="125"/>
        <v>0</v>
      </c>
      <c r="AX109" s="164">
        <f t="shared" ca="1" si="126"/>
        <v>0</v>
      </c>
      <c r="AY109" s="164">
        <f t="shared" ca="1" si="127"/>
        <v>0</v>
      </c>
      <c r="AZ109" s="164">
        <f t="shared" ca="1" si="128"/>
        <v>0</v>
      </c>
      <c r="BA109" s="165" t="str">
        <f t="shared" ca="1" si="129"/>
        <v>nie</v>
      </c>
      <c r="BB109" s="166" t="str">
        <f t="shared" ca="1" si="135"/>
        <v>-</v>
      </c>
      <c r="BC109" s="165" t="str">
        <f t="shared" ca="1" si="130"/>
        <v>nie</v>
      </c>
    </row>
    <row r="110" spans="1:55" ht="14.45" hidden="1" customHeight="1" x14ac:dyDescent="0.25">
      <c r="A110" s="185" t="s">
        <v>97</v>
      </c>
      <c r="B110" s="186"/>
      <c r="C110" s="187"/>
      <c r="D110" s="186"/>
      <c r="E110" s="186"/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  <c r="R110" s="188"/>
      <c r="S110" s="189"/>
      <c r="T110" s="189"/>
      <c r="U110" s="189"/>
      <c r="V110" s="189"/>
      <c r="W110" s="189"/>
      <c r="X110" s="189"/>
      <c r="Y110" s="190"/>
      <c r="Z110" s="149" t="str">
        <f t="shared" ca="1" si="104"/>
        <v>nie</v>
      </c>
      <c r="AA110" s="366"/>
      <c r="AB110" s="150" t="str">
        <f t="shared" ca="1" si="134"/>
        <v>-</v>
      </c>
      <c r="AC110" s="151" t="str">
        <f t="shared" ca="1" si="105"/>
        <v>PROPONOWANA ZMIANA</v>
      </c>
      <c r="AD110" s="152" t="str">
        <f t="shared" ca="1" si="106"/>
        <v/>
      </c>
      <c r="AE110" s="153" t="str">
        <f t="shared" ca="1" si="107"/>
        <v/>
      </c>
      <c r="AF110" s="154" t="str">
        <f t="shared" ca="1" si="108"/>
        <v/>
      </c>
      <c r="AG110" s="155" t="str">
        <f t="shared" ca="1" si="109"/>
        <v/>
      </c>
      <c r="AH110" s="155" t="str">
        <f t="shared" ca="1" si="110"/>
        <v/>
      </c>
      <c r="AI110" s="156" t="str">
        <f t="shared" ca="1" si="111"/>
        <v/>
      </c>
      <c r="AJ110" s="157" t="str">
        <f t="shared" ca="1" si="112"/>
        <v/>
      </c>
      <c r="AK110" s="158" t="str">
        <f t="shared" ca="1" si="113"/>
        <v/>
      </c>
      <c r="AL110" s="158" t="str">
        <f t="shared" ca="1" si="114"/>
        <v/>
      </c>
      <c r="AM110" s="159" t="str">
        <f t="shared" ca="1" si="115"/>
        <v/>
      </c>
      <c r="AN110" s="160" t="str">
        <f t="shared" ca="1" si="116"/>
        <v/>
      </c>
      <c r="AO110" s="161" t="str">
        <f t="shared" ca="1" si="117"/>
        <v/>
      </c>
      <c r="AP110" s="162" t="str">
        <f t="shared" ca="1" si="118"/>
        <v/>
      </c>
      <c r="AQ110" s="163" t="str">
        <f t="shared" ca="1" si="119"/>
        <v/>
      </c>
      <c r="AR110" s="164" t="str">
        <f t="shared" ca="1" si="120"/>
        <v/>
      </c>
      <c r="AS110" s="164" t="str">
        <f t="shared" ca="1" si="121"/>
        <v/>
      </c>
      <c r="AT110" s="164" t="str">
        <f t="shared" ca="1" si="122"/>
        <v/>
      </c>
      <c r="AU110" s="164" t="str">
        <f t="shared" ca="1" si="123"/>
        <v/>
      </c>
      <c r="AV110" s="164" t="str">
        <f t="shared" ca="1" si="124"/>
        <v/>
      </c>
      <c r="AW110" s="164" t="str">
        <f t="shared" ca="1" si="125"/>
        <v/>
      </c>
      <c r="AX110" s="164" t="str">
        <f t="shared" ca="1" si="126"/>
        <v/>
      </c>
      <c r="AY110" s="164" t="str">
        <f t="shared" ca="1" si="127"/>
        <v/>
      </c>
      <c r="AZ110" s="164" t="str">
        <f t="shared" ca="1" si="128"/>
        <v/>
      </c>
      <c r="BA110" s="165" t="str">
        <f t="shared" ca="1" si="129"/>
        <v>nie</v>
      </c>
      <c r="BB110" s="166" t="str">
        <f t="shared" ca="1" si="135"/>
        <v>-</v>
      </c>
      <c r="BC110" s="165" t="str">
        <f t="shared" ca="1" si="130"/>
        <v>nie</v>
      </c>
    </row>
    <row r="111" spans="1:55" ht="14.45" hidden="1" customHeight="1" x14ac:dyDescent="0.25">
      <c r="A111" s="493" t="s">
        <v>24</v>
      </c>
      <c r="B111" s="493" t="s">
        <v>26</v>
      </c>
      <c r="C111" s="494" t="s">
        <v>119</v>
      </c>
      <c r="D111" s="505" t="s">
        <v>120</v>
      </c>
      <c r="E111" s="497">
        <v>600</v>
      </c>
      <c r="F111" s="497">
        <v>60095</v>
      </c>
      <c r="G111" s="497">
        <v>6050</v>
      </c>
      <c r="H111" s="507">
        <v>2022</v>
      </c>
      <c r="I111" s="499" t="str">
        <f ca="1">IF(COUNTIF(OFFSET(I111,-1,-8),"*propon*")&gt;0,OFFSET(I111,4,0),IF(Y111&gt;0,"2033",IF(X111&gt;0,"2032",IF(W111&gt;0,"2031",IF(V111&gt;0,"2030",IF(U111&gt;0,"2029",IF(T111&gt;0,"2028",IF(S111&gt;0,"2027",IF(R111&gt;0,"2026",IF(Q111&gt;0,"2025",IF(P111&gt;0,"2024",IF(M111&gt;0,"2023",IF(L111&gt;0,"2022","")))))))))))))</f>
        <v>2025</v>
      </c>
      <c r="J111" s="168" t="s">
        <v>98</v>
      </c>
      <c r="K111" s="169">
        <f>SUM(N111:O111)</f>
        <v>0</v>
      </c>
      <c r="L111" s="170">
        <f t="shared" ref="L111:M111" si="175">SUM(L112:L113)</f>
        <v>0</v>
      </c>
      <c r="M111" s="171">
        <f t="shared" si="175"/>
        <v>0</v>
      </c>
      <c r="N111" s="172">
        <f>SUM(L111:M111)</f>
        <v>0</v>
      </c>
      <c r="O111" s="169">
        <f>SUM(P111:Y111)</f>
        <v>0</v>
      </c>
      <c r="P111" s="173">
        <f t="shared" ref="P111:R111" si="176">SUM(P112:P113)</f>
        <v>0</v>
      </c>
      <c r="Q111" s="171">
        <f t="shared" si="176"/>
        <v>0</v>
      </c>
      <c r="R111" s="174">
        <f t="shared" si="176"/>
        <v>0</v>
      </c>
      <c r="S111" s="175">
        <f t="shared" ref="S111:Y111" si="177">SUM(S112:S113)</f>
        <v>0</v>
      </c>
      <c r="T111" s="171">
        <f t="shared" si="177"/>
        <v>0</v>
      </c>
      <c r="U111" s="171">
        <f t="shared" si="177"/>
        <v>0</v>
      </c>
      <c r="V111" s="171">
        <f t="shared" si="177"/>
        <v>0</v>
      </c>
      <c r="W111" s="171">
        <f t="shared" si="177"/>
        <v>0</v>
      </c>
      <c r="X111" s="171">
        <f t="shared" si="177"/>
        <v>0</v>
      </c>
      <c r="Y111" s="174">
        <f t="shared" si="177"/>
        <v>0</v>
      </c>
      <c r="Z111" s="149" t="str">
        <f t="shared" ca="1" si="104"/>
        <v>nie</v>
      </c>
      <c r="AA111" s="366"/>
      <c r="AB111" s="150" t="str">
        <f t="shared" ca="1" si="134"/>
        <v>-</v>
      </c>
      <c r="AC111" s="151" t="str">
        <f t="shared" ca="1" si="105"/>
        <v>PROPONOWANA ZMIANA</v>
      </c>
      <c r="AD111" s="152" t="str">
        <f t="shared" ca="1" si="106"/>
        <v>PROPONOWANA ZMIANA</v>
      </c>
      <c r="AE111" s="153" t="str">
        <f t="shared" ca="1" si="107"/>
        <v>C/USN/I/P2/37</v>
      </c>
      <c r="AF111" s="154" t="str">
        <f t="shared" ca="1" si="108"/>
        <v>Rozbudowa i modernizacja sieci dróg rowerowych na terenie Ursynowa</v>
      </c>
      <c r="AG111" s="155">
        <f t="shared" ca="1" si="109"/>
        <v>60095</v>
      </c>
      <c r="AH111" s="155" t="str">
        <f t="shared" ca="1" si="110"/>
        <v>6050</v>
      </c>
      <c r="AI111" s="156" t="str">
        <f t="shared" ca="1" si="111"/>
        <v>GMMW</v>
      </c>
      <c r="AJ111" s="157" t="str">
        <f t="shared" ca="1" si="112"/>
        <v>WPF, w tym</v>
      </c>
      <c r="AK111" s="158" t="str">
        <f t="shared" ca="1" si="113"/>
        <v>C/USN/I/P2/37 60095 6050 GMMW</v>
      </c>
      <c r="AL111" s="158" t="str">
        <f t="shared" ca="1" si="114"/>
        <v>C/USN/I/P2/37 60095 6050 WPF, w tym</v>
      </c>
      <c r="AM111" s="159" t="str">
        <f t="shared" ca="1" si="115"/>
        <v>C/USN/I/P2/37 60095 6050 GMMW WPF, w tym</v>
      </c>
      <c r="AN111" s="160">
        <f t="shared" ca="1" si="116"/>
        <v>0</v>
      </c>
      <c r="AO111" s="161">
        <f t="shared" ca="1" si="117"/>
        <v>0</v>
      </c>
      <c r="AP111" s="162">
        <f t="shared" ca="1" si="118"/>
        <v>0</v>
      </c>
      <c r="AQ111" s="163">
        <f t="shared" ca="1" si="119"/>
        <v>0</v>
      </c>
      <c r="AR111" s="164">
        <f t="shared" ca="1" si="120"/>
        <v>0</v>
      </c>
      <c r="AS111" s="164">
        <f t="shared" ca="1" si="121"/>
        <v>0</v>
      </c>
      <c r="AT111" s="164">
        <f t="shared" ca="1" si="122"/>
        <v>0</v>
      </c>
      <c r="AU111" s="164">
        <f t="shared" ca="1" si="123"/>
        <v>0</v>
      </c>
      <c r="AV111" s="164">
        <f t="shared" ca="1" si="124"/>
        <v>0</v>
      </c>
      <c r="AW111" s="164">
        <f t="shared" ca="1" si="125"/>
        <v>0</v>
      </c>
      <c r="AX111" s="164">
        <f t="shared" ca="1" si="126"/>
        <v>0</v>
      </c>
      <c r="AY111" s="164">
        <f t="shared" ca="1" si="127"/>
        <v>0</v>
      </c>
      <c r="AZ111" s="164">
        <f t="shared" ca="1" si="128"/>
        <v>0</v>
      </c>
      <c r="BA111" s="165" t="str">
        <f t="shared" ca="1" si="129"/>
        <v>nie</v>
      </c>
      <c r="BB111" s="166" t="str">
        <f t="shared" ca="1" si="135"/>
        <v>-</v>
      </c>
      <c r="BC111" s="165" t="str">
        <f t="shared" ca="1" si="130"/>
        <v>nie</v>
      </c>
    </row>
    <row r="112" spans="1:55" ht="14.45" hidden="1" customHeight="1" x14ac:dyDescent="0.25">
      <c r="A112" s="493"/>
      <c r="B112" s="493"/>
      <c r="C112" s="494"/>
      <c r="D112" s="506"/>
      <c r="E112" s="497"/>
      <c r="F112" s="497"/>
      <c r="G112" s="497"/>
      <c r="H112" s="498"/>
      <c r="I112" s="499"/>
      <c r="J112" s="177" t="s">
        <v>99</v>
      </c>
      <c r="K112" s="178">
        <f>SUM(N112:O112)</f>
        <v>0</v>
      </c>
      <c r="L112" s="179">
        <f t="shared" ref="L112:M112" si="178">L116-L108</f>
        <v>0</v>
      </c>
      <c r="M112" s="180">
        <f t="shared" si="178"/>
        <v>0</v>
      </c>
      <c r="N112" s="172">
        <f>SUM(L112:M112)</f>
        <v>0</v>
      </c>
      <c r="O112" s="178">
        <f>SUM(P112:Y112)</f>
        <v>0</v>
      </c>
      <c r="P112" s="181">
        <f t="shared" ref="P112:R112" si="179">P116-P108</f>
        <v>0</v>
      </c>
      <c r="Q112" s="180">
        <f t="shared" si="179"/>
        <v>0</v>
      </c>
      <c r="R112" s="182">
        <f t="shared" si="179"/>
        <v>0</v>
      </c>
      <c r="S112" s="183">
        <f t="shared" ref="S112:Y113" si="180">S116-S108</f>
        <v>0</v>
      </c>
      <c r="T112" s="180">
        <f t="shared" si="180"/>
        <v>0</v>
      </c>
      <c r="U112" s="180">
        <f t="shared" si="180"/>
        <v>0</v>
      </c>
      <c r="V112" s="180">
        <f t="shared" si="180"/>
        <v>0</v>
      </c>
      <c r="W112" s="180">
        <f t="shared" si="180"/>
        <v>0</v>
      </c>
      <c r="X112" s="180">
        <f t="shared" si="180"/>
        <v>0</v>
      </c>
      <c r="Y112" s="182">
        <f t="shared" si="180"/>
        <v>0</v>
      </c>
      <c r="Z112" s="149" t="str">
        <f t="shared" ca="1" si="104"/>
        <v>nie</v>
      </c>
      <c r="AA112" s="366"/>
      <c r="AB112" s="150" t="str">
        <f t="shared" ca="1" si="134"/>
        <v>-</v>
      </c>
      <c r="AC112" s="151" t="str">
        <f t="shared" ca="1" si="105"/>
        <v>PROPONOWANA ZMIANA</v>
      </c>
      <c r="AD112" s="152" t="str">
        <f t="shared" ca="1" si="106"/>
        <v>PROPONOWANA ZMIANA</v>
      </c>
      <c r="AE112" s="153" t="str">
        <f t="shared" ca="1" si="107"/>
        <v>C/USN/I/P2/37</v>
      </c>
      <c r="AF112" s="154" t="str">
        <f t="shared" ca="1" si="108"/>
        <v>Rozbudowa i modernizacja sieci dróg rowerowych na terenie Ursynowa</v>
      </c>
      <c r="AG112" s="155">
        <f t="shared" ca="1" si="109"/>
        <v>60095</v>
      </c>
      <c r="AH112" s="155" t="str">
        <f t="shared" ca="1" si="110"/>
        <v>6050</v>
      </c>
      <c r="AI112" s="156" t="str">
        <f t="shared" ca="1" si="111"/>
        <v>GMMW</v>
      </c>
      <c r="AJ112" s="157" t="str">
        <f t="shared" ca="1" si="112"/>
        <v>WPF/PM</v>
      </c>
      <c r="AK112" s="158" t="str">
        <f t="shared" ca="1" si="113"/>
        <v>C/USN/I/P2/37 60095 6050 GMMW</v>
      </c>
      <c r="AL112" s="158" t="str">
        <f t="shared" ca="1" si="114"/>
        <v>C/USN/I/P2/37 60095 6050 WPF/PM</v>
      </c>
      <c r="AM112" s="159" t="str">
        <f t="shared" ca="1" si="115"/>
        <v>C/USN/I/P2/37 60095 6050 GMMW WPF/PM</v>
      </c>
      <c r="AN112" s="160">
        <f t="shared" ca="1" si="116"/>
        <v>0</v>
      </c>
      <c r="AO112" s="161">
        <f t="shared" ca="1" si="117"/>
        <v>0</v>
      </c>
      <c r="AP112" s="162">
        <f t="shared" ca="1" si="118"/>
        <v>0</v>
      </c>
      <c r="AQ112" s="163">
        <f t="shared" ca="1" si="119"/>
        <v>0</v>
      </c>
      <c r="AR112" s="164">
        <f t="shared" ca="1" si="120"/>
        <v>0</v>
      </c>
      <c r="AS112" s="164">
        <f t="shared" ca="1" si="121"/>
        <v>0</v>
      </c>
      <c r="AT112" s="164">
        <f t="shared" ca="1" si="122"/>
        <v>0</v>
      </c>
      <c r="AU112" s="164">
        <f t="shared" ca="1" si="123"/>
        <v>0</v>
      </c>
      <c r="AV112" s="164">
        <f t="shared" ca="1" si="124"/>
        <v>0</v>
      </c>
      <c r="AW112" s="164">
        <f t="shared" ca="1" si="125"/>
        <v>0</v>
      </c>
      <c r="AX112" s="164">
        <f t="shared" ca="1" si="126"/>
        <v>0</v>
      </c>
      <c r="AY112" s="164">
        <f t="shared" ca="1" si="127"/>
        <v>0</v>
      </c>
      <c r="AZ112" s="164">
        <f t="shared" ca="1" si="128"/>
        <v>0</v>
      </c>
      <c r="BA112" s="165" t="str">
        <f t="shared" ca="1" si="129"/>
        <v>nie</v>
      </c>
      <c r="BB112" s="166" t="str">
        <f t="shared" ca="1" si="135"/>
        <v>-</v>
      </c>
      <c r="BC112" s="165" t="str">
        <f t="shared" ca="1" si="130"/>
        <v>nie</v>
      </c>
    </row>
    <row r="113" spans="1:55" ht="14.45" hidden="1" customHeight="1" x14ac:dyDescent="0.25">
      <c r="A113" s="493"/>
      <c r="B113" s="493"/>
      <c r="C113" s="494"/>
      <c r="D113" s="506"/>
      <c r="E113" s="497"/>
      <c r="F113" s="497"/>
      <c r="G113" s="497"/>
      <c r="H113" s="498"/>
      <c r="I113" s="499"/>
      <c r="J113" s="177" t="s">
        <v>100</v>
      </c>
      <c r="K113" s="178">
        <f>SUM(N113:O113)</f>
        <v>0</v>
      </c>
      <c r="L113" s="179">
        <f t="shared" ref="L113:M113" si="181">L117-L109</f>
        <v>0</v>
      </c>
      <c r="M113" s="180">
        <f t="shared" si="181"/>
        <v>0</v>
      </c>
      <c r="N113" s="172">
        <f>SUM(L113:M113)</f>
        <v>0</v>
      </c>
      <c r="O113" s="178">
        <f>SUM(P113:Y113)</f>
        <v>0</v>
      </c>
      <c r="P113" s="181">
        <f t="shared" ref="P113:R113" si="182">P117-P109</f>
        <v>0</v>
      </c>
      <c r="Q113" s="180">
        <f t="shared" si="182"/>
        <v>0</v>
      </c>
      <c r="R113" s="182">
        <f t="shared" si="182"/>
        <v>0</v>
      </c>
      <c r="S113" s="183">
        <f t="shared" si="180"/>
        <v>0</v>
      </c>
      <c r="T113" s="180">
        <f t="shared" si="180"/>
        <v>0</v>
      </c>
      <c r="U113" s="180">
        <f t="shared" si="180"/>
        <v>0</v>
      </c>
      <c r="V113" s="180">
        <f t="shared" si="180"/>
        <v>0</v>
      </c>
      <c r="W113" s="180">
        <f t="shared" si="180"/>
        <v>0</v>
      </c>
      <c r="X113" s="180">
        <f t="shared" si="180"/>
        <v>0</v>
      </c>
      <c r="Y113" s="182">
        <f t="shared" si="180"/>
        <v>0</v>
      </c>
      <c r="Z113" s="149" t="str">
        <f t="shared" ca="1" si="104"/>
        <v>nie</v>
      </c>
      <c r="AA113" s="366"/>
      <c r="AB113" s="150" t="str">
        <f t="shared" ca="1" si="134"/>
        <v>-</v>
      </c>
      <c r="AC113" s="151" t="str">
        <f t="shared" ca="1" si="105"/>
        <v>PROPONOWANA ZMIANA</v>
      </c>
      <c r="AD113" s="152" t="str">
        <f t="shared" ca="1" si="106"/>
        <v>PROPONOWANA ZMIANA</v>
      </c>
      <c r="AE113" s="153" t="str">
        <f t="shared" ca="1" si="107"/>
        <v>C/USN/I/P2/37</v>
      </c>
      <c r="AF113" s="154" t="str">
        <f t="shared" ca="1" si="108"/>
        <v>Rozbudowa i modernizacja sieci dróg rowerowych na terenie Ursynowa</v>
      </c>
      <c r="AG113" s="155">
        <f t="shared" ca="1" si="109"/>
        <v>60095</v>
      </c>
      <c r="AH113" s="155" t="str">
        <f t="shared" ca="1" si="110"/>
        <v>6050</v>
      </c>
      <c r="AI113" s="156" t="str">
        <f t="shared" ca="1" si="111"/>
        <v>GMMW</v>
      </c>
      <c r="AJ113" s="157" t="str">
        <f t="shared" ca="1" si="112"/>
        <v>WPF/UM</v>
      </c>
      <c r="AK113" s="158" t="str">
        <f t="shared" ca="1" si="113"/>
        <v>C/USN/I/P2/37 60095 6050 GMMW</v>
      </c>
      <c r="AL113" s="158" t="str">
        <f t="shared" ca="1" si="114"/>
        <v>C/USN/I/P2/37 60095 6050 WPF/UM</v>
      </c>
      <c r="AM113" s="159" t="str">
        <f t="shared" ca="1" si="115"/>
        <v>C/USN/I/P2/37 60095 6050 GMMW WPF/UM</v>
      </c>
      <c r="AN113" s="160">
        <f t="shared" ca="1" si="116"/>
        <v>0</v>
      </c>
      <c r="AO113" s="161">
        <f t="shared" ca="1" si="117"/>
        <v>0</v>
      </c>
      <c r="AP113" s="162">
        <f t="shared" ca="1" si="118"/>
        <v>0</v>
      </c>
      <c r="AQ113" s="163">
        <f t="shared" ca="1" si="119"/>
        <v>0</v>
      </c>
      <c r="AR113" s="164">
        <f t="shared" ca="1" si="120"/>
        <v>0</v>
      </c>
      <c r="AS113" s="164">
        <f t="shared" ca="1" si="121"/>
        <v>0</v>
      </c>
      <c r="AT113" s="164">
        <f t="shared" ca="1" si="122"/>
        <v>0</v>
      </c>
      <c r="AU113" s="164">
        <f t="shared" ca="1" si="123"/>
        <v>0</v>
      </c>
      <c r="AV113" s="164">
        <f t="shared" ca="1" si="124"/>
        <v>0</v>
      </c>
      <c r="AW113" s="164">
        <f t="shared" ca="1" si="125"/>
        <v>0</v>
      </c>
      <c r="AX113" s="164">
        <f t="shared" ca="1" si="126"/>
        <v>0</v>
      </c>
      <c r="AY113" s="164">
        <f t="shared" ca="1" si="127"/>
        <v>0</v>
      </c>
      <c r="AZ113" s="164">
        <f t="shared" ca="1" si="128"/>
        <v>0</v>
      </c>
      <c r="BA113" s="165" t="str">
        <f t="shared" ca="1" si="129"/>
        <v>nie</v>
      </c>
      <c r="BB113" s="166" t="str">
        <f t="shared" ca="1" si="135"/>
        <v>-</v>
      </c>
      <c r="BC113" s="165" t="str">
        <f t="shared" ca="1" si="130"/>
        <v>nie</v>
      </c>
    </row>
    <row r="114" spans="1:55" ht="14.45" hidden="1" customHeight="1" x14ac:dyDescent="0.25">
      <c r="A114" s="191" t="s">
        <v>101</v>
      </c>
      <c r="B114" s="192"/>
      <c r="C114" s="193"/>
      <c r="D114" s="192"/>
      <c r="E114" s="192"/>
      <c r="F114" s="192"/>
      <c r="G114" s="192"/>
      <c r="H114" s="192"/>
      <c r="I114" s="192"/>
      <c r="J114" s="192"/>
      <c r="K114" s="192"/>
      <c r="L114" s="192"/>
      <c r="M114" s="192"/>
      <c r="N114" s="192"/>
      <c r="O114" s="192"/>
      <c r="P114" s="192"/>
      <c r="Q114" s="192"/>
      <c r="R114" s="194"/>
      <c r="S114" s="195"/>
      <c r="T114" s="195"/>
      <c r="U114" s="195"/>
      <c r="V114" s="195"/>
      <c r="W114" s="195"/>
      <c r="X114" s="195"/>
      <c r="Y114" s="196"/>
      <c r="Z114" s="149" t="str">
        <f t="shared" ca="1" si="104"/>
        <v>nie</v>
      </c>
      <c r="AA114" s="366"/>
      <c r="AB114" s="150" t="str">
        <f t="shared" ca="1" si="134"/>
        <v>-</v>
      </c>
      <c r="AC114" s="151" t="str">
        <f t="shared" ca="1" si="105"/>
        <v>PO ZMIANIE</v>
      </c>
      <c r="AD114" s="152" t="str">
        <f t="shared" ca="1" si="106"/>
        <v/>
      </c>
      <c r="AE114" s="153" t="str">
        <f t="shared" ca="1" si="107"/>
        <v/>
      </c>
      <c r="AF114" s="154" t="str">
        <f t="shared" ca="1" si="108"/>
        <v/>
      </c>
      <c r="AG114" s="155" t="str">
        <f t="shared" ca="1" si="109"/>
        <v/>
      </c>
      <c r="AH114" s="155" t="str">
        <f t="shared" ca="1" si="110"/>
        <v/>
      </c>
      <c r="AI114" s="156" t="str">
        <f t="shared" ca="1" si="111"/>
        <v/>
      </c>
      <c r="AJ114" s="157" t="str">
        <f t="shared" ca="1" si="112"/>
        <v/>
      </c>
      <c r="AK114" s="158" t="str">
        <f t="shared" ca="1" si="113"/>
        <v/>
      </c>
      <c r="AL114" s="158" t="str">
        <f t="shared" ca="1" si="114"/>
        <v/>
      </c>
      <c r="AM114" s="159" t="str">
        <f t="shared" ca="1" si="115"/>
        <v/>
      </c>
      <c r="AN114" s="160" t="str">
        <f t="shared" ca="1" si="116"/>
        <v/>
      </c>
      <c r="AO114" s="161" t="str">
        <f t="shared" ca="1" si="117"/>
        <v/>
      </c>
      <c r="AP114" s="162" t="str">
        <f t="shared" ca="1" si="118"/>
        <v/>
      </c>
      <c r="AQ114" s="163" t="str">
        <f t="shared" ca="1" si="119"/>
        <v/>
      </c>
      <c r="AR114" s="164" t="str">
        <f t="shared" ca="1" si="120"/>
        <v/>
      </c>
      <c r="AS114" s="164" t="str">
        <f t="shared" ca="1" si="121"/>
        <v/>
      </c>
      <c r="AT114" s="164" t="str">
        <f t="shared" ca="1" si="122"/>
        <v/>
      </c>
      <c r="AU114" s="164" t="str">
        <f t="shared" ca="1" si="123"/>
        <v/>
      </c>
      <c r="AV114" s="164" t="str">
        <f t="shared" ca="1" si="124"/>
        <v/>
      </c>
      <c r="AW114" s="164" t="str">
        <f t="shared" ca="1" si="125"/>
        <v/>
      </c>
      <c r="AX114" s="164" t="str">
        <f t="shared" ca="1" si="126"/>
        <v/>
      </c>
      <c r="AY114" s="164" t="str">
        <f t="shared" ca="1" si="127"/>
        <v/>
      </c>
      <c r="AZ114" s="164" t="str">
        <f t="shared" ca="1" si="128"/>
        <v/>
      </c>
      <c r="BA114" s="165" t="str">
        <f t="shared" ca="1" si="129"/>
        <v>nie</v>
      </c>
      <c r="BB114" s="166" t="str">
        <f t="shared" ca="1" si="135"/>
        <v>-</v>
      </c>
      <c r="BC114" s="165" t="str">
        <f t="shared" ca="1" si="130"/>
        <v>nie</v>
      </c>
    </row>
    <row r="115" spans="1:55" ht="14.45" hidden="1" customHeight="1" x14ac:dyDescent="0.25">
      <c r="A115" s="493" t="s">
        <v>24</v>
      </c>
      <c r="B115" s="493" t="s">
        <v>26</v>
      </c>
      <c r="C115" s="494" t="s">
        <v>119</v>
      </c>
      <c r="D115" s="505" t="s">
        <v>120</v>
      </c>
      <c r="E115" s="497">
        <v>600</v>
      </c>
      <c r="F115" s="497">
        <v>60095</v>
      </c>
      <c r="G115" s="497">
        <v>6050</v>
      </c>
      <c r="H115" s="507">
        <v>2022</v>
      </c>
      <c r="I115" s="499" t="str">
        <f ca="1">IF(COUNTIF(OFFSET(I115,-1,-8),"*propon*")&gt;0,OFFSET(I115,4,0),IF(Y115&gt;0,"2033",IF(X115&gt;0,"2032",IF(W115&gt;0,"2031",IF(V115&gt;0,"2030",IF(U115&gt;0,"2029",IF(T115&gt;0,"2028",IF(S115&gt;0,"2027",IF(R115&gt;0,"2026",IF(Q115&gt;0,"2025",IF(P115&gt;0,"2024",IF(M115&gt;0,"2023",IF(L115&gt;0,"2022","")))))))))))))</f>
        <v>2025</v>
      </c>
      <c r="J115" s="168" t="s">
        <v>102</v>
      </c>
      <c r="K115" s="169">
        <f>SUM(N115:O115)</f>
        <v>2910001</v>
      </c>
      <c r="L115" s="170">
        <f t="shared" ref="L115:M115" si="183">SUM(L116:L117)</f>
        <v>209124</v>
      </c>
      <c r="M115" s="171">
        <f t="shared" si="183"/>
        <v>217069</v>
      </c>
      <c r="N115" s="172">
        <f>SUM(L115:M115)</f>
        <v>426193</v>
      </c>
      <c r="O115" s="169">
        <f>SUM(P115:Y115)</f>
        <v>2483808</v>
      </c>
      <c r="P115" s="173">
        <f t="shared" ref="P115:R115" si="184">SUM(P116:P117)</f>
        <v>1983808</v>
      </c>
      <c r="Q115" s="171">
        <f t="shared" si="184"/>
        <v>500000</v>
      </c>
      <c r="R115" s="174">
        <f t="shared" si="184"/>
        <v>0</v>
      </c>
      <c r="S115" s="175">
        <f t="shared" ref="S115:Y115" si="185">SUM(S116:S117)</f>
        <v>0</v>
      </c>
      <c r="T115" s="171">
        <f t="shared" si="185"/>
        <v>0</v>
      </c>
      <c r="U115" s="171">
        <f t="shared" si="185"/>
        <v>0</v>
      </c>
      <c r="V115" s="171">
        <f t="shared" si="185"/>
        <v>0</v>
      </c>
      <c r="W115" s="171">
        <f t="shared" si="185"/>
        <v>0</v>
      </c>
      <c r="X115" s="171">
        <f t="shared" si="185"/>
        <v>0</v>
      </c>
      <c r="Y115" s="174">
        <f t="shared" si="185"/>
        <v>0</v>
      </c>
      <c r="Z115" s="149" t="str">
        <f t="shared" ca="1" si="104"/>
        <v>nie</v>
      </c>
      <c r="AA115" s="366"/>
      <c r="AB115" s="150" t="str">
        <f t="shared" ca="1" si="134"/>
        <v>-</v>
      </c>
      <c r="AC115" s="151" t="str">
        <f t="shared" ca="1" si="105"/>
        <v>PO ZMIANIE</v>
      </c>
      <c r="AD115" s="152" t="str">
        <f t="shared" ca="1" si="106"/>
        <v>PO ZMIANIE</v>
      </c>
      <c r="AE115" s="153" t="str">
        <f t="shared" ca="1" si="107"/>
        <v>C/USN/I/P2/37</v>
      </c>
      <c r="AF115" s="154" t="str">
        <f t="shared" ca="1" si="108"/>
        <v>Rozbudowa i modernizacja sieci dróg rowerowych na terenie Ursynowa</v>
      </c>
      <c r="AG115" s="155">
        <f t="shared" ca="1" si="109"/>
        <v>60095</v>
      </c>
      <c r="AH115" s="155" t="str">
        <f t="shared" ca="1" si="110"/>
        <v>6050</v>
      </c>
      <c r="AI115" s="156" t="str">
        <f t="shared" ca="1" si="111"/>
        <v>GMMW</v>
      </c>
      <c r="AJ115" s="157" t="str">
        <f t="shared" ca="1" si="112"/>
        <v>WPF, w tym</v>
      </c>
      <c r="AK115" s="158" t="str">
        <f t="shared" ca="1" si="113"/>
        <v>C/USN/I/P2/37 60095 6050 GMMW</v>
      </c>
      <c r="AL115" s="158" t="str">
        <f t="shared" ca="1" si="114"/>
        <v>C/USN/I/P2/37 60095 6050 WPF, w tym</v>
      </c>
      <c r="AM115" s="159" t="str">
        <f t="shared" ca="1" si="115"/>
        <v>C/USN/I/P2/37 60095 6050 GMMW WPF, w tym</v>
      </c>
      <c r="AN115" s="160">
        <f t="shared" ca="1" si="116"/>
        <v>2910001</v>
      </c>
      <c r="AO115" s="161">
        <f t="shared" ca="1" si="117"/>
        <v>209124</v>
      </c>
      <c r="AP115" s="162">
        <f t="shared" ca="1" si="118"/>
        <v>217069</v>
      </c>
      <c r="AQ115" s="163">
        <f t="shared" ca="1" si="119"/>
        <v>1983808</v>
      </c>
      <c r="AR115" s="164">
        <f t="shared" ca="1" si="120"/>
        <v>500000</v>
      </c>
      <c r="AS115" s="164">
        <f t="shared" ca="1" si="121"/>
        <v>0</v>
      </c>
      <c r="AT115" s="164">
        <f t="shared" ca="1" si="122"/>
        <v>0</v>
      </c>
      <c r="AU115" s="164">
        <f t="shared" ca="1" si="123"/>
        <v>0</v>
      </c>
      <c r="AV115" s="164">
        <f t="shared" ca="1" si="124"/>
        <v>0</v>
      </c>
      <c r="AW115" s="164">
        <f t="shared" ca="1" si="125"/>
        <v>0</v>
      </c>
      <c r="AX115" s="164">
        <f t="shared" ca="1" si="126"/>
        <v>0</v>
      </c>
      <c r="AY115" s="164">
        <f t="shared" ca="1" si="127"/>
        <v>0</v>
      </c>
      <c r="AZ115" s="164">
        <f t="shared" ca="1" si="128"/>
        <v>0</v>
      </c>
      <c r="BA115" s="165" t="str">
        <f t="shared" ca="1" si="129"/>
        <v>nie</v>
      </c>
      <c r="BB115" s="166" t="str">
        <f t="shared" ca="1" si="135"/>
        <v>-</v>
      </c>
      <c r="BC115" s="165" t="str">
        <f t="shared" ca="1" si="130"/>
        <v>nie</v>
      </c>
    </row>
    <row r="116" spans="1:55" ht="14.45" hidden="1" customHeight="1" x14ac:dyDescent="0.25">
      <c r="A116" s="493"/>
      <c r="B116" s="493"/>
      <c r="C116" s="494"/>
      <c r="D116" s="506"/>
      <c r="E116" s="497"/>
      <c r="F116" s="497"/>
      <c r="G116" s="497"/>
      <c r="H116" s="498"/>
      <c r="I116" s="499"/>
      <c r="J116" s="177" t="s">
        <v>103</v>
      </c>
      <c r="K116" s="178">
        <f>SUM(N116:O116)</f>
        <v>2467732</v>
      </c>
      <c r="L116" s="179"/>
      <c r="M116" s="180"/>
      <c r="N116" s="172">
        <f>SUM(L116:M116)</f>
        <v>0</v>
      </c>
      <c r="O116" s="178">
        <f>SUM(P116:Y116)</f>
        <v>2467732</v>
      </c>
      <c r="P116" s="181">
        <v>1967732</v>
      </c>
      <c r="Q116" s="180">
        <f>500000</f>
        <v>500000</v>
      </c>
      <c r="R116" s="182"/>
      <c r="S116" s="183"/>
      <c r="T116" s="180"/>
      <c r="U116" s="180"/>
      <c r="V116" s="180"/>
      <c r="W116" s="180"/>
      <c r="X116" s="180"/>
      <c r="Y116" s="182"/>
      <c r="Z116" s="149" t="str">
        <f t="shared" ca="1" si="104"/>
        <v>nie</v>
      </c>
      <c r="AA116" s="384"/>
      <c r="AB116" s="150" t="str">
        <f t="shared" ca="1" si="134"/>
        <v>-</v>
      </c>
      <c r="AC116" s="151" t="str">
        <f t="shared" ca="1" si="105"/>
        <v>PO ZMIANIE</v>
      </c>
      <c r="AD116" s="152" t="str">
        <f t="shared" ca="1" si="106"/>
        <v>PO ZMIANIE</v>
      </c>
      <c r="AE116" s="153" t="str">
        <f t="shared" ca="1" si="107"/>
        <v>C/USN/I/P2/37</v>
      </c>
      <c r="AF116" s="154" t="str">
        <f t="shared" ca="1" si="108"/>
        <v>Rozbudowa i modernizacja sieci dróg rowerowych na terenie Ursynowa</v>
      </c>
      <c r="AG116" s="155">
        <f t="shared" ca="1" si="109"/>
        <v>60095</v>
      </c>
      <c r="AH116" s="155" t="str">
        <f t="shared" ca="1" si="110"/>
        <v>6050</v>
      </c>
      <c r="AI116" s="156" t="str">
        <f t="shared" ca="1" si="111"/>
        <v>GMMW</v>
      </c>
      <c r="AJ116" s="157" t="str">
        <f t="shared" ca="1" si="112"/>
        <v>WPF/PM</v>
      </c>
      <c r="AK116" s="158" t="str">
        <f t="shared" ca="1" si="113"/>
        <v>C/USN/I/P2/37 60095 6050 GMMW</v>
      </c>
      <c r="AL116" s="158" t="str">
        <f t="shared" ca="1" si="114"/>
        <v>C/USN/I/P2/37 60095 6050 WPF/PM</v>
      </c>
      <c r="AM116" s="159" t="str">
        <f t="shared" ca="1" si="115"/>
        <v>C/USN/I/P2/37 60095 6050 GMMW WPF/PM</v>
      </c>
      <c r="AN116" s="160">
        <f t="shared" ca="1" si="116"/>
        <v>2467732</v>
      </c>
      <c r="AO116" s="161">
        <f t="shared" ca="1" si="117"/>
        <v>0</v>
      </c>
      <c r="AP116" s="162">
        <f t="shared" ca="1" si="118"/>
        <v>0</v>
      </c>
      <c r="AQ116" s="163">
        <f t="shared" ca="1" si="119"/>
        <v>1967732</v>
      </c>
      <c r="AR116" s="164">
        <f t="shared" ca="1" si="120"/>
        <v>500000</v>
      </c>
      <c r="AS116" s="164">
        <f t="shared" ca="1" si="121"/>
        <v>0</v>
      </c>
      <c r="AT116" s="164">
        <f t="shared" ca="1" si="122"/>
        <v>0</v>
      </c>
      <c r="AU116" s="164">
        <f t="shared" ca="1" si="123"/>
        <v>0</v>
      </c>
      <c r="AV116" s="164">
        <f t="shared" ca="1" si="124"/>
        <v>0</v>
      </c>
      <c r="AW116" s="164">
        <f t="shared" ca="1" si="125"/>
        <v>0</v>
      </c>
      <c r="AX116" s="164">
        <f t="shared" ca="1" si="126"/>
        <v>0</v>
      </c>
      <c r="AY116" s="164">
        <f t="shared" ca="1" si="127"/>
        <v>0</v>
      </c>
      <c r="AZ116" s="164">
        <f t="shared" ca="1" si="128"/>
        <v>0</v>
      </c>
      <c r="BA116" s="165" t="str">
        <f t="shared" ca="1" si="129"/>
        <v>nie</v>
      </c>
      <c r="BB116" s="166" t="str">
        <f t="shared" ca="1" si="135"/>
        <v>-</v>
      </c>
      <c r="BC116" s="165" t="str">
        <f t="shared" ca="1" si="130"/>
        <v>nie</v>
      </c>
    </row>
    <row r="117" spans="1:55" ht="14.45" hidden="1" customHeight="1" thickBot="1" x14ac:dyDescent="0.3">
      <c r="A117" s="500"/>
      <c r="B117" s="500"/>
      <c r="C117" s="501"/>
      <c r="D117" s="513"/>
      <c r="E117" s="503"/>
      <c r="F117" s="503"/>
      <c r="G117" s="503"/>
      <c r="H117" s="504"/>
      <c r="I117" s="499"/>
      <c r="J117" s="197" t="s">
        <v>104</v>
      </c>
      <c r="K117" s="198">
        <f>SUM(N117:O117)</f>
        <v>442269</v>
      </c>
      <c r="L117" s="199">
        <v>209124</v>
      </c>
      <c r="M117" s="200">
        <v>217069</v>
      </c>
      <c r="N117" s="371">
        <f>SUM(L117:M117)</f>
        <v>426193</v>
      </c>
      <c r="O117" s="198">
        <f>SUM(P117:Y117)</f>
        <v>16076</v>
      </c>
      <c r="P117" s="201">
        <v>16076</v>
      </c>
      <c r="Q117" s="200"/>
      <c r="R117" s="202"/>
      <c r="S117" s="203"/>
      <c r="T117" s="200"/>
      <c r="U117" s="200"/>
      <c r="V117" s="200"/>
      <c r="W117" s="200"/>
      <c r="X117" s="200"/>
      <c r="Y117" s="202"/>
      <c r="Z117" s="149" t="str">
        <f t="shared" ca="1" si="104"/>
        <v>nie</v>
      </c>
      <c r="AA117" s="384"/>
      <c r="AB117" s="150" t="str">
        <f t="shared" ca="1" si="134"/>
        <v>-</v>
      </c>
      <c r="AC117" s="151" t="str">
        <f t="shared" ca="1" si="105"/>
        <v>PO ZMIANIE</v>
      </c>
      <c r="AD117" s="152" t="str">
        <f t="shared" ca="1" si="106"/>
        <v>PO ZMIANIE</v>
      </c>
      <c r="AE117" s="153" t="str">
        <f t="shared" ca="1" si="107"/>
        <v>C/USN/I/P2/37</v>
      </c>
      <c r="AF117" s="154" t="str">
        <f t="shared" ca="1" si="108"/>
        <v>Rozbudowa i modernizacja sieci dróg rowerowych na terenie Ursynowa</v>
      </c>
      <c r="AG117" s="155">
        <f t="shared" ca="1" si="109"/>
        <v>60095</v>
      </c>
      <c r="AH117" s="155" t="str">
        <f t="shared" ca="1" si="110"/>
        <v>6050</v>
      </c>
      <c r="AI117" s="156" t="str">
        <f t="shared" ca="1" si="111"/>
        <v>GMMW</v>
      </c>
      <c r="AJ117" s="157" t="str">
        <f t="shared" ca="1" si="112"/>
        <v>WPF/UM</v>
      </c>
      <c r="AK117" s="158" t="str">
        <f t="shared" ca="1" si="113"/>
        <v>C/USN/I/P2/37 60095 6050 GMMW</v>
      </c>
      <c r="AL117" s="158" t="str">
        <f t="shared" ca="1" si="114"/>
        <v>C/USN/I/P2/37 60095 6050 WPF/UM</v>
      </c>
      <c r="AM117" s="159" t="str">
        <f t="shared" ca="1" si="115"/>
        <v>C/USN/I/P2/37 60095 6050 GMMW WPF/UM</v>
      </c>
      <c r="AN117" s="160">
        <f t="shared" ca="1" si="116"/>
        <v>442269</v>
      </c>
      <c r="AO117" s="161">
        <f t="shared" ca="1" si="117"/>
        <v>209124</v>
      </c>
      <c r="AP117" s="162">
        <f t="shared" ca="1" si="118"/>
        <v>217069</v>
      </c>
      <c r="AQ117" s="163">
        <f t="shared" ca="1" si="119"/>
        <v>16076</v>
      </c>
      <c r="AR117" s="164">
        <f t="shared" ca="1" si="120"/>
        <v>0</v>
      </c>
      <c r="AS117" s="164">
        <f t="shared" ca="1" si="121"/>
        <v>0</v>
      </c>
      <c r="AT117" s="164">
        <f t="shared" ca="1" si="122"/>
        <v>0</v>
      </c>
      <c r="AU117" s="164">
        <f t="shared" ca="1" si="123"/>
        <v>0</v>
      </c>
      <c r="AV117" s="164">
        <f t="shared" ca="1" si="124"/>
        <v>0</v>
      </c>
      <c r="AW117" s="164">
        <f t="shared" ca="1" si="125"/>
        <v>0</v>
      </c>
      <c r="AX117" s="164">
        <f t="shared" ca="1" si="126"/>
        <v>0</v>
      </c>
      <c r="AY117" s="164">
        <f t="shared" ca="1" si="127"/>
        <v>0</v>
      </c>
      <c r="AZ117" s="164">
        <f t="shared" ca="1" si="128"/>
        <v>0</v>
      </c>
      <c r="BA117" s="165" t="str">
        <f t="shared" ca="1" si="129"/>
        <v>nie</v>
      </c>
      <c r="BB117" s="166" t="str">
        <f t="shared" ca="1" si="135"/>
        <v>-</v>
      </c>
      <c r="BC117" s="165" t="str">
        <f t="shared" ca="1" si="130"/>
        <v>nie</v>
      </c>
    </row>
    <row r="118" spans="1:55" s="167" customFormat="1" ht="14.45" hidden="1" customHeight="1" x14ac:dyDescent="0.25">
      <c r="A118" s="143" t="s">
        <v>91</v>
      </c>
      <c r="B118" s="144"/>
      <c r="C118" s="145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6"/>
      <c r="S118" s="147"/>
      <c r="T118" s="147"/>
      <c r="U118" s="147"/>
      <c r="V118" s="147"/>
      <c r="W118" s="147"/>
      <c r="X118" s="147"/>
      <c r="Y118" s="148"/>
      <c r="Z118" s="149" t="str">
        <f t="shared" ca="1" si="104"/>
        <v>nie</v>
      </c>
      <c r="AA118" s="366"/>
      <c r="AB118" s="150" t="str">
        <f t="shared" ca="1" si="134"/>
        <v>-</v>
      </c>
      <c r="AC118" s="151" t="str">
        <f t="shared" ca="1" si="105"/>
        <v>PRZED ZMIANĄ</v>
      </c>
      <c r="AD118" s="152" t="str">
        <f t="shared" ca="1" si="106"/>
        <v/>
      </c>
      <c r="AE118" s="153" t="str">
        <f t="shared" ca="1" si="107"/>
        <v/>
      </c>
      <c r="AF118" s="154" t="str">
        <f t="shared" ca="1" si="108"/>
        <v/>
      </c>
      <c r="AG118" s="155" t="str">
        <f t="shared" ca="1" si="109"/>
        <v/>
      </c>
      <c r="AH118" s="155" t="str">
        <f t="shared" ca="1" si="110"/>
        <v/>
      </c>
      <c r="AI118" s="156" t="str">
        <f t="shared" ca="1" si="111"/>
        <v/>
      </c>
      <c r="AJ118" s="157" t="str">
        <f t="shared" ca="1" si="112"/>
        <v/>
      </c>
      <c r="AK118" s="158" t="str">
        <f t="shared" ca="1" si="113"/>
        <v/>
      </c>
      <c r="AL118" s="158" t="str">
        <f t="shared" ca="1" si="114"/>
        <v/>
      </c>
      <c r="AM118" s="159" t="str">
        <f t="shared" ca="1" si="115"/>
        <v/>
      </c>
      <c r="AN118" s="160" t="str">
        <f t="shared" ca="1" si="116"/>
        <v/>
      </c>
      <c r="AO118" s="161" t="str">
        <f t="shared" ca="1" si="117"/>
        <v/>
      </c>
      <c r="AP118" s="162" t="str">
        <f t="shared" ca="1" si="118"/>
        <v/>
      </c>
      <c r="AQ118" s="163" t="str">
        <f t="shared" ca="1" si="119"/>
        <v/>
      </c>
      <c r="AR118" s="164" t="str">
        <f t="shared" ca="1" si="120"/>
        <v/>
      </c>
      <c r="AS118" s="164" t="str">
        <f t="shared" ca="1" si="121"/>
        <v/>
      </c>
      <c r="AT118" s="164" t="str">
        <f t="shared" ca="1" si="122"/>
        <v/>
      </c>
      <c r="AU118" s="164" t="str">
        <f t="shared" ca="1" si="123"/>
        <v/>
      </c>
      <c r="AV118" s="164" t="str">
        <f t="shared" ca="1" si="124"/>
        <v/>
      </c>
      <c r="AW118" s="164" t="str">
        <f t="shared" ca="1" si="125"/>
        <v/>
      </c>
      <c r="AX118" s="164" t="str">
        <f t="shared" ca="1" si="126"/>
        <v/>
      </c>
      <c r="AY118" s="164" t="str">
        <f t="shared" ca="1" si="127"/>
        <v/>
      </c>
      <c r="AZ118" s="164" t="str">
        <f t="shared" ca="1" si="128"/>
        <v/>
      </c>
      <c r="BA118" s="165" t="str">
        <f t="shared" ca="1" si="129"/>
        <v>nie</v>
      </c>
      <c r="BB118" s="166" t="str">
        <f t="shared" ca="1" si="135"/>
        <v>-</v>
      </c>
      <c r="BC118" s="165" t="str">
        <f t="shared" ca="1" si="130"/>
        <v>nie</v>
      </c>
    </row>
    <row r="119" spans="1:55" s="176" customFormat="1" ht="14.45" hidden="1" customHeight="1" x14ac:dyDescent="0.25">
      <c r="A119" s="493" t="s">
        <v>24</v>
      </c>
      <c r="B119" s="493" t="s">
        <v>121</v>
      </c>
      <c r="C119" s="494" t="s">
        <v>122</v>
      </c>
      <c r="D119" s="505" t="s">
        <v>123</v>
      </c>
      <c r="E119" s="497">
        <v>900</v>
      </c>
      <c r="F119" s="497">
        <v>90015</v>
      </c>
      <c r="G119" s="497">
        <v>6050</v>
      </c>
      <c r="H119" s="507">
        <v>2022</v>
      </c>
      <c r="I119" s="499" t="str">
        <f ca="1">IF(COUNTIF(OFFSET(I119,-1,-8),"*propon*")&gt;0,OFFSET(I119,4,0),IF(Y119&gt;0,"2033",IF(X119&gt;0,"2032",IF(W119&gt;0,"2031",IF(V119&gt;0,"2030",IF(U119&gt;0,"2029",IF(T119&gt;0,"2028",IF(S119&gt;0,"2027",IF(R119&gt;0,"2026",IF(Q119&gt;0,"2025",IF(P119&gt;0,"2024",IF(M119&gt;0,"2023",IF(L119&gt;0,"2022","")))))))))))))</f>
        <v>2025</v>
      </c>
      <c r="J119" s="168" t="s">
        <v>94</v>
      </c>
      <c r="K119" s="169">
        <f>SUM(N119:O119)</f>
        <v>574000</v>
      </c>
      <c r="L119" s="170">
        <f t="shared" ref="L119:M119" si="186">SUM(L120:L121)</f>
        <v>163277</v>
      </c>
      <c r="M119" s="171">
        <f t="shared" si="186"/>
        <v>367159</v>
      </c>
      <c r="N119" s="172">
        <f>SUM(L119:M119)</f>
        <v>530436</v>
      </c>
      <c r="O119" s="169">
        <f>SUM(P119:Y119)</f>
        <v>43564</v>
      </c>
      <c r="P119" s="173">
        <f t="shared" ref="P119:R119" si="187">SUM(P120:P121)</f>
        <v>3564</v>
      </c>
      <c r="Q119" s="171">
        <f t="shared" si="187"/>
        <v>40000</v>
      </c>
      <c r="R119" s="174">
        <f t="shared" si="187"/>
        <v>0</v>
      </c>
      <c r="S119" s="175">
        <f t="shared" ref="S119:Y119" si="188">SUM(S120:S121)</f>
        <v>0</v>
      </c>
      <c r="T119" s="171">
        <f t="shared" si="188"/>
        <v>0</v>
      </c>
      <c r="U119" s="171">
        <f t="shared" si="188"/>
        <v>0</v>
      </c>
      <c r="V119" s="171">
        <f t="shared" si="188"/>
        <v>0</v>
      </c>
      <c r="W119" s="171">
        <f t="shared" si="188"/>
        <v>0</v>
      </c>
      <c r="X119" s="171">
        <f t="shared" si="188"/>
        <v>0</v>
      </c>
      <c r="Y119" s="174">
        <f t="shared" si="188"/>
        <v>0</v>
      </c>
      <c r="Z119" s="149" t="str">
        <f t="shared" ca="1" si="104"/>
        <v>nie</v>
      </c>
      <c r="AA119" s="366"/>
      <c r="AB119" s="150" t="str">
        <f t="shared" ca="1" si="134"/>
        <v>-</v>
      </c>
      <c r="AC119" s="151" t="str">
        <f t="shared" ca="1" si="105"/>
        <v>PRZED ZMIANĄ</v>
      </c>
      <c r="AD119" s="152" t="str">
        <f t="shared" ca="1" si="106"/>
        <v>PRZED ZMIANĄ</v>
      </c>
      <c r="AE119" s="153" t="str">
        <f t="shared" ca="1" si="107"/>
        <v>C/USN/I/P2/41</v>
      </c>
      <c r="AF119" s="154" t="str">
        <f t="shared" ca="1" si="108"/>
        <v>Rozświetlmy Ursynów! Oświetlenie ciemnych miejsc na Ursynowie</v>
      </c>
      <c r="AG119" s="155">
        <f t="shared" ca="1" si="109"/>
        <v>90015</v>
      </c>
      <c r="AH119" s="155" t="str">
        <f t="shared" ca="1" si="110"/>
        <v>6050</v>
      </c>
      <c r="AI119" s="156" t="str">
        <f t="shared" ca="1" si="111"/>
        <v>BO/22/12/0240</v>
      </c>
      <c r="AJ119" s="157" t="str">
        <f t="shared" ca="1" si="112"/>
        <v>WPF, w tym</v>
      </c>
      <c r="AK119" s="158" t="str">
        <f t="shared" ca="1" si="113"/>
        <v>C/USN/I/P2/41 90015 6050 BO/22/12/0240</v>
      </c>
      <c r="AL119" s="158" t="str">
        <f t="shared" ca="1" si="114"/>
        <v>C/USN/I/P2/41 90015 6050 WPF, w tym</v>
      </c>
      <c r="AM119" s="159" t="str">
        <f t="shared" ca="1" si="115"/>
        <v>C/USN/I/P2/41 90015 6050 BO/22/12/0240 WPF, w tym</v>
      </c>
      <c r="AN119" s="160">
        <f t="shared" ca="1" si="116"/>
        <v>574000</v>
      </c>
      <c r="AO119" s="161">
        <f t="shared" ca="1" si="117"/>
        <v>163277</v>
      </c>
      <c r="AP119" s="162">
        <f t="shared" ca="1" si="118"/>
        <v>367159</v>
      </c>
      <c r="AQ119" s="163">
        <f t="shared" ca="1" si="119"/>
        <v>3564</v>
      </c>
      <c r="AR119" s="164">
        <f t="shared" ca="1" si="120"/>
        <v>40000</v>
      </c>
      <c r="AS119" s="164">
        <f t="shared" ca="1" si="121"/>
        <v>0</v>
      </c>
      <c r="AT119" s="164">
        <f t="shared" ca="1" si="122"/>
        <v>0</v>
      </c>
      <c r="AU119" s="164">
        <f t="shared" ca="1" si="123"/>
        <v>0</v>
      </c>
      <c r="AV119" s="164">
        <f t="shared" ca="1" si="124"/>
        <v>0</v>
      </c>
      <c r="AW119" s="164">
        <f t="shared" ca="1" si="125"/>
        <v>0</v>
      </c>
      <c r="AX119" s="164">
        <f t="shared" ca="1" si="126"/>
        <v>0</v>
      </c>
      <c r="AY119" s="164">
        <f t="shared" ca="1" si="127"/>
        <v>0</v>
      </c>
      <c r="AZ119" s="164">
        <f t="shared" ca="1" si="128"/>
        <v>0</v>
      </c>
      <c r="BA119" s="165" t="str">
        <f t="shared" ca="1" si="129"/>
        <v>nie</v>
      </c>
      <c r="BB119" s="166" t="str">
        <f t="shared" ca="1" si="135"/>
        <v>-</v>
      </c>
      <c r="BC119" s="165" t="str">
        <f t="shared" ca="1" si="130"/>
        <v>nie</v>
      </c>
    </row>
    <row r="120" spans="1:55" s="167" customFormat="1" ht="14.45" hidden="1" customHeight="1" x14ac:dyDescent="0.25">
      <c r="A120" s="493"/>
      <c r="B120" s="493"/>
      <c r="C120" s="494"/>
      <c r="D120" s="506"/>
      <c r="E120" s="497"/>
      <c r="F120" s="497"/>
      <c r="G120" s="497"/>
      <c r="H120" s="498"/>
      <c r="I120" s="499"/>
      <c r="J120" s="177" t="s">
        <v>95</v>
      </c>
      <c r="K120" s="178">
        <f>SUM(N120:O120)</f>
        <v>43564</v>
      </c>
      <c r="L120" s="179"/>
      <c r="M120" s="180"/>
      <c r="N120" s="172">
        <f>SUM(L120:M120)</f>
        <v>0</v>
      </c>
      <c r="O120" s="178">
        <f>SUM(P120:Y120)</f>
        <v>43564</v>
      </c>
      <c r="P120" s="181">
        <v>3564</v>
      </c>
      <c r="Q120" s="180">
        <v>40000</v>
      </c>
      <c r="R120" s="182"/>
      <c r="S120" s="183"/>
      <c r="T120" s="180"/>
      <c r="U120" s="180"/>
      <c r="V120" s="180"/>
      <c r="W120" s="180"/>
      <c r="X120" s="180"/>
      <c r="Y120" s="182"/>
      <c r="Z120" s="149" t="str">
        <f t="shared" ca="1" si="104"/>
        <v>nie</v>
      </c>
      <c r="AA120" s="366"/>
      <c r="AB120" s="150" t="str">
        <f t="shared" ca="1" si="134"/>
        <v>-</v>
      </c>
      <c r="AC120" s="151" t="str">
        <f t="shared" ca="1" si="105"/>
        <v>PRZED ZMIANĄ</v>
      </c>
      <c r="AD120" s="152" t="str">
        <f t="shared" ca="1" si="106"/>
        <v>PRZED ZMIANĄ</v>
      </c>
      <c r="AE120" s="153" t="str">
        <f t="shared" ca="1" si="107"/>
        <v>C/USN/I/P2/41</v>
      </c>
      <c r="AF120" s="154" t="str">
        <f t="shared" ca="1" si="108"/>
        <v>Rozświetlmy Ursynów! Oświetlenie ciemnych miejsc na Ursynowie</v>
      </c>
      <c r="AG120" s="155">
        <f t="shared" ca="1" si="109"/>
        <v>90015</v>
      </c>
      <c r="AH120" s="155" t="str">
        <f t="shared" ca="1" si="110"/>
        <v>6050</v>
      </c>
      <c r="AI120" s="156" t="str">
        <f t="shared" ca="1" si="111"/>
        <v>BO/22/12/0240</v>
      </c>
      <c r="AJ120" s="157" t="str">
        <f t="shared" ca="1" si="112"/>
        <v>WPF/PM</v>
      </c>
      <c r="AK120" s="158" t="str">
        <f t="shared" ca="1" si="113"/>
        <v>C/USN/I/P2/41 90015 6050 BO/22/12/0240</v>
      </c>
      <c r="AL120" s="158" t="str">
        <f t="shared" ca="1" si="114"/>
        <v>C/USN/I/P2/41 90015 6050 WPF/PM</v>
      </c>
      <c r="AM120" s="159" t="str">
        <f t="shared" ca="1" si="115"/>
        <v>C/USN/I/P2/41 90015 6050 BO/22/12/0240 WPF/PM</v>
      </c>
      <c r="AN120" s="160">
        <f t="shared" ca="1" si="116"/>
        <v>43564</v>
      </c>
      <c r="AO120" s="161">
        <f t="shared" ca="1" si="117"/>
        <v>0</v>
      </c>
      <c r="AP120" s="162">
        <f t="shared" ca="1" si="118"/>
        <v>0</v>
      </c>
      <c r="AQ120" s="163">
        <f t="shared" ca="1" si="119"/>
        <v>3564</v>
      </c>
      <c r="AR120" s="164">
        <f t="shared" ca="1" si="120"/>
        <v>40000</v>
      </c>
      <c r="AS120" s="164">
        <f t="shared" ca="1" si="121"/>
        <v>0</v>
      </c>
      <c r="AT120" s="164">
        <f t="shared" ca="1" si="122"/>
        <v>0</v>
      </c>
      <c r="AU120" s="164">
        <f t="shared" ca="1" si="123"/>
        <v>0</v>
      </c>
      <c r="AV120" s="164">
        <f t="shared" ca="1" si="124"/>
        <v>0</v>
      </c>
      <c r="AW120" s="164">
        <f t="shared" ca="1" si="125"/>
        <v>0</v>
      </c>
      <c r="AX120" s="164">
        <f t="shared" ca="1" si="126"/>
        <v>0</v>
      </c>
      <c r="AY120" s="164">
        <f t="shared" ca="1" si="127"/>
        <v>0</v>
      </c>
      <c r="AZ120" s="164">
        <f t="shared" ca="1" si="128"/>
        <v>0</v>
      </c>
      <c r="BA120" s="165" t="str">
        <f t="shared" ca="1" si="129"/>
        <v>nie</v>
      </c>
      <c r="BB120" s="166" t="str">
        <f t="shared" ca="1" si="135"/>
        <v>-</v>
      </c>
      <c r="BC120" s="165" t="str">
        <f t="shared" ca="1" si="130"/>
        <v>nie</v>
      </c>
    </row>
    <row r="121" spans="1:55" s="167" customFormat="1" ht="14.45" hidden="1" customHeight="1" x14ac:dyDescent="0.25">
      <c r="A121" s="493"/>
      <c r="B121" s="493"/>
      <c r="C121" s="494"/>
      <c r="D121" s="506"/>
      <c r="E121" s="497"/>
      <c r="F121" s="497"/>
      <c r="G121" s="497"/>
      <c r="H121" s="498"/>
      <c r="I121" s="499"/>
      <c r="J121" s="177" t="s">
        <v>96</v>
      </c>
      <c r="K121" s="178">
        <f>SUM(N121:O121)</f>
        <v>530436</v>
      </c>
      <c r="L121" s="184">
        <v>163277</v>
      </c>
      <c r="M121" s="180">
        <v>367159</v>
      </c>
      <c r="N121" s="172">
        <f>SUM(L121:M121)</f>
        <v>530436</v>
      </c>
      <c r="O121" s="178">
        <f>SUM(P121:Y121)</f>
        <v>0</v>
      </c>
      <c r="P121" s="181"/>
      <c r="Q121" s="180"/>
      <c r="R121" s="182"/>
      <c r="S121" s="183"/>
      <c r="T121" s="180"/>
      <c r="U121" s="180"/>
      <c r="V121" s="180"/>
      <c r="W121" s="180"/>
      <c r="X121" s="180"/>
      <c r="Y121" s="182"/>
      <c r="Z121" s="149" t="str">
        <f t="shared" ca="1" si="104"/>
        <v>nie</v>
      </c>
      <c r="AA121" s="366"/>
      <c r="AB121" s="150" t="str">
        <f t="shared" ca="1" si="134"/>
        <v>-</v>
      </c>
      <c r="AC121" s="151" t="str">
        <f t="shared" ca="1" si="105"/>
        <v>PRZED ZMIANĄ</v>
      </c>
      <c r="AD121" s="152" t="str">
        <f t="shared" ca="1" si="106"/>
        <v>PRZED ZMIANĄ</v>
      </c>
      <c r="AE121" s="153" t="str">
        <f t="shared" ca="1" si="107"/>
        <v>C/USN/I/P2/41</v>
      </c>
      <c r="AF121" s="154" t="str">
        <f t="shared" ca="1" si="108"/>
        <v>Rozświetlmy Ursynów! Oświetlenie ciemnych miejsc na Ursynowie</v>
      </c>
      <c r="AG121" s="155">
        <f t="shared" ca="1" si="109"/>
        <v>90015</v>
      </c>
      <c r="AH121" s="155" t="str">
        <f t="shared" ca="1" si="110"/>
        <v>6050</v>
      </c>
      <c r="AI121" s="156" t="str">
        <f t="shared" ca="1" si="111"/>
        <v>BO/22/12/0240</v>
      </c>
      <c r="AJ121" s="157" t="str">
        <f t="shared" ca="1" si="112"/>
        <v>WPF/UM</v>
      </c>
      <c r="AK121" s="158" t="str">
        <f t="shared" ca="1" si="113"/>
        <v>C/USN/I/P2/41 90015 6050 BO/22/12/0240</v>
      </c>
      <c r="AL121" s="158" t="str">
        <f t="shared" ca="1" si="114"/>
        <v>C/USN/I/P2/41 90015 6050 WPF/UM</v>
      </c>
      <c r="AM121" s="159" t="str">
        <f t="shared" ca="1" si="115"/>
        <v>C/USN/I/P2/41 90015 6050 BO/22/12/0240 WPF/UM</v>
      </c>
      <c r="AN121" s="160">
        <f t="shared" ca="1" si="116"/>
        <v>530436</v>
      </c>
      <c r="AO121" s="161">
        <f t="shared" ca="1" si="117"/>
        <v>163277</v>
      </c>
      <c r="AP121" s="162">
        <f t="shared" ca="1" si="118"/>
        <v>367159</v>
      </c>
      <c r="AQ121" s="163">
        <f t="shared" ca="1" si="119"/>
        <v>0</v>
      </c>
      <c r="AR121" s="164">
        <f t="shared" ca="1" si="120"/>
        <v>0</v>
      </c>
      <c r="AS121" s="164">
        <f t="shared" ca="1" si="121"/>
        <v>0</v>
      </c>
      <c r="AT121" s="164">
        <f t="shared" ca="1" si="122"/>
        <v>0</v>
      </c>
      <c r="AU121" s="164">
        <f t="shared" ca="1" si="123"/>
        <v>0</v>
      </c>
      <c r="AV121" s="164">
        <f t="shared" ca="1" si="124"/>
        <v>0</v>
      </c>
      <c r="AW121" s="164">
        <f t="shared" ca="1" si="125"/>
        <v>0</v>
      </c>
      <c r="AX121" s="164">
        <f t="shared" ca="1" si="126"/>
        <v>0</v>
      </c>
      <c r="AY121" s="164">
        <f t="shared" ca="1" si="127"/>
        <v>0</v>
      </c>
      <c r="AZ121" s="164">
        <f t="shared" ca="1" si="128"/>
        <v>0</v>
      </c>
      <c r="BA121" s="165" t="str">
        <f t="shared" ca="1" si="129"/>
        <v>nie</v>
      </c>
      <c r="BB121" s="166" t="str">
        <f t="shared" ca="1" si="135"/>
        <v>-</v>
      </c>
      <c r="BC121" s="165" t="str">
        <f t="shared" ca="1" si="130"/>
        <v>nie</v>
      </c>
    </row>
    <row r="122" spans="1:55" s="167" customFormat="1" ht="14.45" hidden="1" customHeight="1" x14ac:dyDescent="0.25">
      <c r="A122" s="185" t="s">
        <v>97</v>
      </c>
      <c r="B122" s="186"/>
      <c r="C122" s="187"/>
      <c r="D122" s="186"/>
      <c r="E122" s="186"/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  <c r="R122" s="188"/>
      <c r="S122" s="189"/>
      <c r="T122" s="189"/>
      <c r="U122" s="189"/>
      <c r="V122" s="189"/>
      <c r="W122" s="189"/>
      <c r="X122" s="189"/>
      <c r="Y122" s="190"/>
      <c r="Z122" s="149" t="str">
        <f t="shared" ca="1" si="104"/>
        <v>nie</v>
      </c>
      <c r="AA122" s="366"/>
      <c r="AB122" s="150" t="str">
        <f t="shared" ca="1" si="134"/>
        <v>-</v>
      </c>
      <c r="AC122" s="151" t="str">
        <f t="shared" ca="1" si="105"/>
        <v>PROPONOWANA ZMIANA</v>
      </c>
      <c r="AD122" s="152" t="str">
        <f t="shared" ca="1" si="106"/>
        <v/>
      </c>
      <c r="AE122" s="153" t="str">
        <f t="shared" ca="1" si="107"/>
        <v/>
      </c>
      <c r="AF122" s="154" t="str">
        <f t="shared" ca="1" si="108"/>
        <v/>
      </c>
      <c r="AG122" s="155" t="str">
        <f t="shared" ca="1" si="109"/>
        <v/>
      </c>
      <c r="AH122" s="155" t="str">
        <f t="shared" ca="1" si="110"/>
        <v/>
      </c>
      <c r="AI122" s="156" t="str">
        <f t="shared" ca="1" si="111"/>
        <v/>
      </c>
      <c r="AJ122" s="157" t="str">
        <f t="shared" ca="1" si="112"/>
        <v/>
      </c>
      <c r="AK122" s="158" t="str">
        <f t="shared" ca="1" si="113"/>
        <v/>
      </c>
      <c r="AL122" s="158" t="str">
        <f t="shared" ca="1" si="114"/>
        <v/>
      </c>
      <c r="AM122" s="159" t="str">
        <f t="shared" ca="1" si="115"/>
        <v/>
      </c>
      <c r="AN122" s="160" t="str">
        <f t="shared" ca="1" si="116"/>
        <v/>
      </c>
      <c r="AO122" s="161" t="str">
        <f t="shared" ca="1" si="117"/>
        <v/>
      </c>
      <c r="AP122" s="162" t="str">
        <f t="shared" ca="1" si="118"/>
        <v/>
      </c>
      <c r="AQ122" s="163" t="str">
        <f t="shared" ca="1" si="119"/>
        <v/>
      </c>
      <c r="AR122" s="164" t="str">
        <f t="shared" ca="1" si="120"/>
        <v/>
      </c>
      <c r="AS122" s="164" t="str">
        <f t="shared" ca="1" si="121"/>
        <v/>
      </c>
      <c r="AT122" s="164" t="str">
        <f t="shared" ca="1" si="122"/>
        <v/>
      </c>
      <c r="AU122" s="164" t="str">
        <f t="shared" ca="1" si="123"/>
        <v/>
      </c>
      <c r="AV122" s="164" t="str">
        <f t="shared" ca="1" si="124"/>
        <v/>
      </c>
      <c r="AW122" s="164" t="str">
        <f t="shared" ca="1" si="125"/>
        <v/>
      </c>
      <c r="AX122" s="164" t="str">
        <f t="shared" ca="1" si="126"/>
        <v/>
      </c>
      <c r="AY122" s="164" t="str">
        <f t="shared" ca="1" si="127"/>
        <v/>
      </c>
      <c r="AZ122" s="164" t="str">
        <f t="shared" ca="1" si="128"/>
        <v/>
      </c>
      <c r="BA122" s="165" t="str">
        <f t="shared" ca="1" si="129"/>
        <v>nie</v>
      </c>
      <c r="BB122" s="166" t="str">
        <f t="shared" ca="1" si="135"/>
        <v>-</v>
      </c>
      <c r="BC122" s="165" t="str">
        <f t="shared" ca="1" si="130"/>
        <v>nie</v>
      </c>
    </row>
    <row r="123" spans="1:55" s="176" customFormat="1" ht="14.45" hidden="1" customHeight="1" x14ac:dyDescent="0.25">
      <c r="A123" s="493" t="s">
        <v>24</v>
      </c>
      <c r="B123" s="493" t="s">
        <v>121</v>
      </c>
      <c r="C123" s="494" t="s">
        <v>122</v>
      </c>
      <c r="D123" s="505" t="s">
        <v>123</v>
      </c>
      <c r="E123" s="497">
        <v>900</v>
      </c>
      <c r="F123" s="497">
        <v>90015</v>
      </c>
      <c r="G123" s="497">
        <v>6050</v>
      </c>
      <c r="H123" s="507">
        <v>2022</v>
      </c>
      <c r="I123" s="499" t="str">
        <f ca="1">IF(COUNTIF(OFFSET(I123,-1,-8),"*propon*")&gt;0,OFFSET(I123,4,0),IF(Y123&gt;0,"2033",IF(X123&gt;0,"2032",IF(W123&gt;0,"2031",IF(V123&gt;0,"2030",IF(U123&gt;0,"2029",IF(T123&gt;0,"2028",IF(S123&gt;0,"2027",IF(R123&gt;0,"2026",IF(Q123&gt;0,"2025",IF(P123&gt;0,"2024",IF(M123&gt;0,"2023",IF(L123&gt;0,"2022","")))))))))))))</f>
        <v>2025</v>
      </c>
      <c r="J123" s="168" t="s">
        <v>98</v>
      </c>
      <c r="K123" s="169">
        <f>SUM(N123:O123)</f>
        <v>0</v>
      </c>
      <c r="L123" s="170">
        <f t="shared" ref="L123:M123" si="189">SUM(L124:L125)</f>
        <v>0</v>
      </c>
      <c r="M123" s="171">
        <f t="shared" si="189"/>
        <v>0</v>
      </c>
      <c r="N123" s="172">
        <f>SUM(L123:M123)</f>
        <v>0</v>
      </c>
      <c r="O123" s="169">
        <f>SUM(P123:Y123)</f>
        <v>0</v>
      </c>
      <c r="P123" s="173">
        <f t="shared" ref="P123:R123" si="190">SUM(P124:P125)</f>
        <v>0</v>
      </c>
      <c r="Q123" s="171">
        <f t="shared" si="190"/>
        <v>0</v>
      </c>
      <c r="R123" s="174">
        <f t="shared" si="190"/>
        <v>0</v>
      </c>
      <c r="S123" s="175">
        <f t="shared" ref="S123:Y123" si="191">SUM(S124:S125)</f>
        <v>0</v>
      </c>
      <c r="T123" s="171">
        <f t="shared" si="191"/>
        <v>0</v>
      </c>
      <c r="U123" s="171">
        <f t="shared" si="191"/>
        <v>0</v>
      </c>
      <c r="V123" s="171">
        <f t="shared" si="191"/>
        <v>0</v>
      </c>
      <c r="W123" s="171">
        <f t="shared" si="191"/>
        <v>0</v>
      </c>
      <c r="X123" s="171">
        <f t="shared" si="191"/>
        <v>0</v>
      </c>
      <c r="Y123" s="174">
        <f t="shared" si="191"/>
        <v>0</v>
      </c>
      <c r="Z123" s="149" t="str">
        <f t="shared" ca="1" si="104"/>
        <v>nie</v>
      </c>
      <c r="AA123" s="366"/>
      <c r="AB123" s="150" t="str">
        <f t="shared" ca="1" si="134"/>
        <v>-</v>
      </c>
      <c r="AC123" s="151" t="str">
        <f t="shared" ca="1" si="105"/>
        <v>PROPONOWANA ZMIANA</v>
      </c>
      <c r="AD123" s="152" t="str">
        <f t="shared" ca="1" si="106"/>
        <v>PROPONOWANA ZMIANA</v>
      </c>
      <c r="AE123" s="153" t="str">
        <f t="shared" ca="1" si="107"/>
        <v>C/USN/I/P2/41</v>
      </c>
      <c r="AF123" s="154" t="str">
        <f t="shared" ca="1" si="108"/>
        <v>Rozświetlmy Ursynów! Oświetlenie ciemnych miejsc na Ursynowie</v>
      </c>
      <c r="AG123" s="155">
        <f t="shared" ca="1" si="109"/>
        <v>90015</v>
      </c>
      <c r="AH123" s="155" t="str">
        <f t="shared" ca="1" si="110"/>
        <v>6050</v>
      </c>
      <c r="AI123" s="156" t="str">
        <f t="shared" ca="1" si="111"/>
        <v>BO/22/12/0240</v>
      </c>
      <c r="AJ123" s="157" t="str">
        <f t="shared" ca="1" si="112"/>
        <v>WPF, w tym</v>
      </c>
      <c r="AK123" s="158" t="str">
        <f t="shared" ca="1" si="113"/>
        <v>C/USN/I/P2/41 90015 6050 BO/22/12/0240</v>
      </c>
      <c r="AL123" s="158" t="str">
        <f t="shared" ca="1" si="114"/>
        <v>C/USN/I/P2/41 90015 6050 WPF, w tym</v>
      </c>
      <c r="AM123" s="159" t="str">
        <f t="shared" ca="1" si="115"/>
        <v>C/USN/I/P2/41 90015 6050 BO/22/12/0240 WPF, w tym</v>
      </c>
      <c r="AN123" s="160">
        <f t="shared" ca="1" si="116"/>
        <v>0</v>
      </c>
      <c r="AO123" s="161">
        <f t="shared" ca="1" si="117"/>
        <v>0</v>
      </c>
      <c r="AP123" s="162">
        <f t="shared" ca="1" si="118"/>
        <v>0</v>
      </c>
      <c r="AQ123" s="163">
        <f t="shared" ca="1" si="119"/>
        <v>0</v>
      </c>
      <c r="AR123" s="164">
        <f t="shared" ca="1" si="120"/>
        <v>0</v>
      </c>
      <c r="AS123" s="164">
        <f t="shared" ca="1" si="121"/>
        <v>0</v>
      </c>
      <c r="AT123" s="164">
        <f t="shared" ca="1" si="122"/>
        <v>0</v>
      </c>
      <c r="AU123" s="164">
        <f t="shared" ca="1" si="123"/>
        <v>0</v>
      </c>
      <c r="AV123" s="164">
        <f t="shared" ca="1" si="124"/>
        <v>0</v>
      </c>
      <c r="AW123" s="164">
        <f t="shared" ca="1" si="125"/>
        <v>0</v>
      </c>
      <c r="AX123" s="164">
        <f t="shared" ca="1" si="126"/>
        <v>0</v>
      </c>
      <c r="AY123" s="164">
        <f t="shared" ca="1" si="127"/>
        <v>0</v>
      </c>
      <c r="AZ123" s="164">
        <f t="shared" ca="1" si="128"/>
        <v>0</v>
      </c>
      <c r="BA123" s="165" t="str">
        <f t="shared" ca="1" si="129"/>
        <v>nie</v>
      </c>
      <c r="BB123" s="166" t="str">
        <f t="shared" ca="1" si="135"/>
        <v>-</v>
      </c>
      <c r="BC123" s="165" t="str">
        <f t="shared" ca="1" si="130"/>
        <v>nie</v>
      </c>
    </row>
    <row r="124" spans="1:55" s="167" customFormat="1" ht="14.45" hidden="1" customHeight="1" x14ac:dyDescent="0.25">
      <c r="A124" s="493"/>
      <c r="B124" s="493"/>
      <c r="C124" s="494"/>
      <c r="D124" s="506"/>
      <c r="E124" s="497"/>
      <c r="F124" s="497"/>
      <c r="G124" s="497"/>
      <c r="H124" s="498"/>
      <c r="I124" s="499"/>
      <c r="J124" s="177" t="s">
        <v>99</v>
      </c>
      <c r="K124" s="178">
        <f>SUM(N124:O124)</f>
        <v>0</v>
      </c>
      <c r="L124" s="179">
        <f t="shared" ref="L124:M124" si="192">L128-L120</f>
        <v>0</v>
      </c>
      <c r="M124" s="180">
        <f t="shared" si="192"/>
        <v>0</v>
      </c>
      <c r="N124" s="172">
        <f>SUM(L124:M124)</f>
        <v>0</v>
      </c>
      <c r="O124" s="178">
        <f>SUM(P124:Y124)</f>
        <v>0</v>
      </c>
      <c r="P124" s="181">
        <f t="shared" ref="P124:R124" si="193">P128-P120</f>
        <v>0</v>
      </c>
      <c r="Q124" s="180">
        <f t="shared" si="193"/>
        <v>0</v>
      </c>
      <c r="R124" s="182">
        <f t="shared" si="193"/>
        <v>0</v>
      </c>
      <c r="S124" s="183">
        <f t="shared" ref="S124:Y125" si="194">S128-S120</f>
        <v>0</v>
      </c>
      <c r="T124" s="180">
        <f t="shared" si="194"/>
        <v>0</v>
      </c>
      <c r="U124" s="180">
        <f t="shared" si="194"/>
        <v>0</v>
      </c>
      <c r="V124" s="180">
        <f t="shared" si="194"/>
        <v>0</v>
      </c>
      <c r="W124" s="180">
        <f t="shared" si="194"/>
        <v>0</v>
      </c>
      <c r="X124" s="180">
        <f t="shared" si="194"/>
        <v>0</v>
      </c>
      <c r="Y124" s="182">
        <f t="shared" si="194"/>
        <v>0</v>
      </c>
      <c r="Z124" s="149" t="str">
        <f t="shared" ca="1" si="104"/>
        <v>nie</v>
      </c>
      <c r="AA124" s="366"/>
      <c r="AB124" s="150" t="str">
        <f t="shared" ca="1" si="134"/>
        <v>-</v>
      </c>
      <c r="AC124" s="151" t="str">
        <f t="shared" ca="1" si="105"/>
        <v>PROPONOWANA ZMIANA</v>
      </c>
      <c r="AD124" s="152" t="str">
        <f t="shared" ca="1" si="106"/>
        <v>PROPONOWANA ZMIANA</v>
      </c>
      <c r="AE124" s="153" t="str">
        <f t="shared" ca="1" si="107"/>
        <v>C/USN/I/P2/41</v>
      </c>
      <c r="AF124" s="154" t="str">
        <f t="shared" ca="1" si="108"/>
        <v>Rozświetlmy Ursynów! Oświetlenie ciemnych miejsc na Ursynowie</v>
      </c>
      <c r="AG124" s="155">
        <f t="shared" ca="1" si="109"/>
        <v>90015</v>
      </c>
      <c r="AH124" s="155" t="str">
        <f t="shared" ca="1" si="110"/>
        <v>6050</v>
      </c>
      <c r="AI124" s="156" t="str">
        <f t="shared" ca="1" si="111"/>
        <v>BO/22/12/0240</v>
      </c>
      <c r="AJ124" s="157" t="str">
        <f t="shared" ca="1" si="112"/>
        <v>WPF/PM</v>
      </c>
      <c r="AK124" s="158" t="str">
        <f t="shared" ca="1" si="113"/>
        <v>C/USN/I/P2/41 90015 6050 BO/22/12/0240</v>
      </c>
      <c r="AL124" s="158" t="str">
        <f t="shared" ca="1" si="114"/>
        <v>C/USN/I/P2/41 90015 6050 WPF/PM</v>
      </c>
      <c r="AM124" s="159" t="str">
        <f t="shared" ca="1" si="115"/>
        <v>C/USN/I/P2/41 90015 6050 BO/22/12/0240 WPF/PM</v>
      </c>
      <c r="AN124" s="160">
        <f t="shared" ca="1" si="116"/>
        <v>0</v>
      </c>
      <c r="AO124" s="161">
        <f t="shared" ca="1" si="117"/>
        <v>0</v>
      </c>
      <c r="AP124" s="162">
        <f t="shared" ca="1" si="118"/>
        <v>0</v>
      </c>
      <c r="AQ124" s="163">
        <f t="shared" ca="1" si="119"/>
        <v>0</v>
      </c>
      <c r="AR124" s="164">
        <f t="shared" ca="1" si="120"/>
        <v>0</v>
      </c>
      <c r="AS124" s="164">
        <f t="shared" ca="1" si="121"/>
        <v>0</v>
      </c>
      <c r="AT124" s="164">
        <f t="shared" ca="1" si="122"/>
        <v>0</v>
      </c>
      <c r="AU124" s="164">
        <f t="shared" ca="1" si="123"/>
        <v>0</v>
      </c>
      <c r="AV124" s="164">
        <f t="shared" ca="1" si="124"/>
        <v>0</v>
      </c>
      <c r="AW124" s="164">
        <f t="shared" ca="1" si="125"/>
        <v>0</v>
      </c>
      <c r="AX124" s="164">
        <f t="shared" ca="1" si="126"/>
        <v>0</v>
      </c>
      <c r="AY124" s="164">
        <f t="shared" ca="1" si="127"/>
        <v>0</v>
      </c>
      <c r="AZ124" s="164">
        <f t="shared" ca="1" si="128"/>
        <v>0</v>
      </c>
      <c r="BA124" s="165" t="str">
        <f t="shared" ca="1" si="129"/>
        <v>nie</v>
      </c>
      <c r="BB124" s="166" t="str">
        <f t="shared" ca="1" si="135"/>
        <v>-</v>
      </c>
      <c r="BC124" s="165" t="str">
        <f t="shared" ca="1" si="130"/>
        <v>nie</v>
      </c>
    </row>
    <row r="125" spans="1:55" s="167" customFormat="1" ht="14.45" hidden="1" customHeight="1" x14ac:dyDescent="0.25">
      <c r="A125" s="493"/>
      <c r="B125" s="493"/>
      <c r="C125" s="494"/>
      <c r="D125" s="506"/>
      <c r="E125" s="497"/>
      <c r="F125" s="497"/>
      <c r="G125" s="497"/>
      <c r="H125" s="498"/>
      <c r="I125" s="499"/>
      <c r="J125" s="177" t="s">
        <v>100</v>
      </c>
      <c r="K125" s="178">
        <f>SUM(N125:O125)</f>
        <v>0</v>
      </c>
      <c r="L125" s="179">
        <f t="shared" ref="L125:M125" si="195">L129-L121</f>
        <v>0</v>
      </c>
      <c r="M125" s="180">
        <f t="shared" si="195"/>
        <v>0</v>
      </c>
      <c r="N125" s="172">
        <f>SUM(L125:M125)</f>
        <v>0</v>
      </c>
      <c r="O125" s="178">
        <f>SUM(P125:Y125)</f>
        <v>0</v>
      </c>
      <c r="P125" s="181">
        <f t="shared" ref="P125:R125" si="196">P129-P121</f>
        <v>0</v>
      </c>
      <c r="Q125" s="180">
        <f t="shared" si="196"/>
        <v>0</v>
      </c>
      <c r="R125" s="182">
        <f t="shared" si="196"/>
        <v>0</v>
      </c>
      <c r="S125" s="183">
        <f t="shared" si="194"/>
        <v>0</v>
      </c>
      <c r="T125" s="180">
        <f t="shared" si="194"/>
        <v>0</v>
      </c>
      <c r="U125" s="180">
        <f t="shared" si="194"/>
        <v>0</v>
      </c>
      <c r="V125" s="180">
        <f t="shared" si="194"/>
        <v>0</v>
      </c>
      <c r="W125" s="180">
        <f t="shared" si="194"/>
        <v>0</v>
      </c>
      <c r="X125" s="180">
        <f t="shared" si="194"/>
        <v>0</v>
      </c>
      <c r="Y125" s="182">
        <f t="shared" si="194"/>
        <v>0</v>
      </c>
      <c r="Z125" s="149" t="str">
        <f t="shared" ca="1" si="104"/>
        <v>nie</v>
      </c>
      <c r="AA125" s="366"/>
      <c r="AB125" s="150" t="str">
        <f t="shared" ca="1" si="134"/>
        <v>-</v>
      </c>
      <c r="AC125" s="151" t="str">
        <f t="shared" ca="1" si="105"/>
        <v>PROPONOWANA ZMIANA</v>
      </c>
      <c r="AD125" s="152" t="str">
        <f t="shared" ca="1" si="106"/>
        <v>PROPONOWANA ZMIANA</v>
      </c>
      <c r="AE125" s="153" t="str">
        <f t="shared" ca="1" si="107"/>
        <v>C/USN/I/P2/41</v>
      </c>
      <c r="AF125" s="154" t="str">
        <f t="shared" ca="1" si="108"/>
        <v>Rozświetlmy Ursynów! Oświetlenie ciemnych miejsc na Ursynowie</v>
      </c>
      <c r="AG125" s="155">
        <f t="shared" ca="1" si="109"/>
        <v>90015</v>
      </c>
      <c r="AH125" s="155" t="str">
        <f t="shared" ca="1" si="110"/>
        <v>6050</v>
      </c>
      <c r="AI125" s="156" t="str">
        <f t="shared" ca="1" si="111"/>
        <v>BO/22/12/0240</v>
      </c>
      <c r="AJ125" s="157" t="str">
        <f t="shared" ca="1" si="112"/>
        <v>WPF/UM</v>
      </c>
      <c r="AK125" s="158" t="str">
        <f t="shared" ca="1" si="113"/>
        <v>C/USN/I/P2/41 90015 6050 BO/22/12/0240</v>
      </c>
      <c r="AL125" s="158" t="str">
        <f t="shared" ca="1" si="114"/>
        <v>C/USN/I/P2/41 90015 6050 WPF/UM</v>
      </c>
      <c r="AM125" s="159" t="str">
        <f t="shared" ca="1" si="115"/>
        <v>C/USN/I/P2/41 90015 6050 BO/22/12/0240 WPF/UM</v>
      </c>
      <c r="AN125" s="160">
        <f t="shared" ca="1" si="116"/>
        <v>0</v>
      </c>
      <c r="AO125" s="161">
        <f t="shared" ca="1" si="117"/>
        <v>0</v>
      </c>
      <c r="AP125" s="162">
        <f t="shared" ca="1" si="118"/>
        <v>0</v>
      </c>
      <c r="AQ125" s="163">
        <f t="shared" ca="1" si="119"/>
        <v>0</v>
      </c>
      <c r="AR125" s="164">
        <f t="shared" ca="1" si="120"/>
        <v>0</v>
      </c>
      <c r="AS125" s="164">
        <f t="shared" ca="1" si="121"/>
        <v>0</v>
      </c>
      <c r="AT125" s="164">
        <f t="shared" ca="1" si="122"/>
        <v>0</v>
      </c>
      <c r="AU125" s="164">
        <f t="shared" ca="1" si="123"/>
        <v>0</v>
      </c>
      <c r="AV125" s="164">
        <f t="shared" ca="1" si="124"/>
        <v>0</v>
      </c>
      <c r="AW125" s="164">
        <f t="shared" ca="1" si="125"/>
        <v>0</v>
      </c>
      <c r="AX125" s="164">
        <f t="shared" ca="1" si="126"/>
        <v>0</v>
      </c>
      <c r="AY125" s="164">
        <f t="shared" ca="1" si="127"/>
        <v>0</v>
      </c>
      <c r="AZ125" s="164">
        <f t="shared" ca="1" si="128"/>
        <v>0</v>
      </c>
      <c r="BA125" s="165" t="str">
        <f t="shared" ca="1" si="129"/>
        <v>nie</v>
      </c>
      <c r="BB125" s="166" t="str">
        <f t="shared" ca="1" si="135"/>
        <v>-</v>
      </c>
      <c r="BC125" s="165" t="str">
        <f t="shared" ca="1" si="130"/>
        <v>nie</v>
      </c>
    </row>
    <row r="126" spans="1:55" s="167" customFormat="1" ht="14.45" hidden="1" customHeight="1" x14ac:dyDescent="0.25">
      <c r="A126" s="191" t="s">
        <v>101</v>
      </c>
      <c r="B126" s="192"/>
      <c r="C126" s="193"/>
      <c r="D126" s="192"/>
      <c r="E126" s="192"/>
      <c r="F126" s="192"/>
      <c r="G126" s="192"/>
      <c r="H126" s="192"/>
      <c r="I126" s="192"/>
      <c r="J126" s="192"/>
      <c r="K126" s="192"/>
      <c r="L126" s="192"/>
      <c r="M126" s="192"/>
      <c r="N126" s="192"/>
      <c r="O126" s="192"/>
      <c r="P126" s="192"/>
      <c r="Q126" s="192"/>
      <c r="R126" s="194"/>
      <c r="S126" s="195"/>
      <c r="T126" s="195"/>
      <c r="U126" s="195"/>
      <c r="V126" s="195"/>
      <c r="W126" s="195"/>
      <c r="X126" s="195"/>
      <c r="Y126" s="196"/>
      <c r="Z126" s="149" t="str">
        <f t="shared" ca="1" si="104"/>
        <v>nie</v>
      </c>
      <c r="AA126" s="366"/>
      <c r="AB126" s="150" t="str">
        <f t="shared" ca="1" si="134"/>
        <v>-</v>
      </c>
      <c r="AC126" s="151" t="str">
        <f t="shared" ca="1" si="105"/>
        <v>PO ZMIANIE</v>
      </c>
      <c r="AD126" s="152" t="str">
        <f t="shared" ca="1" si="106"/>
        <v/>
      </c>
      <c r="AE126" s="153" t="str">
        <f t="shared" ca="1" si="107"/>
        <v/>
      </c>
      <c r="AF126" s="154" t="str">
        <f t="shared" ca="1" si="108"/>
        <v/>
      </c>
      <c r="AG126" s="155" t="str">
        <f t="shared" ca="1" si="109"/>
        <v/>
      </c>
      <c r="AH126" s="155" t="str">
        <f t="shared" ca="1" si="110"/>
        <v/>
      </c>
      <c r="AI126" s="156" t="str">
        <f t="shared" ca="1" si="111"/>
        <v/>
      </c>
      <c r="AJ126" s="157" t="str">
        <f t="shared" ca="1" si="112"/>
        <v/>
      </c>
      <c r="AK126" s="158" t="str">
        <f t="shared" ca="1" si="113"/>
        <v/>
      </c>
      <c r="AL126" s="158" t="str">
        <f t="shared" ca="1" si="114"/>
        <v/>
      </c>
      <c r="AM126" s="159" t="str">
        <f t="shared" ca="1" si="115"/>
        <v/>
      </c>
      <c r="AN126" s="160" t="str">
        <f t="shared" ca="1" si="116"/>
        <v/>
      </c>
      <c r="AO126" s="161" t="str">
        <f t="shared" ca="1" si="117"/>
        <v/>
      </c>
      <c r="AP126" s="162" t="str">
        <f t="shared" ca="1" si="118"/>
        <v/>
      </c>
      <c r="AQ126" s="163" t="str">
        <f t="shared" ca="1" si="119"/>
        <v/>
      </c>
      <c r="AR126" s="164" t="str">
        <f t="shared" ca="1" si="120"/>
        <v/>
      </c>
      <c r="AS126" s="164" t="str">
        <f t="shared" ca="1" si="121"/>
        <v/>
      </c>
      <c r="AT126" s="164" t="str">
        <f t="shared" ca="1" si="122"/>
        <v/>
      </c>
      <c r="AU126" s="164" t="str">
        <f t="shared" ca="1" si="123"/>
        <v/>
      </c>
      <c r="AV126" s="164" t="str">
        <f t="shared" ca="1" si="124"/>
        <v/>
      </c>
      <c r="AW126" s="164" t="str">
        <f t="shared" ca="1" si="125"/>
        <v/>
      </c>
      <c r="AX126" s="164" t="str">
        <f t="shared" ca="1" si="126"/>
        <v/>
      </c>
      <c r="AY126" s="164" t="str">
        <f t="shared" ca="1" si="127"/>
        <v/>
      </c>
      <c r="AZ126" s="164" t="str">
        <f t="shared" ca="1" si="128"/>
        <v/>
      </c>
      <c r="BA126" s="165" t="str">
        <f t="shared" ca="1" si="129"/>
        <v>nie</v>
      </c>
      <c r="BB126" s="166" t="str">
        <f t="shared" ca="1" si="135"/>
        <v>-</v>
      </c>
      <c r="BC126" s="165" t="str">
        <f t="shared" ca="1" si="130"/>
        <v>nie</v>
      </c>
    </row>
    <row r="127" spans="1:55" s="176" customFormat="1" ht="14.45" hidden="1" customHeight="1" x14ac:dyDescent="0.25">
      <c r="A127" s="493" t="s">
        <v>24</v>
      </c>
      <c r="B127" s="493" t="s">
        <v>121</v>
      </c>
      <c r="C127" s="494" t="s">
        <v>122</v>
      </c>
      <c r="D127" s="505" t="s">
        <v>123</v>
      </c>
      <c r="E127" s="497">
        <v>900</v>
      </c>
      <c r="F127" s="497">
        <v>90015</v>
      </c>
      <c r="G127" s="497">
        <v>6050</v>
      </c>
      <c r="H127" s="507">
        <v>2022</v>
      </c>
      <c r="I127" s="499" t="str">
        <f ca="1">IF(COUNTIF(OFFSET(I127,-1,-8),"*propon*")&gt;0,OFFSET(I127,4,0),IF(Y127&gt;0,"2033",IF(X127&gt;0,"2032",IF(W127&gt;0,"2031",IF(V127&gt;0,"2030",IF(U127&gt;0,"2029",IF(T127&gt;0,"2028",IF(S127&gt;0,"2027",IF(R127&gt;0,"2026",IF(Q127&gt;0,"2025",IF(P127&gt;0,"2024",IF(M127&gt;0,"2023",IF(L127&gt;0,"2022","")))))))))))))</f>
        <v>2025</v>
      </c>
      <c r="J127" s="168" t="s">
        <v>102</v>
      </c>
      <c r="K127" s="169">
        <f>SUM(N127:O127)</f>
        <v>574000</v>
      </c>
      <c r="L127" s="170">
        <f t="shared" ref="L127:M127" si="197">SUM(L128:L129)</f>
        <v>163277</v>
      </c>
      <c r="M127" s="171">
        <f t="shared" si="197"/>
        <v>367159</v>
      </c>
      <c r="N127" s="172">
        <f>SUM(L127:M127)</f>
        <v>530436</v>
      </c>
      <c r="O127" s="169">
        <f>SUM(P127:Y127)</f>
        <v>43564</v>
      </c>
      <c r="P127" s="173">
        <f t="shared" ref="P127:R127" si="198">SUM(P128:P129)</f>
        <v>3564</v>
      </c>
      <c r="Q127" s="171">
        <f t="shared" si="198"/>
        <v>40000</v>
      </c>
      <c r="R127" s="174">
        <f t="shared" si="198"/>
        <v>0</v>
      </c>
      <c r="S127" s="175">
        <f t="shared" ref="S127:Y127" si="199">SUM(S128:S129)</f>
        <v>0</v>
      </c>
      <c r="T127" s="171">
        <f t="shared" si="199"/>
        <v>0</v>
      </c>
      <c r="U127" s="171">
        <f t="shared" si="199"/>
        <v>0</v>
      </c>
      <c r="V127" s="171">
        <f t="shared" si="199"/>
        <v>0</v>
      </c>
      <c r="W127" s="171">
        <f t="shared" si="199"/>
        <v>0</v>
      </c>
      <c r="X127" s="171">
        <f t="shared" si="199"/>
        <v>0</v>
      </c>
      <c r="Y127" s="174">
        <f t="shared" si="199"/>
        <v>0</v>
      </c>
      <c r="Z127" s="149" t="str">
        <f t="shared" ca="1" si="104"/>
        <v>nie</v>
      </c>
      <c r="AA127" s="366"/>
      <c r="AB127" s="150" t="str">
        <f t="shared" ca="1" si="134"/>
        <v>-</v>
      </c>
      <c r="AC127" s="151" t="str">
        <f t="shared" ca="1" si="105"/>
        <v>PO ZMIANIE</v>
      </c>
      <c r="AD127" s="152" t="str">
        <f t="shared" ca="1" si="106"/>
        <v>PO ZMIANIE</v>
      </c>
      <c r="AE127" s="153" t="str">
        <f t="shared" ca="1" si="107"/>
        <v>C/USN/I/P2/41</v>
      </c>
      <c r="AF127" s="154" t="str">
        <f t="shared" ca="1" si="108"/>
        <v>Rozświetlmy Ursynów! Oświetlenie ciemnych miejsc na Ursynowie</v>
      </c>
      <c r="AG127" s="155">
        <f t="shared" ca="1" si="109"/>
        <v>90015</v>
      </c>
      <c r="AH127" s="155" t="str">
        <f t="shared" ca="1" si="110"/>
        <v>6050</v>
      </c>
      <c r="AI127" s="156" t="str">
        <f t="shared" ca="1" si="111"/>
        <v>BO/22/12/0240</v>
      </c>
      <c r="AJ127" s="157" t="str">
        <f t="shared" ca="1" si="112"/>
        <v>WPF, w tym</v>
      </c>
      <c r="AK127" s="158" t="str">
        <f t="shared" ca="1" si="113"/>
        <v>C/USN/I/P2/41 90015 6050 BO/22/12/0240</v>
      </c>
      <c r="AL127" s="158" t="str">
        <f t="shared" ca="1" si="114"/>
        <v>C/USN/I/P2/41 90015 6050 WPF, w tym</v>
      </c>
      <c r="AM127" s="159" t="str">
        <f t="shared" ca="1" si="115"/>
        <v>C/USN/I/P2/41 90015 6050 BO/22/12/0240 WPF, w tym</v>
      </c>
      <c r="AN127" s="160">
        <f t="shared" ca="1" si="116"/>
        <v>574000</v>
      </c>
      <c r="AO127" s="161">
        <f t="shared" ca="1" si="117"/>
        <v>163277</v>
      </c>
      <c r="AP127" s="162">
        <f t="shared" ca="1" si="118"/>
        <v>367159</v>
      </c>
      <c r="AQ127" s="163">
        <f t="shared" ca="1" si="119"/>
        <v>3564</v>
      </c>
      <c r="AR127" s="164">
        <f t="shared" ca="1" si="120"/>
        <v>40000</v>
      </c>
      <c r="AS127" s="164">
        <f t="shared" ca="1" si="121"/>
        <v>0</v>
      </c>
      <c r="AT127" s="164">
        <f t="shared" ca="1" si="122"/>
        <v>0</v>
      </c>
      <c r="AU127" s="164">
        <f t="shared" ca="1" si="123"/>
        <v>0</v>
      </c>
      <c r="AV127" s="164">
        <f t="shared" ca="1" si="124"/>
        <v>0</v>
      </c>
      <c r="AW127" s="164">
        <f t="shared" ca="1" si="125"/>
        <v>0</v>
      </c>
      <c r="AX127" s="164">
        <f t="shared" ca="1" si="126"/>
        <v>0</v>
      </c>
      <c r="AY127" s="164">
        <f t="shared" ca="1" si="127"/>
        <v>0</v>
      </c>
      <c r="AZ127" s="164">
        <f t="shared" ca="1" si="128"/>
        <v>0</v>
      </c>
      <c r="BA127" s="165" t="str">
        <f t="shared" ca="1" si="129"/>
        <v>nie</v>
      </c>
      <c r="BB127" s="166" t="str">
        <f t="shared" ca="1" si="135"/>
        <v>-</v>
      </c>
      <c r="BC127" s="165" t="str">
        <f t="shared" ca="1" si="130"/>
        <v>nie</v>
      </c>
    </row>
    <row r="128" spans="1:55" s="167" customFormat="1" ht="14.45" hidden="1" customHeight="1" x14ac:dyDescent="0.25">
      <c r="A128" s="493"/>
      <c r="B128" s="493"/>
      <c r="C128" s="494"/>
      <c r="D128" s="506"/>
      <c r="E128" s="497"/>
      <c r="F128" s="497"/>
      <c r="G128" s="497"/>
      <c r="H128" s="498"/>
      <c r="I128" s="499"/>
      <c r="J128" s="177" t="s">
        <v>103</v>
      </c>
      <c r="K128" s="178">
        <f>SUM(N128:O128)</f>
        <v>43564</v>
      </c>
      <c r="L128" s="179"/>
      <c r="M128" s="180"/>
      <c r="N128" s="172">
        <f>SUM(L128:M128)</f>
        <v>0</v>
      </c>
      <c r="O128" s="178">
        <f>SUM(P128:Y128)</f>
        <v>43564</v>
      </c>
      <c r="P128" s="181">
        <f>3564</f>
        <v>3564</v>
      </c>
      <c r="Q128" s="180">
        <f>40000</f>
        <v>40000</v>
      </c>
      <c r="R128" s="182"/>
      <c r="S128" s="183"/>
      <c r="T128" s="180"/>
      <c r="U128" s="180"/>
      <c r="V128" s="180"/>
      <c r="W128" s="180"/>
      <c r="X128" s="180"/>
      <c r="Y128" s="182"/>
      <c r="Z128" s="149" t="str">
        <f t="shared" ca="1" si="104"/>
        <v>nie</v>
      </c>
      <c r="AA128" s="384"/>
      <c r="AB128" s="150" t="str">
        <f t="shared" ca="1" si="134"/>
        <v>-</v>
      </c>
      <c r="AC128" s="151" t="str">
        <f t="shared" ca="1" si="105"/>
        <v>PO ZMIANIE</v>
      </c>
      <c r="AD128" s="152" t="str">
        <f t="shared" ca="1" si="106"/>
        <v>PO ZMIANIE</v>
      </c>
      <c r="AE128" s="153" t="str">
        <f t="shared" ca="1" si="107"/>
        <v>C/USN/I/P2/41</v>
      </c>
      <c r="AF128" s="154" t="str">
        <f t="shared" ca="1" si="108"/>
        <v>Rozświetlmy Ursynów! Oświetlenie ciemnych miejsc na Ursynowie</v>
      </c>
      <c r="AG128" s="155">
        <f t="shared" ca="1" si="109"/>
        <v>90015</v>
      </c>
      <c r="AH128" s="155" t="str">
        <f t="shared" ca="1" si="110"/>
        <v>6050</v>
      </c>
      <c r="AI128" s="156" t="str">
        <f t="shared" ca="1" si="111"/>
        <v>BO/22/12/0240</v>
      </c>
      <c r="AJ128" s="157" t="str">
        <f t="shared" ca="1" si="112"/>
        <v>WPF/PM</v>
      </c>
      <c r="AK128" s="158" t="str">
        <f t="shared" ca="1" si="113"/>
        <v>C/USN/I/P2/41 90015 6050 BO/22/12/0240</v>
      </c>
      <c r="AL128" s="158" t="str">
        <f t="shared" ca="1" si="114"/>
        <v>C/USN/I/P2/41 90015 6050 WPF/PM</v>
      </c>
      <c r="AM128" s="159" t="str">
        <f t="shared" ca="1" si="115"/>
        <v>C/USN/I/P2/41 90015 6050 BO/22/12/0240 WPF/PM</v>
      </c>
      <c r="AN128" s="160">
        <f t="shared" ca="1" si="116"/>
        <v>43564</v>
      </c>
      <c r="AO128" s="161">
        <f t="shared" ca="1" si="117"/>
        <v>0</v>
      </c>
      <c r="AP128" s="162">
        <f t="shared" ca="1" si="118"/>
        <v>0</v>
      </c>
      <c r="AQ128" s="163">
        <f t="shared" ca="1" si="119"/>
        <v>3564</v>
      </c>
      <c r="AR128" s="164">
        <f t="shared" ca="1" si="120"/>
        <v>40000</v>
      </c>
      <c r="AS128" s="164">
        <f t="shared" ca="1" si="121"/>
        <v>0</v>
      </c>
      <c r="AT128" s="164">
        <f t="shared" ca="1" si="122"/>
        <v>0</v>
      </c>
      <c r="AU128" s="164">
        <f t="shared" ca="1" si="123"/>
        <v>0</v>
      </c>
      <c r="AV128" s="164">
        <f t="shared" ca="1" si="124"/>
        <v>0</v>
      </c>
      <c r="AW128" s="164">
        <f t="shared" ca="1" si="125"/>
        <v>0</v>
      </c>
      <c r="AX128" s="164">
        <f t="shared" ca="1" si="126"/>
        <v>0</v>
      </c>
      <c r="AY128" s="164">
        <f t="shared" ca="1" si="127"/>
        <v>0</v>
      </c>
      <c r="AZ128" s="164">
        <f t="shared" ca="1" si="128"/>
        <v>0</v>
      </c>
      <c r="BA128" s="165" t="str">
        <f t="shared" ca="1" si="129"/>
        <v>nie</v>
      </c>
      <c r="BB128" s="166" t="str">
        <f t="shared" ca="1" si="135"/>
        <v>-</v>
      </c>
      <c r="BC128" s="165" t="str">
        <f t="shared" ca="1" si="130"/>
        <v>nie</v>
      </c>
    </row>
    <row r="129" spans="1:55" s="167" customFormat="1" ht="14.45" hidden="1" customHeight="1" thickBot="1" x14ac:dyDescent="0.3">
      <c r="A129" s="500"/>
      <c r="B129" s="500"/>
      <c r="C129" s="501"/>
      <c r="D129" s="513"/>
      <c r="E129" s="503"/>
      <c r="F129" s="503"/>
      <c r="G129" s="503"/>
      <c r="H129" s="504"/>
      <c r="I129" s="499"/>
      <c r="J129" s="197" t="s">
        <v>104</v>
      </c>
      <c r="K129" s="198">
        <f>SUM(N129:O129)</f>
        <v>530436</v>
      </c>
      <c r="L129" s="199">
        <v>163277</v>
      </c>
      <c r="M129" s="200">
        <f>367159</f>
        <v>367159</v>
      </c>
      <c r="N129" s="371">
        <f>SUM(L129:M129)</f>
        <v>530436</v>
      </c>
      <c r="O129" s="198">
        <f>SUM(P129:Y129)</f>
        <v>0</v>
      </c>
      <c r="P129" s="201"/>
      <c r="Q129" s="200"/>
      <c r="R129" s="202"/>
      <c r="S129" s="203"/>
      <c r="T129" s="200"/>
      <c r="U129" s="200"/>
      <c r="V129" s="200"/>
      <c r="W129" s="200"/>
      <c r="X129" s="200"/>
      <c r="Y129" s="202"/>
      <c r="Z129" s="149" t="str">
        <f t="shared" ca="1" si="104"/>
        <v>nie</v>
      </c>
      <c r="AA129" s="396"/>
      <c r="AB129" s="150" t="str">
        <f t="shared" ca="1" si="134"/>
        <v>-</v>
      </c>
      <c r="AC129" s="151" t="str">
        <f t="shared" ca="1" si="105"/>
        <v>PO ZMIANIE</v>
      </c>
      <c r="AD129" s="152" t="str">
        <f t="shared" ca="1" si="106"/>
        <v>PO ZMIANIE</v>
      </c>
      <c r="AE129" s="153" t="str">
        <f t="shared" ca="1" si="107"/>
        <v>C/USN/I/P2/41</v>
      </c>
      <c r="AF129" s="154" t="str">
        <f t="shared" ca="1" si="108"/>
        <v>Rozświetlmy Ursynów! Oświetlenie ciemnych miejsc na Ursynowie</v>
      </c>
      <c r="AG129" s="155">
        <f t="shared" ca="1" si="109"/>
        <v>90015</v>
      </c>
      <c r="AH129" s="155" t="str">
        <f t="shared" ca="1" si="110"/>
        <v>6050</v>
      </c>
      <c r="AI129" s="156" t="str">
        <f t="shared" ca="1" si="111"/>
        <v>BO/22/12/0240</v>
      </c>
      <c r="AJ129" s="157" t="str">
        <f t="shared" ca="1" si="112"/>
        <v>WPF/UM</v>
      </c>
      <c r="AK129" s="158" t="str">
        <f t="shared" ca="1" si="113"/>
        <v>C/USN/I/P2/41 90015 6050 BO/22/12/0240</v>
      </c>
      <c r="AL129" s="158" t="str">
        <f t="shared" ca="1" si="114"/>
        <v>C/USN/I/P2/41 90015 6050 WPF/UM</v>
      </c>
      <c r="AM129" s="159" t="str">
        <f t="shared" ca="1" si="115"/>
        <v>C/USN/I/P2/41 90015 6050 BO/22/12/0240 WPF/UM</v>
      </c>
      <c r="AN129" s="160">
        <f t="shared" ca="1" si="116"/>
        <v>530436</v>
      </c>
      <c r="AO129" s="161">
        <f t="shared" ca="1" si="117"/>
        <v>163277</v>
      </c>
      <c r="AP129" s="162">
        <f t="shared" ca="1" si="118"/>
        <v>367159</v>
      </c>
      <c r="AQ129" s="163">
        <f t="shared" ca="1" si="119"/>
        <v>0</v>
      </c>
      <c r="AR129" s="164">
        <f t="shared" ca="1" si="120"/>
        <v>0</v>
      </c>
      <c r="AS129" s="164">
        <f t="shared" ca="1" si="121"/>
        <v>0</v>
      </c>
      <c r="AT129" s="164">
        <f t="shared" ca="1" si="122"/>
        <v>0</v>
      </c>
      <c r="AU129" s="164">
        <f t="shared" ca="1" si="123"/>
        <v>0</v>
      </c>
      <c r="AV129" s="164">
        <f t="shared" ca="1" si="124"/>
        <v>0</v>
      </c>
      <c r="AW129" s="164">
        <f t="shared" ca="1" si="125"/>
        <v>0</v>
      </c>
      <c r="AX129" s="164">
        <f t="shared" ca="1" si="126"/>
        <v>0</v>
      </c>
      <c r="AY129" s="164">
        <f t="shared" ca="1" si="127"/>
        <v>0</v>
      </c>
      <c r="AZ129" s="164">
        <f t="shared" ca="1" si="128"/>
        <v>0</v>
      </c>
      <c r="BA129" s="165" t="str">
        <f t="shared" ca="1" si="129"/>
        <v>nie</v>
      </c>
      <c r="BB129" s="166" t="str">
        <f t="shared" ca="1" si="135"/>
        <v>-</v>
      </c>
      <c r="BC129" s="165" t="str">
        <f t="shared" ca="1" si="130"/>
        <v>nie</v>
      </c>
    </row>
    <row r="130" spans="1:55" s="167" customFormat="1" ht="14.45" hidden="1" customHeight="1" x14ac:dyDescent="0.25">
      <c r="A130" s="143" t="s">
        <v>91</v>
      </c>
      <c r="B130" s="144"/>
      <c r="C130" s="145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6"/>
      <c r="S130" s="147"/>
      <c r="T130" s="147"/>
      <c r="U130" s="147"/>
      <c r="V130" s="147"/>
      <c r="W130" s="147"/>
      <c r="X130" s="147"/>
      <c r="Y130" s="148"/>
      <c r="Z130" s="149" t="str">
        <f t="shared" ca="1" si="104"/>
        <v>nie</v>
      </c>
      <c r="AA130" s="366"/>
      <c r="AB130" s="150" t="str">
        <f t="shared" ca="1" si="134"/>
        <v>-</v>
      </c>
      <c r="AC130" s="151" t="str">
        <f t="shared" ca="1" si="105"/>
        <v>PRZED ZMIANĄ</v>
      </c>
      <c r="AD130" s="152" t="str">
        <f t="shared" ca="1" si="106"/>
        <v/>
      </c>
      <c r="AE130" s="153" t="str">
        <f t="shared" ca="1" si="107"/>
        <v/>
      </c>
      <c r="AF130" s="154" t="str">
        <f t="shared" ca="1" si="108"/>
        <v/>
      </c>
      <c r="AG130" s="155" t="str">
        <f t="shared" ca="1" si="109"/>
        <v/>
      </c>
      <c r="AH130" s="155" t="str">
        <f t="shared" ca="1" si="110"/>
        <v/>
      </c>
      <c r="AI130" s="156" t="str">
        <f t="shared" ca="1" si="111"/>
        <v/>
      </c>
      <c r="AJ130" s="157" t="str">
        <f t="shared" ca="1" si="112"/>
        <v/>
      </c>
      <c r="AK130" s="158" t="str">
        <f t="shared" ca="1" si="113"/>
        <v/>
      </c>
      <c r="AL130" s="158" t="str">
        <f t="shared" ca="1" si="114"/>
        <v/>
      </c>
      <c r="AM130" s="159" t="str">
        <f t="shared" ca="1" si="115"/>
        <v/>
      </c>
      <c r="AN130" s="160" t="str">
        <f t="shared" ca="1" si="116"/>
        <v/>
      </c>
      <c r="AO130" s="161" t="str">
        <f t="shared" ca="1" si="117"/>
        <v/>
      </c>
      <c r="AP130" s="162" t="str">
        <f t="shared" ca="1" si="118"/>
        <v/>
      </c>
      <c r="AQ130" s="163" t="str">
        <f t="shared" ca="1" si="119"/>
        <v/>
      </c>
      <c r="AR130" s="164" t="str">
        <f t="shared" ca="1" si="120"/>
        <v/>
      </c>
      <c r="AS130" s="164" t="str">
        <f t="shared" ca="1" si="121"/>
        <v/>
      </c>
      <c r="AT130" s="164" t="str">
        <f t="shared" ca="1" si="122"/>
        <v/>
      </c>
      <c r="AU130" s="164" t="str">
        <f t="shared" ca="1" si="123"/>
        <v/>
      </c>
      <c r="AV130" s="164" t="str">
        <f t="shared" ca="1" si="124"/>
        <v/>
      </c>
      <c r="AW130" s="164" t="str">
        <f t="shared" ca="1" si="125"/>
        <v/>
      </c>
      <c r="AX130" s="164" t="str">
        <f t="shared" ca="1" si="126"/>
        <v/>
      </c>
      <c r="AY130" s="164" t="str">
        <f t="shared" ca="1" si="127"/>
        <v/>
      </c>
      <c r="AZ130" s="164" t="str">
        <f t="shared" ca="1" si="128"/>
        <v/>
      </c>
      <c r="BA130" s="165" t="str">
        <f t="shared" ca="1" si="129"/>
        <v>nie</v>
      </c>
      <c r="BB130" s="166" t="str">
        <f t="shared" ca="1" si="135"/>
        <v>-</v>
      </c>
      <c r="BC130" s="165" t="str">
        <f t="shared" ca="1" si="130"/>
        <v>nie</v>
      </c>
    </row>
    <row r="131" spans="1:55" s="176" customFormat="1" ht="14.45" hidden="1" customHeight="1" x14ac:dyDescent="0.25">
      <c r="A131" s="493" t="s">
        <v>24</v>
      </c>
      <c r="B131" s="493" t="s">
        <v>26</v>
      </c>
      <c r="C131" s="494" t="s">
        <v>124</v>
      </c>
      <c r="D131" s="511" t="s">
        <v>125</v>
      </c>
      <c r="E131" s="497">
        <v>600</v>
      </c>
      <c r="F131" s="497">
        <v>60016</v>
      </c>
      <c r="G131" s="497">
        <v>6050</v>
      </c>
      <c r="H131" s="507">
        <v>2022</v>
      </c>
      <c r="I131" s="499" t="str">
        <f ca="1">IF(COUNTIF(OFFSET(I131,-1,-8),"*propon*")&gt;0,OFFSET(I131,4,0),IF(Y131&gt;0,"2033",IF(X131&gt;0,"2032",IF(W131&gt;0,"2031",IF(V131&gt;0,"2030",IF(U131&gt;0,"2029",IF(T131&gt;0,"2028",IF(S131&gt;0,"2027",IF(R131&gt;0,"2026",IF(Q131&gt;0,"2025",IF(P131&gt;0,"2024",IF(M131&gt;0,"2023",IF(L131&gt;0,"2022","")))))))))))))</f>
        <v>2024</v>
      </c>
      <c r="J131" s="168" t="s">
        <v>94</v>
      </c>
      <c r="K131" s="169">
        <f>SUM(N131:O131)</f>
        <v>1134794</v>
      </c>
      <c r="L131" s="170">
        <f t="shared" ref="L131:M131" si="200">SUM(L132:L133)</f>
        <v>590027</v>
      </c>
      <c r="M131" s="171">
        <f t="shared" si="200"/>
        <v>329081</v>
      </c>
      <c r="N131" s="172">
        <f>SUM(L131:M131)</f>
        <v>919108</v>
      </c>
      <c r="O131" s="169">
        <f>SUM(P131:Y131)</f>
        <v>215686</v>
      </c>
      <c r="P131" s="173">
        <f t="shared" ref="P131:R131" si="201">SUM(P132:P133)</f>
        <v>215686</v>
      </c>
      <c r="Q131" s="171">
        <f t="shared" si="201"/>
        <v>0</v>
      </c>
      <c r="R131" s="174">
        <f t="shared" si="201"/>
        <v>0</v>
      </c>
      <c r="S131" s="175">
        <f t="shared" ref="S131:Y131" si="202">SUM(S132:S133)</f>
        <v>0</v>
      </c>
      <c r="T131" s="171">
        <f t="shared" si="202"/>
        <v>0</v>
      </c>
      <c r="U131" s="171">
        <f t="shared" si="202"/>
        <v>0</v>
      </c>
      <c r="V131" s="171">
        <f t="shared" si="202"/>
        <v>0</v>
      </c>
      <c r="W131" s="171">
        <f t="shared" si="202"/>
        <v>0</v>
      </c>
      <c r="X131" s="171">
        <f t="shared" si="202"/>
        <v>0</v>
      </c>
      <c r="Y131" s="174">
        <f t="shared" si="202"/>
        <v>0</v>
      </c>
      <c r="Z131" s="149" t="str">
        <f t="shared" ca="1" si="104"/>
        <v>nie</v>
      </c>
      <c r="AA131" s="366"/>
      <c r="AB131" s="150" t="str">
        <f t="shared" ca="1" si="134"/>
        <v>-</v>
      </c>
      <c r="AC131" s="151" t="str">
        <f t="shared" ca="1" si="105"/>
        <v>PRZED ZMIANĄ</v>
      </c>
      <c r="AD131" s="152" t="str">
        <f t="shared" ca="1" si="106"/>
        <v>PRZED ZMIANĄ</v>
      </c>
      <c r="AE131" s="153" t="str">
        <f t="shared" ca="1" si="107"/>
        <v>C/USN/I/P2/43</v>
      </c>
      <c r="AF131" s="154" t="str">
        <f t="shared" ca="1" si="108"/>
        <v>Budowa i modernizacja infrastruktury drogowej na terenie Wysokiego Ursynowa</v>
      </c>
      <c r="AG131" s="155">
        <f t="shared" ca="1" si="109"/>
        <v>60016</v>
      </c>
      <c r="AH131" s="155" t="str">
        <f t="shared" ca="1" si="110"/>
        <v>6050</v>
      </c>
      <c r="AI131" s="156" t="str">
        <f t="shared" ca="1" si="111"/>
        <v>GMMW</v>
      </c>
      <c r="AJ131" s="157" t="str">
        <f t="shared" ca="1" si="112"/>
        <v>WPF, w tym</v>
      </c>
      <c r="AK131" s="158" t="str">
        <f t="shared" ca="1" si="113"/>
        <v>C/USN/I/P2/43 60016 6050 GMMW</v>
      </c>
      <c r="AL131" s="158" t="str">
        <f t="shared" ca="1" si="114"/>
        <v>C/USN/I/P2/43 60016 6050 WPF, w tym</v>
      </c>
      <c r="AM131" s="159" t="str">
        <f t="shared" ca="1" si="115"/>
        <v>C/USN/I/P2/43 60016 6050 GMMW WPF, w tym</v>
      </c>
      <c r="AN131" s="160">
        <f t="shared" ca="1" si="116"/>
        <v>1134794</v>
      </c>
      <c r="AO131" s="161">
        <f t="shared" ca="1" si="117"/>
        <v>590027</v>
      </c>
      <c r="AP131" s="162">
        <f t="shared" ca="1" si="118"/>
        <v>329081</v>
      </c>
      <c r="AQ131" s="163">
        <f t="shared" ca="1" si="119"/>
        <v>215686</v>
      </c>
      <c r="AR131" s="164">
        <f t="shared" ca="1" si="120"/>
        <v>0</v>
      </c>
      <c r="AS131" s="164">
        <f t="shared" ca="1" si="121"/>
        <v>0</v>
      </c>
      <c r="AT131" s="164">
        <f t="shared" ca="1" si="122"/>
        <v>0</v>
      </c>
      <c r="AU131" s="164">
        <f t="shared" ca="1" si="123"/>
        <v>0</v>
      </c>
      <c r="AV131" s="164">
        <f t="shared" ca="1" si="124"/>
        <v>0</v>
      </c>
      <c r="AW131" s="164">
        <f t="shared" ca="1" si="125"/>
        <v>0</v>
      </c>
      <c r="AX131" s="164">
        <f t="shared" ca="1" si="126"/>
        <v>0</v>
      </c>
      <c r="AY131" s="164">
        <f t="shared" ca="1" si="127"/>
        <v>0</v>
      </c>
      <c r="AZ131" s="164">
        <f t="shared" ca="1" si="128"/>
        <v>0</v>
      </c>
      <c r="BA131" s="165" t="str">
        <f t="shared" ca="1" si="129"/>
        <v>nie</v>
      </c>
      <c r="BB131" s="166" t="str">
        <f t="shared" ca="1" si="135"/>
        <v>-</v>
      </c>
      <c r="BC131" s="165" t="str">
        <f t="shared" ca="1" si="130"/>
        <v>nie</v>
      </c>
    </row>
    <row r="132" spans="1:55" s="167" customFormat="1" ht="14.45" hidden="1" customHeight="1" x14ac:dyDescent="0.25">
      <c r="A132" s="493"/>
      <c r="B132" s="493"/>
      <c r="C132" s="494"/>
      <c r="D132" s="512"/>
      <c r="E132" s="497"/>
      <c r="F132" s="497"/>
      <c r="G132" s="497"/>
      <c r="H132" s="498"/>
      <c r="I132" s="499"/>
      <c r="J132" s="177" t="s">
        <v>95</v>
      </c>
      <c r="K132" s="178">
        <f>SUM(N132:O132)</f>
        <v>215686</v>
      </c>
      <c r="L132" s="179"/>
      <c r="M132" s="180"/>
      <c r="N132" s="172">
        <f>SUM(L132:M132)</f>
        <v>0</v>
      </c>
      <c r="O132" s="178">
        <f>SUM(P132:Y132)</f>
        <v>215686</v>
      </c>
      <c r="P132" s="181">
        <v>215686</v>
      </c>
      <c r="Q132" s="180"/>
      <c r="R132" s="182"/>
      <c r="S132" s="183"/>
      <c r="T132" s="180"/>
      <c r="U132" s="180"/>
      <c r="V132" s="180"/>
      <c r="W132" s="180"/>
      <c r="X132" s="180"/>
      <c r="Y132" s="182"/>
      <c r="Z132" s="149" t="str">
        <f t="shared" ca="1" si="104"/>
        <v>nie</v>
      </c>
      <c r="AA132" s="366"/>
      <c r="AB132" s="150" t="str">
        <f t="shared" ca="1" si="134"/>
        <v>-</v>
      </c>
      <c r="AC132" s="151" t="str">
        <f t="shared" ca="1" si="105"/>
        <v>PRZED ZMIANĄ</v>
      </c>
      <c r="AD132" s="152" t="str">
        <f t="shared" ca="1" si="106"/>
        <v>PRZED ZMIANĄ</v>
      </c>
      <c r="AE132" s="153" t="str">
        <f t="shared" ca="1" si="107"/>
        <v>C/USN/I/P2/43</v>
      </c>
      <c r="AF132" s="154" t="str">
        <f t="shared" ca="1" si="108"/>
        <v>Budowa i modernizacja infrastruktury drogowej na terenie Wysokiego Ursynowa</v>
      </c>
      <c r="AG132" s="155">
        <f t="shared" ca="1" si="109"/>
        <v>60016</v>
      </c>
      <c r="AH132" s="155" t="str">
        <f t="shared" ca="1" si="110"/>
        <v>6050</v>
      </c>
      <c r="AI132" s="156" t="str">
        <f t="shared" ca="1" si="111"/>
        <v>GMMW</v>
      </c>
      <c r="AJ132" s="157" t="str">
        <f t="shared" ca="1" si="112"/>
        <v>WPF/PM</v>
      </c>
      <c r="AK132" s="158" t="str">
        <f t="shared" ca="1" si="113"/>
        <v>C/USN/I/P2/43 60016 6050 GMMW</v>
      </c>
      <c r="AL132" s="158" t="str">
        <f t="shared" ca="1" si="114"/>
        <v>C/USN/I/P2/43 60016 6050 WPF/PM</v>
      </c>
      <c r="AM132" s="159" t="str">
        <f t="shared" ca="1" si="115"/>
        <v>C/USN/I/P2/43 60016 6050 GMMW WPF/PM</v>
      </c>
      <c r="AN132" s="160">
        <f t="shared" ca="1" si="116"/>
        <v>215686</v>
      </c>
      <c r="AO132" s="161">
        <f t="shared" ca="1" si="117"/>
        <v>0</v>
      </c>
      <c r="AP132" s="162">
        <f t="shared" ca="1" si="118"/>
        <v>0</v>
      </c>
      <c r="AQ132" s="163">
        <f t="shared" ca="1" si="119"/>
        <v>215686</v>
      </c>
      <c r="AR132" s="164">
        <f t="shared" ca="1" si="120"/>
        <v>0</v>
      </c>
      <c r="AS132" s="164">
        <f t="shared" ca="1" si="121"/>
        <v>0</v>
      </c>
      <c r="AT132" s="164">
        <f t="shared" ca="1" si="122"/>
        <v>0</v>
      </c>
      <c r="AU132" s="164">
        <f t="shared" ca="1" si="123"/>
        <v>0</v>
      </c>
      <c r="AV132" s="164">
        <f t="shared" ca="1" si="124"/>
        <v>0</v>
      </c>
      <c r="AW132" s="164">
        <f t="shared" ca="1" si="125"/>
        <v>0</v>
      </c>
      <c r="AX132" s="164">
        <f t="shared" ca="1" si="126"/>
        <v>0</v>
      </c>
      <c r="AY132" s="164">
        <f t="shared" ca="1" si="127"/>
        <v>0</v>
      </c>
      <c r="AZ132" s="164">
        <f t="shared" ca="1" si="128"/>
        <v>0</v>
      </c>
      <c r="BA132" s="165" t="str">
        <f t="shared" ca="1" si="129"/>
        <v>nie</v>
      </c>
      <c r="BB132" s="166" t="str">
        <f t="shared" ca="1" si="135"/>
        <v>-</v>
      </c>
      <c r="BC132" s="165" t="str">
        <f t="shared" ca="1" si="130"/>
        <v>nie</v>
      </c>
    </row>
    <row r="133" spans="1:55" s="167" customFormat="1" ht="14.45" hidden="1" customHeight="1" x14ac:dyDescent="0.25">
      <c r="A133" s="493"/>
      <c r="B133" s="493"/>
      <c r="C133" s="494"/>
      <c r="D133" s="512"/>
      <c r="E133" s="497"/>
      <c r="F133" s="497"/>
      <c r="G133" s="497"/>
      <c r="H133" s="498"/>
      <c r="I133" s="499"/>
      <c r="J133" s="177" t="s">
        <v>96</v>
      </c>
      <c r="K133" s="178">
        <f>SUM(N133:O133)</f>
        <v>919108</v>
      </c>
      <c r="L133" s="184">
        <v>590027</v>
      </c>
      <c r="M133" s="180">
        <v>329081</v>
      </c>
      <c r="N133" s="172">
        <f>SUM(L133:M133)</f>
        <v>919108</v>
      </c>
      <c r="O133" s="178">
        <f>SUM(P133:Y133)</f>
        <v>0</v>
      </c>
      <c r="P133" s="181"/>
      <c r="Q133" s="180"/>
      <c r="R133" s="182"/>
      <c r="S133" s="183"/>
      <c r="T133" s="180"/>
      <c r="U133" s="180"/>
      <c r="V133" s="180"/>
      <c r="W133" s="180"/>
      <c r="X133" s="180"/>
      <c r="Y133" s="182"/>
      <c r="Z133" s="149" t="str">
        <f t="shared" ca="1" si="104"/>
        <v>nie</v>
      </c>
      <c r="AA133" s="366"/>
      <c r="AB133" s="150" t="str">
        <f t="shared" ca="1" si="134"/>
        <v>-</v>
      </c>
      <c r="AC133" s="151" t="str">
        <f t="shared" ca="1" si="105"/>
        <v>PRZED ZMIANĄ</v>
      </c>
      <c r="AD133" s="152" t="str">
        <f t="shared" ca="1" si="106"/>
        <v>PRZED ZMIANĄ</v>
      </c>
      <c r="AE133" s="153" t="str">
        <f t="shared" ca="1" si="107"/>
        <v>C/USN/I/P2/43</v>
      </c>
      <c r="AF133" s="154" t="str">
        <f t="shared" ca="1" si="108"/>
        <v>Budowa i modernizacja infrastruktury drogowej na terenie Wysokiego Ursynowa</v>
      </c>
      <c r="AG133" s="155">
        <f t="shared" ca="1" si="109"/>
        <v>60016</v>
      </c>
      <c r="AH133" s="155" t="str">
        <f t="shared" ca="1" si="110"/>
        <v>6050</v>
      </c>
      <c r="AI133" s="156" t="str">
        <f t="shared" ca="1" si="111"/>
        <v>GMMW</v>
      </c>
      <c r="AJ133" s="157" t="str">
        <f t="shared" ca="1" si="112"/>
        <v>WPF/UM</v>
      </c>
      <c r="AK133" s="158" t="str">
        <f t="shared" ca="1" si="113"/>
        <v>C/USN/I/P2/43 60016 6050 GMMW</v>
      </c>
      <c r="AL133" s="158" t="str">
        <f t="shared" ca="1" si="114"/>
        <v>C/USN/I/P2/43 60016 6050 WPF/UM</v>
      </c>
      <c r="AM133" s="159" t="str">
        <f t="shared" ca="1" si="115"/>
        <v>C/USN/I/P2/43 60016 6050 GMMW WPF/UM</v>
      </c>
      <c r="AN133" s="160">
        <f t="shared" ca="1" si="116"/>
        <v>919108</v>
      </c>
      <c r="AO133" s="161">
        <f t="shared" ca="1" si="117"/>
        <v>590027</v>
      </c>
      <c r="AP133" s="162">
        <f t="shared" ca="1" si="118"/>
        <v>329081</v>
      </c>
      <c r="AQ133" s="163">
        <f t="shared" ca="1" si="119"/>
        <v>0</v>
      </c>
      <c r="AR133" s="164">
        <f t="shared" ca="1" si="120"/>
        <v>0</v>
      </c>
      <c r="AS133" s="164">
        <f t="shared" ca="1" si="121"/>
        <v>0</v>
      </c>
      <c r="AT133" s="164">
        <f t="shared" ca="1" si="122"/>
        <v>0</v>
      </c>
      <c r="AU133" s="164">
        <f t="shared" ca="1" si="123"/>
        <v>0</v>
      </c>
      <c r="AV133" s="164">
        <f t="shared" ca="1" si="124"/>
        <v>0</v>
      </c>
      <c r="AW133" s="164">
        <f t="shared" ca="1" si="125"/>
        <v>0</v>
      </c>
      <c r="AX133" s="164">
        <f t="shared" ca="1" si="126"/>
        <v>0</v>
      </c>
      <c r="AY133" s="164">
        <f t="shared" ca="1" si="127"/>
        <v>0</v>
      </c>
      <c r="AZ133" s="164">
        <f t="shared" ca="1" si="128"/>
        <v>0</v>
      </c>
      <c r="BA133" s="165" t="str">
        <f t="shared" ca="1" si="129"/>
        <v>nie</v>
      </c>
      <c r="BB133" s="166" t="str">
        <f t="shared" ca="1" si="135"/>
        <v>-</v>
      </c>
      <c r="BC133" s="165" t="str">
        <f t="shared" ca="1" si="130"/>
        <v>nie</v>
      </c>
    </row>
    <row r="134" spans="1:55" s="167" customFormat="1" ht="14.45" hidden="1" customHeight="1" x14ac:dyDescent="0.25">
      <c r="A134" s="185" t="s">
        <v>97</v>
      </c>
      <c r="B134" s="186"/>
      <c r="C134" s="187"/>
      <c r="D134" s="186"/>
      <c r="E134" s="186"/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  <c r="R134" s="188"/>
      <c r="S134" s="189"/>
      <c r="T134" s="189"/>
      <c r="U134" s="189"/>
      <c r="V134" s="189"/>
      <c r="W134" s="189"/>
      <c r="X134" s="189"/>
      <c r="Y134" s="190"/>
      <c r="Z134" s="149" t="str">
        <f t="shared" ca="1" si="104"/>
        <v>nie</v>
      </c>
      <c r="AA134" s="366"/>
      <c r="AB134" s="150" t="str">
        <f t="shared" ca="1" si="134"/>
        <v>-</v>
      </c>
      <c r="AC134" s="151" t="str">
        <f t="shared" ca="1" si="105"/>
        <v>PROPONOWANA ZMIANA</v>
      </c>
      <c r="AD134" s="152" t="str">
        <f t="shared" ca="1" si="106"/>
        <v/>
      </c>
      <c r="AE134" s="153" t="str">
        <f t="shared" ca="1" si="107"/>
        <v/>
      </c>
      <c r="AF134" s="154" t="str">
        <f t="shared" ca="1" si="108"/>
        <v/>
      </c>
      <c r="AG134" s="155" t="str">
        <f t="shared" ca="1" si="109"/>
        <v/>
      </c>
      <c r="AH134" s="155" t="str">
        <f t="shared" ca="1" si="110"/>
        <v/>
      </c>
      <c r="AI134" s="156" t="str">
        <f t="shared" ca="1" si="111"/>
        <v/>
      </c>
      <c r="AJ134" s="157" t="str">
        <f t="shared" ca="1" si="112"/>
        <v/>
      </c>
      <c r="AK134" s="158" t="str">
        <f t="shared" ca="1" si="113"/>
        <v/>
      </c>
      <c r="AL134" s="158" t="str">
        <f t="shared" ca="1" si="114"/>
        <v/>
      </c>
      <c r="AM134" s="159" t="str">
        <f t="shared" ca="1" si="115"/>
        <v/>
      </c>
      <c r="AN134" s="160" t="str">
        <f t="shared" ca="1" si="116"/>
        <v/>
      </c>
      <c r="AO134" s="161" t="str">
        <f t="shared" ca="1" si="117"/>
        <v/>
      </c>
      <c r="AP134" s="162" t="str">
        <f t="shared" ca="1" si="118"/>
        <v/>
      </c>
      <c r="AQ134" s="163" t="str">
        <f t="shared" ca="1" si="119"/>
        <v/>
      </c>
      <c r="AR134" s="164" t="str">
        <f t="shared" ca="1" si="120"/>
        <v/>
      </c>
      <c r="AS134" s="164" t="str">
        <f t="shared" ca="1" si="121"/>
        <v/>
      </c>
      <c r="AT134" s="164" t="str">
        <f t="shared" ca="1" si="122"/>
        <v/>
      </c>
      <c r="AU134" s="164" t="str">
        <f t="shared" ca="1" si="123"/>
        <v/>
      </c>
      <c r="AV134" s="164" t="str">
        <f t="shared" ca="1" si="124"/>
        <v/>
      </c>
      <c r="AW134" s="164" t="str">
        <f t="shared" ca="1" si="125"/>
        <v/>
      </c>
      <c r="AX134" s="164" t="str">
        <f t="shared" ca="1" si="126"/>
        <v/>
      </c>
      <c r="AY134" s="164" t="str">
        <f t="shared" ca="1" si="127"/>
        <v/>
      </c>
      <c r="AZ134" s="164" t="str">
        <f t="shared" ca="1" si="128"/>
        <v/>
      </c>
      <c r="BA134" s="165" t="str">
        <f t="shared" ca="1" si="129"/>
        <v>nie</v>
      </c>
      <c r="BB134" s="166" t="str">
        <f t="shared" ca="1" si="135"/>
        <v>-</v>
      </c>
      <c r="BC134" s="165" t="str">
        <f t="shared" ca="1" si="130"/>
        <v>nie</v>
      </c>
    </row>
    <row r="135" spans="1:55" s="176" customFormat="1" ht="14.45" hidden="1" customHeight="1" x14ac:dyDescent="0.25">
      <c r="A135" s="493" t="s">
        <v>24</v>
      </c>
      <c r="B135" s="493" t="s">
        <v>26</v>
      </c>
      <c r="C135" s="494" t="s">
        <v>124</v>
      </c>
      <c r="D135" s="511" t="s">
        <v>125</v>
      </c>
      <c r="E135" s="497">
        <v>600</v>
      </c>
      <c r="F135" s="497">
        <v>60016</v>
      </c>
      <c r="G135" s="497">
        <v>6050</v>
      </c>
      <c r="H135" s="507">
        <v>2022</v>
      </c>
      <c r="I135" s="499" t="str">
        <f ca="1">IF(COUNTIF(OFFSET(I135,-1,-8),"*propon*")&gt;0,OFFSET(I135,4,0),IF(Y135&gt;0,"2033",IF(X135&gt;0,"2032",IF(W135&gt;0,"2031",IF(V135&gt;0,"2030",IF(U135&gt;0,"2029",IF(T135&gt;0,"2028",IF(S135&gt;0,"2027",IF(R135&gt;0,"2026",IF(Q135&gt;0,"2025",IF(P135&gt;0,"2024",IF(M135&gt;0,"2023",IF(L135&gt;0,"2022","")))))))))))))</f>
        <v>2024</v>
      </c>
      <c r="J135" s="168" t="s">
        <v>98</v>
      </c>
      <c r="K135" s="169">
        <f>SUM(N135:O135)</f>
        <v>0</v>
      </c>
      <c r="L135" s="170">
        <f t="shared" ref="L135:M135" si="203">SUM(L136:L137)</f>
        <v>0</v>
      </c>
      <c r="M135" s="171">
        <f t="shared" si="203"/>
        <v>0</v>
      </c>
      <c r="N135" s="172">
        <f>SUM(L135:M135)</f>
        <v>0</v>
      </c>
      <c r="O135" s="169">
        <f>SUM(P135:Y135)</f>
        <v>0</v>
      </c>
      <c r="P135" s="173">
        <f t="shared" ref="P135:R135" si="204">SUM(P136:P137)</f>
        <v>0</v>
      </c>
      <c r="Q135" s="171">
        <f t="shared" si="204"/>
        <v>0</v>
      </c>
      <c r="R135" s="174">
        <f t="shared" si="204"/>
        <v>0</v>
      </c>
      <c r="S135" s="175">
        <f t="shared" ref="S135:Y135" si="205">SUM(S136:S137)</f>
        <v>0</v>
      </c>
      <c r="T135" s="171">
        <f t="shared" si="205"/>
        <v>0</v>
      </c>
      <c r="U135" s="171">
        <f t="shared" si="205"/>
        <v>0</v>
      </c>
      <c r="V135" s="171">
        <f t="shared" si="205"/>
        <v>0</v>
      </c>
      <c r="W135" s="171">
        <f t="shared" si="205"/>
        <v>0</v>
      </c>
      <c r="X135" s="171">
        <f t="shared" si="205"/>
        <v>0</v>
      </c>
      <c r="Y135" s="174">
        <f t="shared" si="205"/>
        <v>0</v>
      </c>
      <c r="Z135" s="149" t="str">
        <f t="shared" ca="1" si="104"/>
        <v>nie</v>
      </c>
      <c r="AA135" s="366"/>
      <c r="AB135" s="150" t="str">
        <f t="shared" ca="1" si="134"/>
        <v>-</v>
      </c>
      <c r="AC135" s="151" t="str">
        <f t="shared" ca="1" si="105"/>
        <v>PROPONOWANA ZMIANA</v>
      </c>
      <c r="AD135" s="152" t="str">
        <f t="shared" ca="1" si="106"/>
        <v>PROPONOWANA ZMIANA</v>
      </c>
      <c r="AE135" s="153" t="str">
        <f t="shared" ca="1" si="107"/>
        <v>C/USN/I/P2/43</v>
      </c>
      <c r="AF135" s="154" t="str">
        <f t="shared" ca="1" si="108"/>
        <v>Budowa i modernizacja infrastruktury drogowej na terenie Wysokiego Ursynowa</v>
      </c>
      <c r="AG135" s="155">
        <f t="shared" ca="1" si="109"/>
        <v>60016</v>
      </c>
      <c r="AH135" s="155" t="str">
        <f t="shared" ca="1" si="110"/>
        <v>6050</v>
      </c>
      <c r="AI135" s="156" t="str">
        <f t="shared" ca="1" si="111"/>
        <v>GMMW</v>
      </c>
      <c r="AJ135" s="157" t="str">
        <f t="shared" ca="1" si="112"/>
        <v>WPF, w tym</v>
      </c>
      <c r="AK135" s="158" t="str">
        <f t="shared" ca="1" si="113"/>
        <v>C/USN/I/P2/43 60016 6050 GMMW</v>
      </c>
      <c r="AL135" s="158" t="str">
        <f t="shared" ca="1" si="114"/>
        <v>C/USN/I/P2/43 60016 6050 WPF, w tym</v>
      </c>
      <c r="AM135" s="159" t="str">
        <f t="shared" ca="1" si="115"/>
        <v>C/USN/I/P2/43 60016 6050 GMMW WPF, w tym</v>
      </c>
      <c r="AN135" s="160">
        <f t="shared" ca="1" si="116"/>
        <v>0</v>
      </c>
      <c r="AO135" s="161">
        <f t="shared" ca="1" si="117"/>
        <v>0</v>
      </c>
      <c r="AP135" s="162">
        <f t="shared" ca="1" si="118"/>
        <v>0</v>
      </c>
      <c r="AQ135" s="163">
        <f t="shared" ca="1" si="119"/>
        <v>0</v>
      </c>
      <c r="AR135" s="164">
        <f t="shared" ca="1" si="120"/>
        <v>0</v>
      </c>
      <c r="AS135" s="164">
        <f t="shared" ca="1" si="121"/>
        <v>0</v>
      </c>
      <c r="AT135" s="164">
        <f t="shared" ca="1" si="122"/>
        <v>0</v>
      </c>
      <c r="AU135" s="164">
        <f t="shared" ca="1" si="123"/>
        <v>0</v>
      </c>
      <c r="AV135" s="164">
        <f t="shared" ca="1" si="124"/>
        <v>0</v>
      </c>
      <c r="AW135" s="164">
        <f t="shared" ca="1" si="125"/>
        <v>0</v>
      </c>
      <c r="AX135" s="164">
        <f t="shared" ca="1" si="126"/>
        <v>0</v>
      </c>
      <c r="AY135" s="164">
        <f t="shared" ca="1" si="127"/>
        <v>0</v>
      </c>
      <c r="AZ135" s="164">
        <f t="shared" ca="1" si="128"/>
        <v>0</v>
      </c>
      <c r="BA135" s="165" t="str">
        <f t="shared" ca="1" si="129"/>
        <v>nie</v>
      </c>
      <c r="BB135" s="166" t="str">
        <f t="shared" ca="1" si="135"/>
        <v>-</v>
      </c>
      <c r="BC135" s="165" t="str">
        <f t="shared" ca="1" si="130"/>
        <v>nie</v>
      </c>
    </row>
    <row r="136" spans="1:55" s="167" customFormat="1" ht="14.45" hidden="1" customHeight="1" x14ac:dyDescent="0.25">
      <c r="A136" s="493"/>
      <c r="B136" s="493"/>
      <c r="C136" s="494"/>
      <c r="D136" s="512"/>
      <c r="E136" s="497"/>
      <c r="F136" s="497"/>
      <c r="G136" s="497"/>
      <c r="H136" s="498"/>
      <c r="I136" s="499"/>
      <c r="J136" s="177" t="s">
        <v>99</v>
      </c>
      <c r="K136" s="178">
        <f>SUM(N136:O136)</f>
        <v>0</v>
      </c>
      <c r="L136" s="179">
        <f t="shared" ref="L136:M136" si="206">L140-L132</f>
        <v>0</v>
      </c>
      <c r="M136" s="180">
        <f t="shared" si="206"/>
        <v>0</v>
      </c>
      <c r="N136" s="172">
        <f>SUM(L136:M136)</f>
        <v>0</v>
      </c>
      <c r="O136" s="178">
        <f>SUM(P136:Y136)</f>
        <v>0</v>
      </c>
      <c r="P136" s="181">
        <f t="shared" ref="P136:R136" si="207">P140-P132</f>
        <v>0</v>
      </c>
      <c r="Q136" s="180">
        <f t="shared" si="207"/>
        <v>0</v>
      </c>
      <c r="R136" s="182">
        <f t="shared" si="207"/>
        <v>0</v>
      </c>
      <c r="S136" s="183">
        <f t="shared" ref="S136:Y137" si="208">S140-S132</f>
        <v>0</v>
      </c>
      <c r="T136" s="180">
        <f t="shared" si="208"/>
        <v>0</v>
      </c>
      <c r="U136" s="180">
        <f t="shared" si="208"/>
        <v>0</v>
      </c>
      <c r="V136" s="180">
        <f t="shared" si="208"/>
        <v>0</v>
      </c>
      <c r="W136" s="180">
        <f t="shared" si="208"/>
        <v>0</v>
      </c>
      <c r="X136" s="180">
        <f t="shared" si="208"/>
        <v>0</v>
      </c>
      <c r="Y136" s="182">
        <f t="shared" si="208"/>
        <v>0</v>
      </c>
      <c r="Z136" s="149" t="str">
        <f t="shared" ca="1" si="104"/>
        <v>nie</v>
      </c>
      <c r="AA136" s="366"/>
      <c r="AB136" s="150" t="str">
        <f t="shared" ca="1" si="134"/>
        <v>-</v>
      </c>
      <c r="AC136" s="151" t="str">
        <f t="shared" ca="1" si="105"/>
        <v>PROPONOWANA ZMIANA</v>
      </c>
      <c r="AD136" s="152" t="str">
        <f t="shared" ca="1" si="106"/>
        <v>PROPONOWANA ZMIANA</v>
      </c>
      <c r="AE136" s="153" t="str">
        <f t="shared" ca="1" si="107"/>
        <v>C/USN/I/P2/43</v>
      </c>
      <c r="AF136" s="154" t="str">
        <f t="shared" ca="1" si="108"/>
        <v>Budowa i modernizacja infrastruktury drogowej na terenie Wysokiego Ursynowa</v>
      </c>
      <c r="AG136" s="155">
        <f t="shared" ca="1" si="109"/>
        <v>60016</v>
      </c>
      <c r="AH136" s="155" t="str">
        <f t="shared" ca="1" si="110"/>
        <v>6050</v>
      </c>
      <c r="AI136" s="156" t="str">
        <f t="shared" ca="1" si="111"/>
        <v>GMMW</v>
      </c>
      <c r="AJ136" s="157" t="str">
        <f t="shared" ca="1" si="112"/>
        <v>WPF/PM</v>
      </c>
      <c r="AK136" s="158" t="str">
        <f t="shared" ca="1" si="113"/>
        <v>C/USN/I/P2/43 60016 6050 GMMW</v>
      </c>
      <c r="AL136" s="158" t="str">
        <f t="shared" ca="1" si="114"/>
        <v>C/USN/I/P2/43 60016 6050 WPF/PM</v>
      </c>
      <c r="AM136" s="159" t="str">
        <f t="shared" ca="1" si="115"/>
        <v>C/USN/I/P2/43 60016 6050 GMMW WPF/PM</v>
      </c>
      <c r="AN136" s="160">
        <f t="shared" ca="1" si="116"/>
        <v>0</v>
      </c>
      <c r="AO136" s="161">
        <f t="shared" ca="1" si="117"/>
        <v>0</v>
      </c>
      <c r="AP136" s="162">
        <f t="shared" ca="1" si="118"/>
        <v>0</v>
      </c>
      <c r="AQ136" s="163">
        <f t="shared" ca="1" si="119"/>
        <v>0</v>
      </c>
      <c r="AR136" s="164">
        <f t="shared" ca="1" si="120"/>
        <v>0</v>
      </c>
      <c r="AS136" s="164">
        <f t="shared" ca="1" si="121"/>
        <v>0</v>
      </c>
      <c r="AT136" s="164">
        <f t="shared" ca="1" si="122"/>
        <v>0</v>
      </c>
      <c r="AU136" s="164">
        <f t="shared" ca="1" si="123"/>
        <v>0</v>
      </c>
      <c r="AV136" s="164">
        <f t="shared" ca="1" si="124"/>
        <v>0</v>
      </c>
      <c r="AW136" s="164">
        <f t="shared" ca="1" si="125"/>
        <v>0</v>
      </c>
      <c r="AX136" s="164">
        <f t="shared" ca="1" si="126"/>
        <v>0</v>
      </c>
      <c r="AY136" s="164">
        <f t="shared" ca="1" si="127"/>
        <v>0</v>
      </c>
      <c r="AZ136" s="164">
        <f t="shared" ca="1" si="128"/>
        <v>0</v>
      </c>
      <c r="BA136" s="165" t="str">
        <f t="shared" ca="1" si="129"/>
        <v>nie</v>
      </c>
      <c r="BB136" s="166" t="str">
        <f t="shared" ca="1" si="135"/>
        <v>-</v>
      </c>
      <c r="BC136" s="165" t="str">
        <f t="shared" ca="1" si="130"/>
        <v>nie</v>
      </c>
    </row>
    <row r="137" spans="1:55" s="167" customFormat="1" ht="14.45" hidden="1" customHeight="1" x14ac:dyDescent="0.25">
      <c r="A137" s="493"/>
      <c r="B137" s="493"/>
      <c r="C137" s="494"/>
      <c r="D137" s="512"/>
      <c r="E137" s="497"/>
      <c r="F137" s="497"/>
      <c r="G137" s="497"/>
      <c r="H137" s="498"/>
      <c r="I137" s="499"/>
      <c r="J137" s="177" t="s">
        <v>100</v>
      </c>
      <c r="K137" s="178">
        <f>SUM(N137:O137)</f>
        <v>0</v>
      </c>
      <c r="L137" s="179">
        <f t="shared" ref="L137:M137" si="209">L141-L133</f>
        <v>0</v>
      </c>
      <c r="M137" s="180">
        <f t="shared" si="209"/>
        <v>0</v>
      </c>
      <c r="N137" s="172">
        <f>SUM(L137:M137)</f>
        <v>0</v>
      </c>
      <c r="O137" s="178">
        <f>SUM(P137:Y137)</f>
        <v>0</v>
      </c>
      <c r="P137" s="181">
        <f t="shared" ref="P137:R137" si="210">P141-P133</f>
        <v>0</v>
      </c>
      <c r="Q137" s="180">
        <f t="shared" si="210"/>
        <v>0</v>
      </c>
      <c r="R137" s="182">
        <f t="shared" si="210"/>
        <v>0</v>
      </c>
      <c r="S137" s="183">
        <f t="shared" si="208"/>
        <v>0</v>
      </c>
      <c r="T137" s="180">
        <f t="shared" si="208"/>
        <v>0</v>
      </c>
      <c r="U137" s="180">
        <f t="shared" si="208"/>
        <v>0</v>
      </c>
      <c r="V137" s="180">
        <f t="shared" si="208"/>
        <v>0</v>
      </c>
      <c r="W137" s="180">
        <f t="shared" si="208"/>
        <v>0</v>
      </c>
      <c r="X137" s="180">
        <f t="shared" si="208"/>
        <v>0</v>
      </c>
      <c r="Y137" s="182">
        <f t="shared" si="208"/>
        <v>0</v>
      </c>
      <c r="Z137" s="149" t="str">
        <f t="shared" ca="1" si="104"/>
        <v>nie</v>
      </c>
      <c r="AA137" s="366"/>
      <c r="AB137" s="150" t="str">
        <f t="shared" ca="1" si="134"/>
        <v>-</v>
      </c>
      <c r="AC137" s="151" t="str">
        <f t="shared" ca="1" si="105"/>
        <v>PROPONOWANA ZMIANA</v>
      </c>
      <c r="AD137" s="152" t="str">
        <f t="shared" ca="1" si="106"/>
        <v>PROPONOWANA ZMIANA</v>
      </c>
      <c r="AE137" s="153" t="str">
        <f t="shared" ca="1" si="107"/>
        <v>C/USN/I/P2/43</v>
      </c>
      <c r="AF137" s="154" t="str">
        <f t="shared" ca="1" si="108"/>
        <v>Budowa i modernizacja infrastruktury drogowej na terenie Wysokiego Ursynowa</v>
      </c>
      <c r="AG137" s="155">
        <f t="shared" ca="1" si="109"/>
        <v>60016</v>
      </c>
      <c r="AH137" s="155" t="str">
        <f t="shared" ca="1" si="110"/>
        <v>6050</v>
      </c>
      <c r="AI137" s="156" t="str">
        <f t="shared" ca="1" si="111"/>
        <v>GMMW</v>
      </c>
      <c r="AJ137" s="157" t="str">
        <f t="shared" ca="1" si="112"/>
        <v>WPF/UM</v>
      </c>
      <c r="AK137" s="158" t="str">
        <f t="shared" ca="1" si="113"/>
        <v>C/USN/I/P2/43 60016 6050 GMMW</v>
      </c>
      <c r="AL137" s="158" t="str">
        <f t="shared" ca="1" si="114"/>
        <v>C/USN/I/P2/43 60016 6050 WPF/UM</v>
      </c>
      <c r="AM137" s="159" t="str">
        <f t="shared" ca="1" si="115"/>
        <v>C/USN/I/P2/43 60016 6050 GMMW WPF/UM</v>
      </c>
      <c r="AN137" s="160">
        <f t="shared" ca="1" si="116"/>
        <v>0</v>
      </c>
      <c r="AO137" s="161">
        <f t="shared" ca="1" si="117"/>
        <v>0</v>
      </c>
      <c r="AP137" s="162">
        <f t="shared" ca="1" si="118"/>
        <v>0</v>
      </c>
      <c r="AQ137" s="163">
        <f t="shared" ca="1" si="119"/>
        <v>0</v>
      </c>
      <c r="AR137" s="164">
        <f t="shared" ca="1" si="120"/>
        <v>0</v>
      </c>
      <c r="AS137" s="164">
        <f t="shared" ca="1" si="121"/>
        <v>0</v>
      </c>
      <c r="AT137" s="164">
        <f t="shared" ca="1" si="122"/>
        <v>0</v>
      </c>
      <c r="AU137" s="164">
        <f t="shared" ca="1" si="123"/>
        <v>0</v>
      </c>
      <c r="AV137" s="164">
        <f t="shared" ca="1" si="124"/>
        <v>0</v>
      </c>
      <c r="AW137" s="164">
        <f t="shared" ca="1" si="125"/>
        <v>0</v>
      </c>
      <c r="AX137" s="164">
        <f t="shared" ca="1" si="126"/>
        <v>0</v>
      </c>
      <c r="AY137" s="164">
        <f t="shared" ca="1" si="127"/>
        <v>0</v>
      </c>
      <c r="AZ137" s="164">
        <f t="shared" ca="1" si="128"/>
        <v>0</v>
      </c>
      <c r="BA137" s="165" t="str">
        <f t="shared" ca="1" si="129"/>
        <v>nie</v>
      </c>
      <c r="BB137" s="166" t="str">
        <f t="shared" ca="1" si="135"/>
        <v>-</v>
      </c>
      <c r="BC137" s="165" t="str">
        <f t="shared" ca="1" si="130"/>
        <v>nie</v>
      </c>
    </row>
    <row r="138" spans="1:55" s="167" customFormat="1" ht="14.45" hidden="1" customHeight="1" x14ac:dyDescent="0.25">
      <c r="A138" s="191" t="s">
        <v>101</v>
      </c>
      <c r="B138" s="192"/>
      <c r="C138" s="193"/>
      <c r="D138" s="192"/>
      <c r="E138" s="192"/>
      <c r="F138" s="192"/>
      <c r="G138" s="192"/>
      <c r="H138" s="192"/>
      <c r="I138" s="192"/>
      <c r="J138" s="192"/>
      <c r="K138" s="192"/>
      <c r="L138" s="192"/>
      <c r="M138" s="192"/>
      <c r="N138" s="192"/>
      <c r="O138" s="192"/>
      <c r="P138" s="192"/>
      <c r="Q138" s="192"/>
      <c r="R138" s="194"/>
      <c r="S138" s="195"/>
      <c r="T138" s="195"/>
      <c r="U138" s="195"/>
      <c r="V138" s="195"/>
      <c r="W138" s="195"/>
      <c r="X138" s="195"/>
      <c r="Y138" s="196"/>
      <c r="Z138" s="149" t="str">
        <f t="shared" ref="Z138:Z201" ca="1" si="211">IF(COUNTIF(A138,"*zmia*")&gt;0,OFFSET(Z138,1,0),IF(COUNTIF($AB$10:$AB$888,AE138)&gt;0,"tak","nie"))</f>
        <v>nie</v>
      </c>
      <c r="AA138" s="366"/>
      <c r="AB138" s="150" t="str">
        <f t="shared" ca="1" si="134"/>
        <v>-</v>
      </c>
      <c r="AC138" s="151" t="str">
        <f t="shared" ref="AC138:AC201" ca="1" si="212">IF(OR(A138="",COUNTIF(A138,"*12.000*")&gt;0),OFFSET(AC138,-1,0),A138)</f>
        <v>PO ZMIANIE</v>
      </c>
      <c r="AD138" s="152" t="str">
        <f t="shared" ref="AD138:AD201" ca="1" si="213">IF(AE138="","",AC138)</f>
        <v/>
      </c>
      <c r="AE138" s="153" t="str">
        <f t="shared" ref="AE138:AE201" ca="1" si="214">IF(COUNTIF(A138,"*bilans*")&gt;0,"Bilans zmian",IF(COUNTIF(A138,"*zmi*")&gt;0,"",IF(COUNTIF(A138:C138,"")=0,C138,IF(AND(COUNTIF(C138,"")=1,COUNTIF(OFFSET(A138,-1,0),"*przed*")=1,COUNTIF(OFFSET(AE138,4,0),"")=0),OFFSET(AE138,4,0),IF(AND(COUNTIF(A138:B138,"")=0,COUNTIF(OFFSET(A138,-1,0),"*zmi*")=1),"nowe:"&amp;" "&amp;AF138,OFFSET(AE138,-1,0))))))</f>
        <v/>
      </c>
      <c r="AF138" s="154" t="str">
        <f t="shared" ref="AF138:AF201" ca="1" si="215">IF(COUNTIF(A138,"*zmi*")&gt;0,"",IF(COUNTIF(A138:C138,"")=0,D138,IF(AND(COUNTIF(C138,"")=1,COUNTIF(OFFSET(A138,-1,0),"*przed*")=1),OFFSET(AF138,4,0),IF(AND(COUNTIF(A138:B138,"")=0,COUNTIF(OFFSET(A138,-1,0),"*zmi*")=1),D138,OFFSET(AF138,-1,0)))))</f>
        <v/>
      </c>
      <c r="AG138" s="155" t="str">
        <f t="shared" ref="AG138:AG201" ca="1" si="216">IF(COUNTIF($A138,"*zmi*")&gt;0,"",IF(COUNTIF($A138:$C138,"")=0,F138,IF(AND(COUNTIF($C138,"")=1,COUNTIF(OFFSET($A138,-1,0),"*przed*")=1),OFFSET(AG138,4,0),IF(AND(COUNTIF($A138:$B138,"")=0,COUNTIF(OFFSET($A138,-1,0),"*zmi*")=1),F138,OFFSET(AG138,-1,0)))))</f>
        <v/>
      </c>
      <c r="AH138" s="155" t="str">
        <f t="shared" ref="AH138:AH201" ca="1" si="217">IF(COUNTIF($A138,"*zmi*")&gt;0,"",IF(COUNTIF($A138:$C138,"")=0,LEFT(G138,4),IF(AND(COUNTIF($C138,"")=1,COUNTIF(OFFSET($A138,-1,0),"*przed*")=1),OFFSET(AH138,4,0),IF(AND(COUNTIF($A138:$B138,"")=0,COUNTIF(OFFSET($A138,-1,0),"*zmi*")=1),LEFT(G138,4),OFFSET(AH138,-1,0)))))</f>
        <v/>
      </c>
      <c r="AI138" s="156" t="str">
        <f t="shared" ref="AI138:AI201" ca="1" si="218">IF(COUNTIF($A138,"*zmi*")&gt;0,"",IF(COUNTIF($A138:$C138,"")=0,B138,IF(AND(COUNTIF($C138,"")=1,COUNTIF(OFFSET($A138,-1,0),"*przed*")=1),OFFSET(AI138,4,0),IF(AND(COUNTIF($A138:$B138,"")=0,COUNTIF(OFFSET($A138,-1,0),"*zmi*")=1),B138,OFFSET(AI138,-1,0)))))</f>
        <v/>
      </c>
      <c r="AJ138" s="157" t="str">
        <f t="shared" ref="AJ138:AJ201" ca="1" si="219">IF(AH138="","",IF(COUNTIF(A138,"*zmi*")&gt;0,"",SUBSTITUTE(SUBSTITUTE(J138,";",""),":","")))</f>
        <v/>
      </c>
      <c r="AK138" s="158" t="str">
        <f t="shared" ref="AK138:AK201" ca="1" si="220">IF(AH138="","",AE138&amp;" "&amp;AG138&amp;" "&amp;AH138&amp;" "&amp;AI138)</f>
        <v/>
      </c>
      <c r="AL138" s="158" t="str">
        <f t="shared" ref="AL138:AL201" ca="1" si="221">IF(AH138="","",AE138&amp;" "&amp;AG138&amp;" "&amp;AH138&amp;" "&amp;AJ138)</f>
        <v/>
      </c>
      <c r="AM138" s="159" t="str">
        <f t="shared" ref="AM138:AM201" ca="1" si="222">IF(AH138="","",AE138&amp;" "&amp;AG138&amp;" "&amp;AH138&amp;" "&amp;AI138&amp;" "&amp;AJ138)</f>
        <v/>
      </c>
      <c r="AN138" s="160" t="str">
        <f t="shared" ref="AN138:AN201" ca="1" si="223">IF(COUNTIF($AE138,"*bilans*")&gt;0,K138,IF(OR(COUNTIF($A138,"*zmi*")&gt;0,$AI138=""),"",K138))</f>
        <v/>
      </c>
      <c r="AO138" s="161" t="str">
        <f t="shared" ref="AO138:AO201" ca="1" si="224">IF(COUNTIF($AE138,"*bilans*")&gt;0,L138,IF(OR(COUNTIF($A138,"*zmi*")&gt;0,$AI138=""),"",L138))</f>
        <v/>
      </c>
      <c r="AP138" s="162" t="str">
        <f t="shared" ref="AP138:AP201" ca="1" si="225">IF(COUNTIF($AE138,"*bilans*")&gt;0,M138,IF(OR(COUNTIF($A138,"*zmi*")&gt;0,$AI138=""),"",M138))</f>
        <v/>
      </c>
      <c r="AQ138" s="163" t="str">
        <f t="shared" ref="AQ138:AQ201" ca="1" si="226">IF(COUNTIF($AE138,"*bilans*")&gt;0,P138,IF(OR(COUNTIF($A138,"*zmi*")&gt;0,$AI138=""),"",P138))</f>
        <v/>
      </c>
      <c r="AR138" s="164" t="str">
        <f t="shared" ref="AR138:AR201" ca="1" si="227">IF(COUNTIF($AE138,"*bilans*")&gt;0,Q138,IF(OR(COUNTIF($A138,"*zmi*")&gt;0,$AI138=""),"",Q138))</f>
        <v/>
      </c>
      <c r="AS138" s="164" t="str">
        <f t="shared" ref="AS138:AS201" ca="1" si="228">IF(COUNTIF($AE138,"*bilans*")&gt;0,R138,IF(OR(COUNTIF($A138,"*zmi*")&gt;0,$AI138=""),"",R138))</f>
        <v/>
      </c>
      <c r="AT138" s="164" t="str">
        <f t="shared" ref="AT138:AT201" ca="1" si="229">IF(COUNTIF($AE138,"*bilans*")&gt;0,S138,IF(OR(COUNTIF($A138,"*zmi*")&gt;0,$AI138=""),"",S138))</f>
        <v/>
      </c>
      <c r="AU138" s="164" t="str">
        <f t="shared" ref="AU138:AU201" ca="1" si="230">IF(COUNTIF($AE138,"*bilans*")&gt;0,T138,IF(OR(COUNTIF($A138,"*zmi*")&gt;0,$AI138=""),"",T138))</f>
        <v/>
      </c>
      <c r="AV138" s="164" t="str">
        <f t="shared" ref="AV138:AV201" ca="1" si="231">IF(COUNTIF($AE138,"*bilans*")&gt;0,U138,IF(OR(COUNTIF($A138,"*zmi*")&gt;0,$AI138=""),"",U138))</f>
        <v/>
      </c>
      <c r="AW138" s="164" t="str">
        <f t="shared" ref="AW138:AW201" ca="1" si="232">IF(COUNTIF($AE138,"*bilans*")&gt;0,V138,IF(OR(COUNTIF($A138,"*zmi*")&gt;0,$AI138=""),"",V138))</f>
        <v/>
      </c>
      <c r="AX138" s="164" t="str">
        <f t="shared" ref="AX138:AX201" ca="1" si="233">IF(COUNTIF($AE138,"*bilans*")&gt;0,W138,IF(OR(COUNTIF($A138,"*zmi*")&gt;0,$AI138=""),"",W138))</f>
        <v/>
      </c>
      <c r="AY138" s="164" t="str">
        <f t="shared" ref="AY138:AY201" ca="1" si="234">IF(COUNTIF($AE138,"*bilans*")&gt;0,X138,IF(OR(COUNTIF($A138,"*zmi*")&gt;0,$AI138=""),"",X138))</f>
        <v/>
      </c>
      <c r="AZ138" s="164" t="str">
        <f t="shared" ref="AZ138:AZ201" ca="1" si="235">IF(COUNTIF($AE138,"*bilans*")&gt;0,Y138,IF(OR(COUNTIF($A138,"*zmi*")&gt;0,$AI138=""),"",Y138))</f>
        <v/>
      </c>
      <c r="BA138" s="165" t="str">
        <f t="shared" ref="BA138:BA201" ca="1" si="236">Z138</f>
        <v>nie</v>
      </c>
      <c r="BB138" s="166" t="str">
        <f t="shared" ca="1" si="135"/>
        <v>-</v>
      </c>
      <c r="BC138" s="165" t="str">
        <f t="shared" ref="BC138:BC201" ca="1" si="237">IF(AND(COUNTIF(AD138,"*zmi*")&gt;0,COUNTIF($BB$10:$BB$888,AK138)&gt;0),"tak","nie")</f>
        <v>nie</v>
      </c>
    </row>
    <row r="139" spans="1:55" s="176" customFormat="1" ht="14.45" hidden="1" customHeight="1" x14ac:dyDescent="0.25">
      <c r="A139" s="493" t="s">
        <v>24</v>
      </c>
      <c r="B139" s="493" t="s">
        <v>26</v>
      </c>
      <c r="C139" s="494" t="s">
        <v>124</v>
      </c>
      <c r="D139" s="511" t="s">
        <v>125</v>
      </c>
      <c r="E139" s="497">
        <v>600</v>
      </c>
      <c r="F139" s="497">
        <v>60016</v>
      </c>
      <c r="G139" s="497">
        <v>6050</v>
      </c>
      <c r="H139" s="507">
        <v>2022</v>
      </c>
      <c r="I139" s="499" t="str">
        <f ca="1">IF(COUNTIF(OFFSET(I139,-1,-8),"*propon*")&gt;0,OFFSET(I139,4,0),IF(Y139&gt;0,"2033",IF(X139&gt;0,"2032",IF(W139&gt;0,"2031",IF(V139&gt;0,"2030",IF(U139&gt;0,"2029",IF(T139&gt;0,"2028",IF(S139&gt;0,"2027",IF(R139&gt;0,"2026",IF(Q139&gt;0,"2025",IF(P139&gt;0,"2024",IF(M139&gt;0,"2023",IF(L139&gt;0,"2022","")))))))))))))</f>
        <v>2024</v>
      </c>
      <c r="J139" s="168" t="s">
        <v>102</v>
      </c>
      <c r="K139" s="169">
        <f>SUM(N139:O139)</f>
        <v>1134794</v>
      </c>
      <c r="L139" s="170">
        <f t="shared" ref="L139:M139" si="238">SUM(L140:L141)</f>
        <v>590027</v>
      </c>
      <c r="M139" s="171">
        <f t="shared" si="238"/>
        <v>329081</v>
      </c>
      <c r="N139" s="172">
        <f>SUM(L139:M139)</f>
        <v>919108</v>
      </c>
      <c r="O139" s="169">
        <f>SUM(P139:Y139)</f>
        <v>215686</v>
      </c>
      <c r="P139" s="173">
        <f t="shared" ref="P139:R139" si="239">SUM(P140:P141)</f>
        <v>215686</v>
      </c>
      <c r="Q139" s="171">
        <f t="shared" si="239"/>
        <v>0</v>
      </c>
      <c r="R139" s="174">
        <f t="shared" si="239"/>
        <v>0</v>
      </c>
      <c r="S139" s="175">
        <f t="shared" ref="S139:Y139" si="240">SUM(S140:S141)</f>
        <v>0</v>
      </c>
      <c r="T139" s="171">
        <f t="shared" si="240"/>
        <v>0</v>
      </c>
      <c r="U139" s="171">
        <f t="shared" si="240"/>
        <v>0</v>
      </c>
      <c r="V139" s="171">
        <f t="shared" si="240"/>
        <v>0</v>
      </c>
      <c r="W139" s="171">
        <f t="shared" si="240"/>
        <v>0</v>
      </c>
      <c r="X139" s="171">
        <f t="shared" si="240"/>
        <v>0</v>
      </c>
      <c r="Y139" s="174">
        <f t="shared" si="240"/>
        <v>0</v>
      </c>
      <c r="Z139" s="149" t="str">
        <f t="shared" ca="1" si="211"/>
        <v>nie</v>
      </c>
      <c r="AA139" s="366"/>
      <c r="AB139" s="150" t="str">
        <f t="shared" ref="AB139:AB202" ca="1" si="241">IF(IF(OR(COUNTIF(AD139,"*bilans*")&gt;0,COUNTIF(AD139,"*prop*")&gt;0),COUNTIF(AO139:AZ139,"")+COUNTIF(AO139:AZ139,"0"),"")&lt;12,AE139,"-")</f>
        <v>-</v>
      </c>
      <c r="AC139" s="151" t="str">
        <f t="shared" ca="1" si="212"/>
        <v>PO ZMIANIE</v>
      </c>
      <c r="AD139" s="152" t="str">
        <f t="shared" ca="1" si="213"/>
        <v>PO ZMIANIE</v>
      </c>
      <c r="AE139" s="153" t="str">
        <f t="shared" ca="1" si="214"/>
        <v>C/USN/I/P2/43</v>
      </c>
      <c r="AF139" s="154" t="str">
        <f t="shared" ca="1" si="215"/>
        <v>Budowa i modernizacja infrastruktury drogowej na terenie Wysokiego Ursynowa</v>
      </c>
      <c r="AG139" s="155">
        <f t="shared" ca="1" si="216"/>
        <v>60016</v>
      </c>
      <c r="AH139" s="155" t="str">
        <f t="shared" ca="1" si="217"/>
        <v>6050</v>
      </c>
      <c r="AI139" s="156" t="str">
        <f t="shared" ca="1" si="218"/>
        <v>GMMW</v>
      </c>
      <c r="AJ139" s="157" t="str">
        <f t="shared" ca="1" si="219"/>
        <v>WPF, w tym</v>
      </c>
      <c r="AK139" s="158" t="str">
        <f t="shared" ca="1" si="220"/>
        <v>C/USN/I/P2/43 60016 6050 GMMW</v>
      </c>
      <c r="AL139" s="158" t="str">
        <f t="shared" ca="1" si="221"/>
        <v>C/USN/I/P2/43 60016 6050 WPF, w tym</v>
      </c>
      <c r="AM139" s="159" t="str">
        <f t="shared" ca="1" si="222"/>
        <v>C/USN/I/P2/43 60016 6050 GMMW WPF, w tym</v>
      </c>
      <c r="AN139" s="160">
        <f t="shared" ca="1" si="223"/>
        <v>1134794</v>
      </c>
      <c r="AO139" s="161">
        <f t="shared" ca="1" si="224"/>
        <v>590027</v>
      </c>
      <c r="AP139" s="162">
        <f t="shared" ca="1" si="225"/>
        <v>329081</v>
      </c>
      <c r="AQ139" s="163">
        <f t="shared" ca="1" si="226"/>
        <v>215686</v>
      </c>
      <c r="AR139" s="164">
        <f t="shared" ca="1" si="227"/>
        <v>0</v>
      </c>
      <c r="AS139" s="164">
        <f t="shared" ca="1" si="228"/>
        <v>0</v>
      </c>
      <c r="AT139" s="164">
        <f t="shared" ca="1" si="229"/>
        <v>0</v>
      </c>
      <c r="AU139" s="164">
        <f t="shared" ca="1" si="230"/>
        <v>0</v>
      </c>
      <c r="AV139" s="164">
        <f t="shared" ca="1" si="231"/>
        <v>0</v>
      </c>
      <c r="AW139" s="164">
        <f t="shared" ca="1" si="232"/>
        <v>0</v>
      </c>
      <c r="AX139" s="164">
        <f t="shared" ca="1" si="233"/>
        <v>0</v>
      </c>
      <c r="AY139" s="164">
        <f t="shared" ca="1" si="234"/>
        <v>0</v>
      </c>
      <c r="AZ139" s="164">
        <f t="shared" ca="1" si="235"/>
        <v>0</v>
      </c>
      <c r="BA139" s="165" t="str">
        <f t="shared" ca="1" si="236"/>
        <v>nie</v>
      </c>
      <c r="BB139" s="166" t="str">
        <f t="shared" ref="BB139:BB202" ca="1" si="242">IF(COUNTIF(AD139,"*bilans*")&gt;0,"-",IF(IF(COUNTIF(AD139,"*prop*")&gt;0,COUNTIF(AO139:AZ139,"")+COUNTIF(AO139:AZ139,"0"),"")&lt;12,AK139,"-"))</f>
        <v>-</v>
      </c>
      <c r="BC139" s="165" t="str">
        <f t="shared" ca="1" si="237"/>
        <v>nie</v>
      </c>
    </row>
    <row r="140" spans="1:55" s="167" customFormat="1" ht="14.45" hidden="1" customHeight="1" x14ac:dyDescent="0.25">
      <c r="A140" s="493"/>
      <c r="B140" s="493"/>
      <c r="C140" s="494"/>
      <c r="D140" s="512"/>
      <c r="E140" s="497"/>
      <c r="F140" s="497"/>
      <c r="G140" s="497"/>
      <c r="H140" s="498"/>
      <c r="I140" s="499"/>
      <c r="J140" s="177" t="s">
        <v>103</v>
      </c>
      <c r="K140" s="178">
        <f>SUM(N140:O140)</f>
        <v>215686</v>
      </c>
      <c r="L140" s="179"/>
      <c r="M140" s="180"/>
      <c r="N140" s="172">
        <f>SUM(L140:M140)</f>
        <v>0</v>
      </c>
      <c r="O140" s="178">
        <f>SUM(P140:Y140)</f>
        <v>215686</v>
      </c>
      <c r="P140" s="181">
        <f>173397+42289</f>
        <v>215686</v>
      </c>
      <c r="Q140" s="180"/>
      <c r="R140" s="182"/>
      <c r="S140" s="183"/>
      <c r="T140" s="180"/>
      <c r="U140" s="180"/>
      <c r="V140" s="180"/>
      <c r="W140" s="180"/>
      <c r="X140" s="180"/>
      <c r="Y140" s="182"/>
      <c r="Z140" s="149" t="str">
        <f t="shared" ca="1" si="211"/>
        <v>nie</v>
      </c>
      <c r="AA140" s="384"/>
      <c r="AB140" s="150" t="str">
        <f t="shared" ca="1" si="241"/>
        <v>-</v>
      </c>
      <c r="AC140" s="151" t="str">
        <f t="shared" ca="1" si="212"/>
        <v>PO ZMIANIE</v>
      </c>
      <c r="AD140" s="152" t="str">
        <f t="shared" ca="1" si="213"/>
        <v>PO ZMIANIE</v>
      </c>
      <c r="AE140" s="153" t="str">
        <f t="shared" ca="1" si="214"/>
        <v>C/USN/I/P2/43</v>
      </c>
      <c r="AF140" s="154" t="str">
        <f t="shared" ca="1" si="215"/>
        <v>Budowa i modernizacja infrastruktury drogowej na terenie Wysokiego Ursynowa</v>
      </c>
      <c r="AG140" s="155">
        <f t="shared" ca="1" si="216"/>
        <v>60016</v>
      </c>
      <c r="AH140" s="155" t="str">
        <f t="shared" ca="1" si="217"/>
        <v>6050</v>
      </c>
      <c r="AI140" s="156" t="str">
        <f t="shared" ca="1" si="218"/>
        <v>GMMW</v>
      </c>
      <c r="AJ140" s="157" t="str">
        <f t="shared" ca="1" si="219"/>
        <v>WPF/PM</v>
      </c>
      <c r="AK140" s="158" t="str">
        <f t="shared" ca="1" si="220"/>
        <v>C/USN/I/P2/43 60016 6050 GMMW</v>
      </c>
      <c r="AL140" s="158" t="str">
        <f t="shared" ca="1" si="221"/>
        <v>C/USN/I/P2/43 60016 6050 WPF/PM</v>
      </c>
      <c r="AM140" s="159" t="str">
        <f t="shared" ca="1" si="222"/>
        <v>C/USN/I/P2/43 60016 6050 GMMW WPF/PM</v>
      </c>
      <c r="AN140" s="160">
        <f t="shared" ca="1" si="223"/>
        <v>215686</v>
      </c>
      <c r="AO140" s="161">
        <f t="shared" ca="1" si="224"/>
        <v>0</v>
      </c>
      <c r="AP140" s="162">
        <f t="shared" ca="1" si="225"/>
        <v>0</v>
      </c>
      <c r="AQ140" s="163">
        <f t="shared" ca="1" si="226"/>
        <v>215686</v>
      </c>
      <c r="AR140" s="164">
        <f t="shared" ca="1" si="227"/>
        <v>0</v>
      </c>
      <c r="AS140" s="164">
        <f t="shared" ca="1" si="228"/>
        <v>0</v>
      </c>
      <c r="AT140" s="164">
        <f t="shared" ca="1" si="229"/>
        <v>0</v>
      </c>
      <c r="AU140" s="164">
        <f t="shared" ca="1" si="230"/>
        <v>0</v>
      </c>
      <c r="AV140" s="164">
        <f t="shared" ca="1" si="231"/>
        <v>0</v>
      </c>
      <c r="AW140" s="164">
        <f t="shared" ca="1" si="232"/>
        <v>0</v>
      </c>
      <c r="AX140" s="164">
        <f t="shared" ca="1" si="233"/>
        <v>0</v>
      </c>
      <c r="AY140" s="164">
        <f t="shared" ca="1" si="234"/>
        <v>0</v>
      </c>
      <c r="AZ140" s="164">
        <f t="shared" ca="1" si="235"/>
        <v>0</v>
      </c>
      <c r="BA140" s="165" t="str">
        <f t="shared" ca="1" si="236"/>
        <v>nie</v>
      </c>
      <c r="BB140" s="166" t="str">
        <f t="shared" ca="1" si="242"/>
        <v>-</v>
      </c>
      <c r="BC140" s="165" t="str">
        <f t="shared" ca="1" si="237"/>
        <v>nie</v>
      </c>
    </row>
    <row r="141" spans="1:55" s="167" customFormat="1" ht="14.45" hidden="1" customHeight="1" thickBot="1" x14ac:dyDescent="0.3">
      <c r="A141" s="500"/>
      <c r="B141" s="500"/>
      <c r="C141" s="501"/>
      <c r="D141" s="529"/>
      <c r="E141" s="503"/>
      <c r="F141" s="503"/>
      <c r="G141" s="503"/>
      <c r="H141" s="504"/>
      <c r="I141" s="499"/>
      <c r="J141" s="197" t="s">
        <v>104</v>
      </c>
      <c r="K141" s="198">
        <f>SUM(N141:O141)</f>
        <v>919108</v>
      </c>
      <c r="L141" s="199">
        <v>590027</v>
      </c>
      <c r="M141" s="200">
        <f>371370-42289</f>
        <v>329081</v>
      </c>
      <c r="N141" s="371">
        <f>SUM(L141:M141)</f>
        <v>919108</v>
      </c>
      <c r="O141" s="198">
        <f>SUM(P141:Y141)</f>
        <v>0</v>
      </c>
      <c r="P141" s="201"/>
      <c r="Q141" s="200"/>
      <c r="R141" s="202"/>
      <c r="S141" s="203"/>
      <c r="T141" s="200"/>
      <c r="U141" s="200"/>
      <c r="V141" s="200"/>
      <c r="W141" s="200"/>
      <c r="X141" s="200"/>
      <c r="Y141" s="202"/>
      <c r="Z141" s="149" t="str">
        <f t="shared" ca="1" si="211"/>
        <v>nie</v>
      </c>
      <c r="AA141" s="384"/>
      <c r="AB141" s="150" t="str">
        <f t="shared" ca="1" si="241"/>
        <v>-</v>
      </c>
      <c r="AC141" s="151" t="str">
        <f t="shared" ca="1" si="212"/>
        <v>PO ZMIANIE</v>
      </c>
      <c r="AD141" s="152" t="str">
        <f t="shared" ca="1" si="213"/>
        <v>PO ZMIANIE</v>
      </c>
      <c r="AE141" s="153" t="str">
        <f t="shared" ca="1" si="214"/>
        <v>C/USN/I/P2/43</v>
      </c>
      <c r="AF141" s="154" t="str">
        <f t="shared" ca="1" si="215"/>
        <v>Budowa i modernizacja infrastruktury drogowej na terenie Wysokiego Ursynowa</v>
      </c>
      <c r="AG141" s="155">
        <f t="shared" ca="1" si="216"/>
        <v>60016</v>
      </c>
      <c r="AH141" s="155" t="str">
        <f t="shared" ca="1" si="217"/>
        <v>6050</v>
      </c>
      <c r="AI141" s="156" t="str">
        <f t="shared" ca="1" si="218"/>
        <v>GMMW</v>
      </c>
      <c r="AJ141" s="157" t="str">
        <f t="shared" ca="1" si="219"/>
        <v>WPF/UM</v>
      </c>
      <c r="AK141" s="158" t="str">
        <f t="shared" ca="1" si="220"/>
        <v>C/USN/I/P2/43 60016 6050 GMMW</v>
      </c>
      <c r="AL141" s="158" t="str">
        <f t="shared" ca="1" si="221"/>
        <v>C/USN/I/P2/43 60016 6050 WPF/UM</v>
      </c>
      <c r="AM141" s="159" t="str">
        <f t="shared" ca="1" si="222"/>
        <v>C/USN/I/P2/43 60016 6050 GMMW WPF/UM</v>
      </c>
      <c r="AN141" s="160">
        <f t="shared" ca="1" si="223"/>
        <v>919108</v>
      </c>
      <c r="AO141" s="161">
        <f t="shared" ca="1" si="224"/>
        <v>590027</v>
      </c>
      <c r="AP141" s="162">
        <f t="shared" ca="1" si="225"/>
        <v>329081</v>
      </c>
      <c r="AQ141" s="163">
        <f t="shared" ca="1" si="226"/>
        <v>0</v>
      </c>
      <c r="AR141" s="164">
        <f t="shared" ca="1" si="227"/>
        <v>0</v>
      </c>
      <c r="AS141" s="164">
        <f t="shared" ca="1" si="228"/>
        <v>0</v>
      </c>
      <c r="AT141" s="164">
        <f t="shared" ca="1" si="229"/>
        <v>0</v>
      </c>
      <c r="AU141" s="164">
        <f t="shared" ca="1" si="230"/>
        <v>0</v>
      </c>
      <c r="AV141" s="164">
        <f t="shared" ca="1" si="231"/>
        <v>0</v>
      </c>
      <c r="AW141" s="164">
        <f t="shared" ca="1" si="232"/>
        <v>0</v>
      </c>
      <c r="AX141" s="164">
        <f t="shared" ca="1" si="233"/>
        <v>0</v>
      </c>
      <c r="AY141" s="164">
        <f t="shared" ca="1" si="234"/>
        <v>0</v>
      </c>
      <c r="AZ141" s="164">
        <f t="shared" ca="1" si="235"/>
        <v>0</v>
      </c>
      <c r="BA141" s="165" t="str">
        <f t="shared" ca="1" si="236"/>
        <v>nie</v>
      </c>
      <c r="BB141" s="166" t="str">
        <f t="shared" ca="1" si="242"/>
        <v>-</v>
      </c>
      <c r="BC141" s="165" t="str">
        <f t="shared" ca="1" si="237"/>
        <v>nie</v>
      </c>
    </row>
    <row r="142" spans="1:55" s="167" customFormat="1" ht="14.45" hidden="1" customHeight="1" x14ac:dyDescent="0.25">
      <c r="A142" s="143" t="s">
        <v>91</v>
      </c>
      <c r="B142" s="144"/>
      <c r="C142" s="145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6"/>
      <c r="S142" s="147"/>
      <c r="T142" s="147"/>
      <c r="U142" s="147"/>
      <c r="V142" s="147"/>
      <c r="W142" s="147"/>
      <c r="X142" s="147"/>
      <c r="Y142" s="148"/>
      <c r="Z142" s="149" t="str">
        <f t="shared" ca="1" si="211"/>
        <v>nie</v>
      </c>
      <c r="AA142" s="366"/>
      <c r="AB142" s="150" t="str">
        <f t="shared" ca="1" si="241"/>
        <v>-</v>
      </c>
      <c r="AC142" s="151" t="str">
        <f t="shared" ca="1" si="212"/>
        <v>PRZED ZMIANĄ</v>
      </c>
      <c r="AD142" s="152" t="str">
        <f t="shared" ca="1" si="213"/>
        <v/>
      </c>
      <c r="AE142" s="153" t="str">
        <f t="shared" ca="1" si="214"/>
        <v/>
      </c>
      <c r="AF142" s="154" t="str">
        <f t="shared" ca="1" si="215"/>
        <v/>
      </c>
      <c r="AG142" s="155" t="str">
        <f t="shared" ca="1" si="216"/>
        <v/>
      </c>
      <c r="AH142" s="155" t="str">
        <f t="shared" ca="1" si="217"/>
        <v/>
      </c>
      <c r="AI142" s="156" t="str">
        <f t="shared" ca="1" si="218"/>
        <v/>
      </c>
      <c r="AJ142" s="157" t="str">
        <f t="shared" ca="1" si="219"/>
        <v/>
      </c>
      <c r="AK142" s="158" t="str">
        <f t="shared" ca="1" si="220"/>
        <v/>
      </c>
      <c r="AL142" s="158" t="str">
        <f t="shared" ca="1" si="221"/>
        <v/>
      </c>
      <c r="AM142" s="159" t="str">
        <f t="shared" ca="1" si="222"/>
        <v/>
      </c>
      <c r="AN142" s="160" t="str">
        <f t="shared" ca="1" si="223"/>
        <v/>
      </c>
      <c r="AO142" s="161" t="str">
        <f t="shared" ca="1" si="224"/>
        <v/>
      </c>
      <c r="AP142" s="162" t="str">
        <f t="shared" ca="1" si="225"/>
        <v/>
      </c>
      <c r="AQ142" s="163" t="str">
        <f t="shared" ca="1" si="226"/>
        <v/>
      </c>
      <c r="AR142" s="164" t="str">
        <f t="shared" ca="1" si="227"/>
        <v/>
      </c>
      <c r="AS142" s="164" t="str">
        <f t="shared" ca="1" si="228"/>
        <v/>
      </c>
      <c r="AT142" s="164" t="str">
        <f t="shared" ca="1" si="229"/>
        <v/>
      </c>
      <c r="AU142" s="164" t="str">
        <f t="shared" ca="1" si="230"/>
        <v/>
      </c>
      <c r="AV142" s="164" t="str">
        <f t="shared" ca="1" si="231"/>
        <v/>
      </c>
      <c r="AW142" s="164" t="str">
        <f t="shared" ca="1" si="232"/>
        <v/>
      </c>
      <c r="AX142" s="164" t="str">
        <f t="shared" ca="1" si="233"/>
        <v/>
      </c>
      <c r="AY142" s="164" t="str">
        <f t="shared" ca="1" si="234"/>
        <v/>
      </c>
      <c r="AZ142" s="164" t="str">
        <f t="shared" ca="1" si="235"/>
        <v/>
      </c>
      <c r="BA142" s="165" t="str">
        <f t="shared" ca="1" si="236"/>
        <v>nie</v>
      </c>
      <c r="BB142" s="166" t="str">
        <f t="shared" ca="1" si="242"/>
        <v>-</v>
      </c>
      <c r="BC142" s="165" t="str">
        <f t="shared" ca="1" si="237"/>
        <v>nie</v>
      </c>
    </row>
    <row r="143" spans="1:55" s="176" customFormat="1" ht="14.45" hidden="1" customHeight="1" x14ac:dyDescent="0.25">
      <c r="A143" s="493" t="s">
        <v>24</v>
      </c>
      <c r="B143" s="493" t="s">
        <v>26</v>
      </c>
      <c r="C143" s="494" t="s">
        <v>126</v>
      </c>
      <c r="D143" s="505" t="s">
        <v>127</v>
      </c>
      <c r="E143" s="497">
        <v>600</v>
      </c>
      <c r="F143" s="497">
        <v>60016</v>
      </c>
      <c r="G143" s="497">
        <v>6060</v>
      </c>
      <c r="H143" s="507">
        <v>2022</v>
      </c>
      <c r="I143" s="499" t="str">
        <f ca="1">IF(COUNTIF(OFFSET(I143,-1,-8),"*propon*")&gt;0,OFFSET(I143,4,0),IF(Y143&gt;0,"2033",IF(X143&gt;0,"2032",IF(W143&gt;0,"2031",IF(V143&gt;0,"2030",IF(U143&gt;0,"2029",IF(T143&gt;0,"2028",IF(S143&gt;0,"2027",IF(R143&gt;0,"2026",IF(Q143&gt;0,"2025",IF(P143&gt;0,"2024",IF(M143&gt;0,"2023",IF(L143&gt;0,"2022","")))))))))))))</f>
        <v>2025</v>
      </c>
      <c r="J143" s="168" t="s">
        <v>94</v>
      </c>
      <c r="K143" s="169">
        <f>SUM(N143:O143)</f>
        <v>2418263</v>
      </c>
      <c r="L143" s="170">
        <f t="shared" ref="L143:M143" si="243">SUM(L144:L145)</f>
        <v>0</v>
      </c>
      <c r="M143" s="171">
        <f t="shared" si="243"/>
        <v>0</v>
      </c>
      <c r="N143" s="172">
        <f>SUM(L143:M143)</f>
        <v>0</v>
      </c>
      <c r="O143" s="169">
        <f>SUM(P143:Y143)</f>
        <v>2418263</v>
      </c>
      <c r="P143" s="173">
        <f t="shared" ref="P143:R143" si="244">SUM(P144:P145)</f>
        <v>40000</v>
      </c>
      <c r="Q143" s="171">
        <f t="shared" si="244"/>
        <v>2378263</v>
      </c>
      <c r="R143" s="174">
        <f t="shared" si="244"/>
        <v>0</v>
      </c>
      <c r="S143" s="175">
        <f t="shared" ref="S143:Y143" si="245">SUM(S144:S145)</f>
        <v>0</v>
      </c>
      <c r="T143" s="171">
        <f t="shared" si="245"/>
        <v>0</v>
      </c>
      <c r="U143" s="171">
        <f t="shared" si="245"/>
        <v>0</v>
      </c>
      <c r="V143" s="171">
        <f t="shared" si="245"/>
        <v>0</v>
      </c>
      <c r="W143" s="171">
        <f t="shared" si="245"/>
        <v>0</v>
      </c>
      <c r="X143" s="171">
        <f t="shared" si="245"/>
        <v>0</v>
      </c>
      <c r="Y143" s="174">
        <f t="shared" si="245"/>
        <v>0</v>
      </c>
      <c r="Z143" s="149" t="str">
        <f t="shared" ca="1" si="211"/>
        <v>nie</v>
      </c>
      <c r="AA143" s="366"/>
      <c r="AB143" s="150" t="str">
        <f t="shared" ca="1" si="241"/>
        <v>-</v>
      </c>
      <c r="AC143" s="151" t="str">
        <f t="shared" ca="1" si="212"/>
        <v>PRZED ZMIANĄ</v>
      </c>
      <c r="AD143" s="152" t="str">
        <f t="shared" ca="1" si="213"/>
        <v>PRZED ZMIANĄ</v>
      </c>
      <c r="AE143" s="153" t="str">
        <f t="shared" ca="1" si="214"/>
        <v>C/USN/I/P2/44</v>
      </c>
      <c r="AF143" s="154" t="str">
        <f t="shared" ca="1" si="215"/>
        <v>Budowa ul. Lelka i ul. Herbsta - rozliczenie z deweloperem</v>
      </c>
      <c r="AG143" s="155">
        <f t="shared" ca="1" si="216"/>
        <v>60016</v>
      </c>
      <c r="AH143" s="155" t="str">
        <f t="shared" ca="1" si="217"/>
        <v>6060</v>
      </c>
      <c r="AI143" s="156" t="str">
        <f t="shared" ca="1" si="218"/>
        <v>GMMW</v>
      </c>
      <c r="AJ143" s="157" t="str">
        <f t="shared" ca="1" si="219"/>
        <v>WPF, w tym</v>
      </c>
      <c r="AK143" s="158" t="str">
        <f t="shared" ca="1" si="220"/>
        <v>C/USN/I/P2/44 60016 6060 GMMW</v>
      </c>
      <c r="AL143" s="158" t="str">
        <f t="shared" ca="1" si="221"/>
        <v>C/USN/I/P2/44 60016 6060 WPF, w tym</v>
      </c>
      <c r="AM143" s="159" t="str">
        <f t="shared" ca="1" si="222"/>
        <v>C/USN/I/P2/44 60016 6060 GMMW WPF, w tym</v>
      </c>
      <c r="AN143" s="160">
        <f t="shared" ca="1" si="223"/>
        <v>2418263</v>
      </c>
      <c r="AO143" s="161">
        <f t="shared" ca="1" si="224"/>
        <v>0</v>
      </c>
      <c r="AP143" s="162">
        <f t="shared" ca="1" si="225"/>
        <v>0</v>
      </c>
      <c r="AQ143" s="163">
        <f t="shared" ca="1" si="226"/>
        <v>40000</v>
      </c>
      <c r="AR143" s="164">
        <f t="shared" ca="1" si="227"/>
        <v>2378263</v>
      </c>
      <c r="AS143" s="164">
        <f t="shared" ca="1" si="228"/>
        <v>0</v>
      </c>
      <c r="AT143" s="164">
        <f t="shared" ca="1" si="229"/>
        <v>0</v>
      </c>
      <c r="AU143" s="164">
        <f t="shared" ca="1" si="230"/>
        <v>0</v>
      </c>
      <c r="AV143" s="164">
        <f t="shared" ca="1" si="231"/>
        <v>0</v>
      </c>
      <c r="AW143" s="164">
        <f t="shared" ca="1" si="232"/>
        <v>0</v>
      </c>
      <c r="AX143" s="164">
        <f t="shared" ca="1" si="233"/>
        <v>0</v>
      </c>
      <c r="AY143" s="164">
        <f t="shared" ca="1" si="234"/>
        <v>0</v>
      </c>
      <c r="AZ143" s="164">
        <f t="shared" ca="1" si="235"/>
        <v>0</v>
      </c>
      <c r="BA143" s="165" t="str">
        <f t="shared" ca="1" si="236"/>
        <v>nie</v>
      </c>
      <c r="BB143" s="166" t="str">
        <f t="shared" ca="1" si="242"/>
        <v>-</v>
      </c>
      <c r="BC143" s="165" t="str">
        <f t="shared" ca="1" si="237"/>
        <v>nie</v>
      </c>
    </row>
    <row r="144" spans="1:55" s="167" customFormat="1" ht="14.45" hidden="1" customHeight="1" x14ac:dyDescent="0.25">
      <c r="A144" s="493"/>
      <c r="B144" s="493"/>
      <c r="C144" s="494"/>
      <c r="D144" s="506"/>
      <c r="E144" s="497"/>
      <c r="F144" s="497"/>
      <c r="G144" s="497"/>
      <c r="H144" s="498"/>
      <c r="I144" s="499"/>
      <c r="J144" s="177" t="s">
        <v>95</v>
      </c>
      <c r="K144" s="178">
        <f>SUM(N144:O144)</f>
        <v>2418263</v>
      </c>
      <c r="L144" s="179"/>
      <c r="M144" s="180"/>
      <c r="N144" s="172">
        <f>SUM(L144:M144)</f>
        <v>0</v>
      </c>
      <c r="O144" s="178">
        <f>SUM(P144:Y144)</f>
        <v>2418263</v>
      </c>
      <c r="P144" s="181">
        <v>40000</v>
      </c>
      <c r="Q144" s="180">
        <v>2378263</v>
      </c>
      <c r="R144" s="182"/>
      <c r="S144" s="183"/>
      <c r="T144" s="180"/>
      <c r="U144" s="180"/>
      <c r="V144" s="180"/>
      <c r="W144" s="180"/>
      <c r="X144" s="180"/>
      <c r="Y144" s="182"/>
      <c r="Z144" s="149" t="str">
        <f t="shared" ca="1" si="211"/>
        <v>nie</v>
      </c>
      <c r="AA144" s="366"/>
      <c r="AB144" s="150" t="str">
        <f t="shared" ca="1" si="241"/>
        <v>-</v>
      </c>
      <c r="AC144" s="151" t="str">
        <f t="shared" ca="1" si="212"/>
        <v>PRZED ZMIANĄ</v>
      </c>
      <c r="AD144" s="152" t="str">
        <f t="shared" ca="1" si="213"/>
        <v>PRZED ZMIANĄ</v>
      </c>
      <c r="AE144" s="153" t="str">
        <f t="shared" ca="1" si="214"/>
        <v>C/USN/I/P2/44</v>
      </c>
      <c r="AF144" s="154" t="str">
        <f t="shared" ca="1" si="215"/>
        <v>Budowa ul. Lelka i ul. Herbsta - rozliczenie z deweloperem</v>
      </c>
      <c r="AG144" s="155">
        <f t="shared" ca="1" si="216"/>
        <v>60016</v>
      </c>
      <c r="AH144" s="155" t="str">
        <f t="shared" ca="1" si="217"/>
        <v>6060</v>
      </c>
      <c r="AI144" s="156" t="str">
        <f t="shared" ca="1" si="218"/>
        <v>GMMW</v>
      </c>
      <c r="AJ144" s="157" t="str">
        <f t="shared" ca="1" si="219"/>
        <v>WPF/PM</v>
      </c>
      <c r="AK144" s="158" t="str">
        <f t="shared" ca="1" si="220"/>
        <v>C/USN/I/P2/44 60016 6060 GMMW</v>
      </c>
      <c r="AL144" s="158" t="str">
        <f t="shared" ca="1" si="221"/>
        <v>C/USN/I/P2/44 60016 6060 WPF/PM</v>
      </c>
      <c r="AM144" s="159" t="str">
        <f t="shared" ca="1" si="222"/>
        <v>C/USN/I/P2/44 60016 6060 GMMW WPF/PM</v>
      </c>
      <c r="AN144" s="160">
        <f t="shared" ca="1" si="223"/>
        <v>2418263</v>
      </c>
      <c r="AO144" s="161">
        <f t="shared" ca="1" si="224"/>
        <v>0</v>
      </c>
      <c r="AP144" s="162">
        <f t="shared" ca="1" si="225"/>
        <v>0</v>
      </c>
      <c r="AQ144" s="163">
        <f t="shared" ca="1" si="226"/>
        <v>40000</v>
      </c>
      <c r="AR144" s="164">
        <f t="shared" ca="1" si="227"/>
        <v>2378263</v>
      </c>
      <c r="AS144" s="164">
        <f t="shared" ca="1" si="228"/>
        <v>0</v>
      </c>
      <c r="AT144" s="164">
        <f t="shared" ca="1" si="229"/>
        <v>0</v>
      </c>
      <c r="AU144" s="164">
        <f t="shared" ca="1" si="230"/>
        <v>0</v>
      </c>
      <c r="AV144" s="164">
        <f t="shared" ca="1" si="231"/>
        <v>0</v>
      </c>
      <c r="AW144" s="164">
        <f t="shared" ca="1" si="232"/>
        <v>0</v>
      </c>
      <c r="AX144" s="164">
        <f t="shared" ca="1" si="233"/>
        <v>0</v>
      </c>
      <c r="AY144" s="164">
        <f t="shared" ca="1" si="234"/>
        <v>0</v>
      </c>
      <c r="AZ144" s="164">
        <f t="shared" ca="1" si="235"/>
        <v>0</v>
      </c>
      <c r="BA144" s="165" t="str">
        <f t="shared" ca="1" si="236"/>
        <v>nie</v>
      </c>
      <c r="BB144" s="166" t="str">
        <f t="shared" ca="1" si="242"/>
        <v>-</v>
      </c>
      <c r="BC144" s="165" t="str">
        <f t="shared" ca="1" si="237"/>
        <v>nie</v>
      </c>
    </row>
    <row r="145" spans="1:55" s="167" customFormat="1" ht="14.45" hidden="1" customHeight="1" x14ac:dyDescent="0.25">
      <c r="A145" s="493"/>
      <c r="B145" s="493"/>
      <c r="C145" s="494"/>
      <c r="D145" s="506"/>
      <c r="E145" s="497"/>
      <c r="F145" s="497"/>
      <c r="G145" s="497"/>
      <c r="H145" s="498"/>
      <c r="I145" s="499"/>
      <c r="J145" s="177" t="s">
        <v>96</v>
      </c>
      <c r="K145" s="178">
        <f>SUM(N145:O145)</f>
        <v>0</v>
      </c>
      <c r="L145" s="184"/>
      <c r="M145" s="180"/>
      <c r="N145" s="172">
        <f>SUM(L145:M145)</f>
        <v>0</v>
      </c>
      <c r="O145" s="178">
        <f>SUM(P145:Y145)</f>
        <v>0</v>
      </c>
      <c r="P145" s="181"/>
      <c r="Q145" s="180"/>
      <c r="R145" s="182"/>
      <c r="S145" s="183"/>
      <c r="T145" s="180"/>
      <c r="U145" s="180"/>
      <c r="V145" s="180"/>
      <c r="W145" s="180"/>
      <c r="X145" s="180"/>
      <c r="Y145" s="182"/>
      <c r="Z145" s="149" t="str">
        <f t="shared" ca="1" si="211"/>
        <v>nie</v>
      </c>
      <c r="AA145" s="366"/>
      <c r="AB145" s="150" t="str">
        <f t="shared" ca="1" si="241"/>
        <v>-</v>
      </c>
      <c r="AC145" s="151" t="str">
        <f t="shared" ca="1" si="212"/>
        <v>PRZED ZMIANĄ</v>
      </c>
      <c r="AD145" s="152" t="str">
        <f t="shared" ca="1" si="213"/>
        <v>PRZED ZMIANĄ</v>
      </c>
      <c r="AE145" s="153" t="str">
        <f t="shared" ca="1" si="214"/>
        <v>C/USN/I/P2/44</v>
      </c>
      <c r="AF145" s="154" t="str">
        <f t="shared" ca="1" si="215"/>
        <v>Budowa ul. Lelka i ul. Herbsta - rozliczenie z deweloperem</v>
      </c>
      <c r="AG145" s="155">
        <f t="shared" ca="1" si="216"/>
        <v>60016</v>
      </c>
      <c r="AH145" s="155" t="str">
        <f t="shared" ca="1" si="217"/>
        <v>6060</v>
      </c>
      <c r="AI145" s="156" t="str">
        <f t="shared" ca="1" si="218"/>
        <v>GMMW</v>
      </c>
      <c r="AJ145" s="157" t="str">
        <f t="shared" ca="1" si="219"/>
        <v>WPF/UM</v>
      </c>
      <c r="AK145" s="158" t="str">
        <f t="shared" ca="1" si="220"/>
        <v>C/USN/I/P2/44 60016 6060 GMMW</v>
      </c>
      <c r="AL145" s="158" t="str">
        <f t="shared" ca="1" si="221"/>
        <v>C/USN/I/P2/44 60016 6060 WPF/UM</v>
      </c>
      <c r="AM145" s="159" t="str">
        <f t="shared" ca="1" si="222"/>
        <v>C/USN/I/P2/44 60016 6060 GMMW WPF/UM</v>
      </c>
      <c r="AN145" s="160">
        <f t="shared" ca="1" si="223"/>
        <v>0</v>
      </c>
      <c r="AO145" s="161">
        <f t="shared" ca="1" si="224"/>
        <v>0</v>
      </c>
      <c r="AP145" s="162">
        <f t="shared" ca="1" si="225"/>
        <v>0</v>
      </c>
      <c r="AQ145" s="163">
        <f t="shared" ca="1" si="226"/>
        <v>0</v>
      </c>
      <c r="AR145" s="164">
        <f t="shared" ca="1" si="227"/>
        <v>0</v>
      </c>
      <c r="AS145" s="164">
        <f t="shared" ca="1" si="228"/>
        <v>0</v>
      </c>
      <c r="AT145" s="164">
        <f t="shared" ca="1" si="229"/>
        <v>0</v>
      </c>
      <c r="AU145" s="164">
        <f t="shared" ca="1" si="230"/>
        <v>0</v>
      </c>
      <c r="AV145" s="164">
        <f t="shared" ca="1" si="231"/>
        <v>0</v>
      </c>
      <c r="AW145" s="164">
        <f t="shared" ca="1" si="232"/>
        <v>0</v>
      </c>
      <c r="AX145" s="164">
        <f t="shared" ca="1" si="233"/>
        <v>0</v>
      </c>
      <c r="AY145" s="164">
        <f t="shared" ca="1" si="234"/>
        <v>0</v>
      </c>
      <c r="AZ145" s="164">
        <f t="shared" ca="1" si="235"/>
        <v>0</v>
      </c>
      <c r="BA145" s="165" t="str">
        <f t="shared" ca="1" si="236"/>
        <v>nie</v>
      </c>
      <c r="BB145" s="166" t="str">
        <f t="shared" ca="1" si="242"/>
        <v>-</v>
      </c>
      <c r="BC145" s="165" t="str">
        <f t="shared" ca="1" si="237"/>
        <v>nie</v>
      </c>
    </row>
    <row r="146" spans="1:55" s="167" customFormat="1" ht="14.45" hidden="1" customHeight="1" x14ac:dyDescent="0.25">
      <c r="A146" s="185" t="s">
        <v>97</v>
      </c>
      <c r="B146" s="186"/>
      <c r="C146" s="187"/>
      <c r="D146" s="186"/>
      <c r="E146" s="186"/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  <c r="R146" s="188"/>
      <c r="S146" s="189"/>
      <c r="T146" s="189"/>
      <c r="U146" s="189"/>
      <c r="V146" s="189"/>
      <c r="W146" s="189"/>
      <c r="X146" s="189"/>
      <c r="Y146" s="190"/>
      <c r="Z146" s="149" t="str">
        <f t="shared" ca="1" si="211"/>
        <v>nie</v>
      </c>
      <c r="AA146" s="366"/>
      <c r="AB146" s="150" t="str">
        <f t="shared" ca="1" si="241"/>
        <v>-</v>
      </c>
      <c r="AC146" s="151" t="str">
        <f t="shared" ca="1" si="212"/>
        <v>PROPONOWANA ZMIANA</v>
      </c>
      <c r="AD146" s="152" t="str">
        <f t="shared" ca="1" si="213"/>
        <v/>
      </c>
      <c r="AE146" s="153" t="str">
        <f t="shared" ca="1" si="214"/>
        <v/>
      </c>
      <c r="AF146" s="154" t="str">
        <f t="shared" ca="1" si="215"/>
        <v/>
      </c>
      <c r="AG146" s="155" t="str">
        <f t="shared" ca="1" si="216"/>
        <v/>
      </c>
      <c r="AH146" s="155" t="str">
        <f t="shared" ca="1" si="217"/>
        <v/>
      </c>
      <c r="AI146" s="156" t="str">
        <f t="shared" ca="1" si="218"/>
        <v/>
      </c>
      <c r="AJ146" s="157" t="str">
        <f t="shared" ca="1" si="219"/>
        <v/>
      </c>
      <c r="AK146" s="158" t="str">
        <f t="shared" ca="1" si="220"/>
        <v/>
      </c>
      <c r="AL146" s="158" t="str">
        <f t="shared" ca="1" si="221"/>
        <v/>
      </c>
      <c r="AM146" s="159" t="str">
        <f t="shared" ca="1" si="222"/>
        <v/>
      </c>
      <c r="AN146" s="160" t="str">
        <f t="shared" ca="1" si="223"/>
        <v/>
      </c>
      <c r="AO146" s="161" t="str">
        <f t="shared" ca="1" si="224"/>
        <v/>
      </c>
      <c r="AP146" s="162" t="str">
        <f t="shared" ca="1" si="225"/>
        <v/>
      </c>
      <c r="AQ146" s="163" t="str">
        <f t="shared" ca="1" si="226"/>
        <v/>
      </c>
      <c r="AR146" s="164" t="str">
        <f t="shared" ca="1" si="227"/>
        <v/>
      </c>
      <c r="AS146" s="164" t="str">
        <f t="shared" ca="1" si="228"/>
        <v/>
      </c>
      <c r="AT146" s="164" t="str">
        <f t="shared" ca="1" si="229"/>
        <v/>
      </c>
      <c r="AU146" s="164" t="str">
        <f t="shared" ca="1" si="230"/>
        <v/>
      </c>
      <c r="AV146" s="164" t="str">
        <f t="shared" ca="1" si="231"/>
        <v/>
      </c>
      <c r="AW146" s="164" t="str">
        <f t="shared" ca="1" si="232"/>
        <v/>
      </c>
      <c r="AX146" s="164" t="str">
        <f t="shared" ca="1" si="233"/>
        <v/>
      </c>
      <c r="AY146" s="164" t="str">
        <f t="shared" ca="1" si="234"/>
        <v/>
      </c>
      <c r="AZ146" s="164" t="str">
        <f t="shared" ca="1" si="235"/>
        <v/>
      </c>
      <c r="BA146" s="165" t="str">
        <f t="shared" ca="1" si="236"/>
        <v>nie</v>
      </c>
      <c r="BB146" s="166" t="str">
        <f t="shared" ca="1" si="242"/>
        <v>-</v>
      </c>
      <c r="BC146" s="165" t="str">
        <f t="shared" ca="1" si="237"/>
        <v>nie</v>
      </c>
    </row>
    <row r="147" spans="1:55" s="176" customFormat="1" ht="14.45" hidden="1" customHeight="1" x14ac:dyDescent="0.25">
      <c r="A147" s="493" t="s">
        <v>24</v>
      </c>
      <c r="B147" s="493" t="s">
        <v>26</v>
      </c>
      <c r="C147" s="494" t="s">
        <v>126</v>
      </c>
      <c r="D147" s="505" t="s">
        <v>127</v>
      </c>
      <c r="E147" s="497">
        <v>600</v>
      </c>
      <c r="F147" s="497">
        <v>60016</v>
      </c>
      <c r="G147" s="497">
        <v>6060</v>
      </c>
      <c r="H147" s="507">
        <v>2022</v>
      </c>
      <c r="I147" s="499" t="str">
        <f ca="1">IF(COUNTIF(OFFSET(I147,-1,-8),"*propon*")&gt;0,OFFSET(I147,4,0),IF(Y147&gt;0,"2033",IF(X147&gt;0,"2032",IF(W147&gt;0,"2031",IF(V147&gt;0,"2030",IF(U147&gt;0,"2029",IF(T147&gt;0,"2028",IF(S147&gt;0,"2027",IF(R147&gt;0,"2026",IF(Q147&gt;0,"2025",IF(P147&gt;0,"2024",IF(M147&gt;0,"2023",IF(L147&gt;0,"2022","")))))))))))))</f>
        <v>2025</v>
      </c>
      <c r="J147" s="168" t="s">
        <v>98</v>
      </c>
      <c r="K147" s="169">
        <f>SUM(N147:O147)</f>
        <v>0</v>
      </c>
      <c r="L147" s="170">
        <f t="shared" ref="L147:M147" si="246">SUM(L148:L149)</f>
        <v>0</v>
      </c>
      <c r="M147" s="171">
        <f t="shared" si="246"/>
        <v>0</v>
      </c>
      <c r="N147" s="172">
        <f>SUM(L147:M147)</f>
        <v>0</v>
      </c>
      <c r="O147" s="169">
        <f>SUM(P147:Y147)</f>
        <v>0</v>
      </c>
      <c r="P147" s="173">
        <f t="shared" ref="P147:R147" si="247">SUM(P148:P149)</f>
        <v>0</v>
      </c>
      <c r="Q147" s="171">
        <f t="shared" si="247"/>
        <v>0</v>
      </c>
      <c r="R147" s="174">
        <f t="shared" si="247"/>
        <v>0</v>
      </c>
      <c r="S147" s="175">
        <f t="shared" ref="S147:Y147" si="248">SUM(S148:S149)</f>
        <v>0</v>
      </c>
      <c r="T147" s="171">
        <f t="shared" si="248"/>
        <v>0</v>
      </c>
      <c r="U147" s="171">
        <f t="shared" si="248"/>
        <v>0</v>
      </c>
      <c r="V147" s="171">
        <f t="shared" si="248"/>
        <v>0</v>
      </c>
      <c r="W147" s="171">
        <f t="shared" si="248"/>
        <v>0</v>
      </c>
      <c r="X147" s="171">
        <f t="shared" si="248"/>
        <v>0</v>
      </c>
      <c r="Y147" s="174">
        <f t="shared" si="248"/>
        <v>0</v>
      </c>
      <c r="Z147" s="149" t="str">
        <f t="shared" ca="1" si="211"/>
        <v>nie</v>
      </c>
      <c r="AA147" s="366"/>
      <c r="AB147" s="150" t="str">
        <f t="shared" ca="1" si="241"/>
        <v>-</v>
      </c>
      <c r="AC147" s="151" t="str">
        <f t="shared" ca="1" si="212"/>
        <v>PROPONOWANA ZMIANA</v>
      </c>
      <c r="AD147" s="152" t="str">
        <f t="shared" ca="1" si="213"/>
        <v>PROPONOWANA ZMIANA</v>
      </c>
      <c r="AE147" s="153" t="str">
        <f t="shared" ca="1" si="214"/>
        <v>C/USN/I/P2/44</v>
      </c>
      <c r="AF147" s="154" t="str">
        <f t="shared" ca="1" si="215"/>
        <v>Budowa ul. Lelka i ul. Herbsta - rozliczenie z deweloperem</v>
      </c>
      <c r="AG147" s="155">
        <f t="shared" ca="1" si="216"/>
        <v>60016</v>
      </c>
      <c r="AH147" s="155" t="str">
        <f t="shared" ca="1" si="217"/>
        <v>6060</v>
      </c>
      <c r="AI147" s="156" t="str">
        <f t="shared" ca="1" si="218"/>
        <v>GMMW</v>
      </c>
      <c r="AJ147" s="157" t="str">
        <f t="shared" ca="1" si="219"/>
        <v>WPF, w tym</v>
      </c>
      <c r="AK147" s="158" t="str">
        <f t="shared" ca="1" si="220"/>
        <v>C/USN/I/P2/44 60016 6060 GMMW</v>
      </c>
      <c r="AL147" s="158" t="str">
        <f t="shared" ca="1" si="221"/>
        <v>C/USN/I/P2/44 60016 6060 WPF, w tym</v>
      </c>
      <c r="AM147" s="159" t="str">
        <f t="shared" ca="1" si="222"/>
        <v>C/USN/I/P2/44 60016 6060 GMMW WPF, w tym</v>
      </c>
      <c r="AN147" s="160">
        <f t="shared" ca="1" si="223"/>
        <v>0</v>
      </c>
      <c r="AO147" s="161">
        <f t="shared" ca="1" si="224"/>
        <v>0</v>
      </c>
      <c r="AP147" s="162">
        <f t="shared" ca="1" si="225"/>
        <v>0</v>
      </c>
      <c r="AQ147" s="163">
        <f t="shared" ca="1" si="226"/>
        <v>0</v>
      </c>
      <c r="AR147" s="164">
        <f t="shared" ca="1" si="227"/>
        <v>0</v>
      </c>
      <c r="AS147" s="164">
        <f t="shared" ca="1" si="228"/>
        <v>0</v>
      </c>
      <c r="AT147" s="164">
        <f t="shared" ca="1" si="229"/>
        <v>0</v>
      </c>
      <c r="AU147" s="164">
        <f t="shared" ca="1" si="230"/>
        <v>0</v>
      </c>
      <c r="AV147" s="164">
        <f t="shared" ca="1" si="231"/>
        <v>0</v>
      </c>
      <c r="AW147" s="164">
        <f t="shared" ca="1" si="232"/>
        <v>0</v>
      </c>
      <c r="AX147" s="164">
        <f t="shared" ca="1" si="233"/>
        <v>0</v>
      </c>
      <c r="AY147" s="164">
        <f t="shared" ca="1" si="234"/>
        <v>0</v>
      </c>
      <c r="AZ147" s="164">
        <f t="shared" ca="1" si="235"/>
        <v>0</v>
      </c>
      <c r="BA147" s="165" t="str">
        <f t="shared" ca="1" si="236"/>
        <v>nie</v>
      </c>
      <c r="BB147" s="166" t="str">
        <f t="shared" ca="1" si="242"/>
        <v>-</v>
      </c>
      <c r="BC147" s="165" t="str">
        <f t="shared" ca="1" si="237"/>
        <v>nie</v>
      </c>
    </row>
    <row r="148" spans="1:55" s="167" customFormat="1" ht="14.45" hidden="1" customHeight="1" x14ac:dyDescent="0.25">
      <c r="A148" s="493"/>
      <c r="B148" s="493"/>
      <c r="C148" s="494"/>
      <c r="D148" s="506"/>
      <c r="E148" s="497"/>
      <c r="F148" s="497"/>
      <c r="G148" s="497"/>
      <c r="H148" s="498"/>
      <c r="I148" s="499"/>
      <c r="J148" s="177" t="s">
        <v>99</v>
      </c>
      <c r="K148" s="178">
        <f>SUM(N148:O148)</f>
        <v>0</v>
      </c>
      <c r="L148" s="179">
        <f t="shared" ref="L148:M148" si="249">L152-L144</f>
        <v>0</v>
      </c>
      <c r="M148" s="180">
        <f t="shared" si="249"/>
        <v>0</v>
      </c>
      <c r="N148" s="172">
        <f>SUM(L148:M148)</f>
        <v>0</v>
      </c>
      <c r="O148" s="178">
        <f>SUM(P148:Y148)</f>
        <v>0</v>
      </c>
      <c r="P148" s="181">
        <f t="shared" ref="P148:R148" si="250">P152-P144</f>
        <v>0</v>
      </c>
      <c r="Q148" s="180">
        <f t="shared" si="250"/>
        <v>0</v>
      </c>
      <c r="R148" s="182">
        <f t="shared" si="250"/>
        <v>0</v>
      </c>
      <c r="S148" s="183">
        <f t="shared" ref="S148:Y149" si="251">S152-S144</f>
        <v>0</v>
      </c>
      <c r="T148" s="180">
        <f t="shared" si="251"/>
        <v>0</v>
      </c>
      <c r="U148" s="180">
        <f t="shared" si="251"/>
        <v>0</v>
      </c>
      <c r="V148" s="180">
        <f t="shared" si="251"/>
        <v>0</v>
      </c>
      <c r="W148" s="180">
        <f t="shared" si="251"/>
        <v>0</v>
      </c>
      <c r="X148" s="180">
        <f t="shared" si="251"/>
        <v>0</v>
      </c>
      <c r="Y148" s="182">
        <f t="shared" si="251"/>
        <v>0</v>
      </c>
      <c r="Z148" s="149" t="str">
        <f t="shared" ca="1" si="211"/>
        <v>nie</v>
      </c>
      <c r="AA148" s="366"/>
      <c r="AB148" s="150" t="str">
        <f t="shared" ca="1" si="241"/>
        <v>-</v>
      </c>
      <c r="AC148" s="151" t="str">
        <f t="shared" ca="1" si="212"/>
        <v>PROPONOWANA ZMIANA</v>
      </c>
      <c r="AD148" s="152" t="str">
        <f t="shared" ca="1" si="213"/>
        <v>PROPONOWANA ZMIANA</v>
      </c>
      <c r="AE148" s="153" t="str">
        <f t="shared" ca="1" si="214"/>
        <v>C/USN/I/P2/44</v>
      </c>
      <c r="AF148" s="154" t="str">
        <f t="shared" ca="1" si="215"/>
        <v>Budowa ul. Lelka i ul. Herbsta - rozliczenie z deweloperem</v>
      </c>
      <c r="AG148" s="155">
        <f t="shared" ca="1" si="216"/>
        <v>60016</v>
      </c>
      <c r="AH148" s="155" t="str">
        <f t="shared" ca="1" si="217"/>
        <v>6060</v>
      </c>
      <c r="AI148" s="156" t="str">
        <f t="shared" ca="1" si="218"/>
        <v>GMMW</v>
      </c>
      <c r="AJ148" s="157" t="str">
        <f t="shared" ca="1" si="219"/>
        <v>WPF/PM</v>
      </c>
      <c r="AK148" s="158" t="str">
        <f t="shared" ca="1" si="220"/>
        <v>C/USN/I/P2/44 60016 6060 GMMW</v>
      </c>
      <c r="AL148" s="158" t="str">
        <f t="shared" ca="1" si="221"/>
        <v>C/USN/I/P2/44 60016 6060 WPF/PM</v>
      </c>
      <c r="AM148" s="159" t="str">
        <f t="shared" ca="1" si="222"/>
        <v>C/USN/I/P2/44 60016 6060 GMMW WPF/PM</v>
      </c>
      <c r="AN148" s="160">
        <f t="shared" ca="1" si="223"/>
        <v>0</v>
      </c>
      <c r="AO148" s="161">
        <f t="shared" ca="1" si="224"/>
        <v>0</v>
      </c>
      <c r="AP148" s="162">
        <f t="shared" ca="1" si="225"/>
        <v>0</v>
      </c>
      <c r="AQ148" s="163">
        <f t="shared" ca="1" si="226"/>
        <v>0</v>
      </c>
      <c r="AR148" s="164">
        <f t="shared" ca="1" si="227"/>
        <v>0</v>
      </c>
      <c r="AS148" s="164">
        <f t="shared" ca="1" si="228"/>
        <v>0</v>
      </c>
      <c r="AT148" s="164">
        <f t="shared" ca="1" si="229"/>
        <v>0</v>
      </c>
      <c r="AU148" s="164">
        <f t="shared" ca="1" si="230"/>
        <v>0</v>
      </c>
      <c r="AV148" s="164">
        <f t="shared" ca="1" si="231"/>
        <v>0</v>
      </c>
      <c r="AW148" s="164">
        <f t="shared" ca="1" si="232"/>
        <v>0</v>
      </c>
      <c r="AX148" s="164">
        <f t="shared" ca="1" si="233"/>
        <v>0</v>
      </c>
      <c r="AY148" s="164">
        <f t="shared" ca="1" si="234"/>
        <v>0</v>
      </c>
      <c r="AZ148" s="164">
        <f t="shared" ca="1" si="235"/>
        <v>0</v>
      </c>
      <c r="BA148" s="165" t="str">
        <f t="shared" ca="1" si="236"/>
        <v>nie</v>
      </c>
      <c r="BB148" s="166" t="str">
        <f t="shared" ca="1" si="242"/>
        <v>-</v>
      </c>
      <c r="BC148" s="165" t="str">
        <f t="shared" ca="1" si="237"/>
        <v>nie</v>
      </c>
    </row>
    <row r="149" spans="1:55" s="167" customFormat="1" ht="14.45" hidden="1" customHeight="1" x14ac:dyDescent="0.25">
      <c r="A149" s="493"/>
      <c r="B149" s="493"/>
      <c r="C149" s="494"/>
      <c r="D149" s="506"/>
      <c r="E149" s="497"/>
      <c r="F149" s="497"/>
      <c r="G149" s="497"/>
      <c r="H149" s="498"/>
      <c r="I149" s="499"/>
      <c r="J149" s="177" t="s">
        <v>100</v>
      </c>
      <c r="K149" s="178">
        <f>SUM(N149:O149)</f>
        <v>0</v>
      </c>
      <c r="L149" s="179">
        <f t="shared" ref="L149:M149" si="252">L153-L145</f>
        <v>0</v>
      </c>
      <c r="M149" s="180">
        <f t="shared" si="252"/>
        <v>0</v>
      </c>
      <c r="N149" s="172">
        <f>SUM(L149:M149)</f>
        <v>0</v>
      </c>
      <c r="O149" s="178">
        <f>SUM(P149:Y149)</f>
        <v>0</v>
      </c>
      <c r="P149" s="181">
        <f t="shared" ref="P149:R149" si="253">P153-P145</f>
        <v>0</v>
      </c>
      <c r="Q149" s="180">
        <f t="shared" si="253"/>
        <v>0</v>
      </c>
      <c r="R149" s="182">
        <f t="shared" si="253"/>
        <v>0</v>
      </c>
      <c r="S149" s="183">
        <f t="shared" si="251"/>
        <v>0</v>
      </c>
      <c r="T149" s="180">
        <f t="shared" si="251"/>
        <v>0</v>
      </c>
      <c r="U149" s="180">
        <f t="shared" si="251"/>
        <v>0</v>
      </c>
      <c r="V149" s="180">
        <f t="shared" si="251"/>
        <v>0</v>
      </c>
      <c r="W149" s="180">
        <f t="shared" si="251"/>
        <v>0</v>
      </c>
      <c r="X149" s="180">
        <f t="shared" si="251"/>
        <v>0</v>
      </c>
      <c r="Y149" s="182">
        <f t="shared" si="251"/>
        <v>0</v>
      </c>
      <c r="Z149" s="149" t="str">
        <f t="shared" ca="1" si="211"/>
        <v>nie</v>
      </c>
      <c r="AA149" s="366"/>
      <c r="AB149" s="150" t="str">
        <f t="shared" ca="1" si="241"/>
        <v>-</v>
      </c>
      <c r="AC149" s="151" t="str">
        <f t="shared" ca="1" si="212"/>
        <v>PROPONOWANA ZMIANA</v>
      </c>
      <c r="AD149" s="152" t="str">
        <f t="shared" ca="1" si="213"/>
        <v>PROPONOWANA ZMIANA</v>
      </c>
      <c r="AE149" s="153" t="str">
        <f t="shared" ca="1" si="214"/>
        <v>C/USN/I/P2/44</v>
      </c>
      <c r="AF149" s="154" t="str">
        <f t="shared" ca="1" si="215"/>
        <v>Budowa ul. Lelka i ul. Herbsta - rozliczenie z deweloperem</v>
      </c>
      <c r="AG149" s="155">
        <f t="shared" ca="1" si="216"/>
        <v>60016</v>
      </c>
      <c r="AH149" s="155" t="str">
        <f t="shared" ca="1" si="217"/>
        <v>6060</v>
      </c>
      <c r="AI149" s="156" t="str">
        <f t="shared" ca="1" si="218"/>
        <v>GMMW</v>
      </c>
      <c r="AJ149" s="157" t="str">
        <f t="shared" ca="1" si="219"/>
        <v>WPF/UM</v>
      </c>
      <c r="AK149" s="158" t="str">
        <f t="shared" ca="1" si="220"/>
        <v>C/USN/I/P2/44 60016 6060 GMMW</v>
      </c>
      <c r="AL149" s="158" t="str">
        <f t="shared" ca="1" si="221"/>
        <v>C/USN/I/P2/44 60016 6060 WPF/UM</v>
      </c>
      <c r="AM149" s="159" t="str">
        <f t="shared" ca="1" si="222"/>
        <v>C/USN/I/P2/44 60016 6060 GMMW WPF/UM</v>
      </c>
      <c r="AN149" s="160">
        <f t="shared" ca="1" si="223"/>
        <v>0</v>
      </c>
      <c r="AO149" s="161">
        <f t="shared" ca="1" si="224"/>
        <v>0</v>
      </c>
      <c r="AP149" s="162">
        <f t="shared" ca="1" si="225"/>
        <v>0</v>
      </c>
      <c r="AQ149" s="163">
        <f t="shared" ca="1" si="226"/>
        <v>0</v>
      </c>
      <c r="AR149" s="164">
        <f t="shared" ca="1" si="227"/>
        <v>0</v>
      </c>
      <c r="AS149" s="164">
        <f t="shared" ca="1" si="228"/>
        <v>0</v>
      </c>
      <c r="AT149" s="164">
        <f t="shared" ca="1" si="229"/>
        <v>0</v>
      </c>
      <c r="AU149" s="164">
        <f t="shared" ca="1" si="230"/>
        <v>0</v>
      </c>
      <c r="AV149" s="164">
        <f t="shared" ca="1" si="231"/>
        <v>0</v>
      </c>
      <c r="AW149" s="164">
        <f t="shared" ca="1" si="232"/>
        <v>0</v>
      </c>
      <c r="AX149" s="164">
        <f t="shared" ca="1" si="233"/>
        <v>0</v>
      </c>
      <c r="AY149" s="164">
        <f t="shared" ca="1" si="234"/>
        <v>0</v>
      </c>
      <c r="AZ149" s="164">
        <f t="shared" ca="1" si="235"/>
        <v>0</v>
      </c>
      <c r="BA149" s="165" t="str">
        <f t="shared" ca="1" si="236"/>
        <v>nie</v>
      </c>
      <c r="BB149" s="166" t="str">
        <f t="shared" ca="1" si="242"/>
        <v>-</v>
      </c>
      <c r="BC149" s="165" t="str">
        <f t="shared" ca="1" si="237"/>
        <v>nie</v>
      </c>
    </row>
    <row r="150" spans="1:55" s="167" customFormat="1" ht="14.45" hidden="1" customHeight="1" x14ac:dyDescent="0.25">
      <c r="A150" s="191" t="s">
        <v>101</v>
      </c>
      <c r="B150" s="192"/>
      <c r="C150" s="193"/>
      <c r="D150" s="192"/>
      <c r="E150" s="192"/>
      <c r="F150" s="192"/>
      <c r="G150" s="192"/>
      <c r="H150" s="192"/>
      <c r="I150" s="192"/>
      <c r="J150" s="192"/>
      <c r="K150" s="192"/>
      <c r="L150" s="192"/>
      <c r="M150" s="192"/>
      <c r="N150" s="192"/>
      <c r="O150" s="192"/>
      <c r="P150" s="192"/>
      <c r="Q150" s="192"/>
      <c r="R150" s="194"/>
      <c r="S150" s="195"/>
      <c r="T150" s="195"/>
      <c r="U150" s="195"/>
      <c r="V150" s="195"/>
      <c r="W150" s="195"/>
      <c r="X150" s="195"/>
      <c r="Y150" s="196"/>
      <c r="Z150" s="149" t="str">
        <f t="shared" ca="1" si="211"/>
        <v>nie</v>
      </c>
      <c r="AA150" s="366"/>
      <c r="AB150" s="150" t="str">
        <f t="shared" ca="1" si="241"/>
        <v>-</v>
      </c>
      <c r="AC150" s="151" t="str">
        <f t="shared" ca="1" si="212"/>
        <v>PO ZMIANIE</v>
      </c>
      <c r="AD150" s="152" t="str">
        <f t="shared" ca="1" si="213"/>
        <v/>
      </c>
      <c r="AE150" s="153" t="str">
        <f t="shared" ca="1" si="214"/>
        <v/>
      </c>
      <c r="AF150" s="154" t="str">
        <f t="shared" ca="1" si="215"/>
        <v/>
      </c>
      <c r="AG150" s="155" t="str">
        <f t="shared" ca="1" si="216"/>
        <v/>
      </c>
      <c r="AH150" s="155" t="str">
        <f t="shared" ca="1" si="217"/>
        <v/>
      </c>
      <c r="AI150" s="156" t="str">
        <f t="shared" ca="1" si="218"/>
        <v/>
      </c>
      <c r="AJ150" s="157" t="str">
        <f t="shared" ca="1" si="219"/>
        <v/>
      </c>
      <c r="AK150" s="158" t="str">
        <f t="shared" ca="1" si="220"/>
        <v/>
      </c>
      <c r="AL150" s="158" t="str">
        <f t="shared" ca="1" si="221"/>
        <v/>
      </c>
      <c r="AM150" s="159" t="str">
        <f t="shared" ca="1" si="222"/>
        <v/>
      </c>
      <c r="AN150" s="160" t="str">
        <f t="shared" ca="1" si="223"/>
        <v/>
      </c>
      <c r="AO150" s="161" t="str">
        <f t="shared" ca="1" si="224"/>
        <v/>
      </c>
      <c r="AP150" s="162" t="str">
        <f t="shared" ca="1" si="225"/>
        <v/>
      </c>
      <c r="AQ150" s="163" t="str">
        <f t="shared" ca="1" si="226"/>
        <v/>
      </c>
      <c r="AR150" s="164" t="str">
        <f t="shared" ca="1" si="227"/>
        <v/>
      </c>
      <c r="AS150" s="164" t="str">
        <f t="shared" ca="1" si="228"/>
        <v/>
      </c>
      <c r="AT150" s="164" t="str">
        <f t="shared" ca="1" si="229"/>
        <v/>
      </c>
      <c r="AU150" s="164" t="str">
        <f t="shared" ca="1" si="230"/>
        <v/>
      </c>
      <c r="AV150" s="164" t="str">
        <f t="shared" ca="1" si="231"/>
        <v/>
      </c>
      <c r="AW150" s="164" t="str">
        <f t="shared" ca="1" si="232"/>
        <v/>
      </c>
      <c r="AX150" s="164" t="str">
        <f t="shared" ca="1" si="233"/>
        <v/>
      </c>
      <c r="AY150" s="164" t="str">
        <f t="shared" ca="1" si="234"/>
        <v/>
      </c>
      <c r="AZ150" s="164" t="str">
        <f t="shared" ca="1" si="235"/>
        <v/>
      </c>
      <c r="BA150" s="165" t="str">
        <f t="shared" ca="1" si="236"/>
        <v>nie</v>
      </c>
      <c r="BB150" s="166" t="str">
        <f t="shared" ca="1" si="242"/>
        <v>-</v>
      </c>
      <c r="BC150" s="165" t="str">
        <f t="shared" ca="1" si="237"/>
        <v>nie</v>
      </c>
    </row>
    <row r="151" spans="1:55" s="176" customFormat="1" ht="14.45" hidden="1" customHeight="1" x14ac:dyDescent="0.25">
      <c r="A151" s="493" t="s">
        <v>24</v>
      </c>
      <c r="B151" s="493" t="s">
        <v>26</v>
      </c>
      <c r="C151" s="494" t="s">
        <v>126</v>
      </c>
      <c r="D151" s="505" t="s">
        <v>127</v>
      </c>
      <c r="E151" s="497">
        <v>600</v>
      </c>
      <c r="F151" s="497">
        <v>60016</v>
      </c>
      <c r="G151" s="497">
        <v>6060</v>
      </c>
      <c r="H151" s="507">
        <v>2022</v>
      </c>
      <c r="I151" s="499" t="str">
        <f ca="1">IF(COUNTIF(OFFSET(I151,-1,-8),"*propon*")&gt;0,OFFSET(I151,4,0),IF(Y151&gt;0,"2033",IF(X151&gt;0,"2032",IF(W151&gt;0,"2031",IF(V151&gt;0,"2030",IF(U151&gt;0,"2029",IF(T151&gt;0,"2028",IF(S151&gt;0,"2027",IF(R151&gt;0,"2026",IF(Q151&gt;0,"2025",IF(P151&gt;0,"2024",IF(M151&gt;0,"2023",IF(L151&gt;0,"2022","")))))))))))))</f>
        <v>2025</v>
      </c>
      <c r="J151" s="168" t="s">
        <v>102</v>
      </c>
      <c r="K151" s="169">
        <f>SUM(N151:O151)</f>
        <v>2418263</v>
      </c>
      <c r="L151" s="170">
        <f t="shared" ref="L151:M151" si="254">SUM(L152:L153)</f>
        <v>0</v>
      </c>
      <c r="M151" s="171">
        <f t="shared" si="254"/>
        <v>0</v>
      </c>
      <c r="N151" s="172">
        <f>SUM(L151:M151)</f>
        <v>0</v>
      </c>
      <c r="O151" s="169">
        <f>SUM(P151:Y151)</f>
        <v>2418263</v>
      </c>
      <c r="P151" s="173">
        <f t="shared" ref="P151:R151" si="255">SUM(P152:P153)</f>
        <v>40000</v>
      </c>
      <c r="Q151" s="171">
        <f t="shared" si="255"/>
        <v>2378263</v>
      </c>
      <c r="R151" s="174">
        <f t="shared" si="255"/>
        <v>0</v>
      </c>
      <c r="S151" s="175">
        <f t="shared" ref="S151:Y151" si="256">SUM(S152:S153)</f>
        <v>0</v>
      </c>
      <c r="T151" s="171">
        <f t="shared" si="256"/>
        <v>0</v>
      </c>
      <c r="U151" s="171">
        <f t="shared" si="256"/>
        <v>0</v>
      </c>
      <c r="V151" s="171">
        <f t="shared" si="256"/>
        <v>0</v>
      </c>
      <c r="W151" s="171">
        <f t="shared" si="256"/>
        <v>0</v>
      </c>
      <c r="X151" s="171">
        <f t="shared" si="256"/>
        <v>0</v>
      </c>
      <c r="Y151" s="174">
        <f t="shared" si="256"/>
        <v>0</v>
      </c>
      <c r="Z151" s="149" t="str">
        <f t="shared" ca="1" si="211"/>
        <v>nie</v>
      </c>
      <c r="AA151" s="366"/>
      <c r="AB151" s="150" t="str">
        <f t="shared" ca="1" si="241"/>
        <v>-</v>
      </c>
      <c r="AC151" s="151" t="str">
        <f t="shared" ca="1" si="212"/>
        <v>PO ZMIANIE</v>
      </c>
      <c r="AD151" s="152" t="str">
        <f t="shared" ca="1" si="213"/>
        <v>PO ZMIANIE</v>
      </c>
      <c r="AE151" s="153" t="str">
        <f t="shared" ca="1" si="214"/>
        <v>C/USN/I/P2/44</v>
      </c>
      <c r="AF151" s="154" t="str">
        <f t="shared" ca="1" si="215"/>
        <v>Budowa ul. Lelka i ul. Herbsta - rozliczenie z deweloperem</v>
      </c>
      <c r="AG151" s="155">
        <f t="shared" ca="1" si="216"/>
        <v>60016</v>
      </c>
      <c r="AH151" s="155" t="str">
        <f t="shared" ca="1" si="217"/>
        <v>6060</v>
      </c>
      <c r="AI151" s="156" t="str">
        <f t="shared" ca="1" si="218"/>
        <v>GMMW</v>
      </c>
      <c r="AJ151" s="157" t="str">
        <f t="shared" ca="1" si="219"/>
        <v>WPF, w tym</v>
      </c>
      <c r="AK151" s="158" t="str">
        <f t="shared" ca="1" si="220"/>
        <v>C/USN/I/P2/44 60016 6060 GMMW</v>
      </c>
      <c r="AL151" s="158" t="str">
        <f t="shared" ca="1" si="221"/>
        <v>C/USN/I/P2/44 60016 6060 WPF, w tym</v>
      </c>
      <c r="AM151" s="159" t="str">
        <f t="shared" ca="1" si="222"/>
        <v>C/USN/I/P2/44 60016 6060 GMMW WPF, w tym</v>
      </c>
      <c r="AN151" s="160">
        <f t="shared" ca="1" si="223"/>
        <v>2418263</v>
      </c>
      <c r="AO151" s="161">
        <f t="shared" ca="1" si="224"/>
        <v>0</v>
      </c>
      <c r="AP151" s="162">
        <f t="shared" ca="1" si="225"/>
        <v>0</v>
      </c>
      <c r="AQ151" s="163">
        <f t="shared" ca="1" si="226"/>
        <v>40000</v>
      </c>
      <c r="AR151" s="164">
        <f t="shared" ca="1" si="227"/>
        <v>2378263</v>
      </c>
      <c r="AS151" s="164">
        <f t="shared" ca="1" si="228"/>
        <v>0</v>
      </c>
      <c r="AT151" s="164">
        <f t="shared" ca="1" si="229"/>
        <v>0</v>
      </c>
      <c r="AU151" s="164">
        <f t="shared" ca="1" si="230"/>
        <v>0</v>
      </c>
      <c r="AV151" s="164">
        <f t="shared" ca="1" si="231"/>
        <v>0</v>
      </c>
      <c r="AW151" s="164">
        <f t="shared" ca="1" si="232"/>
        <v>0</v>
      </c>
      <c r="AX151" s="164">
        <f t="shared" ca="1" si="233"/>
        <v>0</v>
      </c>
      <c r="AY151" s="164">
        <f t="shared" ca="1" si="234"/>
        <v>0</v>
      </c>
      <c r="AZ151" s="164">
        <f t="shared" ca="1" si="235"/>
        <v>0</v>
      </c>
      <c r="BA151" s="165" t="str">
        <f t="shared" ca="1" si="236"/>
        <v>nie</v>
      </c>
      <c r="BB151" s="166" t="str">
        <f t="shared" ca="1" si="242"/>
        <v>-</v>
      </c>
      <c r="BC151" s="165" t="str">
        <f t="shared" ca="1" si="237"/>
        <v>nie</v>
      </c>
    </row>
    <row r="152" spans="1:55" s="167" customFormat="1" ht="14.45" hidden="1" customHeight="1" x14ac:dyDescent="0.25">
      <c r="A152" s="493"/>
      <c r="B152" s="493"/>
      <c r="C152" s="494"/>
      <c r="D152" s="506"/>
      <c r="E152" s="497"/>
      <c r="F152" s="497"/>
      <c r="G152" s="497"/>
      <c r="H152" s="498"/>
      <c r="I152" s="499"/>
      <c r="J152" s="177" t="s">
        <v>103</v>
      </c>
      <c r="K152" s="178">
        <f>SUM(N152:O152)</f>
        <v>2418263</v>
      </c>
      <c r="L152" s="179"/>
      <c r="M152" s="180"/>
      <c r="N152" s="172">
        <f>SUM(L152:M152)</f>
        <v>0</v>
      </c>
      <c r="O152" s="178">
        <f>SUM(P152:Y152)</f>
        <v>2418263</v>
      </c>
      <c r="P152" s="181">
        <v>40000</v>
      </c>
      <c r="Q152" s="180">
        <v>2378263</v>
      </c>
      <c r="R152" s="182"/>
      <c r="S152" s="183"/>
      <c r="T152" s="180"/>
      <c r="U152" s="180"/>
      <c r="V152" s="180"/>
      <c r="W152" s="180"/>
      <c r="X152" s="180"/>
      <c r="Y152" s="182"/>
      <c r="Z152" s="149" t="str">
        <f t="shared" ca="1" si="211"/>
        <v>nie</v>
      </c>
      <c r="AA152" s="384"/>
      <c r="AB152" s="150" t="str">
        <f t="shared" ca="1" si="241"/>
        <v>-</v>
      </c>
      <c r="AC152" s="151" t="str">
        <f t="shared" ca="1" si="212"/>
        <v>PO ZMIANIE</v>
      </c>
      <c r="AD152" s="152" t="str">
        <f t="shared" ca="1" si="213"/>
        <v>PO ZMIANIE</v>
      </c>
      <c r="AE152" s="153" t="str">
        <f t="shared" ca="1" si="214"/>
        <v>C/USN/I/P2/44</v>
      </c>
      <c r="AF152" s="154" t="str">
        <f t="shared" ca="1" si="215"/>
        <v>Budowa ul. Lelka i ul. Herbsta - rozliczenie z deweloperem</v>
      </c>
      <c r="AG152" s="155">
        <f t="shared" ca="1" si="216"/>
        <v>60016</v>
      </c>
      <c r="AH152" s="155" t="str">
        <f t="shared" ca="1" si="217"/>
        <v>6060</v>
      </c>
      <c r="AI152" s="156" t="str">
        <f t="shared" ca="1" si="218"/>
        <v>GMMW</v>
      </c>
      <c r="AJ152" s="157" t="str">
        <f t="shared" ca="1" si="219"/>
        <v>WPF/PM</v>
      </c>
      <c r="AK152" s="158" t="str">
        <f t="shared" ca="1" si="220"/>
        <v>C/USN/I/P2/44 60016 6060 GMMW</v>
      </c>
      <c r="AL152" s="158" t="str">
        <f t="shared" ca="1" si="221"/>
        <v>C/USN/I/P2/44 60016 6060 WPF/PM</v>
      </c>
      <c r="AM152" s="159" t="str">
        <f t="shared" ca="1" si="222"/>
        <v>C/USN/I/P2/44 60016 6060 GMMW WPF/PM</v>
      </c>
      <c r="AN152" s="160">
        <f t="shared" ca="1" si="223"/>
        <v>2418263</v>
      </c>
      <c r="AO152" s="161">
        <f t="shared" ca="1" si="224"/>
        <v>0</v>
      </c>
      <c r="AP152" s="162">
        <f t="shared" ca="1" si="225"/>
        <v>0</v>
      </c>
      <c r="AQ152" s="163">
        <f t="shared" ca="1" si="226"/>
        <v>40000</v>
      </c>
      <c r="AR152" s="164">
        <f t="shared" ca="1" si="227"/>
        <v>2378263</v>
      </c>
      <c r="AS152" s="164">
        <f t="shared" ca="1" si="228"/>
        <v>0</v>
      </c>
      <c r="AT152" s="164">
        <f t="shared" ca="1" si="229"/>
        <v>0</v>
      </c>
      <c r="AU152" s="164">
        <f t="shared" ca="1" si="230"/>
        <v>0</v>
      </c>
      <c r="AV152" s="164">
        <f t="shared" ca="1" si="231"/>
        <v>0</v>
      </c>
      <c r="AW152" s="164">
        <f t="shared" ca="1" si="232"/>
        <v>0</v>
      </c>
      <c r="AX152" s="164">
        <f t="shared" ca="1" si="233"/>
        <v>0</v>
      </c>
      <c r="AY152" s="164">
        <f t="shared" ca="1" si="234"/>
        <v>0</v>
      </c>
      <c r="AZ152" s="164">
        <f t="shared" ca="1" si="235"/>
        <v>0</v>
      </c>
      <c r="BA152" s="165" t="str">
        <f t="shared" ca="1" si="236"/>
        <v>nie</v>
      </c>
      <c r="BB152" s="166" t="str">
        <f t="shared" ca="1" si="242"/>
        <v>-</v>
      </c>
      <c r="BC152" s="165" t="str">
        <f t="shared" ca="1" si="237"/>
        <v>nie</v>
      </c>
    </row>
    <row r="153" spans="1:55" s="167" customFormat="1" ht="14.45" hidden="1" customHeight="1" thickBot="1" x14ac:dyDescent="0.3">
      <c r="A153" s="500"/>
      <c r="B153" s="500"/>
      <c r="C153" s="501"/>
      <c r="D153" s="513"/>
      <c r="E153" s="503"/>
      <c r="F153" s="503"/>
      <c r="G153" s="503"/>
      <c r="H153" s="504"/>
      <c r="I153" s="499"/>
      <c r="J153" s="197" t="s">
        <v>104</v>
      </c>
      <c r="K153" s="198">
        <f>SUM(N153:O153)</f>
        <v>0</v>
      </c>
      <c r="L153" s="199"/>
      <c r="M153" s="200"/>
      <c r="N153" s="371">
        <f>SUM(L153:M153)</f>
        <v>0</v>
      </c>
      <c r="O153" s="198">
        <f>SUM(P153:Y153)</f>
        <v>0</v>
      </c>
      <c r="P153" s="201"/>
      <c r="Q153" s="200"/>
      <c r="R153" s="202"/>
      <c r="S153" s="203"/>
      <c r="T153" s="200"/>
      <c r="U153" s="200"/>
      <c r="V153" s="200"/>
      <c r="W153" s="200"/>
      <c r="X153" s="200"/>
      <c r="Y153" s="202"/>
      <c r="Z153" s="149" t="str">
        <f t="shared" ca="1" si="211"/>
        <v>nie</v>
      </c>
      <c r="AA153" s="384"/>
      <c r="AB153" s="150" t="str">
        <f t="shared" ca="1" si="241"/>
        <v>-</v>
      </c>
      <c r="AC153" s="151" t="str">
        <f t="shared" ca="1" si="212"/>
        <v>PO ZMIANIE</v>
      </c>
      <c r="AD153" s="152" t="str">
        <f t="shared" ca="1" si="213"/>
        <v>PO ZMIANIE</v>
      </c>
      <c r="AE153" s="153" t="str">
        <f t="shared" ca="1" si="214"/>
        <v>C/USN/I/P2/44</v>
      </c>
      <c r="AF153" s="154" t="str">
        <f t="shared" ca="1" si="215"/>
        <v>Budowa ul. Lelka i ul. Herbsta - rozliczenie z deweloperem</v>
      </c>
      <c r="AG153" s="155">
        <f t="shared" ca="1" si="216"/>
        <v>60016</v>
      </c>
      <c r="AH153" s="155" t="str">
        <f t="shared" ca="1" si="217"/>
        <v>6060</v>
      </c>
      <c r="AI153" s="156" t="str">
        <f t="shared" ca="1" si="218"/>
        <v>GMMW</v>
      </c>
      <c r="AJ153" s="157" t="str">
        <f t="shared" ca="1" si="219"/>
        <v>WPF/UM</v>
      </c>
      <c r="AK153" s="158" t="str">
        <f t="shared" ca="1" si="220"/>
        <v>C/USN/I/P2/44 60016 6060 GMMW</v>
      </c>
      <c r="AL153" s="158" t="str">
        <f t="shared" ca="1" si="221"/>
        <v>C/USN/I/P2/44 60016 6060 WPF/UM</v>
      </c>
      <c r="AM153" s="159" t="str">
        <f t="shared" ca="1" si="222"/>
        <v>C/USN/I/P2/44 60016 6060 GMMW WPF/UM</v>
      </c>
      <c r="AN153" s="160">
        <f t="shared" ca="1" si="223"/>
        <v>0</v>
      </c>
      <c r="AO153" s="161">
        <f t="shared" ca="1" si="224"/>
        <v>0</v>
      </c>
      <c r="AP153" s="162">
        <f t="shared" ca="1" si="225"/>
        <v>0</v>
      </c>
      <c r="AQ153" s="163">
        <f t="shared" ca="1" si="226"/>
        <v>0</v>
      </c>
      <c r="AR153" s="164">
        <f t="shared" ca="1" si="227"/>
        <v>0</v>
      </c>
      <c r="AS153" s="164">
        <f t="shared" ca="1" si="228"/>
        <v>0</v>
      </c>
      <c r="AT153" s="164">
        <f t="shared" ca="1" si="229"/>
        <v>0</v>
      </c>
      <c r="AU153" s="164">
        <f t="shared" ca="1" si="230"/>
        <v>0</v>
      </c>
      <c r="AV153" s="164">
        <f t="shared" ca="1" si="231"/>
        <v>0</v>
      </c>
      <c r="AW153" s="164">
        <f t="shared" ca="1" si="232"/>
        <v>0</v>
      </c>
      <c r="AX153" s="164">
        <f t="shared" ca="1" si="233"/>
        <v>0</v>
      </c>
      <c r="AY153" s="164">
        <f t="shared" ca="1" si="234"/>
        <v>0</v>
      </c>
      <c r="AZ153" s="164">
        <f t="shared" ca="1" si="235"/>
        <v>0</v>
      </c>
      <c r="BA153" s="165" t="str">
        <f t="shared" ca="1" si="236"/>
        <v>nie</v>
      </c>
      <c r="BB153" s="166" t="str">
        <f t="shared" ca="1" si="242"/>
        <v>-</v>
      </c>
      <c r="BC153" s="165" t="str">
        <f t="shared" ca="1" si="237"/>
        <v>nie</v>
      </c>
    </row>
    <row r="154" spans="1:55" s="167" customFormat="1" ht="14.45" hidden="1" customHeight="1" x14ac:dyDescent="0.25">
      <c r="A154" s="143" t="s">
        <v>91</v>
      </c>
      <c r="B154" s="144"/>
      <c r="C154" s="145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6"/>
      <c r="S154" s="147"/>
      <c r="T154" s="147"/>
      <c r="U154" s="147"/>
      <c r="V154" s="147"/>
      <c r="W154" s="147"/>
      <c r="X154" s="147"/>
      <c r="Y154" s="148"/>
      <c r="Z154" s="149" t="str">
        <f t="shared" ca="1" si="211"/>
        <v>nie</v>
      </c>
      <c r="AA154" s="366"/>
      <c r="AB154" s="150" t="str">
        <f t="shared" ref="AB154:AB165" ca="1" si="257">IF(IF(OR(COUNTIF(AD154,"*bilans*")&gt;0,COUNTIF(AD154,"*prop*")&gt;0),COUNTIF(AO154:AZ154,"")+COUNTIF(AO154:AZ154,"0"),"")&lt;12,AE154,"-")</f>
        <v>-</v>
      </c>
      <c r="AC154" s="151" t="str">
        <f t="shared" ca="1" si="212"/>
        <v>PRZED ZMIANĄ</v>
      </c>
      <c r="AD154" s="152" t="str">
        <f t="shared" ref="AD154:AD165" ca="1" si="258">IF(AE154="","",AC154)</f>
        <v/>
      </c>
      <c r="AE154" s="153" t="str">
        <f t="shared" ca="1" si="214"/>
        <v/>
      </c>
      <c r="AF154" s="154" t="str">
        <f t="shared" ca="1" si="215"/>
        <v/>
      </c>
      <c r="AG154" s="155" t="str">
        <f t="shared" ca="1" si="216"/>
        <v/>
      </c>
      <c r="AH154" s="155" t="str">
        <f t="shared" ca="1" si="217"/>
        <v/>
      </c>
      <c r="AI154" s="156" t="str">
        <f t="shared" ca="1" si="218"/>
        <v/>
      </c>
      <c r="AJ154" s="157" t="str">
        <f t="shared" ca="1" si="219"/>
        <v/>
      </c>
      <c r="AK154" s="158" t="str">
        <f t="shared" ref="AK154:AK165" ca="1" si="259">IF(AH154="","",AE154&amp;" "&amp;AG154&amp;" "&amp;AH154&amp;" "&amp;AI154)</f>
        <v/>
      </c>
      <c r="AL154" s="158" t="str">
        <f t="shared" ref="AL154:AL165" ca="1" si="260">IF(AH154="","",AE154&amp;" "&amp;AG154&amp;" "&amp;AH154&amp;" "&amp;AJ154)</f>
        <v/>
      </c>
      <c r="AM154" s="159" t="str">
        <f t="shared" ref="AM154:AM165" ca="1" si="261">IF(AH154="","",AE154&amp;" "&amp;AG154&amp;" "&amp;AH154&amp;" "&amp;AI154&amp;" "&amp;AJ154)</f>
        <v/>
      </c>
      <c r="AN154" s="160" t="str">
        <f t="shared" ca="1" si="223"/>
        <v/>
      </c>
      <c r="AO154" s="161" t="str">
        <f t="shared" ca="1" si="224"/>
        <v/>
      </c>
      <c r="AP154" s="162" t="str">
        <f t="shared" ca="1" si="225"/>
        <v/>
      </c>
      <c r="AQ154" s="163" t="str">
        <f t="shared" ca="1" si="226"/>
        <v/>
      </c>
      <c r="AR154" s="164" t="str">
        <f t="shared" ca="1" si="227"/>
        <v/>
      </c>
      <c r="AS154" s="164" t="str">
        <f t="shared" ca="1" si="228"/>
        <v/>
      </c>
      <c r="AT154" s="164" t="str">
        <f t="shared" ca="1" si="229"/>
        <v/>
      </c>
      <c r="AU154" s="164" t="str">
        <f t="shared" ca="1" si="230"/>
        <v/>
      </c>
      <c r="AV154" s="164" t="str">
        <f t="shared" ca="1" si="231"/>
        <v/>
      </c>
      <c r="AW154" s="164" t="str">
        <f t="shared" ca="1" si="232"/>
        <v/>
      </c>
      <c r="AX154" s="164" t="str">
        <f t="shared" ca="1" si="233"/>
        <v/>
      </c>
      <c r="AY154" s="164" t="str">
        <f t="shared" ca="1" si="234"/>
        <v/>
      </c>
      <c r="AZ154" s="164" t="str">
        <f t="shared" ca="1" si="235"/>
        <v/>
      </c>
      <c r="BA154" s="165" t="str">
        <f t="shared" ca="1" si="236"/>
        <v>nie</v>
      </c>
      <c r="BB154" s="166" t="str">
        <f t="shared" ref="BB154:BB165" ca="1" si="262">IF(COUNTIF(AD154,"*bilans*")&gt;0,"-",IF(IF(COUNTIF(AD154,"*prop*")&gt;0,COUNTIF(AO154:AZ154,"")+COUNTIF(AO154:AZ154,"0"),"")&lt;12,AK154,"-"))</f>
        <v>-</v>
      </c>
      <c r="BC154" s="165" t="str">
        <f t="shared" ca="1" si="237"/>
        <v>nie</v>
      </c>
    </row>
    <row r="155" spans="1:55" s="176" customFormat="1" ht="14.45" hidden="1" customHeight="1" x14ac:dyDescent="0.25">
      <c r="A155" s="493" t="s">
        <v>24</v>
      </c>
      <c r="B155" s="493" t="s">
        <v>408</v>
      </c>
      <c r="C155" s="494" t="s">
        <v>406</v>
      </c>
      <c r="D155" s="505" t="s">
        <v>407</v>
      </c>
      <c r="E155" s="497">
        <v>600</v>
      </c>
      <c r="F155" s="497">
        <v>60095</v>
      </c>
      <c r="G155" s="497">
        <v>6050</v>
      </c>
      <c r="H155" s="507">
        <v>2023</v>
      </c>
      <c r="I155" s="499" t="str">
        <f ca="1">IF(COUNTIF(OFFSET(I155,-1,-8),"*propon*")&gt;0,OFFSET(I155,4,0),IF(Y155&gt;0,"2033",IF(X155&gt;0,"2032",IF(W155&gt;0,"2031",IF(V155&gt;0,"2030",IF(U155&gt;0,"2029",IF(T155&gt;0,"2028",IF(S155&gt;0,"2027",IF(R155&gt;0,"2026",IF(Q155&gt;0,"2025",IF(P155&gt;0,"2024",IF(M155&gt;0,"2023",IF(L155&gt;0,"2022","")))))))))))))</f>
        <v>2025</v>
      </c>
      <c r="J155" s="168" t="s">
        <v>94</v>
      </c>
      <c r="K155" s="169">
        <f>SUM(N155:O155)</f>
        <v>190000</v>
      </c>
      <c r="L155" s="170">
        <f t="shared" ref="L155:M155" si="263">SUM(L156:L157)</f>
        <v>0</v>
      </c>
      <c r="M155" s="171">
        <f t="shared" si="263"/>
        <v>0</v>
      </c>
      <c r="N155" s="172">
        <f>SUM(L155:M155)</f>
        <v>0</v>
      </c>
      <c r="O155" s="169">
        <f>SUM(P155:Y155)</f>
        <v>190000</v>
      </c>
      <c r="P155" s="173">
        <f t="shared" ref="P155:Y155" si="264">SUM(P156:P157)</f>
        <v>90000</v>
      </c>
      <c r="Q155" s="171">
        <f t="shared" si="264"/>
        <v>100000</v>
      </c>
      <c r="R155" s="174">
        <f t="shared" si="264"/>
        <v>0</v>
      </c>
      <c r="S155" s="175">
        <f t="shared" si="264"/>
        <v>0</v>
      </c>
      <c r="T155" s="171">
        <f t="shared" si="264"/>
        <v>0</v>
      </c>
      <c r="U155" s="171">
        <f t="shared" si="264"/>
        <v>0</v>
      </c>
      <c r="V155" s="171">
        <f t="shared" si="264"/>
        <v>0</v>
      </c>
      <c r="W155" s="171">
        <f t="shared" si="264"/>
        <v>0</v>
      </c>
      <c r="X155" s="171">
        <f t="shared" si="264"/>
        <v>0</v>
      </c>
      <c r="Y155" s="174">
        <f t="shared" si="264"/>
        <v>0</v>
      </c>
      <c r="Z155" s="149" t="str">
        <f t="shared" ca="1" si="211"/>
        <v>nie</v>
      </c>
      <c r="AA155" s="366"/>
      <c r="AB155" s="150" t="str">
        <f t="shared" ca="1" si="257"/>
        <v>-</v>
      </c>
      <c r="AC155" s="151" t="str">
        <f t="shared" ca="1" si="212"/>
        <v>PRZED ZMIANĄ</v>
      </c>
      <c r="AD155" s="152" t="str">
        <f t="shared" ca="1" si="258"/>
        <v>PRZED ZMIANĄ</v>
      </c>
      <c r="AE155" s="153" t="str">
        <f t="shared" ca="1" si="214"/>
        <v>C/USN/I/P2/45</v>
      </c>
      <c r="AF155" s="154" t="str">
        <f t="shared" ca="1" si="215"/>
        <v>Łączymy rowerowe szlaki - uzupełnienie sieci dróg rowerowych na Ursynowie o brakujące odcinki - edycja II</v>
      </c>
      <c r="AG155" s="155">
        <f t="shared" ca="1" si="216"/>
        <v>60095</v>
      </c>
      <c r="AH155" s="155" t="str">
        <f t="shared" ca="1" si="217"/>
        <v>6050</v>
      </c>
      <c r="AI155" s="156" t="str">
        <f t="shared" ca="1" si="218"/>
        <v>BO/23/12/0224</v>
      </c>
      <c r="AJ155" s="157" t="str">
        <f t="shared" ca="1" si="219"/>
        <v>WPF, w tym</v>
      </c>
      <c r="AK155" s="158" t="str">
        <f t="shared" ca="1" si="259"/>
        <v>C/USN/I/P2/45 60095 6050 BO/23/12/0224</v>
      </c>
      <c r="AL155" s="158" t="str">
        <f t="shared" ca="1" si="260"/>
        <v>C/USN/I/P2/45 60095 6050 WPF, w tym</v>
      </c>
      <c r="AM155" s="159" t="str">
        <f t="shared" ca="1" si="261"/>
        <v>C/USN/I/P2/45 60095 6050 BO/23/12/0224 WPF, w tym</v>
      </c>
      <c r="AN155" s="160">
        <f t="shared" ca="1" si="223"/>
        <v>190000</v>
      </c>
      <c r="AO155" s="161">
        <f t="shared" ca="1" si="224"/>
        <v>0</v>
      </c>
      <c r="AP155" s="162">
        <f t="shared" ca="1" si="225"/>
        <v>0</v>
      </c>
      <c r="AQ155" s="163">
        <f t="shared" ca="1" si="226"/>
        <v>90000</v>
      </c>
      <c r="AR155" s="164">
        <f t="shared" ca="1" si="227"/>
        <v>100000</v>
      </c>
      <c r="AS155" s="164">
        <f t="shared" ca="1" si="228"/>
        <v>0</v>
      </c>
      <c r="AT155" s="164">
        <f t="shared" ca="1" si="229"/>
        <v>0</v>
      </c>
      <c r="AU155" s="164">
        <f t="shared" ca="1" si="230"/>
        <v>0</v>
      </c>
      <c r="AV155" s="164">
        <f t="shared" ca="1" si="231"/>
        <v>0</v>
      </c>
      <c r="AW155" s="164">
        <f t="shared" ca="1" si="232"/>
        <v>0</v>
      </c>
      <c r="AX155" s="164">
        <f t="shared" ca="1" si="233"/>
        <v>0</v>
      </c>
      <c r="AY155" s="164">
        <f t="shared" ca="1" si="234"/>
        <v>0</v>
      </c>
      <c r="AZ155" s="164">
        <f t="shared" ca="1" si="235"/>
        <v>0</v>
      </c>
      <c r="BA155" s="165" t="str">
        <f t="shared" ca="1" si="236"/>
        <v>nie</v>
      </c>
      <c r="BB155" s="166" t="str">
        <f t="shared" ca="1" si="262"/>
        <v>-</v>
      </c>
      <c r="BC155" s="165" t="str">
        <f t="shared" ca="1" si="237"/>
        <v>nie</v>
      </c>
    </row>
    <row r="156" spans="1:55" s="167" customFormat="1" ht="14.45" hidden="1" customHeight="1" x14ac:dyDescent="0.25">
      <c r="A156" s="493"/>
      <c r="B156" s="493"/>
      <c r="C156" s="494"/>
      <c r="D156" s="506"/>
      <c r="E156" s="497"/>
      <c r="F156" s="497"/>
      <c r="G156" s="497"/>
      <c r="H156" s="498"/>
      <c r="I156" s="499"/>
      <c r="J156" s="177" t="s">
        <v>95</v>
      </c>
      <c r="K156" s="178">
        <f>SUM(N156:O156)</f>
        <v>190000</v>
      </c>
      <c r="L156" s="179"/>
      <c r="M156" s="180"/>
      <c r="N156" s="172">
        <f>SUM(L156:M156)</f>
        <v>0</v>
      </c>
      <c r="O156" s="178">
        <f>SUM(P156:Y156)</f>
        <v>190000</v>
      </c>
      <c r="P156" s="181">
        <v>90000</v>
      </c>
      <c r="Q156" s="180">
        <v>100000</v>
      </c>
      <c r="R156" s="182"/>
      <c r="S156" s="183"/>
      <c r="T156" s="180"/>
      <c r="U156" s="180"/>
      <c r="V156" s="180"/>
      <c r="W156" s="180"/>
      <c r="X156" s="180"/>
      <c r="Y156" s="182"/>
      <c r="Z156" s="149" t="str">
        <f t="shared" ca="1" si="211"/>
        <v>nie</v>
      </c>
      <c r="AA156" s="366"/>
      <c r="AB156" s="150" t="str">
        <f t="shared" ca="1" si="257"/>
        <v>-</v>
      </c>
      <c r="AC156" s="151" t="str">
        <f t="shared" ca="1" si="212"/>
        <v>PRZED ZMIANĄ</v>
      </c>
      <c r="AD156" s="152" t="str">
        <f t="shared" ca="1" si="258"/>
        <v>PRZED ZMIANĄ</v>
      </c>
      <c r="AE156" s="153" t="str">
        <f t="shared" ca="1" si="214"/>
        <v>C/USN/I/P2/45</v>
      </c>
      <c r="AF156" s="154" t="str">
        <f t="shared" ca="1" si="215"/>
        <v>Łączymy rowerowe szlaki - uzupełnienie sieci dróg rowerowych na Ursynowie o brakujące odcinki - edycja II</v>
      </c>
      <c r="AG156" s="155">
        <f t="shared" ca="1" si="216"/>
        <v>60095</v>
      </c>
      <c r="AH156" s="155" t="str">
        <f t="shared" ca="1" si="217"/>
        <v>6050</v>
      </c>
      <c r="AI156" s="156" t="str">
        <f t="shared" ca="1" si="218"/>
        <v>BO/23/12/0224</v>
      </c>
      <c r="AJ156" s="157" t="str">
        <f t="shared" ca="1" si="219"/>
        <v>WPF/PM</v>
      </c>
      <c r="AK156" s="158" t="str">
        <f t="shared" ca="1" si="259"/>
        <v>C/USN/I/P2/45 60095 6050 BO/23/12/0224</v>
      </c>
      <c r="AL156" s="158" t="str">
        <f t="shared" ca="1" si="260"/>
        <v>C/USN/I/P2/45 60095 6050 WPF/PM</v>
      </c>
      <c r="AM156" s="159" t="str">
        <f t="shared" ca="1" si="261"/>
        <v>C/USN/I/P2/45 60095 6050 BO/23/12/0224 WPF/PM</v>
      </c>
      <c r="AN156" s="160">
        <f t="shared" ca="1" si="223"/>
        <v>190000</v>
      </c>
      <c r="AO156" s="161">
        <f t="shared" ca="1" si="224"/>
        <v>0</v>
      </c>
      <c r="AP156" s="162">
        <f t="shared" ca="1" si="225"/>
        <v>0</v>
      </c>
      <c r="AQ156" s="163">
        <f t="shared" ca="1" si="226"/>
        <v>90000</v>
      </c>
      <c r="AR156" s="164">
        <f t="shared" ca="1" si="227"/>
        <v>100000</v>
      </c>
      <c r="AS156" s="164">
        <f t="shared" ca="1" si="228"/>
        <v>0</v>
      </c>
      <c r="AT156" s="164">
        <f t="shared" ca="1" si="229"/>
        <v>0</v>
      </c>
      <c r="AU156" s="164">
        <f t="shared" ca="1" si="230"/>
        <v>0</v>
      </c>
      <c r="AV156" s="164">
        <f t="shared" ca="1" si="231"/>
        <v>0</v>
      </c>
      <c r="AW156" s="164">
        <f t="shared" ca="1" si="232"/>
        <v>0</v>
      </c>
      <c r="AX156" s="164">
        <f t="shared" ca="1" si="233"/>
        <v>0</v>
      </c>
      <c r="AY156" s="164">
        <f t="shared" ca="1" si="234"/>
        <v>0</v>
      </c>
      <c r="AZ156" s="164">
        <f t="shared" ca="1" si="235"/>
        <v>0</v>
      </c>
      <c r="BA156" s="165" t="str">
        <f t="shared" ca="1" si="236"/>
        <v>nie</v>
      </c>
      <c r="BB156" s="166" t="str">
        <f t="shared" ca="1" si="262"/>
        <v>-</v>
      </c>
      <c r="BC156" s="165" t="str">
        <f t="shared" ca="1" si="237"/>
        <v>nie</v>
      </c>
    </row>
    <row r="157" spans="1:55" s="167" customFormat="1" ht="14.45" hidden="1" customHeight="1" x14ac:dyDescent="0.25">
      <c r="A157" s="493"/>
      <c r="B157" s="493"/>
      <c r="C157" s="494"/>
      <c r="D157" s="506"/>
      <c r="E157" s="497"/>
      <c r="F157" s="497"/>
      <c r="G157" s="497"/>
      <c r="H157" s="498"/>
      <c r="I157" s="499"/>
      <c r="J157" s="177" t="s">
        <v>96</v>
      </c>
      <c r="K157" s="178">
        <f>SUM(N157:O157)</f>
        <v>0</v>
      </c>
      <c r="L157" s="184"/>
      <c r="M157" s="180"/>
      <c r="N157" s="172">
        <f>SUM(L157:M157)</f>
        <v>0</v>
      </c>
      <c r="O157" s="178">
        <f>SUM(P157:Y157)</f>
        <v>0</v>
      </c>
      <c r="P157" s="181"/>
      <c r="Q157" s="180"/>
      <c r="R157" s="182"/>
      <c r="S157" s="183"/>
      <c r="T157" s="180"/>
      <c r="U157" s="180"/>
      <c r="V157" s="180"/>
      <c r="W157" s="180"/>
      <c r="X157" s="180"/>
      <c r="Y157" s="182"/>
      <c r="Z157" s="149" t="str">
        <f t="shared" ca="1" si="211"/>
        <v>nie</v>
      </c>
      <c r="AA157" s="366"/>
      <c r="AB157" s="150" t="str">
        <f t="shared" ca="1" si="257"/>
        <v>-</v>
      </c>
      <c r="AC157" s="151" t="str">
        <f t="shared" ca="1" si="212"/>
        <v>PRZED ZMIANĄ</v>
      </c>
      <c r="AD157" s="152" t="str">
        <f t="shared" ca="1" si="258"/>
        <v>PRZED ZMIANĄ</v>
      </c>
      <c r="AE157" s="153" t="str">
        <f t="shared" ca="1" si="214"/>
        <v>C/USN/I/P2/45</v>
      </c>
      <c r="AF157" s="154" t="str">
        <f t="shared" ca="1" si="215"/>
        <v>Łączymy rowerowe szlaki - uzupełnienie sieci dróg rowerowych na Ursynowie o brakujące odcinki - edycja II</v>
      </c>
      <c r="AG157" s="155">
        <f t="shared" ca="1" si="216"/>
        <v>60095</v>
      </c>
      <c r="AH157" s="155" t="str">
        <f t="shared" ca="1" si="217"/>
        <v>6050</v>
      </c>
      <c r="AI157" s="156" t="str">
        <f t="shared" ca="1" si="218"/>
        <v>BO/23/12/0224</v>
      </c>
      <c r="AJ157" s="157" t="str">
        <f t="shared" ca="1" si="219"/>
        <v>WPF/UM</v>
      </c>
      <c r="AK157" s="158" t="str">
        <f t="shared" ca="1" si="259"/>
        <v>C/USN/I/P2/45 60095 6050 BO/23/12/0224</v>
      </c>
      <c r="AL157" s="158" t="str">
        <f t="shared" ca="1" si="260"/>
        <v>C/USN/I/P2/45 60095 6050 WPF/UM</v>
      </c>
      <c r="AM157" s="159" t="str">
        <f t="shared" ca="1" si="261"/>
        <v>C/USN/I/P2/45 60095 6050 BO/23/12/0224 WPF/UM</v>
      </c>
      <c r="AN157" s="160">
        <f t="shared" ca="1" si="223"/>
        <v>0</v>
      </c>
      <c r="AO157" s="161">
        <f t="shared" ca="1" si="224"/>
        <v>0</v>
      </c>
      <c r="AP157" s="162">
        <f t="shared" ca="1" si="225"/>
        <v>0</v>
      </c>
      <c r="AQ157" s="163">
        <f t="shared" ca="1" si="226"/>
        <v>0</v>
      </c>
      <c r="AR157" s="164">
        <f t="shared" ca="1" si="227"/>
        <v>0</v>
      </c>
      <c r="AS157" s="164">
        <f t="shared" ca="1" si="228"/>
        <v>0</v>
      </c>
      <c r="AT157" s="164">
        <f t="shared" ca="1" si="229"/>
        <v>0</v>
      </c>
      <c r="AU157" s="164">
        <f t="shared" ca="1" si="230"/>
        <v>0</v>
      </c>
      <c r="AV157" s="164">
        <f t="shared" ca="1" si="231"/>
        <v>0</v>
      </c>
      <c r="AW157" s="164">
        <f t="shared" ca="1" si="232"/>
        <v>0</v>
      </c>
      <c r="AX157" s="164">
        <f t="shared" ca="1" si="233"/>
        <v>0</v>
      </c>
      <c r="AY157" s="164">
        <f t="shared" ca="1" si="234"/>
        <v>0</v>
      </c>
      <c r="AZ157" s="164">
        <f t="shared" ca="1" si="235"/>
        <v>0</v>
      </c>
      <c r="BA157" s="165" t="str">
        <f t="shared" ca="1" si="236"/>
        <v>nie</v>
      </c>
      <c r="BB157" s="166" t="str">
        <f t="shared" ca="1" si="262"/>
        <v>-</v>
      </c>
      <c r="BC157" s="165" t="str">
        <f t="shared" ca="1" si="237"/>
        <v>nie</v>
      </c>
    </row>
    <row r="158" spans="1:55" s="167" customFormat="1" ht="14.45" hidden="1" customHeight="1" x14ac:dyDescent="0.25">
      <c r="A158" s="185" t="s">
        <v>97</v>
      </c>
      <c r="B158" s="186"/>
      <c r="C158" s="187"/>
      <c r="D158" s="186"/>
      <c r="E158" s="186"/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  <c r="R158" s="188"/>
      <c r="S158" s="189"/>
      <c r="T158" s="189"/>
      <c r="U158" s="189"/>
      <c r="V158" s="189"/>
      <c r="W158" s="189"/>
      <c r="X158" s="189"/>
      <c r="Y158" s="190"/>
      <c r="Z158" s="149" t="str">
        <f t="shared" ca="1" si="211"/>
        <v>nie</v>
      </c>
      <c r="AA158" s="366"/>
      <c r="AB158" s="150" t="str">
        <f t="shared" ca="1" si="257"/>
        <v>-</v>
      </c>
      <c r="AC158" s="151" t="str">
        <f t="shared" ca="1" si="212"/>
        <v>PROPONOWANA ZMIANA</v>
      </c>
      <c r="AD158" s="152" t="str">
        <f t="shared" ca="1" si="258"/>
        <v/>
      </c>
      <c r="AE158" s="153" t="str">
        <f t="shared" ca="1" si="214"/>
        <v/>
      </c>
      <c r="AF158" s="154" t="str">
        <f t="shared" ca="1" si="215"/>
        <v/>
      </c>
      <c r="AG158" s="155" t="str">
        <f t="shared" ca="1" si="216"/>
        <v/>
      </c>
      <c r="AH158" s="155" t="str">
        <f t="shared" ca="1" si="217"/>
        <v/>
      </c>
      <c r="AI158" s="156" t="str">
        <f t="shared" ca="1" si="218"/>
        <v/>
      </c>
      <c r="AJ158" s="157" t="str">
        <f t="shared" ca="1" si="219"/>
        <v/>
      </c>
      <c r="AK158" s="158" t="str">
        <f t="shared" ca="1" si="259"/>
        <v/>
      </c>
      <c r="AL158" s="158" t="str">
        <f t="shared" ca="1" si="260"/>
        <v/>
      </c>
      <c r="AM158" s="159" t="str">
        <f t="shared" ca="1" si="261"/>
        <v/>
      </c>
      <c r="AN158" s="160" t="str">
        <f t="shared" ca="1" si="223"/>
        <v/>
      </c>
      <c r="AO158" s="161" t="str">
        <f t="shared" ca="1" si="224"/>
        <v/>
      </c>
      <c r="AP158" s="162" t="str">
        <f t="shared" ca="1" si="225"/>
        <v/>
      </c>
      <c r="AQ158" s="163" t="str">
        <f t="shared" ca="1" si="226"/>
        <v/>
      </c>
      <c r="AR158" s="164" t="str">
        <f t="shared" ca="1" si="227"/>
        <v/>
      </c>
      <c r="AS158" s="164" t="str">
        <f t="shared" ca="1" si="228"/>
        <v/>
      </c>
      <c r="AT158" s="164" t="str">
        <f t="shared" ca="1" si="229"/>
        <v/>
      </c>
      <c r="AU158" s="164" t="str">
        <f t="shared" ca="1" si="230"/>
        <v/>
      </c>
      <c r="AV158" s="164" t="str">
        <f t="shared" ca="1" si="231"/>
        <v/>
      </c>
      <c r="AW158" s="164" t="str">
        <f t="shared" ca="1" si="232"/>
        <v/>
      </c>
      <c r="AX158" s="164" t="str">
        <f t="shared" ca="1" si="233"/>
        <v/>
      </c>
      <c r="AY158" s="164" t="str">
        <f t="shared" ca="1" si="234"/>
        <v/>
      </c>
      <c r="AZ158" s="164" t="str">
        <f t="shared" ca="1" si="235"/>
        <v/>
      </c>
      <c r="BA158" s="165" t="str">
        <f t="shared" ca="1" si="236"/>
        <v>nie</v>
      </c>
      <c r="BB158" s="166" t="str">
        <f t="shared" ca="1" si="262"/>
        <v>-</v>
      </c>
      <c r="BC158" s="165" t="str">
        <f t="shared" ca="1" si="237"/>
        <v>nie</v>
      </c>
    </row>
    <row r="159" spans="1:55" s="176" customFormat="1" ht="14.45" hidden="1" customHeight="1" x14ac:dyDescent="0.25">
      <c r="A159" s="493" t="s">
        <v>24</v>
      </c>
      <c r="B159" s="493" t="s">
        <v>408</v>
      </c>
      <c r="C159" s="494" t="s">
        <v>406</v>
      </c>
      <c r="D159" s="505" t="s">
        <v>407</v>
      </c>
      <c r="E159" s="497">
        <v>600</v>
      </c>
      <c r="F159" s="535">
        <v>60095</v>
      </c>
      <c r="G159" s="497">
        <v>6050</v>
      </c>
      <c r="H159" s="507">
        <v>2023</v>
      </c>
      <c r="I159" s="499" t="str">
        <f ca="1">IF(COUNTIF(OFFSET(I159,-1,-8),"*propon*")&gt;0,OFFSET(I159,4,0),IF(Y159&gt;0,"2033",IF(X159&gt;0,"2032",IF(W159&gt;0,"2031",IF(V159&gt;0,"2030",IF(U159&gt;0,"2029",IF(T159&gt;0,"2028",IF(S159&gt;0,"2027",IF(R159&gt;0,"2026",IF(Q159&gt;0,"2025",IF(P159&gt;0,"2024",IF(M159&gt;0,"2023",IF(L159&gt;0,"2022","")))))))))))))</f>
        <v>2025</v>
      </c>
      <c r="J159" s="168" t="s">
        <v>98</v>
      </c>
      <c r="K159" s="169">
        <f>SUM(N159:O159)</f>
        <v>0</v>
      </c>
      <c r="L159" s="170">
        <f t="shared" ref="L159:M159" si="265">SUM(L160:L161)</f>
        <v>0</v>
      </c>
      <c r="M159" s="171">
        <f t="shared" si="265"/>
        <v>0</v>
      </c>
      <c r="N159" s="172">
        <f>SUM(L159:M159)</f>
        <v>0</v>
      </c>
      <c r="O159" s="169">
        <f>SUM(P159:Y159)</f>
        <v>0</v>
      </c>
      <c r="P159" s="173">
        <f t="shared" ref="P159:Y159" si="266">SUM(P160:P161)</f>
        <v>0</v>
      </c>
      <c r="Q159" s="171">
        <f t="shared" si="266"/>
        <v>0</v>
      </c>
      <c r="R159" s="174">
        <f t="shared" si="266"/>
        <v>0</v>
      </c>
      <c r="S159" s="175">
        <f t="shared" si="266"/>
        <v>0</v>
      </c>
      <c r="T159" s="171">
        <f t="shared" si="266"/>
        <v>0</v>
      </c>
      <c r="U159" s="171">
        <f t="shared" si="266"/>
        <v>0</v>
      </c>
      <c r="V159" s="171">
        <f t="shared" si="266"/>
        <v>0</v>
      </c>
      <c r="W159" s="171">
        <f t="shared" si="266"/>
        <v>0</v>
      </c>
      <c r="X159" s="171">
        <f t="shared" si="266"/>
        <v>0</v>
      </c>
      <c r="Y159" s="174">
        <f t="shared" si="266"/>
        <v>0</v>
      </c>
      <c r="Z159" s="149" t="str">
        <f t="shared" ca="1" si="211"/>
        <v>nie</v>
      </c>
      <c r="AA159" s="366"/>
      <c r="AB159" s="150" t="str">
        <f t="shared" ca="1" si="257"/>
        <v>-</v>
      </c>
      <c r="AC159" s="151" t="str">
        <f t="shared" ca="1" si="212"/>
        <v>PROPONOWANA ZMIANA</v>
      </c>
      <c r="AD159" s="152" t="str">
        <f t="shared" ca="1" si="258"/>
        <v>PROPONOWANA ZMIANA</v>
      </c>
      <c r="AE159" s="153" t="str">
        <f t="shared" ca="1" si="214"/>
        <v>C/USN/I/P2/45</v>
      </c>
      <c r="AF159" s="154" t="str">
        <f t="shared" ca="1" si="215"/>
        <v>Łączymy rowerowe szlaki - uzupełnienie sieci dróg rowerowych na Ursynowie o brakujące odcinki - edycja II</v>
      </c>
      <c r="AG159" s="155">
        <f t="shared" ca="1" si="216"/>
        <v>60095</v>
      </c>
      <c r="AH159" s="155" t="str">
        <f t="shared" ca="1" si="217"/>
        <v>6050</v>
      </c>
      <c r="AI159" s="156" t="str">
        <f t="shared" ca="1" si="218"/>
        <v>BO/23/12/0224</v>
      </c>
      <c r="AJ159" s="157" t="str">
        <f t="shared" ca="1" si="219"/>
        <v>WPF, w tym</v>
      </c>
      <c r="AK159" s="158" t="str">
        <f t="shared" ca="1" si="259"/>
        <v>C/USN/I/P2/45 60095 6050 BO/23/12/0224</v>
      </c>
      <c r="AL159" s="158" t="str">
        <f t="shared" ca="1" si="260"/>
        <v>C/USN/I/P2/45 60095 6050 WPF, w tym</v>
      </c>
      <c r="AM159" s="159" t="str">
        <f t="shared" ca="1" si="261"/>
        <v>C/USN/I/P2/45 60095 6050 BO/23/12/0224 WPF, w tym</v>
      </c>
      <c r="AN159" s="160">
        <f t="shared" ca="1" si="223"/>
        <v>0</v>
      </c>
      <c r="AO159" s="161">
        <f t="shared" ca="1" si="224"/>
        <v>0</v>
      </c>
      <c r="AP159" s="162">
        <f t="shared" ca="1" si="225"/>
        <v>0</v>
      </c>
      <c r="AQ159" s="163">
        <f t="shared" ca="1" si="226"/>
        <v>0</v>
      </c>
      <c r="AR159" s="164">
        <f t="shared" ca="1" si="227"/>
        <v>0</v>
      </c>
      <c r="AS159" s="164">
        <f t="shared" ca="1" si="228"/>
        <v>0</v>
      </c>
      <c r="AT159" s="164">
        <f t="shared" ca="1" si="229"/>
        <v>0</v>
      </c>
      <c r="AU159" s="164">
        <f t="shared" ca="1" si="230"/>
        <v>0</v>
      </c>
      <c r="AV159" s="164">
        <f t="shared" ca="1" si="231"/>
        <v>0</v>
      </c>
      <c r="AW159" s="164">
        <f t="shared" ca="1" si="232"/>
        <v>0</v>
      </c>
      <c r="AX159" s="164">
        <f t="shared" ca="1" si="233"/>
        <v>0</v>
      </c>
      <c r="AY159" s="164">
        <f t="shared" ca="1" si="234"/>
        <v>0</v>
      </c>
      <c r="AZ159" s="164">
        <f t="shared" ca="1" si="235"/>
        <v>0</v>
      </c>
      <c r="BA159" s="165" t="str">
        <f t="shared" ca="1" si="236"/>
        <v>nie</v>
      </c>
      <c r="BB159" s="166" t="str">
        <f t="shared" ca="1" si="262"/>
        <v>-</v>
      </c>
      <c r="BC159" s="165" t="str">
        <f t="shared" ca="1" si="237"/>
        <v>nie</v>
      </c>
    </row>
    <row r="160" spans="1:55" s="167" customFormat="1" ht="14.45" hidden="1" customHeight="1" x14ac:dyDescent="0.25">
      <c r="A160" s="493"/>
      <c r="B160" s="493"/>
      <c r="C160" s="494"/>
      <c r="D160" s="506"/>
      <c r="E160" s="497"/>
      <c r="F160" s="536"/>
      <c r="G160" s="497"/>
      <c r="H160" s="498"/>
      <c r="I160" s="499"/>
      <c r="J160" s="177" t="s">
        <v>99</v>
      </c>
      <c r="K160" s="178">
        <f>SUM(N160:O160)</f>
        <v>0</v>
      </c>
      <c r="L160" s="179">
        <f t="shared" ref="L160:M160" si="267">L164-L156</f>
        <v>0</v>
      </c>
      <c r="M160" s="180">
        <f t="shared" si="267"/>
        <v>0</v>
      </c>
      <c r="N160" s="172">
        <f>SUM(L160:M160)</f>
        <v>0</v>
      </c>
      <c r="O160" s="178">
        <f>SUM(P160:Y160)</f>
        <v>0</v>
      </c>
      <c r="P160" s="181">
        <f t="shared" ref="P160:Y160" si="268">P164-P156</f>
        <v>0</v>
      </c>
      <c r="Q160" s="180">
        <f t="shared" si="268"/>
        <v>0</v>
      </c>
      <c r="R160" s="182">
        <f t="shared" si="268"/>
        <v>0</v>
      </c>
      <c r="S160" s="183">
        <f t="shared" si="268"/>
        <v>0</v>
      </c>
      <c r="T160" s="180">
        <f t="shared" si="268"/>
        <v>0</v>
      </c>
      <c r="U160" s="180">
        <f t="shared" si="268"/>
        <v>0</v>
      </c>
      <c r="V160" s="180">
        <f t="shared" si="268"/>
        <v>0</v>
      </c>
      <c r="W160" s="180">
        <f t="shared" si="268"/>
        <v>0</v>
      </c>
      <c r="X160" s="180">
        <f t="shared" si="268"/>
        <v>0</v>
      </c>
      <c r="Y160" s="182">
        <f t="shared" si="268"/>
        <v>0</v>
      </c>
      <c r="Z160" s="149" t="str">
        <f t="shared" ca="1" si="211"/>
        <v>nie</v>
      </c>
      <c r="AA160" s="366"/>
      <c r="AB160" s="150" t="str">
        <f t="shared" ca="1" si="257"/>
        <v>-</v>
      </c>
      <c r="AC160" s="151" t="str">
        <f t="shared" ca="1" si="212"/>
        <v>PROPONOWANA ZMIANA</v>
      </c>
      <c r="AD160" s="152" t="str">
        <f t="shared" ca="1" si="258"/>
        <v>PROPONOWANA ZMIANA</v>
      </c>
      <c r="AE160" s="153" t="str">
        <f t="shared" ca="1" si="214"/>
        <v>C/USN/I/P2/45</v>
      </c>
      <c r="AF160" s="154" t="str">
        <f t="shared" ca="1" si="215"/>
        <v>Łączymy rowerowe szlaki - uzupełnienie sieci dróg rowerowych na Ursynowie o brakujące odcinki - edycja II</v>
      </c>
      <c r="AG160" s="155">
        <f t="shared" ca="1" si="216"/>
        <v>60095</v>
      </c>
      <c r="AH160" s="155" t="str">
        <f t="shared" ca="1" si="217"/>
        <v>6050</v>
      </c>
      <c r="AI160" s="156" t="str">
        <f t="shared" ca="1" si="218"/>
        <v>BO/23/12/0224</v>
      </c>
      <c r="AJ160" s="157" t="str">
        <f t="shared" ca="1" si="219"/>
        <v>WPF/PM</v>
      </c>
      <c r="AK160" s="158" t="str">
        <f t="shared" ca="1" si="259"/>
        <v>C/USN/I/P2/45 60095 6050 BO/23/12/0224</v>
      </c>
      <c r="AL160" s="158" t="str">
        <f t="shared" ca="1" si="260"/>
        <v>C/USN/I/P2/45 60095 6050 WPF/PM</v>
      </c>
      <c r="AM160" s="159" t="str">
        <f t="shared" ca="1" si="261"/>
        <v>C/USN/I/P2/45 60095 6050 BO/23/12/0224 WPF/PM</v>
      </c>
      <c r="AN160" s="160">
        <f t="shared" ca="1" si="223"/>
        <v>0</v>
      </c>
      <c r="AO160" s="161">
        <f t="shared" ca="1" si="224"/>
        <v>0</v>
      </c>
      <c r="AP160" s="162">
        <f t="shared" ca="1" si="225"/>
        <v>0</v>
      </c>
      <c r="AQ160" s="163">
        <f t="shared" ca="1" si="226"/>
        <v>0</v>
      </c>
      <c r="AR160" s="164">
        <f t="shared" ca="1" si="227"/>
        <v>0</v>
      </c>
      <c r="AS160" s="164">
        <f t="shared" ca="1" si="228"/>
        <v>0</v>
      </c>
      <c r="AT160" s="164">
        <f t="shared" ca="1" si="229"/>
        <v>0</v>
      </c>
      <c r="AU160" s="164">
        <f t="shared" ca="1" si="230"/>
        <v>0</v>
      </c>
      <c r="AV160" s="164">
        <f t="shared" ca="1" si="231"/>
        <v>0</v>
      </c>
      <c r="AW160" s="164">
        <f t="shared" ca="1" si="232"/>
        <v>0</v>
      </c>
      <c r="AX160" s="164">
        <f t="shared" ca="1" si="233"/>
        <v>0</v>
      </c>
      <c r="AY160" s="164">
        <f t="shared" ca="1" si="234"/>
        <v>0</v>
      </c>
      <c r="AZ160" s="164">
        <f t="shared" ca="1" si="235"/>
        <v>0</v>
      </c>
      <c r="BA160" s="165" t="str">
        <f t="shared" ca="1" si="236"/>
        <v>nie</v>
      </c>
      <c r="BB160" s="166" t="str">
        <f t="shared" ca="1" si="262"/>
        <v>-</v>
      </c>
      <c r="BC160" s="165" t="str">
        <f t="shared" ca="1" si="237"/>
        <v>nie</v>
      </c>
    </row>
    <row r="161" spans="1:55" s="167" customFormat="1" ht="14.45" hidden="1" customHeight="1" x14ac:dyDescent="0.25">
      <c r="A161" s="493"/>
      <c r="B161" s="493"/>
      <c r="C161" s="494"/>
      <c r="D161" s="506"/>
      <c r="E161" s="497"/>
      <c r="F161" s="537"/>
      <c r="G161" s="497"/>
      <c r="H161" s="498"/>
      <c r="I161" s="499"/>
      <c r="J161" s="177" t="s">
        <v>100</v>
      </c>
      <c r="K161" s="178">
        <f>SUM(N161:O161)</f>
        <v>0</v>
      </c>
      <c r="L161" s="179">
        <f t="shared" ref="L161:M161" si="269">L165-L157</f>
        <v>0</v>
      </c>
      <c r="M161" s="180">
        <f t="shared" si="269"/>
        <v>0</v>
      </c>
      <c r="N161" s="172">
        <f>SUM(L161:M161)</f>
        <v>0</v>
      </c>
      <c r="O161" s="178">
        <f>SUM(P161:Y161)</f>
        <v>0</v>
      </c>
      <c r="P161" s="181">
        <f t="shared" ref="P161:Y161" si="270">P165-P157</f>
        <v>0</v>
      </c>
      <c r="Q161" s="180">
        <f t="shared" si="270"/>
        <v>0</v>
      </c>
      <c r="R161" s="182">
        <f t="shared" si="270"/>
        <v>0</v>
      </c>
      <c r="S161" s="183">
        <f t="shared" si="270"/>
        <v>0</v>
      </c>
      <c r="T161" s="180">
        <f t="shared" si="270"/>
        <v>0</v>
      </c>
      <c r="U161" s="180">
        <f t="shared" si="270"/>
        <v>0</v>
      </c>
      <c r="V161" s="180">
        <f t="shared" si="270"/>
        <v>0</v>
      </c>
      <c r="W161" s="180">
        <f t="shared" si="270"/>
        <v>0</v>
      </c>
      <c r="X161" s="180">
        <f t="shared" si="270"/>
        <v>0</v>
      </c>
      <c r="Y161" s="182">
        <f t="shared" si="270"/>
        <v>0</v>
      </c>
      <c r="Z161" s="149" t="str">
        <f t="shared" ca="1" si="211"/>
        <v>nie</v>
      </c>
      <c r="AA161" s="366"/>
      <c r="AB161" s="150" t="str">
        <f t="shared" ca="1" si="257"/>
        <v>-</v>
      </c>
      <c r="AC161" s="151" t="str">
        <f t="shared" ca="1" si="212"/>
        <v>PROPONOWANA ZMIANA</v>
      </c>
      <c r="AD161" s="152" t="str">
        <f t="shared" ca="1" si="258"/>
        <v>PROPONOWANA ZMIANA</v>
      </c>
      <c r="AE161" s="153" t="str">
        <f t="shared" ca="1" si="214"/>
        <v>C/USN/I/P2/45</v>
      </c>
      <c r="AF161" s="154" t="str">
        <f t="shared" ca="1" si="215"/>
        <v>Łączymy rowerowe szlaki - uzupełnienie sieci dróg rowerowych na Ursynowie o brakujące odcinki - edycja II</v>
      </c>
      <c r="AG161" s="155">
        <f t="shared" ca="1" si="216"/>
        <v>60095</v>
      </c>
      <c r="AH161" s="155" t="str">
        <f t="shared" ca="1" si="217"/>
        <v>6050</v>
      </c>
      <c r="AI161" s="156" t="str">
        <f t="shared" ca="1" si="218"/>
        <v>BO/23/12/0224</v>
      </c>
      <c r="AJ161" s="157" t="str">
        <f t="shared" ca="1" si="219"/>
        <v>WPF/UM</v>
      </c>
      <c r="AK161" s="158" t="str">
        <f t="shared" ca="1" si="259"/>
        <v>C/USN/I/P2/45 60095 6050 BO/23/12/0224</v>
      </c>
      <c r="AL161" s="158" t="str">
        <f t="shared" ca="1" si="260"/>
        <v>C/USN/I/P2/45 60095 6050 WPF/UM</v>
      </c>
      <c r="AM161" s="159" t="str">
        <f t="shared" ca="1" si="261"/>
        <v>C/USN/I/P2/45 60095 6050 BO/23/12/0224 WPF/UM</v>
      </c>
      <c r="AN161" s="160">
        <f t="shared" ca="1" si="223"/>
        <v>0</v>
      </c>
      <c r="AO161" s="161">
        <f t="shared" ca="1" si="224"/>
        <v>0</v>
      </c>
      <c r="AP161" s="162">
        <f t="shared" ca="1" si="225"/>
        <v>0</v>
      </c>
      <c r="AQ161" s="163">
        <f t="shared" ca="1" si="226"/>
        <v>0</v>
      </c>
      <c r="AR161" s="164">
        <f t="shared" ca="1" si="227"/>
        <v>0</v>
      </c>
      <c r="AS161" s="164">
        <f t="shared" ca="1" si="228"/>
        <v>0</v>
      </c>
      <c r="AT161" s="164">
        <f t="shared" ca="1" si="229"/>
        <v>0</v>
      </c>
      <c r="AU161" s="164">
        <f t="shared" ca="1" si="230"/>
        <v>0</v>
      </c>
      <c r="AV161" s="164">
        <f t="shared" ca="1" si="231"/>
        <v>0</v>
      </c>
      <c r="AW161" s="164">
        <f t="shared" ca="1" si="232"/>
        <v>0</v>
      </c>
      <c r="AX161" s="164">
        <f t="shared" ca="1" si="233"/>
        <v>0</v>
      </c>
      <c r="AY161" s="164">
        <f t="shared" ca="1" si="234"/>
        <v>0</v>
      </c>
      <c r="AZ161" s="164">
        <f t="shared" ca="1" si="235"/>
        <v>0</v>
      </c>
      <c r="BA161" s="165" t="str">
        <f t="shared" ca="1" si="236"/>
        <v>nie</v>
      </c>
      <c r="BB161" s="166" t="str">
        <f t="shared" ca="1" si="262"/>
        <v>-</v>
      </c>
      <c r="BC161" s="165" t="str">
        <f t="shared" ca="1" si="237"/>
        <v>nie</v>
      </c>
    </row>
    <row r="162" spans="1:55" s="167" customFormat="1" ht="14.45" hidden="1" customHeight="1" x14ac:dyDescent="0.25">
      <c r="A162" s="191" t="s">
        <v>101</v>
      </c>
      <c r="B162" s="192"/>
      <c r="C162" s="193"/>
      <c r="D162" s="192"/>
      <c r="E162" s="192"/>
      <c r="F162" s="192"/>
      <c r="G162" s="192"/>
      <c r="H162" s="192"/>
      <c r="I162" s="192"/>
      <c r="J162" s="192"/>
      <c r="K162" s="192"/>
      <c r="L162" s="192"/>
      <c r="M162" s="192"/>
      <c r="N162" s="192"/>
      <c r="O162" s="192"/>
      <c r="P162" s="192"/>
      <c r="Q162" s="192"/>
      <c r="R162" s="194"/>
      <c r="S162" s="195"/>
      <c r="T162" s="195"/>
      <c r="U162" s="195"/>
      <c r="V162" s="195"/>
      <c r="W162" s="195"/>
      <c r="X162" s="195"/>
      <c r="Y162" s="196"/>
      <c r="Z162" s="149" t="str">
        <f t="shared" ca="1" si="211"/>
        <v>nie</v>
      </c>
      <c r="AA162" s="366"/>
      <c r="AB162" s="150" t="str">
        <f t="shared" ca="1" si="257"/>
        <v>-</v>
      </c>
      <c r="AC162" s="151" t="str">
        <f t="shared" ca="1" si="212"/>
        <v>PO ZMIANIE</v>
      </c>
      <c r="AD162" s="152" t="str">
        <f t="shared" ca="1" si="258"/>
        <v/>
      </c>
      <c r="AE162" s="153" t="str">
        <f t="shared" ca="1" si="214"/>
        <v/>
      </c>
      <c r="AF162" s="154" t="str">
        <f t="shared" ca="1" si="215"/>
        <v/>
      </c>
      <c r="AG162" s="155" t="str">
        <f t="shared" ca="1" si="216"/>
        <v/>
      </c>
      <c r="AH162" s="155" t="str">
        <f t="shared" ca="1" si="217"/>
        <v/>
      </c>
      <c r="AI162" s="156" t="str">
        <f t="shared" ca="1" si="218"/>
        <v/>
      </c>
      <c r="AJ162" s="157" t="str">
        <f t="shared" ca="1" si="219"/>
        <v/>
      </c>
      <c r="AK162" s="158" t="str">
        <f t="shared" ca="1" si="259"/>
        <v/>
      </c>
      <c r="AL162" s="158" t="str">
        <f t="shared" ca="1" si="260"/>
        <v/>
      </c>
      <c r="AM162" s="159" t="str">
        <f t="shared" ca="1" si="261"/>
        <v/>
      </c>
      <c r="AN162" s="160" t="str">
        <f t="shared" ca="1" si="223"/>
        <v/>
      </c>
      <c r="AO162" s="161" t="str">
        <f t="shared" ca="1" si="224"/>
        <v/>
      </c>
      <c r="AP162" s="162" t="str">
        <f t="shared" ca="1" si="225"/>
        <v/>
      </c>
      <c r="AQ162" s="163" t="str">
        <f t="shared" ca="1" si="226"/>
        <v/>
      </c>
      <c r="AR162" s="164" t="str">
        <f t="shared" ca="1" si="227"/>
        <v/>
      </c>
      <c r="AS162" s="164" t="str">
        <f t="shared" ca="1" si="228"/>
        <v/>
      </c>
      <c r="AT162" s="164" t="str">
        <f t="shared" ca="1" si="229"/>
        <v/>
      </c>
      <c r="AU162" s="164" t="str">
        <f t="shared" ca="1" si="230"/>
        <v/>
      </c>
      <c r="AV162" s="164" t="str">
        <f t="shared" ca="1" si="231"/>
        <v/>
      </c>
      <c r="AW162" s="164" t="str">
        <f t="shared" ca="1" si="232"/>
        <v/>
      </c>
      <c r="AX162" s="164" t="str">
        <f t="shared" ca="1" si="233"/>
        <v/>
      </c>
      <c r="AY162" s="164" t="str">
        <f t="shared" ca="1" si="234"/>
        <v/>
      </c>
      <c r="AZ162" s="164" t="str">
        <f t="shared" ca="1" si="235"/>
        <v/>
      </c>
      <c r="BA162" s="165" t="str">
        <f t="shared" ca="1" si="236"/>
        <v>nie</v>
      </c>
      <c r="BB162" s="166" t="str">
        <f t="shared" ca="1" si="262"/>
        <v>-</v>
      </c>
      <c r="BC162" s="165" t="str">
        <f t="shared" ca="1" si="237"/>
        <v>nie</v>
      </c>
    </row>
    <row r="163" spans="1:55" s="176" customFormat="1" ht="14.45" hidden="1" customHeight="1" x14ac:dyDescent="0.25">
      <c r="A163" s="493" t="s">
        <v>24</v>
      </c>
      <c r="B163" s="493" t="s">
        <v>408</v>
      </c>
      <c r="C163" s="494" t="s">
        <v>406</v>
      </c>
      <c r="D163" s="505" t="s">
        <v>407</v>
      </c>
      <c r="E163" s="497">
        <v>600</v>
      </c>
      <c r="F163" s="535">
        <v>60095</v>
      </c>
      <c r="G163" s="497">
        <v>6050</v>
      </c>
      <c r="H163" s="507">
        <v>2023</v>
      </c>
      <c r="I163" s="499" t="str">
        <f ca="1">IF(COUNTIF(OFFSET(I163,-1,-8),"*propon*")&gt;0,OFFSET(I163,4,0),IF(Y163&gt;0,"2033",IF(X163&gt;0,"2032",IF(W163&gt;0,"2031",IF(V163&gt;0,"2030",IF(U163&gt;0,"2029",IF(T163&gt;0,"2028",IF(S163&gt;0,"2027",IF(R163&gt;0,"2026",IF(Q163&gt;0,"2025",IF(P163&gt;0,"2024",IF(M163&gt;0,"2023",IF(L163&gt;0,"2022","")))))))))))))</f>
        <v>2025</v>
      </c>
      <c r="J163" s="168" t="s">
        <v>102</v>
      </c>
      <c r="K163" s="169">
        <f>SUM(N163:O163)</f>
        <v>190000</v>
      </c>
      <c r="L163" s="170">
        <f t="shared" ref="L163:M163" si="271">SUM(L164:L165)</f>
        <v>0</v>
      </c>
      <c r="M163" s="171">
        <f t="shared" si="271"/>
        <v>0</v>
      </c>
      <c r="N163" s="172">
        <f>SUM(L163:M163)</f>
        <v>0</v>
      </c>
      <c r="O163" s="169">
        <f>SUM(P163:Y163)</f>
        <v>190000</v>
      </c>
      <c r="P163" s="173">
        <f t="shared" ref="P163:Y163" si="272">SUM(P164:P165)</f>
        <v>90000</v>
      </c>
      <c r="Q163" s="171">
        <f t="shared" si="272"/>
        <v>100000</v>
      </c>
      <c r="R163" s="174">
        <f t="shared" si="272"/>
        <v>0</v>
      </c>
      <c r="S163" s="175">
        <f t="shared" si="272"/>
        <v>0</v>
      </c>
      <c r="T163" s="171">
        <f t="shared" si="272"/>
        <v>0</v>
      </c>
      <c r="U163" s="171">
        <f t="shared" si="272"/>
        <v>0</v>
      </c>
      <c r="V163" s="171">
        <f t="shared" si="272"/>
        <v>0</v>
      </c>
      <c r="W163" s="171">
        <f t="shared" si="272"/>
        <v>0</v>
      </c>
      <c r="X163" s="171">
        <f t="shared" si="272"/>
        <v>0</v>
      </c>
      <c r="Y163" s="174">
        <f t="shared" si="272"/>
        <v>0</v>
      </c>
      <c r="Z163" s="149" t="str">
        <f t="shared" ca="1" si="211"/>
        <v>nie</v>
      </c>
      <c r="AA163" s="366"/>
      <c r="AB163" s="150" t="str">
        <f t="shared" ca="1" si="257"/>
        <v>-</v>
      </c>
      <c r="AC163" s="151" t="str">
        <f t="shared" ca="1" si="212"/>
        <v>PO ZMIANIE</v>
      </c>
      <c r="AD163" s="152" t="str">
        <f t="shared" ca="1" si="258"/>
        <v>PO ZMIANIE</v>
      </c>
      <c r="AE163" s="153" t="str">
        <f t="shared" ca="1" si="214"/>
        <v>C/USN/I/P2/45</v>
      </c>
      <c r="AF163" s="154" t="str">
        <f t="shared" ca="1" si="215"/>
        <v>Łączymy rowerowe szlaki - uzupełnienie sieci dróg rowerowych na Ursynowie o brakujące odcinki - edycja II</v>
      </c>
      <c r="AG163" s="155">
        <f t="shared" ca="1" si="216"/>
        <v>60095</v>
      </c>
      <c r="AH163" s="155" t="str">
        <f t="shared" ca="1" si="217"/>
        <v>6050</v>
      </c>
      <c r="AI163" s="156" t="str">
        <f t="shared" ca="1" si="218"/>
        <v>BO/23/12/0224</v>
      </c>
      <c r="AJ163" s="157" t="str">
        <f t="shared" ca="1" si="219"/>
        <v>WPF, w tym</v>
      </c>
      <c r="AK163" s="158" t="str">
        <f t="shared" ca="1" si="259"/>
        <v>C/USN/I/P2/45 60095 6050 BO/23/12/0224</v>
      </c>
      <c r="AL163" s="158" t="str">
        <f t="shared" ca="1" si="260"/>
        <v>C/USN/I/P2/45 60095 6050 WPF, w tym</v>
      </c>
      <c r="AM163" s="159" t="str">
        <f t="shared" ca="1" si="261"/>
        <v>C/USN/I/P2/45 60095 6050 BO/23/12/0224 WPF, w tym</v>
      </c>
      <c r="AN163" s="160">
        <f t="shared" ca="1" si="223"/>
        <v>190000</v>
      </c>
      <c r="AO163" s="161">
        <f t="shared" ca="1" si="224"/>
        <v>0</v>
      </c>
      <c r="AP163" s="162">
        <f t="shared" ca="1" si="225"/>
        <v>0</v>
      </c>
      <c r="AQ163" s="163">
        <f t="shared" ca="1" si="226"/>
        <v>90000</v>
      </c>
      <c r="AR163" s="164">
        <f t="shared" ca="1" si="227"/>
        <v>100000</v>
      </c>
      <c r="AS163" s="164">
        <f t="shared" ca="1" si="228"/>
        <v>0</v>
      </c>
      <c r="AT163" s="164">
        <f t="shared" ca="1" si="229"/>
        <v>0</v>
      </c>
      <c r="AU163" s="164">
        <f t="shared" ca="1" si="230"/>
        <v>0</v>
      </c>
      <c r="AV163" s="164">
        <f t="shared" ca="1" si="231"/>
        <v>0</v>
      </c>
      <c r="AW163" s="164">
        <f t="shared" ca="1" si="232"/>
        <v>0</v>
      </c>
      <c r="AX163" s="164">
        <f t="shared" ca="1" si="233"/>
        <v>0</v>
      </c>
      <c r="AY163" s="164">
        <f t="shared" ca="1" si="234"/>
        <v>0</v>
      </c>
      <c r="AZ163" s="164">
        <f t="shared" ca="1" si="235"/>
        <v>0</v>
      </c>
      <c r="BA163" s="165" t="str">
        <f t="shared" ca="1" si="236"/>
        <v>nie</v>
      </c>
      <c r="BB163" s="166" t="str">
        <f t="shared" ca="1" si="262"/>
        <v>-</v>
      </c>
      <c r="BC163" s="165" t="str">
        <f t="shared" ca="1" si="237"/>
        <v>nie</v>
      </c>
    </row>
    <row r="164" spans="1:55" s="167" customFormat="1" ht="14.45" hidden="1" customHeight="1" x14ac:dyDescent="0.25">
      <c r="A164" s="493"/>
      <c r="B164" s="493"/>
      <c r="C164" s="494"/>
      <c r="D164" s="506"/>
      <c r="E164" s="497"/>
      <c r="F164" s="536"/>
      <c r="G164" s="497"/>
      <c r="H164" s="498"/>
      <c r="I164" s="499"/>
      <c r="J164" s="177" t="s">
        <v>103</v>
      </c>
      <c r="K164" s="178">
        <f>SUM(N164:O164)</f>
        <v>190000</v>
      </c>
      <c r="L164" s="179"/>
      <c r="M164" s="180"/>
      <c r="N164" s="172">
        <f>SUM(L164:M164)</f>
        <v>0</v>
      </c>
      <c r="O164" s="178">
        <f>SUM(P164:Y164)</f>
        <v>190000</v>
      </c>
      <c r="P164" s="181">
        <f>90000</f>
        <v>90000</v>
      </c>
      <c r="Q164" s="180">
        <f>100000</f>
        <v>100000</v>
      </c>
      <c r="R164" s="182"/>
      <c r="S164" s="183"/>
      <c r="T164" s="180"/>
      <c r="U164" s="180"/>
      <c r="V164" s="180"/>
      <c r="W164" s="180"/>
      <c r="X164" s="180"/>
      <c r="Y164" s="182"/>
      <c r="Z164" s="149" t="str">
        <f t="shared" ca="1" si="211"/>
        <v>nie</v>
      </c>
      <c r="AA164" s="384"/>
      <c r="AB164" s="150" t="str">
        <f t="shared" ca="1" si="257"/>
        <v>-</v>
      </c>
      <c r="AC164" s="151" t="str">
        <f t="shared" ca="1" si="212"/>
        <v>PO ZMIANIE</v>
      </c>
      <c r="AD164" s="152" t="str">
        <f t="shared" ca="1" si="258"/>
        <v>PO ZMIANIE</v>
      </c>
      <c r="AE164" s="153" t="str">
        <f t="shared" ca="1" si="214"/>
        <v>C/USN/I/P2/45</v>
      </c>
      <c r="AF164" s="154" t="str">
        <f t="shared" ca="1" si="215"/>
        <v>Łączymy rowerowe szlaki - uzupełnienie sieci dróg rowerowych na Ursynowie o brakujące odcinki - edycja II</v>
      </c>
      <c r="AG164" s="155">
        <f t="shared" ca="1" si="216"/>
        <v>60095</v>
      </c>
      <c r="AH164" s="155" t="str">
        <f t="shared" ca="1" si="217"/>
        <v>6050</v>
      </c>
      <c r="AI164" s="156" t="str">
        <f t="shared" ca="1" si="218"/>
        <v>BO/23/12/0224</v>
      </c>
      <c r="AJ164" s="157" t="str">
        <f t="shared" ca="1" si="219"/>
        <v>WPF/PM</v>
      </c>
      <c r="AK164" s="158" t="str">
        <f t="shared" ca="1" si="259"/>
        <v>C/USN/I/P2/45 60095 6050 BO/23/12/0224</v>
      </c>
      <c r="AL164" s="158" t="str">
        <f t="shared" ca="1" si="260"/>
        <v>C/USN/I/P2/45 60095 6050 WPF/PM</v>
      </c>
      <c r="AM164" s="159" t="str">
        <f t="shared" ca="1" si="261"/>
        <v>C/USN/I/P2/45 60095 6050 BO/23/12/0224 WPF/PM</v>
      </c>
      <c r="AN164" s="160">
        <f t="shared" ca="1" si="223"/>
        <v>190000</v>
      </c>
      <c r="AO164" s="161">
        <f t="shared" ca="1" si="224"/>
        <v>0</v>
      </c>
      <c r="AP164" s="162">
        <f t="shared" ca="1" si="225"/>
        <v>0</v>
      </c>
      <c r="AQ164" s="163">
        <f t="shared" ca="1" si="226"/>
        <v>90000</v>
      </c>
      <c r="AR164" s="164">
        <f t="shared" ca="1" si="227"/>
        <v>100000</v>
      </c>
      <c r="AS164" s="164">
        <f t="shared" ca="1" si="228"/>
        <v>0</v>
      </c>
      <c r="AT164" s="164">
        <f t="shared" ca="1" si="229"/>
        <v>0</v>
      </c>
      <c r="AU164" s="164">
        <f t="shared" ca="1" si="230"/>
        <v>0</v>
      </c>
      <c r="AV164" s="164">
        <f t="shared" ca="1" si="231"/>
        <v>0</v>
      </c>
      <c r="AW164" s="164">
        <f t="shared" ca="1" si="232"/>
        <v>0</v>
      </c>
      <c r="AX164" s="164">
        <f t="shared" ca="1" si="233"/>
        <v>0</v>
      </c>
      <c r="AY164" s="164">
        <f t="shared" ca="1" si="234"/>
        <v>0</v>
      </c>
      <c r="AZ164" s="164">
        <f t="shared" ca="1" si="235"/>
        <v>0</v>
      </c>
      <c r="BA164" s="165" t="str">
        <f t="shared" ca="1" si="236"/>
        <v>nie</v>
      </c>
      <c r="BB164" s="166" t="str">
        <f t="shared" ca="1" si="262"/>
        <v>-</v>
      </c>
      <c r="BC164" s="165" t="str">
        <f t="shared" ca="1" si="237"/>
        <v>nie</v>
      </c>
    </row>
    <row r="165" spans="1:55" s="167" customFormat="1" ht="14.45" hidden="1" customHeight="1" thickBot="1" x14ac:dyDescent="0.3">
      <c r="A165" s="500"/>
      <c r="B165" s="493"/>
      <c r="C165" s="494"/>
      <c r="D165" s="506"/>
      <c r="E165" s="503"/>
      <c r="F165" s="564"/>
      <c r="G165" s="497"/>
      <c r="H165" s="504"/>
      <c r="I165" s="499"/>
      <c r="J165" s="197" t="s">
        <v>104</v>
      </c>
      <c r="K165" s="198">
        <f>SUM(N165:O165)</f>
        <v>0</v>
      </c>
      <c r="L165" s="199"/>
      <c r="M165" s="200"/>
      <c r="N165" s="371">
        <f>SUM(L165:M165)</f>
        <v>0</v>
      </c>
      <c r="O165" s="198">
        <f>SUM(P165:Y165)</f>
        <v>0</v>
      </c>
      <c r="P165" s="201"/>
      <c r="Q165" s="200"/>
      <c r="R165" s="202"/>
      <c r="S165" s="203"/>
      <c r="T165" s="200"/>
      <c r="U165" s="200"/>
      <c r="V165" s="200"/>
      <c r="W165" s="200"/>
      <c r="X165" s="200"/>
      <c r="Y165" s="202"/>
      <c r="Z165" s="149" t="str">
        <f t="shared" ca="1" si="211"/>
        <v>nie</v>
      </c>
      <c r="AA165" s="384"/>
      <c r="AB165" s="150" t="str">
        <f t="shared" ca="1" si="257"/>
        <v>-</v>
      </c>
      <c r="AC165" s="151" t="str">
        <f t="shared" ca="1" si="212"/>
        <v>PO ZMIANIE</v>
      </c>
      <c r="AD165" s="152" t="str">
        <f t="shared" ca="1" si="258"/>
        <v>PO ZMIANIE</v>
      </c>
      <c r="AE165" s="153" t="str">
        <f t="shared" ca="1" si="214"/>
        <v>C/USN/I/P2/45</v>
      </c>
      <c r="AF165" s="154" t="str">
        <f t="shared" ca="1" si="215"/>
        <v>Łączymy rowerowe szlaki - uzupełnienie sieci dróg rowerowych na Ursynowie o brakujące odcinki - edycja II</v>
      </c>
      <c r="AG165" s="155">
        <f t="shared" ca="1" si="216"/>
        <v>60095</v>
      </c>
      <c r="AH165" s="155" t="str">
        <f t="shared" ca="1" si="217"/>
        <v>6050</v>
      </c>
      <c r="AI165" s="156" t="str">
        <f t="shared" ca="1" si="218"/>
        <v>BO/23/12/0224</v>
      </c>
      <c r="AJ165" s="157" t="str">
        <f t="shared" ca="1" si="219"/>
        <v>WPF/UM</v>
      </c>
      <c r="AK165" s="158" t="str">
        <f t="shared" ca="1" si="259"/>
        <v>C/USN/I/P2/45 60095 6050 BO/23/12/0224</v>
      </c>
      <c r="AL165" s="158" t="str">
        <f t="shared" ca="1" si="260"/>
        <v>C/USN/I/P2/45 60095 6050 WPF/UM</v>
      </c>
      <c r="AM165" s="159" t="str">
        <f t="shared" ca="1" si="261"/>
        <v>C/USN/I/P2/45 60095 6050 BO/23/12/0224 WPF/UM</v>
      </c>
      <c r="AN165" s="160">
        <f t="shared" ca="1" si="223"/>
        <v>0</v>
      </c>
      <c r="AO165" s="161">
        <f t="shared" ca="1" si="224"/>
        <v>0</v>
      </c>
      <c r="AP165" s="162">
        <f t="shared" ca="1" si="225"/>
        <v>0</v>
      </c>
      <c r="AQ165" s="163">
        <f t="shared" ca="1" si="226"/>
        <v>0</v>
      </c>
      <c r="AR165" s="164">
        <f t="shared" ca="1" si="227"/>
        <v>0</v>
      </c>
      <c r="AS165" s="164">
        <f t="shared" ca="1" si="228"/>
        <v>0</v>
      </c>
      <c r="AT165" s="164">
        <f t="shared" ca="1" si="229"/>
        <v>0</v>
      </c>
      <c r="AU165" s="164">
        <f t="shared" ca="1" si="230"/>
        <v>0</v>
      </c>
      <c r="AV165" s="164">
        <f t="shared" ca="1" si="231"/>
        <v>0</v>
      </c>
      <c r="AW165" s="164">
        <f t="shared" ca="1" si="232"/>
        <v>0</v>
      </c>
      <c r="AX165" s="164">
        <f t="shared" ca="1" si="233"/>
        <v>0</v>
      </c>
      <c r="AY165" s="164">
        <f t="shared" ca="1" si="234"/>
        <v>0</v>
      </c>
      <c r="AZ165" s="164">
        <f t="shared" ca="1" si="235"/>
        <v>0</v>
      </c>
      <c r="BA165" s="165" t="str">
        <f t="shared" ca="1" si="236"/>
        <v>nie</v>
      </c>
      <c r="BB165" s="166" t="str">
        <f t="shared" ca="1" si="262"/>
        <v>-</v>
      </c>
      <c r="BC165" s="165" t="str">
        <f t="shared" ca="1" si="237"/>
        <v>nie</v>
      </c>
    </row>
    <row r="166" spans="1:55" s="167" customFormat="1" ht="14.45" hidden="1" customHeight="1" x14ac:dyDescent="0.25">
      <c r="A166" s="143" t="s">
        <v>91</v>
      </c>
      <c r="B166" s="144"/>
      <c r="C166" s="145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6"/>
      <c r="S166" s="147"/>
      <c r="T166" s="147"/>
      <c r="U166" s="147"/>
      <c r="V166" s="147"/>
      <c r="W166" s="147"/>
      <c r="X166" s="147"/>
      <c r="Y166" s="148"/>
      <c r="Z166" s="149" t="str">
        <f t="shared" ca="1" si="211"/>
        <v>nie</v>
      </c>
      <c r="AA166" s="366"/>
      <c r="AB166" s="150" t="str">
        <f t="shared" ca="1" si="241"/>
        <v>-</v>
      </c>
      <c r="AC166" s="151" t="str">
        <f t="shared" ca="1" si="212"/>
        <v>PRZED ZMIANĄ</v>
      </c>
      <c r="AD166" s="152" t="str">
        <f t="shared" ca="1" si="213"/>
        <v/>
      </c>
      <c r="AE166" s="153" t="str">
        <f t="shared" ca="1" si="214"/>
        <v/>
      </c>
      <c r="AF166" s="154" t="str">
        <f t="shared" ca="1" si="215"/>
        <v/>
      </c>
      <c r="AG166" s="155" t="str">
        <f t="shared" ca="1" si="216"/>
        <v/>
      </c>
      <c r="AH166" s="155" t="str">
        <f t="shared" ca="1" si="217"/>
        <v/>
      </c>
      <c r="AI166" s="156" t="str">
        <f t="shared" ca="1" si="218"/>
        <v/>
      </c>
      <c r="AJ166" s="157" t="str">
        <f t="shared" ca="1" si="219"/>
        <v/>
      </c>
      <c r="AK166" s="158" t="str">
        <f t="shared" ca="1" si="220"/>
        <v/>
      </c>
      <c r="AL166" s="158" t="str">
        <f t="shared" ca="1" si="221"/>
        <v/>
      </c>
      <c r="AM166" s="159" t="str">
        <f t="shared" ca="1" si="222"/>
        <v/>
      </c>
      <c r="AN166" s="160" t="str">
        <f t="shared" ca="1" si="223"/>
        <v/>
      </c>
      <c r="AO166" s="161" t="str">
        <f t="shared" ca="1" si="224"/>
        <v/>
      </c>
      <c r="AP166" s="162" t="str">
        <f t="shared" ca="1" si="225"/>
        <v/>
      </c>
      <c r="AQ166" s="163" t="str">
        <f t="shared" ca="1" si="226"/>
        <v/>
      </c>
      <c r="AR166" s="164" t="str">
        <f t="shared" ca="1" si="227"/>
        <v/>
      </c>
      <c r="AS166" s="164" t="str">
        <f t="shared" ca="1" si="228"/>
        <v/>
      </c>
      <c r="AT166" s="164" t="str">
        <f t="shared" ca="1" si="229"/>
        <v/>
      </c>
      <c r="AU166" s="164" t="str">
        <f t="shared" ca="1" si="230"/>
        <v/>
      </c>
      <c r="AV166" s="164" t="str">
        <f t="shared" ca="1" si="231"/>
        <v/>
      </c>
      <c r="AW166" s="164" t="str">
        <f t="shared" ca="1" si="232"/>
        <v/>
      </c>
      <c r="AX166" s="164" t="str">
        <f t="shared" ca="1" si="233"/>
        <v/>
      </c>
      <c r="AY166" s="164" t="str">
        <f t="shared" ca="1" si="234"/>
        <v/>
      </c>
      <c r="AZ166" s="164" t="str">
        <f t="shared" ca="1" si="235"/>
        <v/>
      </c>
      <c r="BA166" s="165" t="str">
        <f t="shared" ca="1" si="236"/>
        <v>nie</v>
      </c>
      <c r="BB166" s="166" t="str">
        <f t="shared" ca="1" si="242"/>
        <v>-</v>
      </c>
      <c r="BC166" s="165" t="str">
        <f t="shared" ca="1" si="237"/>
        <v>nie</v>
      </c>
    </row>
    <row r="167" spans="1:55" s="176" customFormat="1" ht="14.45" hidden="1" customHeight="1" x14ac:dyDescent="0.25">
      <c r="A167" s="493" t="s">
        <v>24</v>
      </c>
      <c r="B167" s="493" t="s">
        <v>26</v>
      </c>
      <c r="C167" s="494" t="s">
        <v>128</v>
      </c>
      <c r="D167" s="532" t="s">
        <v>466</v>
      </c>
      <c r="E167" s="497">
        <v>710</v>
      </c>
      <c r="F167" s="497">
        <v>71095</v>
      </c>
      <c r="G167" s="497">
        <v>6050</v>
      </c>
      <c r="H167" s="507">
        <v>2019</v>
      </c>
      <c r="I167" s="499" t="str">
        <f ca="1">IF(COUNTIF(OFFSET(I167,-1,-8),"*propon*")&gt;0,OFFSET(I167,4,0),IF(Y167&gt;0,"2033",IF(X167&gt;0,"2032",IF(W167&gt;0,"2031",IF(V167&gt;0,"2030",IF(U167&gt;0,"2029",IF(T167&gt;0,"2028",IF(S167&gt;0,"2027",IF(R167&gt;0,"2026",IF(Q167&gt;0,"2025",IF(P167&gt;0,"2024",IF(M167&gt;0,"2023",IF(L167&gt;0,"2022","")))))))))))))</f>
        <v>2025</v>
      </c>
      <c r="J167" s="168" t="s">
        <v>94</v>
      </c>
      <c r="K167" s="169">
        <f>SUM(N167:O167)</f>
        <v>2650000</v>
      </c>
      <c r="L167" s="170">
        <f t="shared" ref="L167:M167" si="273">SUM(L168:L169)</f>
        <v>13653</v>
      </c>
      <c r="M167" s="171">
        <f t="shared" si="273"/>
        <v>8303</v>
      </c>
      <c r="N167" s="172">
        <f>SUM(L167:M167)</f>
        <v>21956</v>
      </c>
      <c r="O167" s="169">
        <f>SUM(P167:Y167)</f>
        <v>2628044</v>
      </c>
      <c r="P167" s="173">
        <f t="shared" ref="P167:R167" si="274">SUM(P168:P169)</f>
        <v>628044</v>
      </c>
      <c r="Q167" s="171">
        <f t="shared" si="274"/>
        <v>2000000</v>
      </c>
      <c r="R167" s="174">
        <f t="shared" si="274"/>
        <v>0</v>
      </c>
      <c r="S167" s="175">
        <f t="shared" ref="S167:Y167" si="275">SUM(S168:S169)</f>
        <v>0</v>
      </c>
      <c r="T167" s="171">
        <f t="shared" si="275"/>
        <v>0</v>
      </c>
      <c r="U167" s="171">
        <f t="shared" si="275"/>
        <v>0</v>
      </c>
      <c r="V167" s="171">
        <f t="shared" si="275"/>
        <v>0</v>
      </c>
      <c r="W167" s="171">
        <f t="shared" si="275"/>
        <v>0</v>
      </c>
      <c r="X167" s="171">
        <f t="shared" si="275"/>
        <v>0</v>
      </c>
      <c r="Y167" s="174">
        <f t="shared" si="275"/>
        <v>0</v>
      </c>
      <c r="Z167" s="149" t="str">
        <f t="shared" ca="1" si="211"/>
        <v>nie</v>
      </c>
      <c r="AA167" s="366"/>
      <c r="AB167" s="150" t="str">
        <f t="shared" ca="1" si="241"/>
        <v>-</v>
      </c>
      <c r="AC167" s="151" t="str">
        <f t="shared" ca="1" si="212"/>
        <v>PRZED ZMIANĄ</v>
      </c>
      <c r="AD167" s="152" t="str">
        <f t="shared" ca="1" si="213"/>
        <v>PRZED ZMIANĄ</v>
      </c>
      <c r="AE167" s="153" t="str">
        <f t="shared" ca="1" si="214"/>
        <v>C/USN/II/P5/4</v>
      </c>
      <c r="AF167" s="154" t="str">
        <f t="shared" ca="1" si="215"/>
        <v>Budowa Miejsca Aktywności Lokalnej przy ul. Karczunkowskiej 138 wraz z zagospodarowaniem terenu</v>
      </c>
      <c r="AG167" s="155">
        <f t="shared" ca="1" si="216"/>
        <v>71095</v>
      </c>
      <c r="AH167" s="155" t="str">
        <f t="shared" ca="1" si="217"/>
        <v>6050</v>
      </c>
      <c r="AI167" s="156" t="str">
        <f t="shared" ca="1" si="218"/>
        <v>GMMW</v>
      </c>
      <c r="AJ167" s="157" t="str">
        <f t="shared" ca="1" si="219"/>
        <v>WPF, w tym</v>
      </c>
      <c r="AK167" s="158" t="str">
        <f t="shared" ca="1" si="220"/>
        <v>C/USN/II/P5/4 71095 6050 GMMW</v>
      </c>
      <c r="AL167" s="158" t="str">
        <f t="shared" ca="1" si="221"/>
        <v>C/USN/II/P5/4 71095 6050 WPF, w tym</v>
      </c>
      <c r="AM167" s="159" t="str">
        <f t="shared" ca="1" si="222"/>
        <v>C/USN/II/P5/4 71095 6050 GMMW WPF, w tym</v>
      </c>
      <c r="AN167" s="160">
        <f t="shared" ca="1" si="223"/>
        <v>2650000</v>
      </c>
      <c r="AO167" s="161">
        <f t="shared" ca="1" si="224"/>
        <v>13653</v>
      </c>
      <c r="AP167" s="162">
        <f t="shared" ca="1" si="225"/>
        <v>8303</v>
      </c>
      <c r="AQ167" s="163">
        <f t="shared" ca="1" si="226"/>
        <v>628044</v>
      </c>
      <c r="AR167" s="164">
        <f t="shared" ca="1" si="227"/>
        <v>2000000</v>
      </c>
      <c r="AS167" s="164">
        <f t="shared" ca="1" si="228"/>
        <v>0</v>
      </c>
      <c r="AT167" s="164">
        <f t="shared" ca="1" si="229"/>
        <v>0</v>
      </c>
      <c r="AU167" s="164">
        <f t="shared" ca="1" si="230"/>
        <v>0</v>
      </c>
      <c r="AV167" s="164">
        <f t="shared" ca="1" si="231"/>
        <v>0</v>
      </c>
      <c r="AW167" s="164">
        <f t="shared" ca="1" si="232"/>
        <v>0</v>
      </c>
      <c r="AX167" s="164">
        <f t="shared" ca="1" si="233"/>
        <v>0</v>
      </c>
      <c r="AY167" s="164">
        <f t="shared" ca="1" si="234"/>
        <v>0</v>
      </c>
      <c r="AZ167" s="164">
        <f t="shared" ca="1" si="235"/>
        <v>0</v>
      </c>
      <c r="BA167" s="165" t="str">
        <f t="shared" ca="1" si="236"/>
        <v>nie</v>
      </c>
      <c r="BB167" s="166" t="str">
        <f t="shared" ca="1" si="242"/>
        <v>-</v>
      </c>
      <c r="BC167" s="165" t="str">
        <f t="shared" ca="1" si="237"/>
        <v>nie</v>
      </c>
    </row>
    <row r="168" spans="1:55" s="167" customFormat="1" ht="14.45" hidden="1" customHeight="1" x14ac:dyDescent="0.25">
      <c r="A168" s="493"/>
      <c r="B168" s="493"/>
      <c r="C168" s="494"/>
      <c r="D168" s="533"/>
      <c r="E168" s="497"/>
      <c r="F168" s="497"/>
      <c r="G168" s="497"/>
      <c r="H168" s="498"/>
      <c r="I168" s="499"/>
      <c r="J168" s="177" t="s">
        <v>95</v>
      </c>
      <c r="K168" s="178">
        <f>SUM(N168:O168)</f>
        <v>2628044</v>
      </c>
      <c r="L168" s="179"/>
      <c r="M168" s="180"/>
      <c r="N168" s="172">
        <f>SUM(L168:M168)</f>
        <v>0</v>
      </c>
      <c r="O168" s="178">
        <f>SUM(P168:Y168)</f>
        <v>2628044</v>
      </c>
      <c r="P168" s="181">
        <v>628044</v>
      </c>
      <c r="Q168" s="180">
        <v>2000000</v>
      </c>
      <c r="R168" s="182"/>
      <c r="S168" s="183"/>
      <c r="T168" s="180"/>
      <c r="U168" s="180"/>
      <c r="V168" s="180"/>
      <c r="W168" s="180"/>
      <c r="X168" s="180"/>
      <c r="Y168" s="182"/>
      <c r="Z168" s="149" t="str">
        <f t="shared" ca="1" si="211"/>
        <v>nie</v>
      </c>
      <c r="AA168" s="366"/>
      <c r="AB168" s="150" t="str">
        <f t="shared" ca="1" si="241"/>
        <v>-</v>
      </c>
      <c r="AC168" s="151" t="str">
        <f t="shared" ca="1" si="212"/>
        <v>PRZED ZMIANĄ</v>
      </c>
      <c r="AD168" s="152" t="str">
        <f t="shared" ca="1" si="213"/>
        <v>PRZED ZMIANĄ</v>
      </c>
      <c r="AE168" s="153" t="str">
        <f t="shared" ca="1" si="214"/>
        <v>C/USN/II/P5/4</v>
      </c>
      <c r="AF168" s="154" t="str">
        <f t="shared" ca="1" si="215"/>
        <v>Budowa Miejsca Aktywności Lokalnej przy ul. Karczunkowskiej 138 wraz z zagospodarowaniem terenu</v>
      </c>
      <c r="AG168" s="155">
        <f t="shared" ca="1" si="216"/>
        <v>71095</v>
      </c>
      <c r="AH168" s="155" t="str">
        <f t="shared" ca="1" si="217"/>
        <v>6050</v>
      </c>
      <c r="AI168" s="156" t="str">
        <f t="shared" ca="1" si="218"/>
        <v>GMMW</v>
      </c>
      <c r="AJ168" s="157" t="str">
        <f t="shared" ca="1" si="219"/>
        <v>WPF/PM</v>
      </c>
      <c r="AK168" s="158" t="str">
        <f t="shared" ca="1" si="220"/>
        <v>C/USN/II/P5/4 71095 6050 GMMW</v>
      </c>
      <c r="AL168" s="158" t="str">
        <f t="shared" ca="1" si="221"/>
        <v>C/USN/II/P5/4 71095 6050 WPF/PM</v>
      </c>
      <c r="AM168" s="159" t="str">
        <f t="shared" ca="1" si="222"/>
        <v>C/USN/II/P5/4 71095 6050 GMMW WPF/PM</v>
      </c>
      <c r="AN168" s="160">
        <f t="shared" ca="1" si="223"/>
        <v>2628044</v>
      </c>
      <c r="AO168" s="161">
        <f t="shared" ca="1" si="224"/>
        <v>0</v>
      </c>
      <c r="AP168" s="162">
        <f t="shared" ca="1" si="225"/>
        <v>0</v>
      </c>
      <c r="AQ168" s="163">
        <f t="shared" ca="1" si="226"/>
        <v>628044</v>
      </c>
      <c r="AR168" s="164">
        <f t="shared" ca="1" si="227"/>
        <v>2000000</v>
      </c>
      <c r="AS168" s="164">
        <f t="shared" ca="1" si="228"/>
        <v>0</v>
      </c>
      <c r="AT168" s="164">
        <f t="shared" ca="1" si="229"/>
        <v>0</v>
      </c>
      <c r="AU168" s="164">
        <f t="shared" ca="1" si="230"/>
        <v>0</v>
      </c>
      <c r="AV168" s="164">
        <f t="shared" ca="1" si="231"/>
        <v>0</v>
      </c>
      <c r="AW168" s="164">
        <f t="shared" ca="1" si="232"/>
        <v>0</v>
      </c>
      <c r="AX168" s="164">
        <f t="shared" ca="1" si="233"/>
        <v>0</v>
      </c>
      <c r="AY168" s="164">
        <f t="shared" ca="1" si="234"/>
        <v>0</v>
      </c>
      <c r="AZ168" s="164">
        <f t="shared" ca="1" si="235"/>
        <v>0</v>
      </c>
      <c r="BA168" s="165" t="str">
        <f t="shared" ca="1" si="236"/>
        <v>nie</v>
      </c>
      <c r="BB168" s="166" t="str">
        <f t="shared" ca="1" si="242"/>
        <v>-</v>
      </c>
      <c r="BC168" s="165" t="str">
        <f t="shared" ca="1" si="237"/>
        <v>nie</v>
      </c>
    </row>
    <row r="169" spans="1:55" s="167" customFormat="1" ht="14.45" hidden="1" customHeight="1" x14ac:dyDescent="0.25">
      <c r="A169" s="493"/>
      <c r="B169" s="493"/>
      <c r="C169" s="494"/>
      <c r="D169" s="533"/>
      <c r="E169" s="497"/>
      <c r="F169" s="497"/>
      <c r="G169" s="497"/>
      <c r="H169" s="498"/>
      <c r="I169" s="499"/>
      <c r="J169" s="177" t="s">
        <v>96</v>
      </c>
      <c r="K169" s="178">
        <f>SUM(N169:O169)</f>
        <v>21956</v>
      </c>
      <c r="L169" s="184">
        <v>13653</v>
      </c>
      <c r="M169" s="180">
        <v>8303</v>
      </c>
      <c r="N169" s="172">
        <f>SUM(L169:M169)</f>
        <v>21956</v>
      </c>
      <c r="O169" s="178">
        <f>SUM(P169:Y169)</f>
        <v>0</v>
      </c>
      <c r="P169" s="181"/>
      <c r="Q169" s="180"/>
      <c r="R169" s="182"/>
      <c r="S169" s="183"/>
      <c r="T169" s="180"/>
      <c r="U169" s="180"/>
      <c r="V169" s="180"/>
      <c r="W169" s="180"/>
      <c r="X169" s="180"/>
      <c r="Y169" s="182"/>
      <c r="Z169" s="149" t="str">
        <f t="shared" ca="1" si="211"/>
        <v>nie</v>
      </c>
      <c r="AA169" s="366"/>
      <c r="AB169" s="150" t="str">
        <f t="shared" ca="1" si="241"/>
        <v>-</v>
      </c>
      <c r="AC169" s="151" t="str">
        <f t="shared" ca="1" si="212"/>
        <v>PRZED ZMIANĄ</v>
      </c>
      <c r="AD169" s="152" t="str">
        <f t="shared" ca="1" si="213"/>
        <v>PRZED ZMIANĄ</v>
      </c>
      <c r="AE169" s="153" t="str">
        <f t="shared" ca="1" si="214"/>
        <v>C/USN/II/P5/4</v>
      </c>
      <c r="AF169" s="154" t="str">
        <f t="shared" ca="1" si="215"/>
        <v>Budowa Miejsca Aktywności Lokalnej przy ul. Karczunkowskiej 138 wraz z zagospodarowaniem terenu</v>
      </c>
      <c r="AG169" s="155">
        <f t="shared" ca="1" si="216"/>
        <v>71095</v>
      </c>
      <c r="AH169" s="155" t="str">
        <f t="shared" ca="1" si="217"/>
        <v>6050</v>
      </c>
      <c r="AI169" s="156" t="str">
        <f t="shared" ca="1" si="218"/>
        <v>GMMW</v>
      </c>
      <c r="AJ169" s="157" t="str">
        <f t="shared" ca="1" si="219"/>
        <v>WPF/UM</v>
      </c>
      <c r="AK169" s="158" t="str">
        <f t="shared" ca="1" si="220"/>
        <v>C/USN/II/P5/4 71095 6050 GMMW</v>
      </c>
      <c r="AL169" s="158" t="str">
        <f t="shared" ca="1" si="221"/>
        <v>C/USN/II/P5/4 71095 6050 WPF/UM</v>
      </c>
      <c r="AM169" s="159" t="str">
        <f t="shared" ca="1" si="222"/>
        <v>C/USN/II/P5/4 71095 6050 GMMW WPF/UM</v>
      </c>
      <c r="AN169" s="160">
        <f t="shared" ca="1" si="223"/>
        <v>21956</v>
      </c>
      <c r="AO169" s="161">
        <f t="shared" ca="1" si="224"/>
        <v>13653</v>
      </c>
      <c r="AP169" s="162">
        <f t="shared" ca="1" si="225"/>
        <v>8303</v>
      </c>
      <c r="AQ169" s="163">
        <f t="shared" ca="1" si="226"/>
        <v>0</v>
      </c>
      <c r="AR169" s="164">
        <f t="shared" ca="1" si="227"/>
        <v>0</v>
      </c>
      <c r="AS169" s="164">
        <f t="shared" ca="1" si="228"/>
        <v>0</v>
      </c>
      <c r="AT169" s="164">
        <f t="shared" ca="1" si="229"/>
        <v>0</v>
      </c>
      <c r="AU169" s="164">
        <f t="shared" ca="1" si="230"/>
        <v>0</v>
      </c>
      <c r="AV169" s="164">
        <f t="shared" ca="1" si="231"/>
        <v>0</v>
      </c>
      <c r="AW169" s="164">
        <f t="shared" ca="1" si="232"/>
        <v>0</v>
      </c>
      <c r="AX169" s="164">
        <f t="shared" ca="1" si="233"/>
        <v>0</v>
      </c>
      <c r="AY169" s="164">
        <f t="shared" ca="1" si="234"/>
        <v>0</v>
      </c>
      <c r="AZ169" s="164">
        <f t="shared" ca="1" si="235"/>
        <v>0</v>
      </c>
      <c r="BA169" s="165" t="str">
        <f t="shared" ca="1" si="236"/>
        <v>nie</v>
      </c>
      <c r="BB169" s="166" t="str">
        <f t="shared" ca="1" si="242"/>
        <v>-</v>
      </c>
      <c r="BC169" s="165" t="str">
        <f t="shared" ca="1" si="237"/>
        <v>nie</v>
      </c>
    </row>
    <row r="170" spans="1:55" s="167" customFormat="1" ht="14.45" hidden="1" customHeight="1" x14ac:dyDescent="0.25">
      <c r="A170" s="185" t="s">
        <v>97</v>
      </c>
      <c r="B170" s="186"/>
      <c r="C170" s="187"/>
      <c r="D170" s="186"/>
      <c r="E170" s="186"/>
      <c r="F170" s="186"/>
      <c r="G170" s="186"/>
      <c r="H170" s="186"/>
      <c r="I170" s="186"/>
      <c r="J170" s="186"/>
      <c r="K170" s="186"/>
      <c r="L170" s="186"/>
      <c r="M170" s="186"/>
      <c r="N170" s="186"/>
      <c r="O170" s="186"/>
      <c r="P170" s="186"/>
      <c r="Q170" s="186"/>
      <c r="R170" s="188"/>
      <c r="S170" s="189"/>
      <c r="T170" s="189"/>
      <c r="U170" s="189"/>
      <c r="V170" s="189"/>
      <c r="W170" s="189"/>
      <c r="X170" s="189"/>
      <c r="Y170" s="190"/>
      <c r="Z170" s="149" t="str">
        <f t="shared" ca="1" si="211"/>
        <v>nie</v>
      </c>
      <c r="AA170" s="366"/>
      <c r="AB170" s="150" t="str">
        <f t="shared" ca="1" si="241"/>
        <v>-</v>
      </c>
      <c r="AC170" s="151" t="str">
        <f t="shared" ca="1" si="212"/>
        <v>PROPONOWANA ZMIANA</v>
      </c>
      <c r="AD170" s="152" t="str">
        <f t="shared" ca="1" si="213"/>
        <v/>
      </c>
      <c r="AE170" s="153" t="str">
        <f t="shared" ca="1" si="214"/>
        <v/>
      </c>
      <c r="AF170" s="154" t="str">
        <f t="shared" ca="1" si="215"/>
        <v/>
      </c>
      <c r="AG170" s="155" t="str">
        <f t="shared" ca="1" si="216"/>
        <v/>
      </c>
      <c r="AH170" s="155" t="str">
        <f t="shared" ca="1" si="217"/>
        <v/>
      </c>
      <c r="AI170" s="156" t="str">
        <f t="shared" ca="1" si="218"/>
        <v/>
      </c>
      <c r="AJ170" s="157" t="str">
        <f t="shared" ca="1" si="219"/>
        <v/>
      </c>
      <c r="AK170" s="158" t="str">
        <f t="shared" ca="1" si="220"/>
        <v/>
      </c>
      <c r="AL170" s="158" t="str">
        <f t="shared" ca="1" si="221"/>
        <v/>
      </c>
      <c r="AM170" s="159" t="str">
        <f t="shared" ca="1" si="222"/>
        <v/>
      </c>
      <c r="AN170" s="160" t="str">
        <f t="shared" ca="1" si="223"/>
        <v/>
      </c>
      <c r="AO170" s="161" t="str">
        <f t="shared" ca="1" si="224"/>
        <v/>
      </c>
      <c r="AP170" s="162" t="str">
        <f t="shared" ca="1" si="225"/>
        <v/>
      </c>
      <c r="AQ170" s="163" t="str">
        <f t="shared" ca="1" si="226"/>
        <v/>
      </c>
      <c r="AR170" s="164" t="str">
        <f t="shared" ca="1" si="227"/>
        <v/>
      </c>
      <c r="AS170" s="164" t="str">
        <f t="shared" ca="1" si="228"/>
        <v/>
      </c>
      <c r="AT170" s="164" t="str">
        <f t="shared" ca="1" si="229"/>
        <v/>
      </c>
      <c r="AU170" s="164" t="str">
        <f t="shared" ca="1" si="230"/>
        <v/>
      </c>
      <c r="AV170" s="164" t="str">
        <f t="shared" ca="1" si="231"/>
        <v/>
      </c>
      <c r="AW170" s="164" t="str">
        <f t="shared" ca="1" si="232"/>
        <v/>
      </c>
      <c r="AX170" s="164" t="str">
        <f t="shared" ca="1" si="233"/>
        <v/>
      </c>
      <c r="AY170" s="164" t="str">
        <f t="shared" ca="1" si="234"/>
        <v/>
      </c>
      <c r="AZ170" s="164" t="str">
        <f t="shared" ca="1" si="235"/>
        <v/>
      </c>
      <c r="BA170" s="165" t="str">
        <f t="shared" ca="1" si="236"/>
        <v>nie</v>
      </c>
      <c r="BB170" s="166" t="str">
        <f t="shared" ca="1" si="242"/>
        <v>-</v>
      </c>
      <c r="BC170" s="165" t="str">
        <f t="shared" ca="1" si="237"/>
        <v>nie</v>
      </c>
    </row>
    <row r="171" spans="1:55" s="176" customFormat="1" ht="14.45" hidden="1" customHeight="1" x14ac:dyDescent="0.25">
      <c r="A171" s="493" t="s">
        <v>24</v>
      </c>
      <c r="B171" s="493" t="s">
        <v>26</v>
      </c>
      <c r="C171" s="494" t="s">
        <v>128</v>
      </c>
      <c r="D171" s="532" t="s">
        <v>466</v>
      </c>
      <c r="E171" s="497">
        <v>710</v>
      </c>
      <c r="F171" s="497">
        <v>71095</v>
      </c>
      <c r="G171" s="497">
        <v>6050</v>
      </c>
      <c r="H171" s="507">
        <v>2019</v>
      </c>
      <c r="I171" s="499" t="str">
        <f ca="1">IF(COUNTIF(OFFSET(I171,-1,-8),"*propon*")&gt;0,OFFSET(I171,4,0),IF(Y171&gt;0,"2033",IF(X171&gt;0,"2032",IF(W171&gt;0,"2031",IF(V171&gt;0,"2030",IF(U171&gt;0,"2029",IF(T171&gt;0,"2028",IF(S171&gt;0,"2027",IF(R171&gt;0,"2026",IF(Q171&gt;0,"2025",IF(P171&gt;0,"2024",IF(M171&gt;0,"2023",IF(L171&gt;0,"2022","")))))))))))))</f>
        <v>2025</v>
      </c>
      <c r="J171" s="168" t="s">
        <v>98</v>
      </c>
      <c r="K171" s="169">
        <f>SUM(N171:O171)</f>
        <v>0</v>
      </c>
      <c r="L171" s="170">
        <f t="shared" ref="L171:M171" si="276">SUM(L172:L173)</f>
        <v>0</v>
      </c>
      <c r="M171" s="171">
        <f t="shared" si="276"/>
        <v>0</v>
      </c>
      <c r="N171" s="172">
        <f>SUM(L171:M171)</f>
        <v>0</v>
      </c>
      <c r="O171" s="169">
        <f>SUM(P171:Y171)</f>
        <v>0</v>
      </c>
      <c r="P171" s="173">
        <f t="shared" ref="P171:R171" si="277">SUM(P172:P173)</f>
        <v>0</v>
      </c>
      <c r="Q171" s="171">
        <f t="shared" si="277"/>
        <v>0</v>
      </c>
      <c r="R171" s="174">
        <f t="shared" si="277"/>
        <v>0</v>
      </c>
      <c r="S171" s="175">
        <f t="shared" ref="S171:Y171" si="278">SUM(S172:S173)</f>
        <v>0</v>
      </c>
      <c r="T171" s="171">
        <f t="shared" si="278"/>
        <v>0</v>
      </c>
      <c r="U171" s="171">
        <f t="shared" si="278"/>
        <v>0</v>
      </c>
      <c r="V171" s="171">
        <f t="shared" si="278"/>
        <v>0</v>
      </c>
      <c r="W171" s="171">
        <f t="shared" si="278"/>
        <v>0</v>
      </c>
      <c r="X171" s="171">
        <f t="shared" si="278"/>
        <v>0</v>
      </c>
      <c r="Y171" s="174">
        <f t="shared" si="278"/>
        <v>0</v>
      </c>
      <c r="Z171" s="149" t="str">
        <f t="shared" ca="1" si="211"/>
        <v>nie</v>
      </c>
      <c r="AA171" s="366"/>
      <c r="AB171" s="150" t="str">
        <f t="shared" ca="1" si="241"/>
        <v>-</v>
      </c>
      <c r="AC171" s="151" t="str">
        <f t="shared" ca="1" si="212"/>
        <v>PROPONOWANA ZMIANA</v>
      </c>
      <c r="AD171" s="152" t="str">
        <f t="shared" ca="1" si="213"/>
        <v>PROPONOWANA ZMIANA</v>
      </c>
      <c r="AE171" s="153" t="str">
        <f t="shared" ca="1" si="214"/>
        <v>C/USN/II/P5/4</v>
      </c>
      <c r="AF171" s="154" t="str">
        <f t="shared" ca="1" si="215"/>
        <v>Budowa Miejsca Aktywności Lokalnej przy ul. Karczunkowskiej 138 wraz z zagospodarowaniem terenu</v>
      </c>
      <c r="AG171" s="155">
        <f t="shared" ca="1" si="216"/>
        <v>71095</v>
      </c>
      <c r="AH171" s="155" t="str">
        <f t="shared" ca="1" si="217"/>
        <v>6050</v>
      </c>
      <c r="AI171" s="156" t="str">
        <f t="shared" ca="1" si="218"/>
        <v>GMMW</v>
      </c>
      <c r="AJ171" s="157" t="str">
        <f t="shared" ca="1" si="219"/>
        <v>WPF, w tym</v>
      </c>
      <c r="AK171" s="158" t="str">
        <f t="shared" ca="1" si="220"/>
        <v>C/USN/II/P5/4 71095 6050 GMMW</v>
      </c>
      <c r="AL171" s="158" t="str">
        <f t="shared" ca="1" si="221"/>
        <v>C/USN/II/P5/4 71095 6050 WPF, w tym</v>
      </c>
      <c r="AM171" s="159" t="str">
        <f t="shared" ca="1" si="222"/>
        <v>C/USN/II/P5/4 71095 6050 GMMW WPF, w tym</v>
      </c>
      <c r="AN171" s="160">
        <f t="shared" ca="1" si="223"/>
        <v>0</v>
      </c>
      <c r="AO171" s="161">
        <f t="shared" ca="1" si="224"/>
        <v>0</v>
      </c>
      <c r="AP171" s="162">
        <f t="shared" ca="1" si="225"/>
        <v>0</v>
      </c>
      <c r="AQ171" s="163">
        <f t="shared" ca="1" si="226"/>
        <v>0</v>
      </c>
      <c r="AR171" s="164">
        <f t="shared" ca="1" si="227"/>
        <v>0</v>
      </c>
      <c r="AS171" s="164">
        <f t="shared" ca="1" si="228"/>
        <v>0</v>
      </c>
      <c r="AT171" s="164">
        <f t="shared" ca="1" si="229"/>
        <v>0</v>
      </c>
      <c r="AU171" s="164">
        <f t="shared" ca="1" si="230"/>
        <v>0</v>
      </c>
      <c r="AV171" s="164">
        <f t="shared" ca="1" si="231"/>
        <v>0</v>
      </c>
      <c r="AW171" s="164">
        <f t="shared" ca="1" si="232"/>
        <v>0</v>
      </c>
      <c r="AX171" s="164">
        <f t="shared" ca="1" si="233"/>
        <v>0</v>
      </c>
      <c r="AY171" s="164">
        <f t="shared" ca="1" si="234"/>
        <v>0</v>
      </c>
      <c r="AZ171" s="164">
        <f t="shared" ca="1" si="235"/>
        <v>0</v>
      </c>
      <c r="BA171" s="165" t="str">
        <f t="shared" ca="1" si="236"/>
        <v>nie</v>
      </c>
      <c r="BB171" s="166" t="str">
        <f t="shared" ca="1" si="242"/>
        <v>-</v>
      </c>
      <c r="BC171" s="165" t="str">
        <f t="shared" ca="1" si="237"/>
        <v>nie</v>
      </c>
    </row>
    <row r="172" spans="1:55" s="167" customFormat="1" ht="14.45" hidden="1" customHeight="1" x14ac:dyDescent="0.25">
      <c r="A172" s="493"/>
      <c r="B172" s="493"/>
      <c r="C172" s="494"/>
      <c r="D172" s="533"/>
      <c r="E172" s="497"/>
      <c r="F172" s="497"/>
      <c r="G172" s="497"/>
      <c r="H172" s="498"/>
      <c r="I172" s="499"/>
      <c r="J172" s="177" t="s">
        <v>99</v>
      </c>
      <c r="K172" s="178">
        <f>SUM(N172:O172)</f>
        <v>0</v>
      </c>
      <c r="L172" s="179">
        <f t="shared" ref="L172:M172" si="279">L176-L168</f>
        <v>0</v>
      </c>
      <c r="M172" s="180">
        <f t="shared" si="279"/>
        <v>0</v>
      </c>
      <c r="N172" s="172">
        <f>SUM(L172:M172)</f>
        <v>0</v>
      </c>
      <c r="O172" s="178">
        <f>SUM(P172:Y172)</f>
        <v>0</v>
      </c>
      <c r="P172" s="181">
        <f t="shared" ref="P172:R172" si="280">P176-P168</f>
        <v>0</v>
      </c>
      <c r="Q172" s="180">
        <f t="shared" si="280"/>
        <v>0</v>
      </c>
      <c r="R172" s="182">
        <f t="shared" si="280"/>
        <v>0</v>
      </c>
      <c r="S172" s="183">
        <f t="shared" ref="S172:Y173" si="281">S176-S168</f>
        <v>0</v>
      </c>
      <c r="T172" s="180">
        <f t="shared" si="281"/>
        <v>0</v>
      </c>
      <c r="U172" s="180">
        <f t="shared" si="281"/>
        <v>0</v>
      </c>
      <c r="V172" s="180">
        <f t="shared" si="281"/>
        <v>0</v>
      </c>
      <c r="W172" s="180">
        <f t="shared" si="281"/>
        <v>0</v>
      </c>
      <c r="X172" s="180">
        <f t="shared" si="281"/>
        <v>0</v>
      </c>
      <c r="Y172" s="182">
        <f t="shared" si="281"/>
        <v>0</v>
      </c>
      <c r="Z172" s="149" t="str">
        <f t="shared" ca="1" si="211"/>
        <v>nie</v>
      </c>
      <c r="AA172" s="366"/>
      <c r="AB172" s="150" t="str">
        <f t="shared" ca="1" si="241"/>
        <v>-</v>
      </c>
      <c r="AC172" s="151" t="str">
        <f t="shared" ca="1" si="212"/>
        <v>PROPONOWANA ZMIANA</v>
      </c>
      <c r="AD172" s="152" t="str">
        <f t="shared" ca="1" si="213"/>
        <v>PROPONOWANA ZMIANA</v>
      </c>
      <c r="AE172" s="153" t="str">
        <f t="shared" ca="1" si="214"/>
        <v>C/USN/II/P5/4</v>
      </c>
      <c r="AF172" s="154" t="str">
        <f t="shared" ca="1" si="215"/>
        <v>Budowa Miejsca Aktywności Lokalnej przy ul. Karczunkowskiej 138 wraz z zagospodarowaniem terenu</v>
      </c>
      <c r="AG172" s="155">
        <f t="shared" ca="1" si="216"/>
        <v>71095</v>
      </c>
      <c r="AH172" s="155" t="str">
        <f t="shared" ca="1" si="217"/>
        <v>6050</v>
      </c>
      <c r="AI172" s="156" t="str">
        <f t="shared" ca="1" si="218"/>
        <v>GMMW</v>
      </c>
      <c r="AJ172" s="157" t="str">
        <f t="shared" ca="1" si="219"/>
        <v>WPF/PM</v>
      </c>
      <c r="AK172" s="158" t="str">
        <f t="shared" ca="1" si="220"/>
        <v>C/USN/II/P5/4 71095 6050 GMMW</v>
      </c>
      <c r="AL172" s="158" t="str">
        <f t="shared" ca="1" si="221"/>
        <v>C/USN/II/P5/4 71095 6050 WPF/PM</v>
      </c>
      <c r="AM172" s="159" t="str">
        <f t="shared" ca="1" si="222"/>
        <v>C/USN/II/P5/4 71095 6050 GMMW WPF/PM</v>
      </c>
      <c r="AN172" s="160">
        <f t="shared" ca="1" si="223"/>
        <v>0</v>
      </c>
      <c r="AO172" s="161">
        <f t="shared" ca="1" si="224"/>
        <v>0</v>
      </c>
      <c r="AP172" s="162">
        <f t="shared" ca="1" si="225"/>
        <v>0</v>
      </c>
      <c r="AQ172" s="163">
        <f t="shared" ca="1" si="226"/>
        <v>0</v>
      </c>
      <c r="AR172" s="164">
        <f t="shared" ca="1" si="227"/>
        <v>0</v>
      </c>
      <c r="AS172" s="164">
        <f t="shared" ca="1" si="228"/>
        <v>0</v>
      </c>
      <c r="AT172" s="164">
        <f t="shared" ca="1" si="229"/>
        <v>0</v>
      </c>
      <c r="AU172" s="164">
        <f t="shared" ca="1" si="230"/>
        <v>0</v>
      </c>
      <c r="AV172" s="164">
        <f t="shared" ca="1" si="231"/>
        <v>0</v>
      </c>
      <c r="AW172" s="164">
        <f t="shared" ca="1" si="232"/>
        <v>0</v>
      </c>
      <c r="AX172" s="164">
        <f t="shared" ca="1" si="233"/>
        <v>0</v>
      </c>
      <c r="AY172" s="164">
        <f t="shared" ca="1" si="234"/>
        <v>0</v>
      </c>
      <c r="AZ172" s="164">
        <f t="shared" ca="1" si="235"/>
        <v>0</v>
      </c>
      <c r="BA172" s="165" t="str">
        <f t="shared" ca="1" si="236"/>
        <v>nie</v>
      </c>
      <c r="BB172" s="166" t="str">
        <f t="shared" ca="1" si="242"/>
        <v>-</v>
      </c>
      <c r="BC172" s="165" t="str">
        <f t="shared" ca="1" si="237"/>
        <v>nie</v>
      </c>
    </row>
    <row r="173" spans="1:55" s="167" customFormat="1" ht="14.45" hidden="1" customHeight="1" x14ac:dyDescent="0.25">
      <c r="A173" s="493"/>
      <c r="B173" s="493"/>
      <c r="C173" s="494"/>
      <c r="D173" s="533"/>
      <c r="E173" s="497"/>
      <c r="F173" s="497"/>
      <c r="G173" s="497"/>
      <c r="H173" s="498"/>
      <c r="I173" s="499"/>
      <c r="J173" s="177" t="s">
        <v>100</v>
      </c>
      <c r="K173" s="178">
        <f>SUM(N173:O173)</f>
        <v>0</v>
      </c>
      <c r="L173" s="179">
        <f t="shared" ref="L173:M173" si="282">L177-L169</f>
        <v>0</v>
      </c>
      <c r="M173" s="180">
        <f t="shared" si="282"/>
        <v>0</v>
      </c>
      <c r="N173" s="172">
        <f>SUM(L173:M173)</f>
        <v>0</v>
      </c>
      <c r="O173" s="178">
        <f>SUM(P173:Y173)</f>
        <v>0</v>
      </c>
      <c r="P173" s="181">
        <f t="shared" ref="P173:R173" si="283">P177-P169</f>
        <v>0</v>
      </c>
      <c r="Q173" s="180">
        <f t="shared" si="283"/>
        <v>0</v>
      </c>
      <c r="R173" s="182">
        <f t="shared" si="283"/>
        <v>0</v>
      </c>
      <c r="S173" s="183">
        <f t="shared" si="281"/>
        <v>0</v>
      </c>
      <c r="T173" s="180">
        <f t="shared" si="281"/>
        <v>0</v>
      </c>
      <c r="U173" s="180">
        <f t="shared" si="281"/>
        <v>0</v>
      </c>
      <c r="V173" s="180">
        <f t="shared" si="281"/>
        <v>0</v>
      </c>
      <c r="W173" s="180">
        <f t="shared" si="281"/>
        <v>0</v>
      </c>
      <c r="X173" s="180">
        <f t="shared" si="281"/>
        <v>0</v>
      </c>
      <c r="Y173" s="182">
        <f t="shared" si="281"/>
        <v>0</v>
      </c>
      <c r="Z173" s="149" t="str">
        <f t="shared" ca="1" si="211"/>
        <v>nie</v>
      </c>
      <c r="AA173" s="366"/>
      <c r="AB173" s="150" t="str">
        <f t="shared" ca="1" si="241"/>
        <v>-</v>
      </c>
      <c r="AC173" s="151" t="str">
        <f t="shared" ca="1" si="212"/>
        <v>PROPONOWANA ZMIANA</v>
      </c>
      <c r="AD173" s="152" t="str">
        <f t="shared" ca="1" si="213"/>
        <v>PROPONOWANA ZMIANA</v>
      </c>
      <c r="AE173" s="153" t="str">
        <f t="shared" ca="1" si="214"/>
        <v>C/USN/II/P5/4</v>
      </c>
      <c r="AF173" s="154" t="str">
        <f t="shared" ca="1" si="215"/>
        <v>Budowa Miejsca Aktywności Lokalnej przy ul. Karczunkowskiej 138 wraz z zagospodarowaniem terenu</v>
      </c>
      <c r="AG173" s="155">
        <f t="shared" ca="1" si="216"/>
        <v>71095</v>
      </c>
      <c r="AH173" s="155" t="str">
        <f t="shared" ca="1" si="217"/>
        <v>6050</v>
      </c>
      <c r="AI173" s="156" t="str">
        <f t="shared" ca="1" si="218"/>
        <v>GMMW</v>
      </c>
      <c r="AJ173" s="157" t="str">
        <f t="shared" ca="1" si="219"/>
        <v>WPF/UM</v>
      </c>
      <c r="AK173" s="158" t="str">
        <f t="shared" ca="1" si="220"/>
        <v>C/USN/II/P5/4 71095 6050 GMMW</v>
      </c>
      <c r="AL173" s="158" t="str">
        <f t="shared" ca="1" si="221"/>
        <v>C/USN/II/P5/4 71095 6050 WPF/UM</v>
      </c>
      <c r="AM173" s="159" t="str">
        <f t="shared" ca="1" si="222"/>
        <v>C/USN/II/P5/4 71095 6050 GMMW WPF/UM</v>
      </c>
      <c r="AN173" s="160">
        <f t="shared" ca="1" si="223"/>
        <v>0</v>
      </c>
      <c r="AO173" s="161">
        <f t="shared" ca="1" si="224"/>
        <v>0</v>
      </c>
      <c r="AP173" s="162">
        <f t="shared" ca="1" si="225"/>
        <v>0</v>
      </c>
      <c r="AQ173" s="163">
        <f t="shared" ca="1" si="226"/>
        <v>0</v>
      </c>
      <c r="AR173" s="164">
        <f t="shared" ca="1" si="227"/>
        <v>0</v>
      </c>
      <c r="AS173" s="164">
        <f t="shared" ca="1" si="228"/>
        <v>0</v>
      </c>
      <c r="AT173" s="164">
        <f t="shared" ca="1" si="229"/>
        <v>0</v>
      </c>
      <c r="AU173" s="164">
        <f t="shared" ca="1" si="230"/>
        <v>0</v>
      </c>
      <c r="AV173" s="164">
        <f t="shared" ca="1" si="231"/>
        <v>0</v>
      </c>
      <c r="AW173" s="164">
        <f t="shared" ca="1" si="232"/>
        <v>0</v>
      </c>
      <c r="AX173" s="164">
        <f t="shared" ca="1" si="233"/>
        <v>0</v>
      </c>
      <c r="AY173" s="164">
        <f t="shared" ca="1" si="234"/>
        <v>0</v>
      </c>
      <c r="AZ173" s="164">
        <f t="shared" ca="1" si="235"/>
        <v>0</v>
      </c>
      <c r="BA173" s="165" t="str">
        <f t="shared" ca="1" si="236"/>
        <v>nie</v>
      </c>
      <c r="BB173" s="166" t="str">
        <f t="shared" ca="1" si="242"/>
        <v>-</v>
      </c>
      <c r="BC173" s="165" t="str">
        <f t="shared" ca="1" si="237"/>
        <v>nie</v>
      </c>
    </row>
    <row r="174" spans="1:55" s="167" customFormat="1" ht="14.45" hidden="1" customHeight="1" x14ac:dyDescent="0.25">
      <c r="A174" s="191" t="s">
        <v>101</v>
      </c>
      <c r="B174" s="192"/>
      <c r="C174" s="193"/>
      <c r="D174" s="192"/>
      <c r="E174" s="192"/>
      <c r="F174" s="192"/>
      <c r="G174" s="192"/>
      <c r="H174" s="192"/>
      <c r="I174" s="192"/>
      <c r="J174" s="192"/>
      <c r="K174" s="192"/>
      <c r="L174" s="192"/>
      <c r="M174" s="192"/>
      <c r="N174" s="192"/>
      <c r="O174" s="192"/>
      <c r="P174" s="192"/>
      <c r="Q174" s="192"/>
      <c r="R174" s="194"/>
      <c r="S174" s="195"/>
      <c r="T174" s="195"/>
      <c r="U174" s="195"/>
      <c r="V174" s="195"/>
      <c r="W174" s="195"/>
      <c r="X174" s="195"/>
      <c r="Y174" s="196"/>
      <c r="Z174" s="149" t="str">
        <f t="shared" ca="1" si="211"/>
        <v>nie</v>
      </c>
      <c r="AA174" s="366"/>
      <c r="AB174" s="150" t="str">
        <f t="shared" ca="1" si="241"/>
        <v>-</v>
      </c>
      <c r="AC174" s="151" t="str">
        <f t="shared" ca="1" si="212"/>
        <v>PO ZMIANIE</v>
      </c>
      <c r="AD174" s="152" t="str">
        <f t="shared" ca="1" si="213"/>
        <v/>
      </c>
      <c r="AE174" s="153" t="str">
        <f t="shared" ca="1" si="214"/>
        <v/>
      </c>
      <c r="AF174" s="154" t="str">
        <f t="shared" ca="1" si="215"/>
        <v/>
      </c>
      <c r="AG174" s="155" t="str">
        <f t="shared" ca="1" si="216"/>
        <v/>
      </c>
      <c r="AH174" s="155" t="str">
        <f t="shared" ca="1" si="217"/>
        <v/>
      </c>
      <c r="AI174" s="156" t="str">
        <f t="shared" ca="1" si="218"/>
        <v/>
      </c>
      <c r="AJ174" s="157" t="str">
        <f t="shared" ca="1" si="219"/>
        <v/>
      </c>
      <c r="AK174" s="158" t="str">
        <f t="shared" ca="1" si="220"/>
        <v/>
      </c>
      <c r="AL174" s="158" t="str">
        <f t="shared" ca="1" si="221"/>
        <v/>
      </c>
      <c r="AM174" s="159" t="str">
        <f t="shared" ca="1" si="222"/>
        <v/>
      </c>
      <c r="AN174" s="160" t="str">
        <f t="shared" ca="1" si="223"/>
        <v/>
      </c>
      <c r="AO174" s="161" t="str">
        <f t="shared" ca="1" si="224"/>
        <v/>
      </c>
      <c r="AP174" s="162" t="str">
        <f t="shared" ca="1" si="225"/>
        <v/>
      </c>
      <c r="AQ174" s="163" t="str">
        <f t="shared" ca="1" si="226"/>
        <v/>
      </c>
      <c r="AR174" s="164" t="str">
        <f t="shared" ca="1" si="227"/>
        <v/>
      </c>
      <c r="AS174" s="164" t="str">
        <f t="shared" ca="1" si="228"/>
        <v/>
      </c>
      <c r="AT174" s="164" t="str">
        <f t="shared" ca="1" si="229"/>
        <v/>
      </c>
      <c r="AU174" s="164" t="str">
        <f t="shared" ca="1" si="230"/>
        <v/>
      </c>
      <c r="AV174" s="164" t="str">
        <f t="shared" ca="1" si="231"/>
        <v/>
      </c>
      <c r="AW174" s="164" t="str">
        <f t="shared" ca="1" si="232"/>
        <v/>
      </c>
      <c r="AX174" s="164" t="str">
        <f t="shared" ca="1" si="233"/>
        <v/>
      </c>
      <c r="AY174" s="164" t="str">
        <f t="shared" ca="1" si="234"/>
        <v/>
      </c>
      <c r="AZ174" s="164" t="str">
        <f t="shared" ca="1" si="235"/>
        <v/>
      </c>
      <c r="BA174" s="165" t="str">
        <f t="shared" ca="1" si="236"/>
        <v>nie</v>
      </c>
      <c r="BB174" s="166" t="str">
        <f t="shared" ca="1" si="242"/>
        <v>-</v>
      </c>
      <c r="BC174" s="165" t="str">
        <f t="shared" ca="1" si="237"/>
        <v>nie</v>
      </c>
    </row>
    <row r="175" spans="1:55" s="176" customFormat="1" ht="14.45" hidden="1" customHeight="1" x14ac:dyDescent="0.25">
      <c r="A175" s="493" t="s">
        <v>24</v>
      </c>
      <c r="B175" s="493" t="s">
        <v>26</v>
      </c>
      <c r="C175" s="494" t="s">
        <v>128</v>
      </c>
      <c r="D175" s="532" t="s">
        <v>466</v>
      </c>
      <c r="E175" s="497">
        <v>710</v>
      </c>
      <c r="F175" s="497">
        <v>71095</v>
      </c>
      <c r="G175" s="497">
        <v>6050</v>
      </c>
      <c r="H175" s="507">
        <v>2019</v>
      </c>
      <c r="I175" s="499" t="str">
        <f ca="1">IF(COUNTIF(OFFSET(I175,-1,-8),"*propon*")&gt;0,OFFSET(I175,4,0),IF(Y175&gt;0,"2033",IF(X175&gt;0,"2032",IF(W175&gt;0,"2031",IF(V175&gt;0,"2030",IF(U175&gt;0,"2029",IF(T175&gt;0,"2028",IF(S175&gt;0,"2027",IF(R175&gt;0,"2026",IF(Q175&gt;0,"2025",IF(P175&gt;0,"2024",IF(M175&gt;0,"2023",IF(L175&gt;0,"2022","")))))))))))))</f>
        <v>2025</v>
      </c>
      <c r="J175" s="168" t="s">
        <v>102</v>
      </c>
      <c r="K175" s="169">
        <f>SUM(N175:O175)</f>
        <v>2650000</v>
      </c>
      <c r="L175" s="170">
        <f t="shared" ref="L175:M175" si="284">SUM(L176:L177)</f>
        <v>13653</v>
      </c>
      <c r="M175" s="171">
        <f t="shared" si="284"/>
        <v>8303</v>
      </c>
      <c r="N175" s="172">
        <f>SUM(L175:M175)</f>
        <v>21956</v>
      </c>
      <c r="O175" s="169">
        <f>SUM(P175:Y175)</f>
        <v>2628044</v>
      </c>
      <c r="P175" s="173">
        <f t="shared" ref="P175:R175" si="285">SUM(P176:P177)</f>
        <v>628044</v>
      </c>
      <c r="Q175" s="171">
        <f t="shared" si="285"/>
        <v>2000000</v>
      </c>
      <c r="R175" s="174">
        <f t="shared" si="285"/>
        <v>0</v>
      </c>
      <c r="S175" s="175">
        <f t="shared" ref="S175:Y175" si="286">SUM(S176:S177)</f>
        <v>0</v>
      </c>
      <c r="T175" s="171">
        <f t="shared" si="286"/>
        <v>0</v>
      </c>
      <c r="U175" s="171">
        <f t="shared" si="286"/>
        <v>0</v>
      </c>
      <c r="V175" s="171">
        <f t="shared" si="286"/>
        <v>0</v>
      </c>
      <c r="W175" s="171">
        <f t="shared" si="286"/>
        <v>0</v>
      </c>
      <c r="X175" s="171">
        <f t="shared" si="286"/>
        <v>0</v>
      </c>
      <c r="Y175" s="174">
        <f t="shared" si="286"/>
        <v>0</v>
      </c>
      <c r="Z175" s="149" t="str">
        <f t="shared" ca="1" si="211"/>
        <v>nie</v>
      </c>
      <c r="AA175" s="366"/>
      <c r="AB175" s="150" t="str">
        <f t="shared" ca="1" si="241"/>
        <v>-</v>
      </c>
      <c r="AC175" s="151" t="str">
        <f t="shared" ca="1" si="212"/>
        <v>PO ZMIANIE</v>
      </c>
      <c r="AD175" s="152" t="str">
        <f t="shared" ca="1" si="213"/>
        <v>PO ZMIANIE</v>
      </c>
      <c r="AE175" s="153" t="str">
        <f t="shared" ca="1" si="214"/>
        <v>C/USN/II/P5/4</v>
      </c>
      <c r="AF175" s="154" t="str">
        <f t="shared" ca="1" si="215"/>
        <v>Budowa Miejsca Aktywności Lokalnej przy ul. Karczunkowskiej 138 wraz z zagospodarowaniem terenu</v>
      </c>
      <c r="AG175" s="155">
        <f t="shared" ca="1" si="216"/>
        <v>71095</v>
      </c>
      <c r="AH175" s="155" t="str">
        <f t="shared" ca="1" si="217"/>
        <v>6050</v>
      </c>
      <c r="AI175" s="156" t="str">
        <f t="shared" ca="1" si="218"/>
        <v>GMMW</v>
      </c>
      <c r="AJ175" s="157" t="str">
        <f t="shared" ca="1" si="219"/>
        <v>WPF, w tym</v>
      </c>
      <c r="AK175" s="158" t="str">
        <f t="shared" ca="1" si="220"/>
        <v>C/USN/II/P5/4 71095 6050 GMMW</v>
      </c>
      <c r="AL175" s="158" t="str">
        <f t="shared" ca="1" si="221"/>
        <v>C/USN/II/P5/4 71095 6050 WPF, w tym</v>
      </c>
      <c r="AM175" s="159" t="str">
        <f t="shared" ca="1" si="222"/>
        <v>C/USN/II/P5/4 71095 6050 GMMW WPF, w tym</v>
      </c>
      <c r="AN175" s="160">
        <f t="shared" ca="1" si="223"/>
        <v>2650000</v>
      </c>
      <c r="AO175" s="161">
        <f t="shared" ca="1" si="224"/>
        <v>13653</v>
      </c>
      <c r="AP175" s="162">
        <f t="shared" ca="1" si="225"/>
        <v>8303</v>
      </c>
      <c r="AQ175" s="163">
        <f t="shared" ca="1" si="226"/>
        <v>628044</v>
      </c>
      <c r="AR175" s="164">
        <f t="shared" ca="1" si="227"/>
        <v>2000000</v>
      </c>
      <c r="AS175" s="164">
        <f t="shared" ca="1" si="228"/>
        <v>0</v>
      </c>
      <c r="AT175" s="164">
        <f t="shared" ca="1" si="229"/>
        <v>0</v>
      </c>
      <c r="AU175" s="164">
        <f t="shared" ca="1" si="230"/>
        <v>0</v>
      </c>
      <c r="AV175" s="164">
        <f t="shared" ca="1" si="231"/>
        <v>0</v>
      </c>
      <c r="AW175" s="164">
        <f t="shared" ca="1" si="232"/>
        <v>0</v>
      </c>
      <c r="AX175" s="164">
        <f t="shared" ca="1" si="233"/>
        <v>0</v>
      </c>
      <c r="AY175" s="164">
        <f t="shared" ca="1" si="234"/>
        <v>0</v>
      </c>
      <c r="AZ175" s="164">
        <f t="shared" ca="1" si="235"/>
        <v>0</v>
      </c>
      <c r="BA175" s="165" t="str">
        <f t="shared" ca="1" si="236"/>
        <v>nie</v>
      </c>
      <c r="BB175" s="166" t="str">
        <f t="shared" ca="1" si="242"/>
        <v>-</v>
      </c>
      <c r="BC175" s="165" t="str">
        <f t="shared" ca="1" si="237"/>
        <v>nie</v>
      </c>
    </row>
    <row r="176" spans="1:55" s="167" customFormat="1" ht="14.45" hidden="1" customHeight="1" x14ac:dyDescent="0.25">
      <c r="A176" s="493"/>
      <c r="B176" s="493"/>
      <c r="C176" s="494"/>
      <c r="D176" s="533"/>
      <c r="E176" s="497"/>
      <c r="F176" s="497"/>
      <c r="G176" s="497"/>
      <c r="H176" s="498"/>
      <c r="I176" s="499"/>
      <c r="J176" s="177" t="s">
        <v>103</v>
      </c>
      <c r="K176" s="178">
        <f>SUM(N176:O176)</f>
        <v>2628044</v>
      </c>
      <c r="L176" s="179"/>
      <c r="M176" s="180"/>
      <c r="N176" s="172">
        <f>SUM(L176:M176)</f>
        <v>0</v>
      </c>
      <c r="O176" s="178">
        <f>SUM(P176:Y176)</f>
        <v>2628044</v>
      </c>
      <c r="P176" s="181">
        <f>330382+297662</f>
        <v>628044</v>
      </c>
      <c r="Q176" s="180">
        <f>2000000</f>
        <v>2000000</v>
      </c>
      <c r="R176" s="182"/>
      <c r="S176" s="183"/>
      <c r="T176" s="180"/>
      <c r="U176" s="180"/>
      <c r="V176" s="180"/>
      <c r="W176" s="180"/>
      <c r="X176" s="180"/>
      <c r="Y176" s="182"/>
      <c r="Z176" s="149" t="str">
        <f t="shared" ca="1" si="211"/>
        <v>nie</v>
      </c>
      <c r="AA176" s="384"/>
      <c r="AB176" s="150" t="str">
        <f t="shared" ca="1" si="241"/>
        <v>-</v>
      </c>
      <c r="AC176" s="151" t="str">
        <f t="shared" ca="1" si="212"/>
        <v>PO ZMIANIE</v>
      </c>
      <c r="AD176" s="152" t="str">
        <f t="shared" ca="1" si="213"/>
        <v>PO ZMIANIE</v>
      </c>
      <c r="AE176" s="153" t="str">
        <f t="shared" ca="1" si="214"/>
        <v>C/USN/II/P5/4</v>
      </c>
      <c r="AF176" s="154" t="str">
        <f t="shared" ca="1" si="215"/>
        <v>Budowa Miejsca Aktywności Lokalnej przy ul. Karczunkowskiej 138 wraz z zagospodarowaniem terenu</v>
      </c>
      <c r="AG176" s="155">
        <f t="shared" ca="1" si="216"/>
        <v>71095</v>
      </c>
      <c r="AH176" s="155" t="str">
        <f t="shared" ca="1" si="217"/>
        <v>6050</v>
      </c>
      <c r="AI176" s="156" t="str">
        <f t="shared" ca="1" si="218"/>
        <v>GMMW</v>
      </c>
      <c r="AJ176" s="157" t="str">
        <f t="shared" ca="1" si="219"/>
        <v>WPF/PM</v>
      </c>
      <c r="AK176" s="158" t="str">
        <f t="shared" ca="1" si="220"/>
        <v>C/USN/II/P5/4 71095 6050 GMMW</v>
      </c>
      <c r="AL176" s="158" t="str">
        <f t="shared" ca="1" si="221"/>
        <v>C/USN/II/P5/4 71095 6050 WPF/PM</v>
      </c>
      <c r="AM176" s="159" t="str">
        <f t="shared" ca="1" si="222"/>
        <v>C/USN/II/P5/4 71095 6050 GMMW WPF/PM</v>
      </c>
      <c r="AN176" s="160">
        <f t="shared" ca="1" si="223"/>
        <v>2628044</v>
      </c>
      <c r="AO176" s="161">
        <f t="shared" ca="1" si="224"/>
        <v>0</v>
      </c>
      <c r="AP176" s="162">
        <f t="shared" ca="1" si="225"/>
        <v>0</v>
      </c>
      <c r="AQ176" s="163">
        <f t="shared" ca="1" si="226"/>
        <v>628044</v>
      </c>
      <c r="AR176" s="164">
        <f t="shared" ca="1" si="227"/>
        <v>2000000</v>
      </c>
      <c r="AS176" s="164">
        <f t="shared" ca="1" si="228"/>
        <v>0</v>
      </c>
      <c r="AT176" s="164">
        <f t="shared" ca="1" si="229"/>
        <v>0</v>
      </c>
      <c r="AU176" s="164">
        <f t="shared" ca="1" si="230"/>
        <v>0</v>
      </c>
      <c r="AV176" s="164">
        <f t="shared" ca="1" si="231"/>
        <v>0</v>
      </c>
      <c r="AW176" s="164">
        <f t="shared" ca="1" si="232"/>
        <v>0</v>
      </c>
      <c r="AX176" s="164">
        <f t="shared" ca="1" si="233"/>
        <v>0</v>
      </c>
      <c r="AY176" s="164">
        <f t="shared" ca="1" si="234"/>
        <v>0</v>
      </c>
      <c r="AZ176" s="164">
        <f t="shared" ca="1" si="235"/>
        <v>0</v>
      </c>
      <c r="BA176" s="165" t="str">
        <f t="shared" ca="1" si="236"/>
        <v>nie</v>
      </c>
      <c r="BB176" s="166" t="str">
        <f t="shared" ca="1" si="242"/>
        <v>-</v>
      </c>
      <c r="BC176" s="165" t="str">
        <f t="shared" ca="1" si="237"/>
        <v>nie</v>
      </c>
    </row>
    <row r="177" spans="1:55" s="167" customFormat="1" ht="14.45" hidden="1" customHeight="1" thickBot="1" x14ac:dyDescent="0.3">
      <c r="A177" s="500"/>
      <c r="B177" s="500"/>
      <c r="C177" s="501"/>
      <c r="D177" s="534"/>
      <c r="E177" s="503"/>
      <c r="F177" s="503"/>
      <c r="G177" s="503"/>
      <c r="H177" s="504"/>
      <c r="I177" s="499"/>
      <c r="J177" s="197" t="s">
        <v>104</v>
      </c>
      <c r="K177" s="198">
        <f>SUM(N177:O177)</f>
        <v>21956</v>
      </c>
      <c r="L177" s="199">
        <v>13653</v>
      </c>
      <c r="M177" s="200">
        <f>55965-47662</f>
        <v>8303</v>
      </c>
      <c r="N177" s="371">
        <f>SUM(L177:M177)</f>
        <v>21956</v>
      </c>
      <c r="O177" s="198">
        <f>SUM(P177:Y177)</f>
        <v>0</v>
      </c>
      <c r="P177" s="201"/>
      <c r="Q177" s="200"/>
      <c r="R177" s="202"/>
      <c r="S177" s="203"/>
      <c r="T177" s="200"/>
      <c r="U177" s="200"/>
      <c r="V177" s="200"/>
      <c r="W177" s="200"/>
      <c r="X177" s="200"/>
      <c r="Y177" s="202"/>
      <c r="Z177" s="149" t="str">
        <f t="shared" ca="1" si="211"/>
        <v>nie</v>
      </c>
      <c r="AA177" s="384"/>
      <c r="AB177" s="150" t="str">
        <f t="shared" ca="1" si="241"/>
        <v>-</v>
      </c>
      <c r="AC177" s="151" t="str">
        <f t="shared" ca="1" si="212"/>
        <v>PO ZMIANIE</v>
      </c>
      <c r="AD177" s="152" t="str">
        <f t="shared" ca="1" si="213"/>
        <v>PO ZMIANIE</v>
      </c>
      <c r="AE177" s="153" t="str">
        <f t="shared" ca="1" si="214"/>
        <v>C/USN/II/P5/4</v>
      </c>
      <c r="AF177" s="154" t="str">
        <f t="shared" ca="1" si="215"/>
        <v>Budowa Miejsca Aktywności Lokalnej przy ul. Karczunkowskiej 138 wraz z zagospodarowaniem terenu</v>
      </c>
      <c r="AG177" s="155">
        <f t="shared" ca="1" si="216"/>
        <v>71095</v>
      </c>
      <c r="AH177" s="155" t="str">
        <f t="shared" ca="1" si="217"/>
        <v>6050</v>
      </c>
      <c r="AI177" s="156" t="str">
        <f t="shared" ca="1" si="218"/>
        <v>GMMW</v>
      </c>
      <c r="AJ177" s="157" t="str">
        <f t="shared" ca="1" si="219"/>
        <v>WPF/UM</v>
      </c>
      <c r="AK177" s="158" t="str">
        <f t="shared" ca="1" si="220"/>
        <v>C/USN/II/P5/4 71095 6050 GMMW</v>
      </c>
      <c r="AL177" s="158" t="str">
        <f t="shared" ca="1" si="221"/>
        <v>C/USN/II/P5/4 71095 6050 WPF/UM</v>
      </c>
      <c r="AM177" s="159" t="str">
        <f t="shared" ca="1" si="222"/>
        <v>C/USN/II/P5/4 71095 6050 GMMW WPF/UM</v>
      </c>
      <c r="AN177" s="160">
        <f t="shared" ca="1" si="223"/>
        <v>21956</v>
      </c>
      <c r="AO177" s="161">
        <f t="shared" ca="1" si="224"/>
        <v>13653</v>
      </c>
      <c r="AP177" s="162">
        <f t="shared" ca="1" si="225"/>
        <v>8303</v>
      </c>
      <c r="AQ177" s="163">
        <f t="shared" ca="1" si="226"/>
        <v>0</v>
      </c>
      <c r="AR177" s="164">
        <f t="shared" ca="1" si="227"/>
        <v>0</v>
      </c>
      <c r="AS177" s="164">
        <f t="shared" ca="1" si="228"/>
        <v>0</v>
      </c>
      <c r="AT177" s="164">
        <f t="shared" ca="1" si="229"/>
        <v>0</v>
      </c>
      <c r="AU177" s="164">
        <f t="shared" ca="1" si="230"/>
        <v>0</v>
      </c>
      <c r="AV177" s="164">
        <f t="shared" ca="1" si="231"/>
        <v>0</v>
      </c>
      <c r="AW177" s="164">
        <f t="shared" ca="1" si="232"/>
        <v>0</v>
      </c>
      <c r="AX177" s="164">
        <f t="shared" ca="1" si="233"/>
        <v>0</v>
      </c>
      <c r="AY177" s="164">
        <f t="shared" ca="1" si="234"/>
        <v>0</v>
      </c>
      <c r="AZ177" s="164">
        <f t="shared" ca="1" si="235"/>
        <v>0</v>
      </c>
      <c r="BA177" s="165" t="str">
        <f t="shared" ca="1" si="236"/>
        <v>nie</v>
      </c>
      <c r="BB177" s="166" t="str">
        <f t="shared" ca="1" si="242"/>
        <v>-</v>
      </c>
      <c r="BC177" s="165" t="str">
        <f t="shared" ca="1" si="237"/>
        <v>nie</v>
      </c>
    </row>
    <row r="178" spans="1:55" s="167" customFormat="1" ht="14.45" hidden="1" customHeight="1" x14ac:dyDescent="0.25">
      <c r="A178" s="143" t="s">
        <v>91</v>
      </c>
      <c r="B178" s="144"/>
      <c r="C178" s="145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6"/>
      <c r="S178" s="147"/>
      <c r="T178" s="147"/>
      <c r="U178" s="147"/>
      <c r="V178" s="147"/>
      <c r="W178" s="147"/>
      <c r="X178" s="147"/>
      <c r="Y178" s="148"/>
      <c r="Z178" s="149" t="str">
        <f t="shared" ca="1" si="211"/>
        <v>nie</v>
      </c>
      <c r="AA178" s="366"/>
      <c r="AB178" s="150" t="str">
        <f t="shared" ca="1" si="241"/>
        <v>-</v>
      </c>
      <c r="AC178" s="151" t="str">
        <f t="shared" ca="1" si="212"/>
        <v>PRZED ZMIANĄ</v>
      </c>
      <c r="AD178" s="152" t="str">
        <f t="shared" ca="1" si="213"/>
        <v/>
      </c>
      <c r="AE178" s="153" t="str">
        <f t="shared" ca="1" si="214"/>
        <v/>
      </c>
      <c r="AF178" s="154" t="str">
        <f t="shared" ca="1" si="215"/>
        <v/>
      </c>
      <c r="AG178" s="155" t="str">
        <f t="shared" ca="1" si="216"/>
        <v/>
      </c>
      <c r="AH178" s="155" t="str">
        <f t="shared" ca="1" si="217"/>
        <v/>
      </c>
      <c r="AI178" s="156" t="str">
        <f t="shared" ca="1" si="218"/>
        <v/>
      </c>
      <c r="AJ178" s="157" t="str">
        <f t="shared" ca="1" si="219"/>
        <v/>
      </c>
      <c r="AK178" s="158" t="str">
        <f t="shared" ca="1" si="220"/>
        <v/>
      </c>
      <c r="AL178" s="158" t="str">
        <f t="shared" ca="1" si="221"/>
        <v/>
      </c>
      <c r="AM178" s="159" t="str">
        <f t="shared" ca="1" si="222"/>
        <v/>
      </c>
      <c r="AN178" s="160" t="str">
        <f t="shared" ca="1" si="223"/>
        <v/>
      </c>
      <c r="AO178" s="161" t="str">
        <f t="shared" ca="1" si="224"/>
        <v/>
      </c>
      <c r="AP178" s="162" t="str">
        <f t="shared" ca="1" si="225"/>
        <v/>
      </c>
      <c r="AQ178" s="163" t="str">
        <f t="shared" ca="1" si="226"/>
        <v/>
      </c>
      <c r="AR178" s="164" t="str">
        <f t="shared" ca="1" si="227"/>
        <v/>
      </c>
      <c r="AS178" s="164" t="str">
        <f t="shared" ca="1" si="228"/>
        <v/>
      </c>
      <c r="AT178" s="164" t="str">
        <f t="shared" ca="1" si="229"/>
        <v/>
      </c>
      <c r="AU178" s="164" t="str">
        <f t="shared" ca="1" si="230"/>
        <v/>
      </c>
      <c r="AV178" s="164" t="str">
        <f t="shared" ca="1" si="231"/>
        <v/>
      </c>
      <c r="AW178" s="164" t="str">
        <f t="shared" ca="1" si="232"/>
        <v/>
      </c>
      <c r="AX178" s="164" t="str">
        <f t="shared" ca="1" si="233"/>
        <v/>
      </c>
      <c r="AY178" s="164" t="str">
        <f t="shared" ca="1" si="234"/>
        <v/>
      </c>
      <c r="AZ178" s="164" t="str">
        <f t="shared" ca="1" si="235"/>
        <v/>
      </c>
      <c r="BA178" s="165" t="str">
        <f t="shared" ca="1" si="236"/>
        <v>nie</v>
      </c>
      <c r="BB178" s="166" t="str">
        <f t="shared" ca="1" si="242"/>
        <v>-</v>
      </c>
      <c r="BC178" s="165" t="str">
        <f t="shared" ca="1" si="237"/>
        <v>nie</v>
      </c>
    </row>
    <row r="179" spans="1:55" s="176" customFormat="1" ht="14.45" hidden="1" customHeight="1" x14ac:dyDescent="0.25">
      <c r="A179" s="493" t="s">
        <v>24</v>
      </c>
      <c r="B179" s="493" t="s">
        <v>26</v>
      </c>
      <c r="C179" s="494" t="s">
        <v>129</v>
      </c>
      <c r="D179" s="511" t="s">
        <v>130</v>
      </c>
      <c r="E179" s="497">
        <v>900</v>
      </c>
      <c r="F179" s="497">
        <v>90001</v>
      </c>
      <c r="G179" s="497">
        <v>6050</v>
      </c>
      <c r="H179" s="507">
        <v>2015</v>
      </c>
      <c r="I179" s="499" t="str">
        <f ca="1">IF(COUNTIF(OFFSET(I179,-1,-8),"*propon*")&gt;0,OFFSET(I179,4,0),IF(Y179&gt;0,"2033",IF(X179&gt;0,"2032",IF(W179&gt;0,"2031",IF(V179&gt;0,"2030",IF(U179&gt;0,"2029",IF(T179&gt;0,"2028",IF(S179&gt;0,"2027",IF(R179&gt;0,"2026",IF(Q179&gt;0,"2025",IF(P179&gt;0,"2024",IF(M179&gt;0,"2023",IF(L179&gt;0,"2022","")))))))))))))</f>
        <v>2025</v>
      </c>
      <c r="J179" s="168" t="s">
        <v>94</v>
      </c>
      <c r="K179" s="169">
        <f>SUM(N179:O179)</f>
        <v>9753881</v>
      </c>
      <c r="L179" s="170">
        <f t="shared" ref="L179:M179" si="287">SUM(L180:L181)</f>
        <v>5926558</v>
      </c>
      <c r="M179" s="171">
        <f t="shared" si="287"/>
        <v>194728</v>
      </c>
      <c r="N179" s="172">
        <f>SUM(L179:M179)</f>
        <v>6121286</v>
      </c>
      <c r="O179" s="169">
        <f>SUM(P179:Y179)</f>
        <v>3632595</v>
      </c>
      <c r="P179" s="173">
        <f t="shared" ref="P179:R179" si="288">SUM(P180:P181)</f>
        <v>2455188</v>
      </c>
      <c r="Q179" s="171">
        <f t="shared" si="288"/>
        <v>1177407</v>
      </c>
      <c r="R179" s="174">
        <f t="shared" si="288"/>
        <v>0</v>
      </c>
      <c r="S179" s="175">
        <f t="shared" ref="S179:Y179" si="289">SUM(S180:S181)</f>
        <v>0</v>
      </c>
      <c r="T179" s="171">
        <f t="shared" si="289"/>
        <v>0</v>
      </c>
      <c r="U179" s="171">
        <f t="shared" si="289"/>
        <v>0</v>
      </c>
      <c r="V179" s="171">
        <f t="shared" si="289"/>
        <v>0</v>
      </c>
      <c r="W179" s="171">
        <f t="shared" si="289"/>
        <v>0</v>
      </c>
      <c r="X179" s="171">
        <f t="shared" si="289"/>
        <v>0</v>
      </c>
      <c r="Y179" s="174">
        <f t="shared" si="289"/>
        <v>0</v>
      </c>
      <c r="Z179" s="149" t="str">
        <f t="shared" ca="1" si="211"/>
        <v>nie</v>
      </c>
      <c r="AA179" s="366"/>
      <c r="AB179" s="150" t="str">
        <f t="shared" ca="1" si="241"/>
        <v>-</v>
      </c>
      <c r="AC179" s="151" t="str">
        <f t="shared" ca="1" si="212"/>
        <v>PRZED ZMIANĄ</v>
      </c>
      <c r="AD179" s="152" t="str">
        <f t="shared" ca="1" si="213"/>
        <v>PRZED ZMIANĄ</v>
      </c>
      <c r="AE179" s="153" t="str">
        <f t="shared" ca="1" si="214"/>
        <v>C/USN/III/3/7</v>
      </c>
      <c r="AF179" s="154" t="str">
        <f t="shared" ca="1" si="215"/>
        <v>Budowa systemów kanalizacji deszczowej na terenie Zielonego Ursynowa</v>
      </c>
      <c r="AG179" s="155">
        <f t="shared" ca="1" si="216"/>
        <v>90001</v>
      </c>
      <c r="AH179" s="155" t="str">
        <f t="shared" ca="1" si="217"/>
        <v>6050</v>
      </c>
      <c r="AI179" s="156" t="str">
        <f t="shared" ca="1" si="218"/>
        <v>GMMW</v>
      </c>
      <c r="AJ179" s="157" t="str">
        <f t="shared" ca="1" si="219"/>
        <v>WPF, w tym</v>
      </c>
      <c r="AK179" s="158" t="str">
        <f t="shared" ca="1" si="220"/>
        <v>C/USN/III/3/7 90001 6050 GMMW</v>
      </c>
      <c r="AL179" s="158" t="str">
        <f t="shared" ca="1" si="221"/>
        <v>C/USN/III/3/7 90001 6050 WPF, w tym</v>
      </c>
      <c r="AM179" s="159" t="str">
        <f t="shared" ca="1" si="222"/>
        <v>C/USN/III/3/7 90001 6050 GMMW WPF, w tym</v>
      </c>
      <c r="AN179" s="160">
        <f t="shared" ca="1" si="223"/>
        <v>9753881</v>
      </c>
      <c r="AO179" s="161">
        <f t="shared" ca="1" si="224"/>
        <v>5926558</v>
      </c>
      <c r="AP179" s="162">
        <f t="shared" ca="1" si="225"/>
        <v>194728</v>
      </c>
      <c r="AQ179" s="163">
        <f t="shared" ca="1" si="226"/>
        <v>2455188</v>
      </c>
      <c r="AR179" s="164">
        <f t="shared" ca="1" si="227"/>
        <v>1177407</v>
      </c>
      <c r="AS179" s="164">
        <f t="shared" ca="1" si="228"/>
        <v>0</v>
      </c>
      <c r="AT179" s="164">
        <f t="shared" ca="1" si="229"/>
        <v>0</v>
      </c>
      <c r="AU179" s="164">
        <f t="shared" ca="1" si="230"/>
        <v>0</v>
      </c>
      <c r="AV179" s="164">
        <f t="shared" ca="1" si="231"/>
        <v>0</v>
      </c>
      <c r="AW179" s="164">
        <f t="shared" ca="1" si="232"/>
        <v>0</v>
      </c>
      <c r="AX179" s="164">
        <f t="shared" ca="1" si="233"/>
        <v>0</v>
      </c>
      <c r="AY179" s="164">
        <f t="shared" ca="1" si="234"/>
        <v>0</v>
      </c>
      <c r="AZ179" s="164">
        <f t="shared" ca="1" si="235"/>
        <v>0</v>
      </c>
      <c r="BA179" s="165" t="str">
        <f t="shared" ca="1" si="236"/>
        <v>nie</v>
      </c>
      <c r="BB179" s="166" t="str">
        <f t="shared" ca="1" si="242"/>
        <v>-</v>
      </c>
      <c r="BC179" s="165" t="str">
        <f t="shared" ca="1" si="237"/>
        <v>nie</v>
      </c>
    </row>
    <row r="180" spans="1:55" s="167" customFormat="1" ht="14.45" hidden="1" customHeight="1" x14ac:dyDescent="0.25">
      <c r="A180" s="493"/>
      <c r="B180" s="493"/>
      <c r="C180" s="494"/>
      <c r="D180" s="512"/>
      <c r="E180" s="497"/>
      <c r="F180" s="497"/>
      <c r="G180" s="497"/>
      <c r="H180" s="498"/>
      <c r="I180" s="499"/>
      <c r="J180" s="177" t="s">
        <v>95</v>
      </c>
      <c r="K180" s="178">
        <f>SUM(N180:O180)</f>
        <v>3591812</v>
      </c>
      <c r="L180" s="179"/>
      <c r="M180" s="180"/>
      <c r="N180" s="172">
        <f>SUM(L180:M180)</f>
        <v>0</v>
      </c>
      <c r="O180" s="178">
        <f>SUM(P180:Y180)</f>
        <v>3591812</v>
      </c>
      <c r="P180" s="181">
        <v>2414405</v>
      </c>
      <c r="Q180" s="180">
        <v>1177407</v>
      </c>
      <c r="R180" s="182"/>
      <c r="S180" s="183"/>
      <c r="T180" s="180"/>
      <c r="U180" s="180"/>
      <c r="V180" s="180"/>
      <c r="W180" s="180"/>
      <c r="X180" s="180"/>
      <c r="Y180" s="182"/>
      <c r="Z180" s="149" t="str">
        <f t="shared" ca="1" si="211"/>
        <v>nie</v>
      </c>
      <c r="AA180" s="366"/>
      <c r="AB180" s="150" t="str">
        <f t="shared" ca="1" si="241"/>
        <v>-</v>
      </c>
      <c r="AC180" s="151" t="str">
        <f t="shared" ca="1" si="212"/>
        <v>PRZED ZMIANĄ</v>
      </c>
      <c r="AD180" s="152" t="str">
        <f t="shared" ca="1" si="213"/>
        <v>PRZED ZMIANĄ</v>
      </c>
      <c r="AE180" s="153" t="str">
        <f t="shared" ca="1" si="214"/>
        <v>C/USN/III/3/7</v>
      </c>
      <c r="AF180" s="154" t="str">
        <f t="shared" ca="1" si="215"/>
        <v>Budowa systemów kanalizacji deszczowej na terenie Zielonego Ursynowa</v>
      </c>
      <c r="AG180" s="155">
        <f t="shared" ca="1" si="216"/>
        <v>90001</v>
      </c>
      <c r="AH180" s="155" t="str">
        <f t="shared" ca="1" si="217"/>
        <v>6050</v>
      </c>
      <c r="AI180" s="156" t="str">
        <f t="shared" ca="1" si="218"/>
        <v>GMMW</v>
      </c>
      <c r="AJ180" s="157" t="str">
        <f t="shared" ca="1" si="219"/>
        <v>WPF/PM</v>
      </c>
      <c r="AK180" s="158" t="str">
        <f t="shared" ca="1" si="220"/>
        <v>C/USN/III/3/7 90001 6050 GMMW</v>
      </c>
      <c r="AL180" s="158" t="str">
        <f t="shared" ca="1" si="221"/>
        <v>C/USN/III/3/7 90001 6050 WPF/PM</v>
      </c>
      <c r="AM180" s="159" t="str">
        <f t="shared" ca="1" si="222"/>
        <v>C/USN/III/3/7 90001 6050 GMMW WPF/PM</v>
      </c>
      <c r="AN180" s="160">
        <f t="shared" ca="1" si="223"/>
        <v>3591812</v>
      </c>
      <c r="AO180" s="161">
        <f t="shared" ca="1" si="224"/>
        <v>0</v>
      </c>
      <c r="AP180" s="162">
        <f t="shared" ca="1" si="225"/>
        <v>0</v>
      </c>
      <c r="AQ180" s="163">
        <f t="shared" ca="1" si="226"/>
        <v>2414405</v>
      </c>
      <c r="AR180" s="164">
        <f t="shared" ca="1" si="227"/>
        <v>1177407</v>
      </c>
      <c r="AS180" s="164">
        <f t="shared" ca="1" si="228"/>
        <v>0</v>
      </c>
      <c r="AT180" s="164">
        <f t="shared" ca="1" si="229"/>
        <v>0</v>
      </c>
      <c r="AU180" s="164">
        <f t="shared" ca="1" si="230"/>
        <v>0</v>
      </c>
      <c r="AV180" s="164">
        <f t="shared" ca="1" si="231"/>
        <v>0</v>
      </c>
      <c r="AW180" s="164">
        <f t="shared" ca="1" si="232"/>
        <v>0</v>
      </c>
      <c r="AX180" s="164">
        <f t="shared" ca="1" si="233"/>
        <v>0</v>
      </c>
      <c r="AY180" s="164">
        <f t="shared" ca="1" si="234"/>
        <v>0</v>
      </c>
      <c r="AZ180" s="164">
        <f t="shared" ca="1" si="235"/>
        <v>0</v>
      </c>
      <c r="BA180" s="165" t="str">
        <f t="shared" ca="1" si="236"/>
        <v>nie</v>
      </c>
      <c r="BB180" s="166" t="str">
        <f t="shared" ca="1" si="242"/>
        <v>-</v>
      </c>
      <c r="BC180" s="165" t="str">
        <f t="shared" ca="1" si="237"/>
        <v>nie</v>
      </c>
    </row>
    <row r="181" spans="1:55" s="167" customFormat="1" ht="14.45" hidden="1" customHeight="1" x14ac:dyDescent="0.25">
      <c r="A181" s="493"/>
      <c r="B181" s="493"/>
      <c r="C181" s="494"/>
      <c r="D181" s="512"/>
      <c r="E181" s="497"/>
      <c r="F181" s="497"/>
      <c r="G181" s="497"/>
      <c r="H181" s="498"/>
      <c r="I181" s="499"/>
      <c r="J181" s="177" t="s">
        <v>96</v>
      </c>
      <c r="K181" s="178">
        <f>SUM(N181:O181)</f>
        <v>6162069</v>
      </c>
      <c r="L181" s="179">
        <v>5926558</v>
      </c>
      <c r="M181" s="180">
        <v>194728</v>
      </c>
      <c r="N181" s="172">
        <f>SUM(L181:M181)</f>
        <v>6121286</v>
      </c>
      <c r="O181" s="178">
        <f>SUM(P181:Y181)</f>
        <v>40783</v>
      </c>
      <c r="P181" s="181">
        <v>40783</v>
      </c>
      <c r="Q181" s="180"/>
      <c r="R181" s="182"/>
      <c r="S181" s="183"/>
      <c r="T181" s="180"/>
      <c r="U181" s="180"/>
      <c r="V181" s="180"/>
      <c r="W181" s="180"/>
      <c r="X181" s="180"/>
      <c r="Y181" s="182"/>
      <c r="Z181" s="149" t="str">
        <f t="shared" ca="1" si="211"/>
        <v>nie</v>
      </c>
      <c r="AA181" s="366"/>
      <c r="AB181" s="150" t="str">
        <f t="shared" ca="1" si="241"/>
        <v>-</v>
      </c>
      <c r="AC181" s="151" t="str">
        <f t="shared" ca="1" si="212"/>
        <v>PRZED ZMIANĄ</v>
      </c>
      <c r="AD181" s="152" t="str">
        <f t="shared" ca="1" si="213"/>
        <v>PRZED ZMIANĄ</v>
      </c>
      <c r="AE181" s="153" t="str">
        <f t="shared" ca="1" si="214"/>
        <v>C/USN/III/3/7</v>
      </c>
      <c r="AF181" s="154" t="str">
        <f t="shared" ca="1" si="215"/>
        <v>Budowa systemów kanalizacji deszczowej na terenie Zielonego Ursynowa</v>
      </c>
      <c r="AG181" s="155">
        <f t="shared" ca="1" si="216"/>
        <v>90001</v>
      </c>
      <c r="AH181" s="155" t="str">
        <f t="shared" ca="1" si="217"/>
        <v>6050</v>
      </c>
      <c r="AI181" s="156" t="str">
        <f t="shared" ca="1" si="218"/>
        <v>GMMW</v>
      </c>
      <c r="AJ181" s="157" t="str">
        <f t="shared" ca="1" si="219"/>
        <v>WPF/UM</v>
      </c>
      <c r="AK181" s="158" t="str">
        <f t="shared" ca="1" si="220"/>
        <v>C/USN/III/3/7 90001 6050 GMMW</v>
      </c>
      <c r="AL181" s="158" t="str">
        <f t="shared" ca="1" si="221"/>
        <v>C/USN/III/3/7 90001 6050 WPF/UM</v>
      </c>
      <c r="AM181" s="159" t="str">
        <f t="shared" ca="1" si="222"/>
        <v>C/USN/III/3/7 90001 6050 GMMW WPF/UM</v>
      </c>
      <c r="AN181" s="160">
        <f t="shared" ca="1" si="223"/>
        <v>6162069</v>
      </c>
      <c r="AO181" s="161">
        <f t="shared" ca="1" si="224"/>
        <v>5926558</v>
      </c>
      <c r="AP181" s="162">
        <f t="shared" ca="1" si="225"/>
        <v>194728</v>
      </c>
      <c r="AQ181" s="163">
        <f t="shared" ca="1" si="226"/>
        <v>40783</v>
      </c>
      <c r="AR181" s="164">
        <f t="shared" ca="1" si="227"/>
        <v>0</v>
      </c>
      <c r="AS181" s="164">
        <f t="shared" ca="1" si="228"/>
        <v>0</v>
      </c>
      <c r="AT181" s="164">
        <f t="shared" ca="1" si="229"/>
        <v>0</v>
      </c>
      <c r="AU181" s="164">
        <f t="shared" ca="1" si="230"/>
        <v>0</v>
      </c>
      <c r="AV181" s="164">
        <f t="shared" ca="1" si="231"/>
        <v>0</v>
      </c>
      <c r="AW181" s="164">
        <f t="shared" ca="1" si="232"/>
        <v>0</v>
      </c>
      <c r="AX181" s="164">
        <f t="shared" ca="1" si="233"/>
        <v>0</v>
      </c>
      <c r="AY181" s="164">
        <f t="shared" ca="1" si="234"/>
        <v>0</v>
      </c>
      <c r="AZ181" s="164">
        <f t="shared" ca="1" si="235"/>
        <v>0</v>
      </c>
      <c r="BA181" s="165" t="str">
        <f t="shared" ca="1" si="236"/>
        <v>nie</v>
      </c>
      <c r="BB181" s="166" t="str">
        <f t="shared" ca="1" si="242"/>
        <v>-</v>
      </c>
      <c r="BC181" s="165" t="str">
        <f t="shared" ca="1" si="237"/>
        <v>nie</v>
      </c>
    </row>
    <row r="182" spans="1:55" s="167" customFormat="1" ht="14.45" hidden="1" customHeight="1" x14ac:dyDescent="0.25">
      <c r="A182" s="185" t="s">
        <v>97</v>
      </c>
      <c r="B182" s="186"/>
      <c r="C182" s="187"/>
      <c r="D182" s="186"/>
      <c r="E182" s="186"/>
      <c r="F182" s="186"/>
      <c r="G182" s="186"/>
      <c r="H182" s="186"/>
      <c r="I182" s="186"/>
      <c r="J182" s="186"/>
      <c r="K182" s="186"/>
      <c r="L182" s="186"/>
      <c r="M182" s="186"/>
      <c r="N182" s="186"/>
      <c r="O182" s="186"/>
      <c r="P182" s="186"/>
      <c r="Q182" s="186"/>
      <c r="R182" s="188"/>
      <c r="S182" s="189"/>
      <c r="T182" s="189"/>
      <c r="U182" s="189"/>
      <c r="V182" s="189"/>
      <c r="W182" s="189"/>
      <c r="X182" s="189"/>
      <c r="Y182" s="190"/>
      <c r="Z182" s="149" t="str">
        <f t="shared" ca="1" si="211"/>
        <v>nie</v>
      </c>
      <c r="AA182" s="366"/>
      <c r="AB182" s="150" t="str">
        <f t="shared" ca="1" si="241"/>
        <v>-</v>
      </c>
      <c r="AC182" s="151" t="str">
        <f t="shared" ca="1" si="212"/>
        <v>PROPONOWANA ZMIANA</v>
      </c>
      <c r="AD182" s="152" t="str">
        <f t="shared" ca="1" si="213"/>
        <v/>
      </c>
      <c r="AE182" s="153" t="str">
        <f t="shared" ca="1" si="214"/>
        <v/>
      </c>
      <c r="AF182" s="154" t="str">
        <f t="shared" ca="1" si="215"/>
        <v/>
      </c>
      <c r="AG182" s="155" t="str">
        <f t="shared" ca="1" si="216"/>
        <v/>
      </c>
      <c r="AH182" s="155" t="str">
        <f t="shared" ca="1" si="217"/>
        <v/>
      </c>
      <c r="AI182" s="156" t="str">
        <f t="shared" ca="1" si="218"/>
        <v/>
      </c>
      <c r="AJ182" s="157" t="str">
        <f t="shared" ca="1" si="219"/>
        <v/>
      </c>
      <c r="AK182" s="158" t="str">
        <f t="shared" ca="1" si="220"/>
        <v/>
      </c>
      <c r="AL182" s="158" t="str">
        <f t="shared" ca="1" si="221"/>
        <v/>
      </c>
      <c r="AM182" s="159" t="str">
        <f t="shared" ca="1" si="222"/>
        <v/>
      </c>
      <c r="AN182" s="160" t="str">
        <f t="shared" ca="1" si="223"/>
        <v/>
      </c>
      <c r="AO182" s="161" t="str">
        <f t="shared" ca="1" si="224"/>
        <v/>
      </c>
      <c r="AP182" s="162" t="str">
        <f t="shared" ca="1" si="225"/>
        <v/>
      </c>
      <c r="AQ182" s="163" t="str">
        <f t="shared" ca="1" si="226"/>
        <v/>
      </c>
      <c r="AR182" s="164" t="str">
        <f t="shared" ca="1" si="227"/>
        <v/>
      </c>
      <c r="AS182" s="164" t="str">
        <f t="shared" ca="1" si="228"/>
        <v/>
      </c>
      <c r="AT182" s="164" t="str">
        <f t="shared" ca="1" si="229"/>
        <v/>
      </c>
      <c r="AU182" s="164" t="str">
        <f t="shared" ca="1" si="230"/>
        <v/>
      </c>
      <c r="AV182" s="164" t="str">
        <f t="shared" ca="1" si="231"/>
        <v/>
      </c>
      <c r="AW182" s="164" t="str">
        <f t="shared" ca="1" si="232"/>
        <v/>
      </c>
      <c r="AX182" s="164" t="str">
        <f t="shared" ca="1" si="233"/>
        <v/>
      </c>
      <c r="AY182" s="164" t="str">
        <f t="shared" ca="1" si="234"/>
        <v/>
      </c>
      <c r="AZ182" s="164" t="str">
        <f t="shared" ca="1" si="235"/>
        <v/>
      </c>
      <c r="BA182" s="165" t="str">
        <f t="shared" ca="1" si="236"/>
        <v>nie</v>
      </c>
      <c r="BB182" s="166" t="str">
        <f t="shared" ca="1" si="242"/>
        <v>-</v>
      </c>
      <c r="BC182" s="165" t="str">
        <f t="shared" ca="1" si="237"/>
        <v>nie</v>
      </c>
    </row>
    <row r="183" spans="1:55" s="176" customFormat="1" ht="14.45" hidden="1" customHeight="1" x14ac:dyDescent="0.25">
      <c r="A183" s="493" t="s">
        <v>24</v>
      </c>
      <c r="B183" s="493" t="s">
        <v>26</v>
      </c>
      <c r="C183" s="494" t="s">
        <v>129</v>
      </c>
      <c r="D183" s="511" t="s">
        <v>130</v>
      </c>
      <c r="E183" s="497">
        <v>900</v>
      </c>
      <c r="F183" s="497">
        <v>90001</v>
      </c>
      <c r="G183" s="497">
        <v>6050</v>
      </c>
      <c r="H183" s="507">
        <v>2015</v>
      </c>
      <c r="I183" s="499" t="str">
        <f ca="1">IF(COUNTIF(OFFSET(I183,-1,-8),"*propon*")&gt;0,OFFSET(I183,4,0),IF(Y183&gt;0,"2033",IF(X183&gt;0,"2032",IF(W183&gt;0,"2031",IF(V183&gt;0,"2030",IF(U183&gt;0,"2029",IF(T183&gt;0,"2028",IF(S183&gt;0,"2027",IF(R183&gt;0,"2026",IF(Q183&gt;0,"2025",IF(P183&gt;0,"2024",IF(M183&gt;0,"2023",IF(L183&gt;0,"2022","")))))))))))))</f>
        <v>2025</v>
      </c>
      <c r="J183" s="168" t="s">
        <v>98</v>
      </c>
      <c r="K183" s="169">
        <f>SUM(N183:O183)</f>
        <v>0</v>
      </c>
      <c r="L183" s="170">
        <f t="shared" ref="L183:M183" si="290">SUM(L184:L185)</f>
        <v>0</v>
      </c>
      <c r="M183" s="171">
        <f t="shared" si="290"/>
        <v>0</v>
      </c>
      <c r="N183" s="172">
        <f>SUM(L183:M183)</f>
        <v>0</v>
      </c>
      <c r="O183" s="169">
        <f>SUM(P183:Y183)</f>
        <v>0</v>
      </c>
      <c r="P183" s="173">
        <f t="shared" ref="P183:R183" si="291">SUM(P184:P185)</f>
        <v>0</v>
      </c>
      <c r="Q183" s="171">
        <f t="shared" si="291"/>
        <v>0</v>
      </c>
      <c r="R183" s="174">
        <f t="shared" si="291"/>
        <v>0</v>
      </c>
      <c r="S183" s="175">
        <f t="shared" ref="S183:Y183" si="292">SUM(S184:S185)</f>
        <v>0</v>
      </c>
      <c r="T183" s="171">
        <f t="shared" si="292"/>
        <v>0</v>
      </c>
      <c r="U183" s="171">
        <f t="shared" si="292"/>
        <v>0</v>
      </c>
      <c r="V183" s="171">
        <f t="shared" si="292"/>
        <v>0</v>
      </c>
      <c r="W183" s="171">
        <f t="shared" si="292"/>
        <v>0</v>
      </c>
      <c r="X183" s="171">
        <f t="shared" si="292"/>
        <v>0</v>
      </c>
      <c r="Y183" s="174">
        <f t="shared" si="292"/>
        <v>0</v>
      </c>
      <c r="Z183" s="149" t="str">
        <f t="shared" ca="1" si="211"/>
        <v>nie</v>
      </c>
      <c r="AA183" s="366"/>
      <c r="AB183" s="150" t="str">
        <f t="shared" ca="1" si="241"/>
        <v>-</v>
      </c>
      <c r="AC183" s="151" t="str">
        <f t="shared" ca="1" si="212"/>
        <v>PROPONOWANA ZMIANA</v>
      </c>
      <c r="AD183" s="152" t="str">
        <f t="shared" ca="1" si="213"/>
        <v>PROPONOWANA ZMIANA</v>
      </c>
      <c r="AE183" s="153" t="str">
        <f t="shared" ca="1" si="214"/>
        <v>C/USN/III/3/7</v>
      </c>
      <c r="AF183" s="154" t="str">
        <f t="shared" ca="1" si="215"/>
        <v>Budowa systemów kanalizacji deszczowej na terenie Zielonego Ursynowa</v>
      </c>
      <c r="AG183" s="155">
        <f t="shared" ca="1" si="216"/>
        <v>90001</v>
      </c>
      <c r="AH183" s="155" t="str">
        <f t="shared" ca="1" si="217"/>
        <v>6050</v>
      </c>
      <c r="AI183" s="156" t="str">
        <f t="shared" ca="1" si="218"/>
        <v>GMMW</v>
      </c>
      <c r="AJ183" s="157" t="str">
        <f t="shared" ca="1" si="219"/>
        <v>WPF, w tym</v>
      </c>
      <c r="AK183" s="158" t="str">
        <f t="shared" ca="1" si="220"/>
        <v>C/USN/III/3/7 90001 6050 GMMW</v>
      </c>
      <c r="AL183" s="158" t="str">
        <f t="shared" ca="1" si="221"/>
        <v>C/USN/III/3/7 90001 6050 WPF, w tym</v>
      </c>
      <c r="AM183" s="159" t="str">
        <f t="shared" ca="1" si="222"/>
        <v>C/USN/III/3/7 90001 6050 GMMW WPF, w tym</v>
      </c>
      <c r="AN183" s="160">
        <f t="shared" ca="1" si="223"/>
        <v>0</v>
      </c>
      <c r="AO183" s="161">
        <f t="shared" ca="1" si="224"/>
        <v>0</v>
      </c>
      <c r="AP183" s="162">
        <f t="shared" ca="1" si="225"/>
        <v>0</v>
      </c>
      <c r="AQ183" s="163">
        <f t="shared" ca="1" si="226"/>
        <v>0</v>
      </c>
      <c r="AR183" s="164">
        <f t="shared" ca="1" si="227"/>
        <v>0</v>
      </c>
      <c r="AS183" s="164">
        <f t="shared" ca="1" si="228"/>
        <v>0</v>
      </c>
      <c r="AT183" s="164">
        <f t="shared" ca="1" si="229"/>
        <v>0</v>
      </c>
      <c r="AU183" s="164">
        <f t="shared" ca="1" si="230"/>
        <v>0</v>
      </c>
      <c r="AV183" s="164">
        <f t="shared" ca="1" si="231"/>
        <v>0</v>
      </c>
      <c r="AW183" s="164">
        <f t="shared" ca="1" si="232"/>
        <v>0</v>
      </c>
      <c r="AX183" s="164">
        <f t="shared" ca="1" si="233"/>
        <v>0</v>
      </c>
      <c r="AY183" s="164">
        <f t="shared" ca="1" si="234"/>
        <v>0</v>
      </c>
      <c r="AZ183" s="164">
        <f t="shared" ca="1" si="235"/>
        <v>0</v>
      </c>
      <c r="BA183" s="165" t="str">
        <f t="shared" ca="1" si="236"/>
        <v>nie</v>
      </c>
      <c r="BB183" s="166" t="str">
        <f t="shared" ca="1" si="242"/>
        <v>-</v>
      </c>
      <c r="BC183" s="165" t="str">
        <f t="shared" ca="1" si="237"/>
        <v>nie</v>
      </c>
    </row>
    <row r="184" spans="1:55" s="167" customFormat="1" ht="14.45" hidden="1" customHeight="1" x14ac:dyDescent="0.25">
      <c r="A184" s="493"/>
      <c r="B184" s="493"/>
      <c r="C184" s="494"/>
      <c r="D184" s="512"/>
      <c r="E184" s="497"/>
      <c r="F184" s="497"/>
      <c r="G184" s="497"/>
      <c r="H184" s="498"/>
      <c r="I184" s="499"/>
      <c r="J184" s="177" t="s">
        <v>99</v>
      </c>
      <c r="K184" s="178">
        <f>SUM(N184:O184)</f>
        <v>0</v>
      </c>
      <c r="L184" s="179">
        <f t="shared" ref="L184:M184" si="293">L188-L180</f>
        <v>0</v>
      </c>
      <c r="M184" s="180">
        <f t="shared" si="293"/>
        <v>0</v>
      </c>
      <c r="N184" s="172">
        <f>SUM(L184:M184)</f>
        <v>0</v>
      </c>
      <c r="O184" s="178">
        <f>SUM(P184:Y184)</f>
        <v>0</v>
      </c>
      <c r="P184" s="181">
        <f t="shared" ref="P184:R184" si="294">P188-P180</f>
        <v>0</v>
      </c>
      <c r="Q184" s="180">
        <f t="shared" si="294"/>
        <v>0</v>
      </c>
      <c r="R184" s="182">
        <f t="shared" si="294"/>
        <v>0</v>
      </c>
      <c r="S184" s="183">
        <f t="shared" ref="S184:Y185" si="295">S188-S180</f>
        <v>0</v>
      </c>
      <c r="T184" s="180">
        <f t="shared" si="295"/>
        <v>0</v>
      </c>
      <c r="U184" s="180">
        <f t="shared" si="295"/>
        <v>0</v>
      </c>
      <c r="V184" s="180">
        <f t="shared" si="295"/>
        <v>0</v>
      </c>
      <c r="W184" s="180">
        <f t="shared" si="295"/>
        <v>0</v>
      </c>
      <c r="X184" s="180">
        <f t="shared" si="295"/>
        <v>0</v>
      </c>
      <c r="Y184" s="182">
        <f t="shared" si="295"/>
        <v>0</v>
      </c>
      <c r="Z184" s="149" t="str">
        <f t="shared" ca="1" si="211"/>
        <v>nie</v>
      </c>
      <c r="AA184" s="366"/>
      <c r="AB184" s="150" t="str">
        <f t="shared" ca="1" si="241"/>
        <v>-</v>
      </c>
      <c r="AC184" s="151" t="str">
        <f t="shared" ca="1" si="212"/>
        <v>PROPONOWANA ZMIANA</v>
      </c>
      <c r="AD184" s="152" t="str">
        <f t="shared" ca="1" si="213"/>
        <v>PROPONOWANA ZMIANA</v>
      </c>
      <c r="AE184" s="153" t="str">
        <f t="shared" ca="1" si="214"/>
        <v>C/USN/III/3/7</v>
      </c>
      <c r="AF184" s="154" t="str">
        <f t="shared" ca="1" si="215"/>
        <v>Budowa systemów kanalizacji deszczowej na terenie Zielonego Ursynowa</v>
      </c>
      <c r="AG184" s="155">
        <f t="shared" ca="1" si="216"/>
        <v>90001</v>
      </c>
      <c r="AH184" s="155" t="str">
        <f t="shared" ca="1" si="217"/>
        <v>6050</v>
      </c>
      <c r="AI184" s="156" t="str">
        <f t="shared" ca="1" si="218"/>
        <v>GMMW</v>
      </c>
      <c r="AJ184" s="157" t="str">
        <f t="shared" ca="1" si="219"/>
        <v>WPF/PM</v>
      </c>
      <c r="AK184" s="158" t="str">
        <f t="shared" ca="1" si="220"/>
        <v>C/USN/III/3/7 90001 6050 GMMW</v>
      </c>
      <c r="AL184" s="158" t="str">
        <f t="shared" ca="1" si="221"/>
        <v>C/USN/III/3/7 90001 6050 WPF/PM</v>
      </c>
      <c r="AM184" s="159" t="str">
        <f t="shared" ca="1" si="222"/>
        <v>C/USN/III/3/7 90001 6050 GMMW WPF/PM</v>
      </c>
      <c r="AN184" s="160">
        <f t="shared" ca="1" si="223"/>
        <v>0</v>
      </c>
      <c r="AO184" s="161">
        <f t="shared" ca="1" si="224"/>
        <v>0</v>
      </c>
      <c r="AP184" s="162">
        <f t="shared" ca="1" si="225"/>
        <v>0</v>
      </c>
      <c r="AQ184" s="163">
        <f t="shared" ca="1" si="226"/>
        <v>0</v>
      </c>
      <c r="AR184" s="164">
        <f t="shared" ca="1" si="227"/>
        <v>0</v>
      </c>
      <c r="AS184" s="164">
        <f t="shared" ca="1" si="228"/>
        <v>0</v>
      </c>
      <c r="AT184" s="164">
        <f t="shared" ca="1" si="229"/>
        <v>0</v>
      </c>
      <c r="AU184" s="164">
        <f t="shared" ca="1" si="230"/>
        <v>0</v>
      </c>
      <c r="AV184" s="164">
        <f t="shared" ca="1" si="231"/>
        <v>0</v>
      </c>
      <c r="AW184" s="164">
        <f t="shared" ca="1" si="232"/>
        <v>0</v>
      </c>
      <c r="AX184" s="164">
        <f t="shared" ca="1" si="233"/>
        <v>0</v>
      </c>
      <c r="AY184" s="164">
        <f t="shared" ca="1" si="234"/>
        <v>0</v>
      </c>
      <c r="AZ184" s="164">
        <f t="shared" ca="1" si="235"/>
        <v>0</v>
      </c>
      <c r="BA184" s="165" t="str">
        <f t="shared" ca="1" si="236"/>
        <v>nie</v>
      </c>
      <c r="BB184" s="166" t="str">
        <f t="shared" ca="1" si="242"/>
        <v>-</v>
      </c>
      <c r="BC184" s="165" t="str">
        <f t="shared" ca="1" si="237"/>
        <v>nie</v>
      </c>
    </row>
    <row r="185" spans="1:55" s="167" customFormat="1" ht="14.45" hidden="1" customHeight="1" x14ac:dyDescent="0.25">
      <c r="A185" s="493"/>
      <c r="B185" s="493"/>
      <c r="C185" s="494"/>
      <c r="D185" s="512"/>
      <c r="E185" s="497"/>
      <c r="F185" s="497"/>
      <c r="G185" s="497"/>
      <c r="H185" s="498"/>
      <c r="I185" s="499"/>
      <c r="J185" s="177" t="s">
        <v>100</v>
      </c>
      <c r="K185" s="178">
        <f>SUM(N185:O185)</f>
        <v>0</v>
      </c>
      <c r="L185" s="179">
        <f t="shared" ref="L185:M185" si="296">L189-L181</f>
        <v>0</v>
      </c>
      <c r="M185" s="180">
        <f t="shared" si="296"/>
        <v>0</v>
      </c>
      <c r="N185" s="172">
        <f>SUM(L185:M185)</f>
        <v>0</v>
      </c>
      <c r="O185" s="178">
        <f>SUM(P185:Y185)</f>
        <v>0</v>
      </c>
      <c r="P185" s="181">
        <f t="shared" ref="P185:R185" si="297">P189-P181</f>
        <v>0</v>
      </c>
      <c r="Q185" s="180">
        <f t="shared" si="297"/>
        <v>0</v>
      </c>
      <c r="R185" s="182">
        <f t="shared" si="297"/>
        <v>0</v>
      </c>
      <c r="S185" s="183">
        <f t="shared" si="295"/>
        <v>0</v>
      </c>
      <c r="T185" s="180">
        <f t="shared" si="295"/>
        <v>0</v>
      </c>
      <c r="U185" s="180">
        <f t="shared" si="295"/>
        <v>0</v>
      </c>
      <c r="V185" s="180">
        <f t="shared" si="295"/>
        <v>0</v>
      </c>
      <c r="W185" s="180">
        <f t="shared" si="295"/>
        <v>0</v>
      </c>
      <c r="X185" s="180">
        <f t="shared" si="295"/>
        <v>0</v>
      </c>
      <c r="Y185" s="182">
        <f t="shared" si="295"/>
        <v>0</v>
      </c>
      <c r="Z185" s="149" t="str">
        <f t="shared" ca="1" si="211"/>
        <v>nie</v>
      </c>
      <c r="AA185" s="366"/>
      <c r="AB185" s="150" t="str">
        <f t="shared" ca="1" si="241"/>
        <v>-</v>
      </c>
      <c r="AC185" s="151" t="str">
        <f t="shared" ca="1" si="212"/>
        <v>PROPONOWANA ZMIANA</v>
      </c>
      <c r="AD185" s="152" t="str">
        <f t="shared" ca="1" si="213"/>
        <v>PROPONOWANA ZMIANA</v>
      </c>
      <c r="AE185" s="153" t="str">
        <f t="shared" ca="1" si="214"/>
        <v>C/USN/III/3/7</v>
      </c>
      <c r="AF185" s="154" t="str">
        <f t="shared" ca="1" si="215"/>
        <v>Budowa systemów kanalizacji deszczowej na terenie Zielonego Ursynowa</v>
      </c>
      <c r="AG185" s="155">
        <f t="shared" ca="1" si="216"/>
        <v>90001</v>
      </c>
      <c r="AH185" s="155" t="str">
        <f t="shared" ca="1" si="217"/>
        <v>6050</v>
      </c>
      <c r="AI185" s="156" t="str">
        <f t="shared" ca="1" si="218"/>
        <v>GMMW</v>
      </c>
      <c r="AJ185" s="157" t="str">
        <f t="shared" ca="1" si="219"/>
        <v>WPF/UM</v>
      </c>
      <c r="AK185" s="158" t="str">
        <f t="shared" ca="1" si="220"/>
        <v>C/USN/III/3/7 90001 6050 GMMW</v>
      </c>
      <c r="AL185" s="158" t="str">
        <f t="shared" ca="1" si="221"/>
        <v>C/USN/III/3/7 90001 6050 WPF/UM</v>
      </c>
      <c r="AM185" s="159" t="str">
        <f t="shared" ca="1" si="222"/>
        <v>C/USN/III/3/7 90001 6050 GMMW WPF/UM</v>
      </c>
      <c r="AN185" s="160">
        <f t="shared" ca="1" si="223"/>
        <v>0</v>
      </c>
      <c r="AO185" s="161">
        <f t="shared" ca="1" si="224"/>
        <v>0</v>
      </c>
      <c r="AP185" s="162">
        <f t="shared" ca="1" si="225"/>
        <v>0</v>
      </c>
      <c r="AQ185" s="163">
        <f t="shared" ca="1" si="226"/>
        <v>0</v>
      </c>
      <c r="AR185" s="164">
        <f t="shared" ca="1" si="227"/>
        <v>0</v>
      </c>
      <c r="AS185" s="164">
        <f t="shared" ca="1" si="228"/>
        <v>0</v>
      </c>
      <c r="AT185" s="164">
        <f t="shared" ca="1" si="229"/>
        <v>0</v>
      </c>
      <c r="AU185" s="164">
        <f t="shared" ca="1" si="230"/>
        <v>0</v>
      </c>
      <c r="AV185" s="164">
        <f t="shared" ca="1" si="231"/>
        <v>0</v>
      </c>
      <c r="AW185" s="164">
        <f t="shared" ca="1" si="232"/>
        <v>0</v>
      </c>
      <c r="AX185" s="164">
        <f t="shared" ca="1" si="233"/>
        <v>0</v>
      </c>
      <c r="AY185" s="164">
        <f t="shared" ca="1" si="234"/>
        <v>0</v>
      </c>
      <c r="AZ185" s="164">
        <f t="shared" ca="1" si="235"/>
        <v>0</v>
      </c>
      <c r="BA185" s="165" t="str">
        <f t="shared" ca="1" si="236"/>
        <v>nie</v>
      </c>
      <c r="BB185" s="166" t="str">
        <f t="shared" ca="1" si="242"/>
        <v>-</v>
      </c>
      <c r="BC185" s="165" t="str">
        <f t="shared" ca="1" si="237"/>
        <v>nie</v>
      </c>
    </row>
    <row r="186" spans="1:55" s="167" customFormat="1" ht="14.45" hidden="1" customHeight="1" x14ac:dyDescent="0.25">
      <c r="A186" s="191" t="s">
        <v>101</v>
      </c>
      <c r="B186" s="192"/>
      <c r="C186" s="193"/>
      <c r="D186" s="192"/>
      <c r="E186" s="192"/>
      <c r="F186" s="192"/>
      <c r="G186" s="192"/>
      <c r="H186" s="192"/>
      <c r="I186" s="192"/>
      <c r="J186" s="192"/>
      <c r="K186" s="192"/>
      <c r="L186" s="192"/>
      <c r="M186" s="192"/>
      <c r="N186" s="192"/>
      <c r="O186" s="192"/>
      <c r="P186" s="192"/>
      <c r="Q186" s="192"/>
      <c r="R186" s="194"/>
      <c r="S186" s="195"/>
      <c r="T186" s="195"/>
      <c r="U186" s="195"/>
      <c r="V186" s="195"/>
      <c r="W186" s="195"/>
      <c r="X186" s="195"/>
      <c r="Y186" s="196"/>
      <c r="Z186" s="149" t="str">
        <f t="shared" ca="1" si="211"/>
        <v>nie</v>
      </c>
      <c r="AA186" s="366"/>
      <c r="AB186" s="150" t="str">
        <f t="shared" ca="1" si="241"/>
        <v>-</v>
      </c>
      <c r="AC186" s="151" t="str">
        <f t="shared" ca="1" si="212"/>
        <v>PO ZMIANIE</v>
      </c>
      <c r="AD186" s="152" t="str">
        <f t="shared" ca="1" si="213"/>
        <v/>
      </c>
      <c r="AE186" s="153" t="str">
        <f t="shared" ca="1" si="214"/>
        <v/>
      </c>
      <c r="AF186" s="154" t="str">
        <f t="shared" ca="1" si="215"/>
        <v/>
      </c>
      <c r="AG186" s="155" t="str">
        <f t="shared" ca="1" si="216"/>
        <v/>
      </c>
      <c r="AH186" s="155" t="str">
        <f t="shared" ca="1" si="217"/>
        <v/>
      </c>
      <c r="AI186" s="156" t="str">
        <f t="shared" ca="1" si="218"/>
        <v/>
      </c>
      <c r="AJ186" s="157" t="str">
        <f t="shared" ca="1" si="219"/>
        <v/>
      </c>
      <c r="AK186" s="158" t="str">
        <f t="shared" ca="1" si="220"/>
        <v/>
      </c>
      <c r="AL186" s="158" t="str">
        <f t="shared" ca="1" si="221"/>
        <v/>
      </c>
      <c r="AM186" s="159" t="str">
        <f t="shared" ca="1" si="222"/>
        <v/>
      </c>
      <c r="AN186" s="160" t="str">
        <f t="shared" ca="1" si="223"/>
        <v/>
      </c>
      <c r="AO186" s="161" t="str">
        <f t="shared" ca="1" si="224"/>
        <v/>
      </c>
      <c r="AP186" s="162" t="str">
        <f t="shared" ca="1" si="225"/>
        <v/>
      </c>
      <c r="AQ186" s="163" t="str">
        <f t="shared" ca="1" si="226"/>
        <v/>
      </c>
      <c r="AR186" s="164" t="str">
        <f t="shared" ca="1" si="227"/>
        <v/>
      </c>
      <c r="AS186" s="164" t="str">
        <f t="shared" ca="1" si="228"/>
        <v/>
      </c>
      <c r="AT186" s="164" t="str">
        <f t="shared" ca="1" si="229"/>
        <v/>
      </c>
      <c r="AU186" s="164" t="str">
        <f t="shared" ca="1" si="230"/>
        <v/>
      </c>
      <c r="AV186" s="164" t="str">
        <f t="shared" ca="1" si="231"/>
        <v/>
      </c>
      <c r="AW186" s="164" t="str">
        <f t="shared" ca="1" si="232"/>
        <v/>
      </c>
      <c r="AX186" s="164" t="str">
        <f t="shared" ca="1" si="233"/>
        <v/>
      </c>
      <c r="AY186" s="164" t="str">
        <f t="shared" ca="1" si="234"/>
        <v/>
      </c>
      <c r="AZ186" s="164" t="str">
        <f t="shared" ca="1" si="235"/>
        <v/>
      </c>
      <c r="BA186" s="165" t="str">
        <f t="shared" ca="1" si="236"/>
        <v>nie</v>
      </c>
      <c r="BB186" s="166" t="str">
        <f t="shared" ca="1" si="242"/>
        <v>-</v>
      </c>
      <c r="BC186" s="165" t="str">
        <f t="shared" ca="1" si="237"/>
        <v>nie</v>
      </c>
    </row>
    <row r="187" spans="1:55" s="176" customFormat="1" ht="14.45" hidden="1" customHeight="1" x14ac:dyDescent="0.25">
      <c r="A187" s="493" t="s">
        <v>24</v>
      </c>
      <c r="B187" s="493" t="s">
        <v>26</v>
      </c>
      <c r="C187" s="494" t="s">
        <v>129</v>
      </c>
      <c r="D187" s="511" t="s">
        <v>130</v>
      </c>
      <c r="E187" s="497">
        <v>900</v>
      </c>
      <c r="F187" s="497">
        <v>90001</v>
      </c>
      <c r="G187" s="497">
        <v>6050</v>
      </c>
      <c r="H187" s="507">
        <v>2015</v>
      </c>
      <c r="I187" s="499" t="str">
        <f ca="1">IF(COUNTIF(OFFSET(I187,-1,-8),"*propon*")&gt;0,OFFSET(I187,4,0),IF(Y187&gt;0,"2033",IF(X187&gt;0,"2032",IF(W187&gt;0,"2031",IF(V187&gt;0,"2030",IF(U187&gt;0,"2029",IF(T187&gt;0,"2028",IF(S187&gt;0,"2027",IF(R187&gt;0,"2026",IF(Q187&gt;0,"2025",IF(P187&gt;0,"2024",IF(M187&gt;0,"2023",IF(L187&gt;0,"2022","")))))))))))))</f>
        <v>2025</v>
      </c>
      <c r="J187" s="168" t="s">
        <v>102</v>
      </c>
      <c r="K187" s="169">
        <f>SUM(N187:O187)</f>
        <v>9753881</v>
      </c>
      <c r="L187" s="170">
        <f t="shared" ref="L187:M187" si="298">SUM(L188:L189)</f>
        <v>5926558</v>
      </c>
      <c r="M187" s="171">
        <f t="shared" si="298"/>
        <v>194728</v>
      </c>
      <c r="N187" s="172">
        <f>SUM(L187:M187)</f>
        <v>6121286</v>
      </c>
      <c r="O187" s="169">
        <f>SUM(P187:Y187)</f>
        <v>3632595</v>
      </c>
      <c r="P187" s="173">
        <f t="shared" ref="P187:R187" si="299">SUM(P188:P189)</f>
        <v>2455188</v>
      </c>
      <c r="Q187" s="171">
        <f t="shared" si="299"/>
        <v>1177407</v>
      </c>
      <c r="R187" s="174">
        <f t="shared" si="299"/>
        <v>0</v>
      </c>
      <c r="S187" s="175">
        <f t="shared" ref="S187:Y187" si="300">SUM(S188:S189)</f>
        <v>0</v>
      </c>
      <c r="T187" s="171">
        <f t="shared" si="300"/>
        <v>0</v>
      </c>
      <c r="U187" s="171">
        <f t="shared" si="300"/>
        <v>0</v>
      </c>
      <c r="V187" s="171">
        <f t="shared" si="300"/>
        <v>0</v>
      </c>
      <c r="W187" s="171">
        <f t="shared" si="300"/>
        <v>0</v>
      </c>
      <c r="X187" s="171">
        <f t="shared" si="300"/>
        <v>0</v>
      </c>
      <c r="Y187" s="174">
        <f t="shared" si="300"/>
        <v>0</v>
      </c>
      <c r="Z187" s="149" t="str">
        <f t="shared" ca="1" si="211"/>
        <v>nie</v>
      </c>
      <c r="AA187" s="366"/>
      <c r="AB187" s="150" t="str">
        <f t="shared" ca="1" si="241"/>
        <v>-</v>
      </c>
      <c r="AC187" s="151" t="str">
        <f t="shared" ca="1" si="212"/>
        <v>PO ZMIANIE</v>
      </c>
      <c r="AD187" s="152" t="str">
        <f t="shared" ca="1" si="213"/>
        <v>PO ZMIANIE</v>
      </c>
      <c r="AE187" s="153" t="str">
        <f t="shared" ca="1" si="214"/>
        <v>C/USN/III/3/7</v>
      </c>
      <c r="AF187" s="154" t="str">
        <f t="shared" ca="1" si="215"/>
        <v>Budowa systemów kanalizacji deszczowej na terenie Zielonego Ursynowa</v>
      </c>
      <c r="AG187" s="155">
        <f t="shared" ca="1" si="216"/>
        <v>90001</v>
      </c>
      <c r="AH187" s="155" t="str">
        <f t="shared" ca="1" si="217"/>
        <v>6050</v>
      </c>
      <c r="AI187" s="156" t="str">
        <f t="shared" ca="1" si="218"/>
        <v>GMMW</v>
      </c>
      <c r="AJ187" s="157" t="str">
        <f t="shared" ca="1" si="219"/>
        <v>WPF, w tym</v>
      </c>
      <c r="AK187" s="158" t="str">
        <f t="shared" ca="1" si="220"/>
        <v>C/USN/III/3/7 90001 6050 GMMW</v>
      </c>
      <c r="AL187" s="158" t="str">
        <f t="shared" ca="1" si="221"/>
        <v>C/USN/III/3/7 90001 6050 WPF, w tym</v>
      </c>
      <c r="AM187" s="159" t="str">
        <f t="shared" ca="1" si="222"/>
        <v>C/USN/III/3/7 90001 6050 GMMW WPF, w tym</v>
      </c>
      <c r="AN187" s="160">
        <f t="shared" ca="1" si="223"/>
        <v>9753881</v>
      </c>
      <c r="AO187" s="161">
        <f t="shared" ca="1" si="224"/>
        <v>5926558</v>
      </c>
      <c r="AP187" s="162">
        <f t="shared" ca="1" si="225"/>
        <v>194728</v>
      </c>
      <c r="AQ187" s="163">
        <f t="shared" ca="1" si="226"/>
        <v>2455188</v>
      </c>
      <c r="AR187" s="164">
        <f t="shared" ca="1" si="227"/>
        <v>1177407</v>
      </c>
      <c r="AS187" s="164">
        <f t="shared" ca="1" si="228"/>
        <v>0</v>
      </c>
      <c r="AT187" s="164">
        <f t="shared" ca="1" si="229"/>
        <v>0</v>
      </c>
      <c r="AU187" s="164">
        <f t="shared" ca="1" si="230"/>
        <v>0</v>
      </c>
      <c r="AV187" s="164">
        <f t="shared" ca="1" si="231"/>
        <v>0</v>
      </c>
      <c r="AW187" s="164">
        <f t="shared" ca="1" si="232"/>
        <v>0</v>
      </c>
      <c r="AX187" s="164">
        <f t="shared" ca="1" si="233"/>
        <v>0</v>
      </c>
      <c r="AY187" s="164">
        <f t="shared" ca="1" si="234"/>
        <v>0</v>
      </c>
      <c r="AZ187" s="164">
        <f t="shared" ca="1" si="235"/>
        <v>0</v>
      </c>
      <c r="BA187" s="165" t="str">
        <f t="shared" ca="1" si="236"/>
        <v>nie</v>
      </c>
      <c r="BB187" s="166" t="str">
        <f t="shared" ca="1" si="242"/>
        <v>-</v>
      </c>
      <c r="BC187" s="165" t="str">
        <f t="shared" ca="1" si="237"/>
        <v>nie</v>
      </c>
    </row>
    <row r="188" spans="1:55" s="167" customFormat="1" ht="14.45" hidden="1" customHeight="1" x14ac:dyDescent="0.25">
      <c r="A188" s="493"/>
      <c r="B188" s="493"/>
      <c r="C188" s="494"/>
      <c r="D188" s="512"/>
      <c r="E188" s="497"/>
      <c r="F188" s="497"/>
      <c r="G188" s="497"/>
      <c r="H188" s="498"/>
      <c r="I188" s="499"/>
      <c r="J188" s="177" t="s">
        <v>103</v>
      </c>
      <c r="K188" s="178">
        <f>SUM(N188:O188)</f>
        <v>3591812</v>
      </c>
      <c r="L188" s="179"/>
      <c r="M188" s="180"/>
      <c r="N188" s="172">
        <f>SUM(L188:M188)</f>
        <v>0</v>
      </c>
      <c r="O188" s="178">
        <f>SUM(P188:Y188)</f>
        <v>3591812</v>
      </c>
      <c r="P188" s="181">
        <v>2414405</v>
      </c>
      <c r="Q188" s="180">
        <f>1000000+177407</f>
        <v>1177407</v>
      </c>
      <c r="R188" s="182"/>
      <c r="S188" s="183"/>
      <c r="T188" s="180"/>
      <c r="U188" s="180"/>
      <c r="V188" s="180"/>
      <c r="W188" s="180"/>
      <c r="X188" s="180"/>
      <c r="Y188" s="182"/>
      <c r="Z188" s="149" t="str">
        <f t="shared" ca="1" si="211"/>
        <v>nie</v>
      </c>
      <c r="AA188" s="384"/>
      <c r="AB188" s="150" t="str">
        <f t="shared" ca="1" si="241"/>
        <v>-</v>
      </c>
      <c r="AC188" s="151" t="str">
        <f t="shared" ca="1" si="212"/>
        <v>PO ZMIANIE</v>
      </c>
      <c r="AD188" s="152" t="str">
        <f t="shared" ca="1" si="213"/>
        <v>PO ZMIANIE</v>
      </c>
      <c r="AE188" s="153" t="str">
        <f t="shared" ca="1" si="214"/>
        <v>C/USN/III/3/7</v>
      </c>
      <c r="AF188" s="154" t="str">
        <f t="shared" ca="1" si="215"/>
        <v>Budowa systemów kanalizacji deszczowej na terenie Zielonego Ursynowa</v>
      </c>
      <c r="AG188" s="155">
        <f t="shared" ca="1" si="216"/>
        <v>90001</v>
      </c>
      <c r="AH188" s="155" t="str">
        <f t="shared" ca="1" si="217"/>
        <v>6050</v>
      </c>
      <c r="AI188" s="156" t="str">
        <f t="shared" ca="1" si="218"/>
        <v>GMMW</v>
      </c>
      <c r="AJ188" s="157" t="str">
        <f t="shared" ca="1" si="219"/>
        <v>WPF/PM</v>
      </c>
      <c r="AK188" s="158" t="str">
        <f t="shared" ca="1" si="220"/>
        <v>C/USN/III/3/7 90001 6050 GMMW</v>
      </c>
      <c r="AL188" s="158" t="str">
        <f t="shared" ca="1" si="221"/>
        <v>C/USN/III/3/7 90001 6050 WPF/PM</v>
      </c>
      <c r="AM188" s="159" t="str">
        <f t="shared" ca="1" si="222"/>
        <v>C/USN/III/3/7 90001 6050 GMMW WPF/PM</v>
      </c>
      <c r="AN188" s="160">
        <f t="shared" ca="1" si="223"/>
        <v>3591812</v>
      </c>
      <c r="AO188" s="161">
        <f t="shared" ca="1" si="224"/>
        <v>0</v>
      </c>
      <c r="AP188" s="162">
        <f t="shared" ca="1" si="225"/>
        <v>0</v>
      </c>
      <c r="AQ188" s="163">
        <f t="shared" ca="1" si="226"/>
        <v>2414405</v>
      </c>
      <c r="AR188" s="164">
        <f t="shared" ca="1" si="227"/>
        <v>1177407</v>
      </c>
      <c r="AS188" s="164">
        <f t="shared" ca="1" si="228"/>
        <v>0</v>
      </c>
      <c r="AT188" s="164">
        <f t="shared" ca="1" si="229"/>
        <v>0</v>
      </c>
      <c r="AU188" s="164">
        <f t="shared" ca="1" si="230"/>
        <v>0</v>
      </c>
      <c r="AV188" s="164">
        <f t="shared" ca="1" si="231"/>
        <v>0</v>
      </c>
      <c r="AW188" s="164">
        <f t="shared" ca="1" si="232"/>
        <v>0</v>
      </c>
      <c r="AX188" s="164">
        <f t="shared" ca="1" si="233"/>
        <v>0</v>
      </c>
      <c r="AY188" s="164">
        <f t="shared" ca="1" si="234"/>
        <v>0</v>
      </c>
      <c r="AZ188" s="164">
        <f t="shared" ca="1" si="235"/>
        <v>0</v>
      </c>
      <c r="BA188" s="165" t="str">
        <f t="shared" ca="1" si="236"/>
        <v>nie</v>
      </c>
      <c r="BB188" s="166" t="str">
        <f t="shared" ca="1" si="242"/>
        <v>-</v>
      </c>
      <c r="BC188" s="165" t="str">
        <f t="shared" ca="1" si="237"/>
        <v>nie</v>
      </c>
    </row>
    <row r="189" spans="1:55" s="167" customFormat="1" ht="14.45" hidden="1" customHeight="1" thickBot="1" x14ac:dyDescent="0.3">
      <c r="A189" s="500"/>
      <c r="B189" s="500"/>
      <c r="C189" s="501"/>
      <c r="D189" s="529"/>
      <c r="E189" s="503"/>
      <c r="F189" s="503"/>
      <c r="G189" s="503"/>
      <c r="H189" s="504"/>
      <c r="I189" s="499"/>
      <c r="J189" s="197" t="s">
        <v>104</v>
      </c>
      <c r="K189" s="198">
        <f>SUM(N189:O189)</f>
        <v>6162069</v>
      </c>
      <c r="L189" s="204">
        <v>5926558</v>
      </c>
      <c r="M189" s="200">
        <f>199763-5035</f>
        <v>194728</v>
      </c>
      <c r="N189" s="371">
        <f>SUM(L189:M189)</f>
        <v>6121286</v>
      </c>
      <c r="O189" s="198">
        <f>SUM(P189:Y189)</f>
        <v>40783</v>
      </c>
      <c r="P189" s="201">
        <v>40783</v>
      </c>
      <c r="Q189" s="200"/>
      <c r="R189" s="202"/>
      <c r="S189" s="203"/>
      <c r="T189" s="200"/>
      <c r="U189" s="200"/>
      <c r="V189" s="200"/>
      <c r="W189" s="200"/>
      <c r="X189" s="200"/>
      <c r="Y189" s="202"/>
      <c r="Z189" s="149" t="str">
        <f t="shared" ca="1" si="211"/>
        <v>nie</v>
      </c>
      <c r="AA189" s="384"/>
      <c r="AB189" s="150" t="str">
        <f t="shared" ca="1" si="241"/>
        <v>-</v>
      </c>
      <c r="AC189" s="151" t="str">
        <f t="shared" ca="1" si="212"/>
        <v>PO ZMIANIE</v>
      </c>
      <c r="AD189" s="152" t="str">
        <f t="shared" ca="1" si="213"/>
        <v>PO ZMIANIE</v>
      </c>
      <c r="AE189" s="153" t="str">
        <f t="shared" ca="1" si="214"/>
        <v>C/USN/III/3/7</v>
      </c>
      <c r="AF189" s="154" t="str">
        <f t="shared" ca="1" si="215"/>
        <v>Budowa systemów kanalizacji deszczowej na terenie Zielonego Ursynowa</v>
      </c>
      <c r="AG189" s="155">
        <f t="shared" ca="1" si="216"/>
        <v>90001</v>
      </c>
      <c r="AH189" s="155" t="str">
        <f t="shared" ca="1" si="217"/>
        <v>6050</v>
      </c>
      <c r="AI189" s="156" t="str">
        <f t="shared" ca="1" si="218"/>
        <v>GMMW</v>
      </c>
      <c r="AJ189" s="157" t="str">
        <f t="shared" ca="1" si="219"/>
        <v>WPF/UM</v>
      </c>
      <c r="AK189" s="158" t="str">
        <f t="shared" ca="1" si="220"/>
        <v>C/USN/III/3/7 90001 6050 GMMW</v>
      </c>
      <c r="AL189" s="158" t="str">
        <f t="shared" ca="1" si="221"/>
        <v>C/USN/III/3/7 90001 6050 WPF/UM</v>
      </c>
      <c r="AM189" s="159" t="str">
        <f t="shared" ca="1" si="222"/>
        <v>C/USN/III/3/7 90001 6050 GMMW WPF/UM</v>
      </c>
      <c r="AN189" s="160">
        <f t="shared" ca="1" si="223"/>
        <v>6162069</v>
      </c>
      <c r="AO189" s="161">
        <f t="shared" ca="1" si="224"/>
        <v>5926558</v>
      </c>
      <c r="AP189" s="162">
        <f t="shared" ca="1" si="225"/>
        <v>194728</v>
      </c>
      <c r="AQ189" s="163">
        <f t="shared" ca="1" si="226"/>
        <v>40783</v>
      </c>
      <c r="AR189" s="164">
        <f t="shared" ca="1" si="227"/>
        <v>0</v>
      </c>
      <c r="AS189" s="164">
        <f t="shared" ca="1" si="228"/>
        <v>0</v>
      </c>
      <c r="AT189" s="164">
        <f t="shared" ca="1" si="229"/>
        <v>0</v>
      </c>
      <c r="AU189" s="164">
        <f t="shared" ca="1" si="230"/>
        <v>0</v>
      </c>
      <c r="AV189" s="164">
        <f t="shared" ca="1" si="231"/>
        <v>0</v>
      </c>
      <c r="AW189" s="164">
        <f t="shared" ca="1" si="232"/>
        <v>0</v>
      </c>
      <c r="AX189" s="164">
        <f t="shared" ca="1" si="233"/>
        <v>0</v>
      </c>
      <c r="AY189" s="164">
        <f t="shared" ca="1" si="234"/>
        <v>0</v>
      </c>
      <c r="AZ189" s="164">
        <f t="shared" ca="1" si="235"/>
        <v>0</v>
      </c>
      <c r="BA189" s="165" t="str">
        <f t="shared" ca="1" si="236"/>
        <v>nie</v>
      </c>
      <c r="BB189" s="166" t="str">
        <f t="shared" ca="1" si="242"/>
        <v>-</v>
      </c>
      <c r="BC189" s="165" t="str">
        <f t="shared" ca="1" si="237"/>
        <v>nie</v>
      </c>
    </row>
    <row r="190" spans="1:55" s="167" customFormat="1" ht="14.45" hidden="1" customHeight="1" x14ac:dyDescent="0.25">
      <c r="A190" s="143" t="s">
        <v>91</v>
      </c>
      <c r="B190" s="144"/>
      <c r="C190" s="145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6"/>
      <c r="S190" s="147"/>
      <c r="T190" s="147"/>
      <c r="U190" s="147"/>
      <c r="V190" s="147"/>
      <c r="W190" s="147"/>
      <c r="X190" s="147"/>
      <c r="Y190" s="148"/>
      <c r="Z190" s="149" t="str">
        <f t="shared" ca="1" si="211"/>
        <v>nie</v>
      </c>
      <c r="AA190" s="366"/>
      <c r="AB190" s="150" t="str">
        <f t="shared" ca="1" si="241"/>
        <v>-</v>
      </c>
      <c r="AC190" s="151" t="str">
        <f t="shared" ca="1" si="212"/>
        <v>PRZED ZMIANĄ</v>
      </c>
      <c r="AD190" s="152" t="str">
        <f t="shared" ca="1" si="213"/>
        <v/>
      </c>
      <c r="AE190" s="153" t="str">
        <f t="shared" ca="1" si="214"/>
        <v/>
      </c>
      <c r="AF190" s="154" t="str">
        <f t="shared" ca="1" si="215"/>
        <v/>
      </c>
      <c r="AG190" s="155" t="str">
        <f t="shared" ca="1" si="216"/>
        <v/>
      </c>
      <c r="AH190" s="155" t="str">
        <f t="shared" ca="1" si="217"/>
        <v/>
      </c>
      <c r="AI190" s="156" t="str">
        <f t="shared" ca="1" si="218"/>
        <v/>
      </c>
      <c r="AJ190" s="157" t="str">
        <f t="shared" ca="1" si="219"/>
        <v/>
      </c>
      <c r="AK190" s="158" t="str">
        <f t="shared" ca="1" si="220"/>
        <v/>
      </c>
      <c r="AL190" s="158" t="str">
        <f t="shared" ca="1" si="221"/>
        <v/>
      </c>
      <c r="AM190" s="159" t="str">
        <f t="shared" ca="1" si="222"/>
        <v/>
      </c>
      <c r="AN190" s="160" t="str">
        <f t="shared" ca="1" si="223"/>
        <v/>
      </c>
      <c r="AO190" s="161" t="str">
        <f t="shared" ca="1" si="224"/>
        <v/>
      </c>
      <c r="AP190" s="162" t="str">
        <f t="shared" ca="1" si="225"/>
        <v/>
      </c>
      <c r="AQ190" s="163" t="str">
        <f t="shared" ca="1" si="226"/>
        <v/>
      </c>
      <c r="AR190" s="164" t="str">
        <f t="shared" ca="1" si="227"/>
        <v/>
      </c>
      <c r="AS190" s="164" t="str">
        <f t="shared" ca="1" si="228"/>
        <v/>
      </c>
      <c r="AT190" s="164" t="str">
        <f t="shared" ca="1" si="229"/>
        <v/>
      </c>
      <c r="AU190" s="164" t="str">
        <f t="shared" ca="1" si="230"/>
        <v/>
      </c>
      <c r="AV190" s="164" t="str">
        <f t="shared" ca="1" si="231"/>
        <v/>
      </c>
      <c r="AW190" s="164" t="str">
        <f t="shared" ca="1" si="232"/>
        <v/>
      </c>
      <c r="AX190" s="164" t="str">
        <f t="shared" ca="1" si="233"/>
        <v/>
      </c>
      <c r="AY190" s="164" t="str">
        <f t="shared" ca="1" si="234"/>
        <v/>
      </c>
      <c r="AZ190" s="164" t="str">
        <f t="shared" ca="1" si="235"/>
        <v/>
      </c>
      <c r="BA190" s="165" t="str">
        <f t="shared" ca="1" si="236"/>
        <v>nie</v>
      </c>
      <c r="BB190" s="166" t="str">
        <f t="shared" ca="1" si="242"/>
        <v>-</v>
      </c>
      <c r="BC190" s="165" t="str">
        <f t="shared" ca="1" si="237"/>
        <v>nie</v>
      </c>
    </row>
    <row r="191" spans="1:55" s="176" customFormat="1" ht="14.45" hidden="1" customHeight="1" x14ac:dyDescent="0.25">
      <c r="A191" s="493" t="s">
        <v>24</v>
      </c>
      <c r="B191" s="493" t="s">
        <v>26</v>
      </c>
      <c r="C191" s="494" t="s">
        <v>131</v>
      </c>
      <c r="D191" s="505" t="s">
        <v>132</v>
      </c>
      <c r="E191" s="497">
        <v>900</v>
      </c>
      <c r="F191" s="497">
        <v>90004</v>
      </c>
      <c r="G191" s="497">
        <v>6050</v>
      </c>
      <c r="H191" s="507">
        <v>2020</v>
      </c>
      <c r="I191" s="499" t="str">
        <f ca="1">IF(COUNTIF(OFFSET(I191,-1,-8),"*propon*")&gt;0,OFFSET(I191,4,0),IF(Y191&gt;0,"2033",IF(X191&gt;0,"2032",IF(W191&gt;0,"2031",IF(V191&gt;0,"2030",IF(U191&gt;0,"2029",IF(T191&gt;0,"2028",IF(S191&gt;0,"2027",IF(R191&gt;0,"2026",IF(Q191&gt;0,"2025",IF(P191&gt;0,"2024",IF(M191&gt;0,"2023",IF(L191&gt;0,"2022","")))))))))))))</f>
        <v>2025</v>
      </c>
      <c r="J191" s="168" t="s">
        <v>94</v>
      </c>
      <c r="K191" s="169">
        <f>SUM(N191:O191)</f>
        <v>1703746</v>
      </c>
      <c r="L191" s="170">
        <f t="shared" ref="L191:M191" si="301">SUM(L192:L193)</f>
        <v>313878</v>
      </c>
      <c r="M191" s="171">
        <f t="shared" si="301"/>
        <v>17142</v>
      </c>
      <c r="N191" s="172">
        <f>SUM(L191:M191)</f>
        <v>331020</v>
      </c>
      <c r="O191" s="169">
        <f>SUM(P191:Y191)</f>
        <v>1372726</v>
      </c>
      <c r="P191" s="173">
        <f t="shared" ref="P191:R191" si="302">SUM(P192:P193)</f>
        <v>211895</v>
      </c>
      <c r="Q191" s="171">
        <f t="shared" si="302"/>
        <v>1160831</v>
      </c>
      <c r="R191" s="174">
        <f t="shared" si="302"/>
        <v>0</v>
      </c>
      <c r="S191" s="175">
        <f t="shared" ref="S191:Y191" si="303">SUM(S192:S193)</f>
        <v>0</v>
      </c>
      <c r="T191" s="171">
        <f t="shared" si="303"/>
        <v>0</v>
      </c>
      <c r="U191" s="171">
        <f t="shared" si="303"/>
        <v>0</v>
      </c>
      <c r="V191" s="171">
        <f t="shared" si="303"/>
        <v>0</v>
      </c>
      <c r="W191" s="171">
        <f t="shared" si="303"/>
        <v>0</v>
      </c>
      <c r="X191" s="171">
        <f t="shared" si="303"/>
        <v>0</v>
      </c>
      <c r="Y191" s="174">
        <f t="shared" si="303"/>
        <v>0</v>
      </c>
      <c r="Z191" s="149" t="str">
        <f t="shared" ca="1" si="211"/>
        <v>nie</v>
      </c>
      <c r="AA191" s="366"/>
      <c r="AB191" s="150" t="str">
        <f t="shared" ca="1" si="241"/>
        <v>-</v>
      </c>
      <c r="AC191" s="151" t="str">
        <f t="shared" ca="1" si="212"/>
        <v>PRZED ZMIANĄ</v>
      </c>
      <c r="AD191" s="152" t="str">
        <f t="shared" ca="1" si="213"/>
        <v>PRZED ZMIANĄ</v>
      </c>
      <c r="AE191" s="153" t="str">
        <f t="shared" ca="1" si="214"/>
        <v>C/USN/III/P3/38</v>
      </c>
      <c r="AF191" s="154" t="str">
        <f t="shared" ca="1" si="215"/>
        <v>Budowa "Parku Polskich Wynalazców"</v>
      </c>
      <c r="AG191" s="155">
        <f t="shared" ca="1" si="216"/>
        <v>90004</v>
      </c>
      <c r="AH191" s="155" t="str">
        <f t="shared" ca="1" si="217"/>
        <v>6050</v>
      </c>
      <c r="AI191" s="156" t="str">
        <f t="shared" ca="1" si="218"/>
        <v>GMMW</v>
      </c>
      <c r="AJ191" s="157" t="str">
        <f t="shared" ca="1" si="219"/>
        <v>WPF, w tym</v>
      </c>
      <c r="AK191" s="158" t="str">
        <f t="shared" ca="1" si="220"/>
        <v>C/USN/III/P3/38 90004 6050 GMMW</v>
      </c>
      <c r="AL191" s="158" t="str">
        <f t="shared" ca="1" si="221"/>
        <v>C/USN/III/P3/38 90004 6050 WPF, w tym</v>
      </c>
      <c r="AM191" s="159" t="str">
        <f t="shared" ca="1" si="222"/>
        <v>C/USN/III/P3/38 90004 6050 GMMW WPF, w tym</v>
      </c>
      <c r="AN191" s="160">
        <f t="shared" ca="1" si="223"/>
        <v>1703746</v>
      </c>
      <c r="AO191" s="161">
        <f t="shared" ca="1" si="224"/>
        <v>313878</v>
      </c>
      <c r="AP191" s="162">
        <f t="shared" ca="1" si="225"/>
        <v>17142</v>
      </c>
      <c r="AQ191" s="163">
        <f t="shared" ca="1" si="226"/>
        <v>211895</v>
      </c>
      <c r="AR191" s="164">
        <f t="shared" ca="1" si="227"/>
        <v>1160831</v>
      </c>
      <c r="AS191" s="164">
        <f t="shared" ca="1" si="228"/>
        <v>0</v>
      </c>
      <c r="AT191" s="164">
        <f t="shared" ca="1" si="229"/>
        <v>0</v>
      </c>
      <c r="AU191" s="164">
        <f t="shared" ca="1" si="230"/>
        <v>0</v>
      </c>
      <c r="AV191" s="164">
        <f t="shared" ca="1" si="231"/>
        <v>0</v>
      </c>
      <c r="AW191" s="164">
        <f t="shared" ca="1" si="232"/>
        <v>0</v>
      </c>
      <c r="AX191" s="164">
        <f t="shared" ca="1" si="233"/>
        <v>0</v>
      </c>
      <c r="AY191" s="164">
        <f t="shared" ca="1" si="234"/>
        <v>0</v>
      </c>
      <c r="AZ191" s="164">
        <f t="shared" ca="1" si="235"/>
        <v>0</v>
      </c>
      <c r="BA191" s="165" t="str">
        <f t="shared" ca="1" si="236"/>
        <v>nie</v>
      </c>
      <c r="BB191" s="166" t="str">
        <f t="shared" ca="1" si="242"/>
        <v>-</v>
      </c>
      <c r="BC191" s="165" t="str">
        <f t="shared" ca="1" si="237"/>
        <v>nie</v>
      </c>
    </row>
    <row r="192" spans="1:55" s="167" customFormat="1" ht="14.45" hidden="1" customHeight="1" x14ac:dyDescent="0.25">
      <c r="A192" s="493"/>
      <c r="B192" s="493"/>
      <c r="C192" s="494"/>
      <c r="D192" s="506"/>
      <c r="E192" s="497"/>
      <c r="F192" s="497"/>
      <c r="G192" s="497"/>
      <c r="H192" s="498"/>
      <c r="I192" s="499"/>
      <c r="J192" s="177" t="s">
        <v>95</v>
      </c>
      <c r="K192" s="178">
        <f>SUM(N192:O192)</f>
        <v>1255224</v>
      </c>
      <c r="L192" s="179"/>
      <c r="M192" s="180"/>
      <c r="N192" s="172">
        <f>SUM(L192:M192)</f>
        <v>0</v>
      </c>
      <c r="O192" s="178">
        <f>SUM(P192:Y192)</f>
        <v>1255224</v>
      </c>
      <c r="P192" s="181">
        <v>94393</v>
      </c>
      <c r="Q192" s="180">
        <v>1160831</v>
      </c>
      <c r="R192" s="182"/>
      <c r="S192" s="183"/>
      <c r="T192" s="180"/>
      <c r="U192" s="180"/>
      <c r="V192" s="180"/>
      <c r="W192" s="180"/>
      <c r="X192" s="180"/>
      <c r="Y192" s="182"/>
      <c r="Z192" s="149" t="str">
        <f t="shared" ca="1" si="211"/>
        <v>nie</v>
      </c>
      <c r="AA192" s="366"/>
      <c r="AB192" s="150" t="str">
        <f t="shared" ca="1" si="241"/>
        <v>-</v>
      </c>
      <c r="AC192" s="151" t="str">
        <f t="shared" ca="1" si="212"/>
        <v>PRZED ZMIANĄ</v>
      </c>
      <c r="AD192" s="152" t="str">
        <f t="shared" ca="1" si="213"/>
        <v>PRZED ZMIANĄ</v>
      </c>
      <c r="AE192" s="153" t="str">
        <f t="shared" ca="1" si="214"/>
        <v>C/USN/III/P3/38</v>
      </c>
      <c r="AF192" s="154" t="str">
        <f t="shared" ca="1" si="215"/>
        <v>Budowa "Parku Polskich Wynalazców"</v>
      </c>
      <c r="AG192" s="155">
        <f t="shared" ca="1" si="216"/>
        <v>90004</v>
      </c>
      <c r="AH192" s="155" t="str">
        <f t="shared" ca="1" si="217"/>
        <v>6050</v>
      </c>
      <c r="AI192" s="156" t="str">
        <f t="shared" ca="1" si="218"/>
        <v>GMMW</v>
      </c>
      <c r="AJ192" s="157" t="str">
        <f t="shared" ca="1" si="219"/>
        <v>WPF/PM</v>
      </c>
      <c r="AK192" s="158" t="str">
        <f t="shared" ca="1" si="220"/>
        <v>C/USN/III/P3/38 90004 6050 GMMW</v>
      </c>
      <c r="AL192" s="158" t="str">
        <f t="shared" ca="1" si="221"/>
        <v>C/USN/III/P3/38 90004 6050 WPF/PM</v>
      </c>
      <c r="AM192" s="159" t="str">
        <f t="shared" ca="1" si="222"/>
        <v>C/USN/III/P3/38 90004 6050 GMMW WPF/PM</v>
      </c>
      <c r="AN192" s="160">
        <f t="shared" ca="1" si="223"/>
        <v>1255224</v>
      </c>
      <c r="AO192" s="161">
        <f t="shared" ca="1" si="224"/>
        <v>0</v>
      </c>
      <c r="AP192" s="162">
        <f t="shared" ca="1" si="225"/>
        <v>0</v>
      </c>
      <c r="AQ192" s="163">
        <f t="shared" ca="1" si="226"/>
        <v>94393</v>
      </c>
      <c r="AR192" s="164">
        <f t="shared" ca="1" si="227"/>
        <v>1160831</v>
      </c>
      <c r="AS192" s="164">
        <f t="shared" ca="1" si="228"/>
        <v>0</v>
      </c>
      <c r="AT192" s="164">
        <f t="shared" ca="1" si="229"/>
        <v>0</v>
      </c>
      <c r="AU192" s="164">
        <f t="shared" ca="1" si="230"/>
        <v>0</v>
      </c>
      <c r="AV192" s="164">
        <f t="shared" ca="1" si="231"/>
        <v>0</v>
      </c>
      <c r="AW192" s="164">
        <f t="shared" ca="1" si="232"/>
        <v>0</v>
      </c>
      <c r="AX192" s="164">
        <f t="shared" ca="1" si="233"/>
        <v>0</v>
      </c>
      <c r="AY192" s="164">
        <f t="shared" ca="1" si="234"/>
        <v>0</v>
      </c>
      <c r="AZ192" s="164">
        <f t="shared" ca="1" si="235"/>
        <v>0</v>
      </c>
      <c r="BA192" s="165" t="str">
        <f t="shared" ca="1" si="236"/>
        <v>nie</v>
      </c>
      <c r="BB192" s="166" t="str">
        <f t="shared" ca="1" si="242"/>
        <v>-</v>
      </c>
      <c r="BC192" s="165" t="str">
        <f t="shared" ca="1" si="237"/>
        <v>nie</v>
      </c>
    </row>
    <row r="193" spans="1:55" s="167" customFormat="1" ht="14.45" hidden="1" customHeight="1" x14ac:dyDescent="0.25">
      <c r="A193" s="493"/>
      <c r="B193" s="493"/>
      <c r="C193" s="494"/>
      <c r="D193" s="506"/>
      <c r="E193" s="497"/>
      <c r="F193" s="497"/>
      <c r="G193" s="497"/>
      <c r="H193" s="498"/>
      <c r="I193" s="499"/>
      <c r="J193" s="177" t="s">
        <v>96</v>
      </c>
      <c r="K193" s="178">
        <f>SUM(N193:O193)</f>
        <v>448522</v>
      </c>
      <c r="L193" s="179">
        <v>313878</v>
      </c>
      <c r="M193" s="180">
        <v>17142</v>
      </c>
      <c r="N193" s="172">
        <f>SUM(L193:M193)</f>
        <v>331020</v>
      </c>
      <c r="O193" s="178">
        <f>SUM(P193:Y193)</f>
        <v>117502</v>
      </c>
      <c r="P193" s="181">
        <v>117502</v>
      </c>
      <c r="Q193" s="180"/>
      <c r="R193" s="182"/>
      <c r="S193" s="183"/>
      <c r="T193" s="180"/>
      <c r="U193" s="180"/>
      <c r="V193" s="180"/>
      <c r="W193" s="180"/>
      <c r="X193" s="180"/>
      <c r="Y193" s="182"/>
      <c r="Z193" s="149" t="str">
        <f t="shared" ca="1" si="211"/>
        <v>nie</v>
      </c>
      <c r="AA193" s="366"/>
      <c r="AB193" s="150" t="str">
        <f t="shared" ca="1" si="241"/>
        <v>-</v>
      </c>
      <c r="AC193" s="151" t="str">
        <f t="shared" ca="1" si="212"/>
        <v>PRZED ZMIANĄ</v>
      </c>
      <c r="AD193" s="152" t="str">
        <f t="shared" ca="1" si="213"/>
        <v>PRZED ZMIANĄ</v>
      </c>
      <c r="AE193" s="153" t="str">
        <f t="shared" ca="1" si="214"/>
        <v>C/USN/III/P3/38</v>
      </c>
      <c r="AF193" s="154" t="str">
        <f t="shared" ca="1" si="215"/>
        <v>Budowa "Parku Polskich Wynalazców"</v>
      </c>
      <c r="AG193" s="155">
        <f t="shared" ca="1" si="216"/>
        <v>90004</v>
      </c>
      <c r="AH193" s="155" t="str">
        <f t="shared" ca="1" si="217"/>
        <v>6050</v>
      </c>
      <c r="AI193" s="156" t="str">
        <f t="shared" ca="1" si="218"/>
        <v>GMMW</v>
      </c>
      <c r="AJ193" s="157" t="str">
        <f t="shared" ca="1" si="219"/>
        <v>WPF/UM</v>
      </c>
      <c r="AK193" s="158" t="str">
        <f t="shared" ca="1" si="220"/>
        <v>C/USN/III/P3/38 90004 6050 GMMW</v>
      </c>
      <c r="AL193" s="158" t="str">
        <f t="shared" ca="1" si="221"/>
        <v>C/USN/III/P3/38 90004 6050 WPF/UM</v>
      </c>
      <c r="AM193" s="159" t="str">
        <f t="shared" ca="1" si="222"/>
        <v>C/USN/III/P3/38 90004 6050 GMMW WPF/UM</v>
      </c>
      <c r="AN193" s="160">
        <f t="shared" ca="1" si="223"/>
        <v>448522</v>
      </c>
      <c r="AO193" s="161">
        <f t="shared" ca="1" si="224"/>
        <v>313878</v>
      </c>
      <c r="AP193" s="162">
        <f t="shared" ca="1" si="225"/>
        <v>17142</v>
      </c>
      <c r="AQ193" s="163">
        <f t="shared" ca="1" si="226"/>
        <v>117502</v>
      </c>
      <c r="AR193" s="164">
        <f t="shared" ca="1" si="227"/>
        <v>0</v>
      </c>
      <c r="AS193" s="164">
        <f t="shared" ca="1" si="228"/>
        <v>0</v>
      </c>
      <c r="AT193" s="164">
        <f t="shared" ca="1" si="229"/>
        <v>0</v>
      </c>
      <c r="AU193" s="164">
        <f t="shared" ca="1" si="230"/>
        <v>0</v>
      </c>
      <c r="AV193" s="164">
        <f t="shared" ca="1" si="231"/>
        <v>0</v>
      </c>
      <c r="AW193" s="164">
        <f t="shared" ca="1" si="232"/>
        <v>0</v>
      </c>
      <c r="AX193" s="164">
        <f t="shared" ca="1" si="233"/>
        <v>0</v>
      </c>
      <c r="AY193" s="164">
        <f t="shared" ca="1" si="234"/>
        <v>0</v>
      </c>
      <c r="AZ193" s="164">
        <f t="shared" ca="1" si="235"/>
        <v>0</v>
      </c>
      <c r="BA193" s="165" t="str">
        <f t="shared" ca="1" si="236"/>
        <v>nie</v>
      </c>
      <c r="BB193" s="166" t="str">
        <f t="shared" ca="1" si="242"/>
        <v>-</v>
      </c>
      <c r="BC193" s="165" t="str">
        <f t="shared" ca="1" si="237"/>
        <v>nie</v>
      </c>
    </row>
    <row r="194" spans="1:55" s="167" customFormat="1" ht="14.45" hidden="1" customHeight="1" x14ac:dyDescent="0.25">
      <c r="A194" s="185" t="s">
        <v>97</v>
      </c>
      <c r="B194" s="186"/>
      <c r="C194" s="187"/>
      <c r="D194" s="186"/>
      <c r="E194" s="186"/>
      <c r="F194" s="186"/>
      <c r="G194" s="186"/>
      <c r="H194" s="186"/>
      <c r="I194" s="186"/>
      <c r="J194" s="186"/>
      <c r="K194" s="186"/>
      <c r="L194" s="186"/>
      <c r="M194" s="186"/>
      <c r="N194" s="186"/>
      <c r="O194" s="186"/>
      <c r="P194" s="186"/>
      <c r="Q194" s="186"/>
      <c r="R194" s="188"/>
      <c r="S194" s="189"/>
      <c r="T194" s="189"/>
      <c r="U194" s="189"/>
      <c r="V194" s="189"/>
      <c r="W194" s="189"/>
      <c r="X194" s="189"/>
      <c r="Y194" s="190"/>
      <c r="Z194" s="149" t="str">
        <f t="shared" ca="1" si="211"/>
        <v>nie</v>
      </c>
      <c r="AA194" s="366"/>
      <c r="AB194" s="150" t="str">
        <f t="shared" ca="1" si="241"/>
        <v>-</v>
      </c>
      <c r="AC194" s="151" t="str">
        <f t="shared" ca="1" si="212"/>
        <v>PROPONOWANA ZMIANA</v>
      </c>
      <c r="AD194" s="152" t="str">
        <f t="shared" ca="1" si="213"/>
        <v/>
      </c>
      <c r="AE194" s="153" t="str">
        <f t="shared" ca="1" si="214"/>
        <v/>
      </c>
      <c r="AF194" s="154" t="str">
        <f t="shared" ca="1" si="215"/>
        <v/>
      </c>
      <c r="AG194" s="155" t="str">
        <f t="shared" ca="1" si="216"/>
        <v/>
      </c>
      <c r="AH194" s="155" t="str">
        <f t="shared" ca="1" si="217"/>
        <v/>
      </c>
      <c r="AI194" s="156" t="str">
        <f t="shared" ca="1" si="218"/>
        <v/>
      </c>
      <c r="AJ194" s="157" t="str">
        <f t="shared" ca="1" si="219"/>
        <v/>
      </c>
      <c r="AK194" s="158" t="str">
        <f t="shared" ca="1" si="220"/>
        <v/>
      </c>
      <c r="AL194" s="158" t="str">
        <f t="shared" ca="1" si="221"/>
        <v/>
      </c>
      <c r="AM194" s="159" t="str">
        <f t="shared" ca="1" si="222"/>
        <v/>
      </c>
      <c r="AN194" s="160" t="str">
        <f t="shared" ca="1" si="223"/>
        <v/>
      </c>
      <c r="AO194" s="161" t="str">
        <f t="shared" ca="1" si="224"/>
        <v/>
      </c>
      <c r="AP194" s="162" t="str">
        <f t="shared" ca="1" si="225"/>
        <v/>
      </c>
      <c r="AQ194" s="163" t="str">
        <f t="shared" ca="1" si="226"/>
        <v/>
      </c>
      <c r="AR194" s="164" t="str">
        <f t="shared" ca="1" si="227"/>
        <v/>
      </c>
      <c r="AS194" s="164" t="str">
        <f t="shared" ca="1" si="228"/>
        <v/>
      </c>
      <c r="AT194" s="164" t="str">
        <f t="shared" ca="1" si="229"/>
        <v/>
      </c>
      <c r="AU194" s="164" t="str">
        <f t="shared" ca="1" si="230"/>
        <v/>
      </c>
      <c r="AV194" s="164" t="str">
        <f t="shared" ca="1" si="231"/>
        <v/>
      </c>
      <c r="AW194" s="164" t="str">
        <f t="shared" ca="1" si="232"/>
        <v/>
      </c>
      <c r="AX194" s="164" t="str">
        <f t="shared" ca="1" si="233"/>
        <v/>
      </c>
      <c r="AY194" s="164" t="str">
        <f t="shared" ca="1" si="234"/>
        <v/>
      </c>
      <c r="AZ194" s="164" t="str">
        <f t="shared" ca="1" si="235"/>
        <v/>
      </c>
      <c r="BA194" s="165" t="str">
        <f t="shared" ca="1" si="236"/>
        <v>nie</v>
      </c>
      <c r="BB194" s="166" t="str">
        <f t="shared" ca="1" si="242"/>
        <v>-</v>
      </c>
      <c r="BC194" s="165" t="str">
        <f t="shared" ca="1" si="237"/>
        <v>nie</v>
      </c>
    </row>
    <row r="195" spans="1:55" s="176" customFormat="1" ht="14.45" hidden="1" customHeight="1" x14ac:dyDescent="0.25">
      <c r="A195" s="493" t="s">
        <v>24</v>
      </c>
      <c r="B195" s="493" t="s">
        <v>26</v>
      </c>
      <c r="C195" s="494" t="s">
        <v>131</v>
      </c>
      <c r="D195" s="505" t="s">
        <v>132</v>
      </c>
      <c r="E195" s="497">
        <v>900</v>
      </c>
      <c r="F195" s="497">
        <v>90004</v>
      </c>
      <c r="G195" s="497">
        <v>6050</v>
      </c>
      <c r="H195" s="507">
        <v>2020</v>
      </c>
      <c r="I195" s="499" t="str">
        <f ca="1">IF(COUNTIF(OFFSET(I195,-1,-8),"*propon*")&gt;0,OFFSET(I195,4,0),IF(Y195&gt;0,"2033",IF(X195&gt;0,"2032",IF(W195&gt;0,"2031",IF(V195&gt;0,"2030",IF(U195&gt;0,"2029",IF(T195&gt;0,"2028",IF(S195&gt;0,"2027",IF(R195&gt;0,"2026",IF(Q195&gt;0,"2025",IF(P195&gt;0,"2024",IF(M195&gt;0,"2023",IF(L195&gt;0,"2022","")))))))))))))</f>
        <v>2025</v>
      </c>
      <c r="J195" s="168" t="s">
        <v>98</v>
      </c>
      <c r="K195" s="169">
        <f>SUM(N195:O195)</f>
        <v>0</v>
      </c>
      <c r="L195" s="170">
        <f t="shared" ref="L195:M195" si="304">SUM(L196:L197)</f>
        <v>0</v>
      </c>
      <c r="M195" s="171">
        <f t="shared" si="304"/>
        <v>0</v>
      </c>
      <c r="N195" s="172">
        <f>SUM(L195:M195)</f>
        <v>0</v>
      </c>
      <c r="O195" s="169">
        <f>SUM(P195:Y195)</f>
        <v>0</v>
      </c>
      <c r="P195" s="173">
        <f t="shared" ref="P195:R195" si="305">SUM(P196:P197)</f>
        <v>0</v>
      </c>
      <c r="Q195" s="171">
        <f t="shared" si="305"/>
        <v>0</v>
      </c>
      <c r="R195" s="174">
        <f t="shared" si="305"/>
        <v>0</v>
      </c>
      <c r="S195" s="175">
        <f t="shared" ref="S195:Y195" si="306">SUM(S196:S197)</f>
        <v>0</v>
      </c>
      <c r="T195" s="171">
        <f t="shared" si="306"/>
        <v>0</v>
      </c>
      <c r="U195" s="171">
        <f t="shared" si="306"/>
        <v>0</v>
      </c>
      <c r="V195" s="171">
        <f t="shared" si="306"/>
        <v>0</v>
      </c>
      <c r="W195" s="171">
        <f t="shared" si="306"/>
        <v>0</v>
      </c>
      <c r="X195" s="171">
        <f t="shared" si="306"/>
        <v>0</v>
      </c>
      <c r="Y195" s="174">
        <f t="shared" si="306"/>
        <v>0</v>
      </c>
      <c r="Z195" s="149" t="str">
        <f t="shared" ca="1" si="211"/>
        <v>nie</v>
      </c>
      <c r="AA195" s="366"/>
      <c r="AB195" s="150" t="str">
        <f t="shared" ca="1" si="241"/>
        <v>-</v>
      </c>
      <c r="AC195" s="151" t="str">
        <f t="shared" ca="1" si="212"/>
        <v>PROPONOWANA ZMIANA</v>
      </c>
      <c r="AD195" s="152" t="str">
        <f t="shared" ca="1" si="213"/>
        <v>PROPONOWANA ZMIANA</v>
      </c>
      <c r="AE195" s="153" t="str">
        <f t="shared" ca="1" si="214"/>
        <v>C/USN/III/P3/38</v>
      </c>
      <c r="AF195" s="154" t="str">
        <f t="shared" ca="1" si="215"/>
        <v>Budowa "Parku Polskich Wynalazców"</v>
      </c>
      <c r="AG195" s="155">
        <f t="shared" ca="1" si="216"/>
        <v>90004</v>
      </c>
      <c r="AH195" s="155" t="str">
        <f t="shared" ca="1" si="217"/>
        <v>6050</v>
      </c>
      <c r="AI195" s="156" t="str">
        <f t="shared" ca="1" si="218"/>
        <v>GMMW</v>
      </c>
      <c r="AJ195" s="157" t="str">
        <f t="shared" ca="1" si="219"/>
        <v>WPF, w tym</v>
      </c>
      <c r="AK195" s="158" t="str">
        <f t="shared" ca="1" si="220"/>
        <v>C/USN/III/P3/38 90004 6050 GMMW</v>
      </c>
      <c r="AL195" s="158" t="str">
        <f t="shared" ca="1" si="221"/>
        <v>C/USN/III/P3/38 90004 6050 WPF, w tym</v>
      </c>
      <c r="AM195" s="159" t="str">
        <f t="shared" ca="1" si="222"/>
        <v>C/USN/III/P3/38 90004 6050 GMMW WPF, w tym</v>
      </c>
      <c r="AN195" s="160">
        <f t="shared" ca="1" si="223"/>
        <v>0</v>
      </c>
      <c r="AO195" s="161">
        <f t="shared" ca="1" si="224"/>
        <v>0</v>
      </c>
      <c r="AP195" s="162">
        <f t="shared" ca="1" si="225"/>
        <v>0</v>
      </c>
      <c r="AQ195" s="163">
        <f t="shared" ca="1" si="226"/>
        <v>0</v>
      </c>
      <c r="AR195" s="164">
        <f t="shared" ca="1" si="227"/>
        <v>0</v>
      </c>
      <c r="AS195" s="164">
        <f t="shared" ca="1" si="228"/>
        <v>0</v>
      </c>
      <c r="AT195" s="164">
        <f t="shared" ca="1" si="229"/>
        <v>0</v>
      </c>
      <c r="AU195" s="164">
        <f t="shared" ca="1" si="230"/>
        <v>0</v>
      </c>
      <c r="AV195" s="164">
        <f t="shared" ca="1" si="231"/>
        <v>0</v>
      </c>
      <c r="AW195" s="164">
        <f t="shared" ca="1" si="232"/>
        <v>0</v>
      </c>
      <c r="AX195" s="164">
        <f t="shared" ca="1" si="233"/>
        <v>0</v>
      </c>
      <c r="AY195" s="164">
        <f t="shared" ca="1" si="234"/>
        <v>0</v>
      </c>
      <c r="AZ195" s="164">
        <f t="shared" ca="1" si="235"/>
        <v>0</v>
      </c>
      <c r="BA195" s="165" t="str">
        <f t="shared" ca="1" si="236"/>
        <v>nie</v>
      </c>
      <c r="BB195" s="166" t="str">
        <f t="shared" ca="1" si="242"/>
        <v>-</v>
      </c>
      <c r="BC195" s="165" t="str">
        <f t="shared" ca="1" si="237"/>
        <v>nie</v>
      </c>
    </row>
    <row r="196" spans="1:55" s="167" customFormat="1" ht="14.45" hidden="1" customHeight="1" x14ac:dyDescent="0.25">
      <c r="A196" s="493"/>
      <c r="B196" s="493"/>
      <c r="C196" s="494"/>
      <c r="D196" s="506"/>
      <c r="E196" s="497"/>
      <c r="F196" s="497"/>
      <c r="G196" s="497"/>
      <c r="H196" s="498"/>
      <c r="I196" s="499"/>
      <c r="J196" s="177" t="s">
        <v>99</v>
      </c>
      <c r="K196" s="178">
        <f>SUM(N196:O196)</f>
        <v>0</v>
      </c>
      <c r="L196" s="179">
        <f t="shared" ref="L196:M196" si="307">L200-L192</f>
        <v>0</v>
      </c>
      <c r="M196" s="180">
        <f t="shared" si="307"/>
        <v>0</v>
      </c>
      <c r="N196" s="172">
        <f>SUM(L196:M196)</f>
        <v>0</v>
      </c>
      <c r="O196" s="178">
        <f>SUM(P196:Y196)</f>
        <v>0</v>
      </c>
      <c r="P196" s="181">
        <f t="shared" ref="P196:R196" si="308">P200-P192</f>
        <v>0</v>
      </c>
      <c r="Q196" s="180">
        <f t="shared" si="308"/>
        <v>0</v>
      </c>
      <c r="R196" s="182">
        <f t="shared" si="308"/>
        <v>0</v>
      </c>
      <c r="S196" s="183">
        <f t="shared" ref="S196:Y197" si="309">S200-S192</f>
        <v>0</v>
      </c>
      <c r="T196" s="180">
        <f t="shared" si="309"/>
        <v>0</v>
      </c>
      <c r="U196" s="180">
        <f t="shared" si="309"/>
        <v>0</v>
      </c>
      <c r="V196" s="180">
        <f t="shared" si="309"/>
        <v>0</v>
      </c>
      <c r="W196" s="180">
        <f t="shared" si="309"/>
        <v>0</v>
      </c>
      <c r="X196" s="180">
        <f t="shared" si="309"/>
        <v>0</v>
      </c>
      <c r="Y196" s="182">
        <f t="shared" si="309"/>
        <v>0</v>
      </c>
      <c r="Z196" s="149" t="str">
        <f t="shared" ca="1" si="211"/>
        <v>nie</v>
      </c>
      <c r="AA196" s="366"/>
      <c r="AB196" s="150" t="str">
        <f t="shared" ca="1" si="241"/>
        <v>-</v>
      </c>
      <c r="AC196" s="151" t="str">
        <f t="shared" ca="1" si="212"/>
        <v>PROPONOWANA ZMIANA</v>
      </c>
      <c r="AD196" s="152" t="str">
        <f t="shared" ca="1" si="213"/>
        <v>PROPONOWANA ZMIANA</v>
      </c>
      <c r="AE196" s="153" t="str">
        <f t="shared" ca="1" si="214"/>
        <v>C/USN/III/P3/38</v>
      </c>
      <c r="AF196" s="154" t="str">
        <f t="shared" ca="1" si="215"/>
        <v>Budowa "Parku Polskich Wynalazców"</v>
      </c>
      <c r="AG196" s="155">
        <f t="shared" ca="1" si="216"/>
        <v>90004</v>
      </c>
      <c r="AH196" s="155" t="str">
        <f t="shared" ca="1" si="217"/>
        <v>6050</v>
      </c>
      <c r="AI196" s="156" t="str">
        <f t="shared" ca="1" si="218"/>
        <v>GMMW</v>
      </c>
      <c r="AJ196" s="157" t="str">
        <f t="shared" ca="1" si="219"/>
        <v>WPF/PM</v>
      </c>
      <c r="AK196" s="158" t="str">
        <f t="shared" ca="1" si="220"/>
        <v>C/USN/III/P3/38 90004 6050 GMMW</v>
      </c>
      <c r="AL196" s="158" t="str">
        <f t="shared" ca="1" si="221"/>
        <v>C/USN/III/P3/38 90004 6050 WPF/PM</v>
      </c>
      <c r="AM196" s="159" t="str">
        <f t="shared" ca="1" si="222"/>
        <v>C/USN/III/P3/38 90004 6050 GMMW WPF/PM</v>
      </c>
      <c r="AN196" s="160">
        <f t="shared" ca="1" si="223"/>
        <v>0</v>
      </c>
      <c r="AO196" s="161">
        <f t="shared" ca="1" si="224"/>
        <v>0</v>
      </c>
      <c r="AP196" s="162">
        <f t="shared" ca="1" si="225"/>
        <v>0</v>
      </c>
      <c r="AQ196" s="163">
        <f t="shared" ca="1" si="226"/>
        <v>0</v>
      </c>
      <c r="AR196" s="164">
        <f t="shared" ca="1" si="227"/>
        <v>0</v>
      </c>
      <c r="AS196" s="164">
        <f t="shared" ca="1" si="228"/>
        <v>0</v>
      </c>
      <c r="AT196" s="164">
        <f t="shared" ca="1" si="229"/>
        <v>0</v>
      </c>
      <c r="AU196" s="164">
        <f t="shared" ca="1" si="230"/>
        <v>0</v>
      </c>
      <c r="AV196" s="164">
        <f t="shared" ca="1" si="231"/>
        <v>0</v>
      </c>
      <c r="AW196" s="164">
        <f t="shared" ca="1" si="232"/>
        <v>0</v>
      </c>
      <c r="AX196" s="164">
        <f t="shared" ca="1" si="233"/>
        <v>0</v>
      </c>
      <c r="AY196" s="164">
        <f t="shared" ca="1" si="234"/>
        <v>0</v>
      </c>
      <c r="AZ196" s="164">
        <f t="shared" ca="1" si="235"/>
        <v>0</v>
      </c>
      <c r="BA196" s="165" t="str">
        <f t="shared" ca="1" si="236"/>
        <v>nie</v>
      </c>
      <c r="BB196" s="166" t="str">
        <f t="shared" ca="1" si="242"/>
        <v>-</v>
      </c>
      <c r="BC196" s="165" t="str">
        <f t="shared" ca="1" si="237"/>
        <v>nie</v>
      </c>
    </row>
    <row r="197" spans="1:55" s="167" customFormat="1" ht="14.45" hidden="1" customHeight="1" x14ac:dyDescent="0.25">
      <c r="A197" s="493"/>
      <c r="B197" s="493"/>
      <c r="C197" s="494"/>
      <c r="D197" s="506"/>
      <c r="E197" s="497"/>
      <c r="F197" s="497"/>
      <c r="G197" s="497"/>
      <c r="H197" s="498"/>
      <c r="I197" s="499"/>
      <c r="J197" s="177" t="s">
        <v>100</v>
      </c>
      <c r="K197" s="178">
        <f>SUM(N197:O197)</f>
        <v>0</v>
      </c>
      <c r="L197" s="179">
        <f t="shared" ref="L197:M197" si="310">L201-L193</f>
        <v>0</v>
      </c>
      <c r="M197" s="180">
        <f t="shared" si="310"/>
        <v>0</v>
      </c>
      <c r="N197" s="172">
        <f>SUM(L197:M197)</f>
        <v>0</v>
      </c>
      <c r="O197" s="178">
        <f>SUM(P197:Y197)</f>
        <v>0</v>
      </c>
      <c r="P197" s="181">
        <f t="shared" ref="P197:R197" si="311">P201-P193</f>
        <v>0</v>
      </c>
      <c r="Q197" s="180">
        <f t="shared" si="311"/>
        <v>0</v>
      </c>
      <c r="R197" s="182">
        <f t="shared" si="311"/>
        <v>0</v>
      </c>
      <c r="S197" s="183">
        <f t="shared" si="309"/>
        <v>0</v>
      </c>
      <c r="T197" s="180">
        <f t="shared" si="309"/>
        <v>0</v>
      </c>
      <c r="U197" s="180">
        <f t="shared" si="309"/>
        <v>0</v>
      </c>
      <c r="V197" s="180">
        <f t="shared" si="309"/>
        <v>0</v>
      </c>
      <c r="W197" s="180">
        <f t="shared" si="309"/>
        <v>0</v>
      </c>
      <c r="X197" s="180">
        <f t="shared" si="309"/>
        <v>0</v>
      </c>
      <c r="Y197" s="182">
        <f t="shared" si="309"/>
        <v>0</v>
      </c>
      <c r="Z197" s="149" t="str">
        <f t="shared" ca="1" si="211"/>
        <v>nie</v>
      </c>
      <c r="AA197" s="366"/>
      <c r="AB197" s="150" t="str">
        <f t="shared" ca="1" si="241"/>
        <v>-</v>
      </c>
      <c r="AC197" s="151" t="str">
        <f t="shared" ca="1" si="212"/>
        <v>PROPONOWANA ZMIANA</v>
      </c>
      <c r="AD197" s="152" t="str">
        <f t="shared" ca="1" si="213"/>
        <v>PROPONOWANA ZMIANA</v>
      </c>
      <c r="AE197" s="153" t="str">
        <f t="shared" ca="1" si="214"/>
        <v>C/USN/III/P3/38</v>
      </c>
      <c r="AF197" s="154" t="str">
        <f t="shared" ca="1" si="215"/>
        <v>Budowa "Parku Polskich Wynalazców"</v>
      </c>
      <c r="AG197" s="155">
        <f t="shared" ca="1" si="216"/>
        <v>90004</v>
      </c>
      <c r="AH197" s="155" t="str">
        <f t="shared" ca="1" si="217"/>
        <v>6050</v>
      </c>
      <c r="AI197" s="156" t="str">
        <f t="shared" ca="1" si="218"/>
        <v>GMMW</v>
      </c>
      <c r="AJ197" s="157" t="str">
        <f t="shared" ca="1" si="219"/>
        <v>WPF/UM</v>
      </c>
      <c r="AK197" s="158" t="str">
        <f t="shared" ca="1" si="220"/>
        <v>C/USN/III/P3/38 90004 6050 GMMW</v>
      </c>
      <c r="AL197" s="158" t="str">
        <f t="shared" ca="1" si="221"/>
        <v>C/USN/III/P3/38 90004 6050 WPF/UM</v>
      </c>
      <c r="AM197" s="159" t="str">
        <f t="shared" ca="1" si="222"/>
        <v>C/USN/III/P3/38 90004 6050 GMMW WPF/UM</v>
      </c>
      <c r="AN197" s="160">
        <f t="shared" ca="1" si="223"/>
        <v>0</v>
      </c>
      <c r="AO197" s="161">
        <f t="shared" ca="1" si="224"/>
        <v>0</v>
      </c>
      <c r="AP197" s="162">
        <f t="shared" ca="1" si="225"/>
        <v>0</v>
      </c>
      <c r="AQ197" s="163">
        <f t="shared" ca="1" si="226"/>
        <v>0</v>
      </c>
      <c r="AR197" s="164">
        <f t="shared" ca="1" si="227"/>
        <v>0</v>
      </c>
      <c r="AS197" s="164">
        <f t="shared" ca="1" si="228"/>
        <v>0</v>
      </c>
      <c r="AT197" s="164">
        <f t="shared" ca="1" si="229"/>
        <v>0</v>
      </c>
      <c r="AU197" s="164">
        <f t="shared" ca="1" si="230"/>
        <v>0</v>
      </c>
      <c r="AV197" s="164">
        <f t="shared" ca="1" si="231"/>
        <v>0</v>
      </c>
      <c r="AW197" s="164">
        <f t="shared" ca="1" si="232"/>
        <v>0</v>
      </c>
      <c r="AX197" s="164">
        <f t="shared" ca="1" si="233"/>
        <v>0</v>
      </c>
      <c r="AY197" s="164">
        <f t="shared" ca="1" si="234"/>
        <v>0</v>
      </c>
      <c r="AZ197" s="164">
        <f t="shared" ca="1" si="235"/>
        <v>0</v>
      </c>
      <c r="BA197" s="165" t="str">
        <f t="shared" ca="1" si="236"/>
        <v>nie</v>
      </c>
      <c r="BB197" s="166" t="str">
        <f t="shared" ca="1" si="242"/>
        <v>-</v>
      </c>
      <c r="BC197" s="165" t="str">
        <f t="shared" ca="1" si="237"/>
        <v>nie</v>
      </c>
    </row>
    <row r="198" spans="1:55" s="167" customFormat="1" ht="14.45" hidden="1" customHeight="1" x14ac:dyDescent="0.25">
      <c r="A198" s="191" t="s">
        <v>101</v>
      </c>
      <c r="B198" s="192"/>
      <c r="C198" s="193"/>
      <c r="D198" s="192"/>
      <c r="E198" s="192"/>
      <c r="F198" s="192"/>
      <c r="G198" s="192"/>
      <c r="H198" s="192"/>
      <c r="I198" s="192"/>
      <c r="J198" s="192"/>
      <c r="K198" s="192"/>
      <c r="L198" s="192"/>
      <c r="M198" s="192"/>
      <c r="N198" s="192"/>
      <c r="O198" s="192"/>
      <c r="P198" s="192"/>
      <c r="Q198" s="192"/>
      <c r="R198" s="194"/>
      <c r="S198" s="195"/>
      <c r="T198" s="195"/>
      <c r="U198" s="195"/>
      <c r="V198" s="195"/>
      <c r="W198" s="195"/>
      <c r="X198" s="195"/>
      <c r="Y198" s="196"/>
      <c r="Z198" s="149" t="str">
        <f t="shared" ca="1" si="211"/>
        <v>nie</v>
      </c>
      <c r="AA198" s="366"/>
      <c r="AB198" s="150" t="str">
        <f t="shared" ca="1" si="241"/>
        <v>-</v>
      </c>
      <c r="AC198" s="151" t="str">
        <f t="shared" ca="1" si="212"/>
        <v>PO ZMIANIE</v>
      </c>
      <c r="AD198" s="152" t="str">
        <f t="shared" ca="1" si="213"/>
        <v/>
      </c>
      <c r="AE198" s="153" t="str">
        <f t="shared" ca="1" si="214"/>
        <v/>
      </c>
      <c r="AF198" s="154" t="str">
        <f t="shared" ca="1" si="215"/>
        <v/>
      </c>
      <c r="AG198" s="155" t="str">
        <f t="shared" ca="1" si="216"/>
        <v/>
      </c>
      <c r="AH198" s="155" t="str">
        <f t="shared" ca="1" si="217"/>
        <v/>
      </c>
      <c r="AI198" s="156" t="str">
        <f t="shared" ca="1" si="218"/>
        <v/>
      </c>
      <c r="AJ198" s="157" t="str">
        <f t="shared" ca="1" si="219"/>
        <v/>
      </c>
      <c r="AK198" s="158" t="str">
        <f t="shared" ca="1" si="220"/>
        <v/>
      </c>
      <c r="AL198" s="158" t="str">
        <f t="shared" ca="1" si="221"/>
        <v/>
      </c>
      <c r="AM198" s="159" t="str">
        <f t="shared" ca="1" si="222"/>
        <v/>
      </c>
      <c r="AN198" s="160" t="str">
        <f t="shared" ca="1" si="223"/>
        <v/>
      </c>
      <c r="AO198" s="161" t="str">
        <f t="shared" ca="1" si="224"/>
        <v/>
      </c>
      <c r="AP198" s="162" t="str">
        <f t="shared" ca="1" si="225"/>
        <v/>
      </c>
      <c r="AQ198" s="163" t="str">
        <f t="shared" ca="1" si="226"/>
        <v/>
      </c>
      <c r="AR198" s="164" t="str">
        <f t="shared" ca="1" si="227"/>
        <v/>
      </c>
      <c r="AS198" s="164" t="str">
        <f t="shared" ca="1" si="228"/>
        <v/>
      </c>
      <c r="AT198" s="164" t="str">
        <f t="shared" ca="1" si="229"/>
        <v/>
      </c>
      <c r="AU198" s="164" t="str">
        <f t="shared" ca="1" si="230"/>
        <v/>
      </c>
      <c r="AV198" s="164" t="str">
        <f t="shared" ca="1" si="231"/>
        <v/>
      </c>
      <c r="AW198" s="164" t="str">
        <f t="shared" ca="1" si="232"/>
        <v/>
      </c>
      <c r="AX198" s="164" t="str">
        <f t="shared" ca="1" si="233"/>
        <v/>
      </c>
      <c r="AY198" s="164" t="str">
        <f t="shared" ca="1" si="234"/>
        <v/>
      </c>
      <c r="AZ198" s="164" t="str">
        <f t="shared" ca="1" si="235"/>
        <v/>
      </c>
      <c r="BA198" s="165" t="str">
        <f t="shared" ca="1" si="236"/>
        <v>nie</v>
      </c>
      <c r="BB198" s="166" t="str">
        <f t="shared" ca="1" si="242"/>
        <v>-</v>
      </c>
      <c r="BC198" s="165" t="str">
        <f t="shared" ca="1" si="237"/>
        <v>nie</v>
      </c>
    </row>
    <row r="199" spans="1:55" s="176" customFormat="1" ht="14.45" hidden="1" customHeight="1" x14ac:dyDescent="0.25">
      <c r="A199" s="493" t="s">
        <v>24</v>
      </c>
      <c r="B199" s="493" t="s">
        <v>26</v>
      </c>
      <c r="C199" s="494" t="s">
        <v>131</v>
      </c>
      <c r="D199" s="505" t="s">
        <v>132</v>
      </c>
      <c r="E199" s="497">
        <v>900</v>
      </c>
      <c r="F199" s="497">
        <v>90004</v>
      </c>
      <c r="G199" s="497">
        <v>6050</v>
      </c>
      <c r="H199" s="507">
        <v>2020</v>
      </c>
      <c r="I199" s="499" t="str">
        <f ca="1">IF(COUNTIF(OFFSET(I199,-1,-8),"*propon*")&gt;0,OFFSET(I199,4,0),IF(Y199&gt;0,"2033",IF(X199&gt;0,"2032",IF(W199&gt;0,"2031",IF(V199&gt;0,"2030",IF(U199&gt;0,"2029",IF(T199&gt;0,"2028",IF(S199&gt;0,"2027",IF(R199&gt;0,"2026",IF(Q199&gt;0,"2025",IF(P199&gt;0,"2024",IF(M199&gt;0,"2023",IF(L199&gt;0,"2022","")))))))))))))</f>
        <v>2025</v>
      </c>
      <c r="J199" s="168" t="s">
        <v>102</v>
      </c>
      <c r="K199" s="169">
        <f>SUM(N199:O199)</f>
        <v>1703746</v>
      </c>
      <c r="L199" s="170">
        <f t="shared" ref="L199:M199" si="312">SUM(L200:L201)</f>
        <v>313878</v>
      </c>
      <c r="M199" s="171">
        <f t="shared" si="312"/>
        <v>17142</v>
      </c>
      <c r="N199" s="172">
        <f>SUM(L199:M199)</f>
        <v>331020</v>
      </c>
      <c r="O199" s="169">
        <f>SUM(P199:Y199)</f>
        <v>1372726</v>
      </c>
      <c r="P199" s="173">
        <f t="shared" ref="P199:R199" si="313">SUM(P200:P201)</f>
        <v>211895</v>
      </c>
      <c r="Q199" s="171">
        <f t="shared" si="313"/>
        <v>1160831</v>
      </c>
      <c r="R199" s="174">
        <f t="shared" si="313"/>
        <v>0</v>
      </c>
      <c r="S199" s="175">
        <f t="shared" ref="S199:Y199" si="314">SUM(S200:S201)</f>
        <v>0</v>
      </c>
      <c r="T199" s="171">
        <f t="shared" si="314"/>
        <v>0</v>
      </c>
      <c r="U199" s="171">
        <f t="shared" si="314"/>
        <v>0</v>
      </c>
      <c r="V199" s="171">
        <f t="shared" si="314"/>
        <v>0</v>
      </c>
      <c r="W199" s="171">
        <f t="shared" si="314"/>
        <v>0</v>
      </c>
      <c r="X199" s="171">
        <f t="shared" si="314"/>
        <v>0</v>
      </c>
      <c r="Y199" s="174">
        <f t="shared" si="314"/>
        <v>0</v>
      </c>
      <c r="Z199" s="149" t="str">
        <f t="shared" ca="1" si="211"/>
        <v>nie</v>
      </c>
      <c r="AA199" s="366"/>
      <c r="AB199" s="150" t="str">
        <f t="shared" ca="1" si="241"/>
        <v>-</v>
      </c>
      <c r="AC199" s="151" t="str">
        <f t="shared" ca="1" si="212"/>
        <v>PO ZMIANIE</v>
      </c>
      <c r="AD199" s="152" t="str">
        <f t="shared" ca="1" si="213"/>
        <v>PO ZMIANIE</v>
      </c>
      <c r="AE199" s="153" t="str">
        <f t="shared" ca="1" si="214"/>
        <v>C/USN/III/P3/38</v>
      </c>
      <c r="AF199" s="154" t="str">
        <f t="shared" ca="1" si="215"/>
        <v>Budowa "Parku Polskich Wynalazców"</v>
      </c>
      <c r="AG199" s="155">
        <f t="shared" ca="1" si="216"/>
        <v>90004</v>
      </c>
      <c r="AH199" s="155" t="str">
        <f t="shared" ca="1" si="217"/>
        <v>6050</v>
      </c>
      <c r="AI199" s="156" t="str">
        <f t="shared" ca="1" si="218"/>
        <v>GMMW</v>
      </c>
      <c r="AJ199" s="157" t="str">
        <f t="shared" ca="1" si="219"/>
        <v>WPF, w tym</v>
      </c>
      <c r="AK199" s="158" t="str">
        <f t="shared" ca="1" si="220"/>
        <v>C/USN/III/P3/38 90004 6050 GMMW</v>
      </c>
      <c r="AL199" s="158" t="str">
        <f t="shared" ca="1" si="221"/>
        <v>C/USN/III/P3/38 90004 6050 WPF, w tym</v>
      </c>
      <c r="AM199" s="159" t="str">
        <f t="shared" ca="1" si="222"/>
        <v>C/USN/III/P3/38 90004 6050 GMMW WPF, w tym</v>
      </c>
      <c r="AN199" s="160">
        <f t="shared" ca="1" si="223"/>
        <v>1703746</v>
      </c>
      <c r="AO199" s="161">
        <f t="shared" ca="1" si="224"/>
        <v>313878</v>
      </c>
      <c r="AP199" s="162">
        <f t="shared" ca="1" si="225"/>
        <v>17142</v>
      </c>
      <c r="AQ199" s="163">
        <f t="shared" ca="1" si="226"/>
        <v>211895</v>
      </c>
      <c r="AR199" s="164">
        <f t="shared" ca="1" si="227"/>
        <v>1160831</v>
      </c>
      <c r="AS199" s="164">
        <f t="shared" ca="1" si="228"/>
        <v>0</v>
      </c>
      <c r="AT199" s="164">
        <f t="shared" ca="1" si="229"/>
        <v>0</v>
      </c>
      <c r="AU199" s="164">
        <f t="shared" ca="1" si="230"/>
        <v>0</v>
      </c>
      <c r="AV199" s="164">
        <f t="shared" ca="1" si="231"/>
        <v>0</v>
      </c>
      <c r="AW199" s="164">
        <f t="shared" ca="1" si="232"/>
        <v>0</v>
      </c>
      <c r="AX199" s="164">
        <f t="shared" ca="1" si="233"/>
        <v>0</v>
      </c>
      <c r="AY199" s="164">
        <f t="shared" ca="1" si="234"/>
        <v>0</v>
      </c>
      <c r="AZ199" s="164">
        <f t="shared" ca="1" si="235"/>
        <v>0</v>
      </c>
      <c r="BA199" s="165" t="str">
        <f t="shared" ca="1" si="236"/>
        <v>nie</v>
      </c>
      <c r="BB199" s="166" t="str">
        <f t="shared" ca="1" si="242"/>
        <v>-</v>
      </c>
      <c r="BC199" s="165" t="str">
        <f t="shared" ca="1" si="237"/>
        <v>nie</v>
      </c>
    </row>
    <row r="200" spans="1:55" s="167" customFormat="1" ht="14.45" hidden="1" customHeight="1" x14ac:dyDescent="0.25">
      <c r="A200" s="493"/>
      <c r="B200" s="493"/>
      <c r="C200" s="494"/>
      <c r="D200" s="506"/>
      <c r="E200" s="497"/>
      <c r="F200" s="497"/>
      <c r="G200" s="497"/>
      <c r="H200" s="498"/>
      <c r="I200" s="499"/>
      <c r="J200" s="177" t="s">
        <v>103</v>
      </c>
      <c r="K200" s="178">
        <f>SUM(N200:O200)</f>
        <v>1255224</v>
      </c>
      <c r="L200" s="179"/>
      <c r="M200" s="180"/>
      <c r="N200" s="172">
        <f>SUM(L200:M200)</f>
        <v>0</v>
      </c>
      <c r="O200" s="178">
        <f>SUM(P200:Y200)</f>
        <v>1255224</v>
      </c>
      <c r="P200" s="181">
        <v>94393</v>
      </c>
      <c r="Q200" s="180">
        <f>1160831</f>
        <v>1160831</v>
      </c>
      <c r="R200" s="182"/>
      <c r="S200" s="183"/>
      <c r="T200" s="180"/>
      <c r="U200" s="180"/>
      <c r="V200" s="180"/>
      <c r="W200" s="180"/>
      <c r="X200" s="180"/>
      <c r="Y200" s="182"/>
      <c r="Z200" s="149" t="str">
        <f t="shared" ca="1" si="211"/>
        <v>nie</v>
      </c>
      <c r="AA200" s="384"/>
      <c r="AB200" s="150" t="str">
        <f t="shared" ca="1" si="241"/>
        <v>-</v>
      </c>
      <c r="AC200" s="151" t="str">
        <f t="shared" ca="1" si="212"/>
        <v>PO ZMIANIE</v>
      </c>
      <c r="AD200" s="152" t="str">
        <f t="shared" ca="1" si="213"/>
        <v>PO ZMIANIE</v>
      </c>
      <c r="AE200" s="153" t="str">
        <f t="shared" ca="1" si="214"/>
        <v>C/USN/III/P3/38</v>
      </c>
      <c r="AF200" s="154" t="str">
        <f t="shared" ca="1" si="215"/>
        <v>Budowa "Parku Polskich Wynalazców"</v>
      </c>
      <c r="AG200" s="155">
        <f t="shared" ca="1" si="216"/>
        <v>90004</v>
      </c>
      <c r="AH200" s="155" t="str">
        <f t="shared" ca="1" si="217"/>
        <v>6050</v>
      </c>
      <c r="AI200" s="156" t="str">
        <f t="shared" ca="1" si="218"/>
        <v>GMMW</v>
      </c>
      <c r="AJ200" s="157" t="str">
        <f t="shared" ca="1" si="219"/>
        <v>WPF/PM</v>
      </c>
      <c r="AK200" s="158" t="str">
        <f t="shared" ca="1" si="220"/>
        <v>C/USN/III/P3/38 90004 6050 GMMW</v>
      </c>
      <c r="AL200" s="158" t="str">
        <f t="shared" ca="1" si="221"/>
        <v>C/USN/III/P3/38 90004 6050 WPF/PM</v>
      </c>
      <c r="AM200" s="159" t="str">
        <f t="shared" ca="1" si="222"/>
        <v>C/USN/III/P3/38 90004 6050 GMMW WPF/PM</v>
      </c>
      <c r="AN200" s="160">
        <f t="shared" ca="1" si="223"/>
        <v>1255224</v>
      </c>
      <c r="AO200" s="161">
        <f t="shared" ca="1" si="224"/>
        <v>0</v>
      </c>
      <c r="AP200" s="162">
        <f t="shared" ca="1" si="225"/>
        <v>0</v>
      </c>
      <c r="AQ200" s="163">
        <f t="shared" ca="1" si="226"/>
        <v>94393</v>
      </c>
      <c r="AR200" s="164">
        <f t="shared" ca="1" si="227"/>
        <v>1160831</v>
      </c>
      <c r="AS200" s="164">
        <f t="shared" ca="1" si="228"/>
        <v>0</v>
      </c>
      <c r="AT200" s="164">
        <f t="shared" ca="1" si="229"/>
        <v>0</v>
      </c>
      <c r="AU200" s="164">
        <f t="shared" ca="1" si="230"/>
        <v>0</v>
      </c>
      <c r="AV200" s="164">
        <f t="shared" ca="1" si="231"/>
        <v>0</v>
      </c>
      <c r="AW200" s="164">
        <f t="shared" ca="1" si="232"/>
        <v>0</v>
      </c>
      <c r="AX200" s="164">
        <f t="shared" ca="1" si="233"/>
        <v>0</v>
      </c>
      <c r="AY200" s="164">
        <f t="shared" ca="1" si="234"/>
        <v>0</v>
      </c>
      <c r="AZ200" s="164">
        <f t="shared" ca="1" si="235"/>
        <v>0</v>
      </c>
      <c r="BA200" s="165" t="str">
        <f t="shared" ca="1" si="236"/>
        <v>nie</v>
      </c>
      <c r="BB200" s="166" t="str">
        <f t="shared" ca="1" si="242"/>
        <v>-</v>
      </c>
      <c r="BC200" s="165" t="str">
        <f t="shared" ca="1" si="237"/>
        <v>nie</v>
      </c>
    </row>
    <row r="201" spans="1:55" s="167" customFormat="1" ht="14.45" hidden="1" customHeight="1" thickBot="1" x14ac:dyDescent="0.3">
      <c r="A201" s="500"/>
      <c r="B201" s="500"/>
      <c r="C201" s="501"/>
      <c r="D201" s="513"/>
      <c r="E201" s="503"/>
      <c r="F201" s="503"/>
      <c r="G201" s="503"/>
      <c r="H201" s="504"/>
      <c r="I201" s="499"/>
      <c r="J201" s="197" t="s">
        <v>104</v>
      </c>
      <c r="K201" s="198">
        <f>SUM(N201:O201)</f>
        <v>448522</v>
      </c>
      <c r="L201" s="204">
        <v>313878</v>
      </c>
      <c r="M201" s="200">
        <f>1177973-1160831</f>
        <v>17142</v>
      </c>
      <c r="N201" s="371">
        <f>SUM(L201:M201)</f>
        <v>331020</v>
      </c>
      <c r="O201" s="198">
        <f>SUM(P201:Y201)</f>
        <v>117502</v>
      </c>
      <c r="P201" s="201">
        <v>117502</v>
      </c>
      <c r="Q201" s="200"/>
      <c r="R201" s="202"/>
      <c r="S201" s="203"/>
      <c r="T201" s="200"/>
      <c r="U201" s="200"/>
      <c r="V201" s="200"/>
      <c r="W201" s="200"/>
      <c r="X201" s="200"/>
      <c r="Y201" s="202"/>
      <c r="Z201" s="149" t="str">
        <f t="shared" ca="1" si="211"/>
        <v>nie</v>
      </c>
      <c r="AA201" s="384"/>
      <c r="AB201" s="150" t="str">
        <f t="shared" ca="1" si="241"/>
        <v>-</v>
      </c>
      <c r="AC201" s="151" t="str">
        <f t="shared" ca="1" si="212"/>
        <v>PO ZMIANIE</v>
      </c>
      <c r="AD201" s="152" t="str">
        <f t="shared" ca="1" si="213"/>
        <v>PO ZMIANIE</v>
      </c>
      <c r="AE201" s="153" t="str">
        <f t="shared" ca="1" si="214"/>
        <v>C/USN/III/P3/38</v>
      </c>
      <c r="AF201" s="154" t="str">
        <f t="shared" ca="1" si="215"/>
        <v>Budowa "Parku Polskich Wynalazców"</v>
      </c>
      <c r="AG201" s="155">
        <f t="shared" ca="1" si="216"/>
        <v>90004</v>
      </c>
      <c r="AH201" s="155" t="str">
        <f t="shared" ca="1" si="217"/>
        <v>6050</v>
      </c>
      <c r="AI201" s="156" t="str">
        <f t="shared" ca="1" si="218"/>
        <v>GMMW</v>
      </c>
      <c r="AJ201" s="157" t="str">
        <f t="shared" ca="1" si="219"/>
        <v>WPF/UM</v>
      </c>
      <c r="AK201" s="158" t="str">
        <f t="shared" ca="1" si="220"/>
        <v>C/USN/III/P3/38 90004 6050 GMMW</v>
      </c>
      <c r="AL201" s="158" t="str">
        <f t="shared" ca="1" si="221"/>
        <v>C/USN/III/P3/38 90004 6050 WPF/UM</v>
      </c>
      <c r="AM201" s="159" t="str">
        <f t="shared" ca="1" si="222"/>
        <v>C/USN/III/P3/38 90004 6050 GMMW WPF/UM</v>
      </c>
      <c r="AN201" s="160">
        <f t="shared" ca="1" si="223"/>
        <v>448522</v>
      </c>
      <c r="AO201" s="161">
        <f t="shared" ca="1" si="224"/>
        <v>313878</v>
      </c>
      <c r="AP201" s="162">
        <f t="shared" ca="1" si="225"/>
        <v>17142</v>
      </c>
      <c r="AQ201" s="163">
        <f t="shared" ca="1" si="226"/>
        <v>117502</v>
      </c>
      <c r="AR201" s="164">
        <f t="shared" ca="1" si="227"/>
        <v>0</v>
      </c>
      <c r="AS201" s="164">
        <f t="shared" ca="1" si="228"/>
        <v>0</v>
      </c>
      <c r="AT201" s="164">
        <f t="shared" ca="1" si="229"/>
        <v>0</v>
      </c>
      <c r="AU201" s="164">
        <f t="shared" ca="1" si="230"/>
        <v>0</v>
      </c>
      <c r="AV201" s="164">
        <f t="shared" ca="1" si="231"/>
        <v>0</v>
      </c>
      <c r="AW201" s="164">
        <f t="shared" ca="1" si="232"/>
        <v>0</v>
      </c>
      <c r="AX201" s="164">
        <f t="shared" ca="1" si="233"/>
        <v>0</v>
      </c>
      <c r="AY201" s="164">
        <f t="shared" ca="1" si="234"/>
        <v>0</v>
      </c>
      <c r="AZ201" s="164">
        <f t="shared" ca="1" si="235"/>
        <v>0</v>
      </c>
      <c r="BA201" s="165" t="str">
        <f t="shared" ca="1" si="236"/>
        <v>nie</v>
      </c>
      <c r="BB201" s="166" t="str">
        <f t="shared" ca="1" si="242"/>
        <v>-</v>
      </c>
      <c r="BC201" s="165" t="str">
        <f t="shared" ca="1" si="237"/>
        <v>nie</v>
      </c>
    </row>
    <row r="202" spans="1:55" s="167" customFormat="1" ht="14.45" hidden="1" customHeight="1" x14ac:dyDescent="0.25">
      <c r="A202" s="143" t="s">
        <v>91</v>
      </c>
      <c r="B202" s="144"/>
      <c r="C202" s="145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6"/>
      <c r="S202" s="147"/>
      <c r="T202" s="147"/>
      <c r="U202" s="147"/>
      <c r="V202" s="147"/>
      <c r="W202" s="147"/>
      <c r="X202" s="147"/>
      <c r="Y202" s="148"/>
      <c r="Z202" s="149" t="str">
        <f t="shared" ref="Z202:Z265" ca="1" si="315">IF(COUNTIF(A202,"*zmia*")&gt;0,OFFSET(Z202,1,0),IF(COUNTIF($AB$10:$AB$888,AE202)&gt;0,"tak","nie"))</f>
        <v>nie</v>
      </c>
      <c r="AA202" s="366"/>
      <c r="AB202" s="150" t="str">
        <f t="shared" ca="1" si="241"/>
        <v>-</v>
      </c>
      <c r="AC202" s="151" t="str">
        <f t="shared" ref="AC202:AC253" ca="1" si="316">IF(OR(A202="",COUNTIF(A202,"*12.000*")&gt;0),OFFSET(AC202,-1,0),A202)</f>
        <v>PRZED ZMIANĄ</v>
      </c>
      <c r="AD202" s="152" t="str">
        <f t="shared" ref="AD202:AD265" ca="1" si="317">IF(AE202="","",AC202)</f>
        <v/>
      </c>
      <c r="AE202" s="153" t="str">
        <f t="shared" ref="AE202:AE253" ca="1" si="318">IF(COUNTIF(A202,"*bilans*")&gt;0,"Bilans zmian",IF(COUNTIF(A202,"*zmi*")&gt;0,"",IF(COUNTIF(A202:C202,"")=0,C202,IF(AND(COUNTIF(C202,"")=1,COUNTIF(OFFSET(A202,-1,0),"*przed*")=1,COUNTIF(OFFSET(AE202,4,0),"")=0),OFFSET(AE202,4,0),IF(AND(COUNTIF(A202:B202,"")=0,COUNTIF(OFFSET(A202,-1,0),"*zmi*")=1),"nowe:"&amp;" "&amp;AF202,OFFSET(AE202,-1,0))))))</f>
        <v/>
      </c>
      <c r="AF202" s="154" t="str">
        <f t="shared" ref="AF202:AF253" ca="1" si="319">IF(COUNTIF(A202,"*zmi*")&gt;0,"",IF(COUNTIF(A202:C202,"")=0,D202,IF(AND(COUNTIF(C202,"")=1,COUNTIF(OFFSET(A202,-1,0),"*przed*")=1),OFFSET(AF202,4,0),IF(AND(COUNTIF(A202:B202,"")=0,COUNTIF(OFFSET(A202,-1,0),"*zmi*")=1),D202,OFFSET(AF202,-1,0)))))</f>
        <v/>
      </c>
      <c r="AG202" s="155" t="str">
        <f t="shared" ref="AG202:AG253" ca="1" si="320">IF(COUNTIF($A202,"*zmi*")&gt;0,"",IF(COUNTIF($A202:$C202,"")=0,F202,IF(AND(COUNTIF($C202,"")=1,COUNTIF(OFFSET($A202,-1,0),"*przed*")=1),OFFSET(AG202,4,0),IF(AND(COUNTIF($A202:$B202,"")=0,COUNTIF(OFFSET($A202,-1,0),"*zmi*")=1),F202,OFFSET(AG202,-1,0)))))</f>
        <v/>
      </c>
      <c r="AH202" s="155" t="str">
        <f t="shared" ref="AH202:AH253" ca="1" si="321">IF(COUNTIF($A202,"*zmi*")&gt;0,"",IF(COUNTIF($A202:$C202,"")=0,LEFT(G202,4),IF(AND(COUNTIF($C202,"")=1,COUNTIF(OFFSET($A202,-1,0),"*przed*")=1),OFFSET(AH202,4,0),IF(AND(COUNTIF($A202:$B202,"")=0,COUNTIF(OFFSET($A202,-1,0),"*zmi*")=1),LEFT(G202,4),OFFSET(AH202,-1,0)))))</f>
        <v/>
      </c>
      <c r="AI202" s="156" t="str">
        <f t="shared" ref="AI202:AI253" ca="1" si="322">IF(COUNTIF($A202,"*zmi*")&gt;0,"",IF(COUNTIF($A202:$C202,"")=0,B202,IF(AND(COUNTIF($C202,"")=1,COUNTIF(OFFSET($A202,-1,0),"*przed*")=1),OFFSET(AI202,4,0),IF(AND(COUNTIF($A202:$B202,"")=0,COUNTIF(OFFSET($A202,-1,0),"*zmi*")=1),B202,OFFSET(AI202,-1,0)))))</f>
        <v/>
      </c>
      <c r="AJ202" s="157" t="str">
        <f t="shared" ref="AJ202:AJ253" ca="1" si="323">IF(AH202="","",IF(COUNTIF(A202,"*zmi*")&gt;0,"",SUBSTITUTE(SUBSTITUTE(J202,";",""),":","")))</f>
        <v/>
      </c>
      <c r="AK202" s="158" t="str">
        <f t="shared" ref="AK202:AK265" ca="1" si="324">IF(AH202="","",AE202&amp;" "&amp;AG202&amp;" "&amp;AH202&amp;" "&amp;AI202)</f>
        <v/>
      </c>
      <c r="AL202" s="158" t="str">
        <f t="shared" ref="AL202:AL265" ca="1" si="325">IF(AH202="","",AE202&amp;" "&amp;AG202&amp;" "&amp;AH202&amp;" "&amp;AJ202)</f>
        <v/>
      </c>
      <c r="AM202" s="159" t="str">
        <f t="shared" ref="AM202:AM265" ca="1" si="326">IF(AH202="","",AE202&amp;" "&amp;AG202&amp;" "&amp;AH202&amp;" "&amp;AI202&amp;" "&amp;AJ202)</f>
        <v/>
      </c>
      <c r="AN202" s="160" t="str">
        <f t="shared" ref="AN202:AN253" ca="1" si="327">IF(COUNTIF($AE202,"*bilans*")&gt;0,K202,IF(OR(COUNTIF($A202,"*zmi*")&gt;0,$AI202=""),"",K202))</f>
        <v/>
      </c>
      <c r="AO202" s="161" t="str">
        <f t="shared" ref="AO202:AO253" ca="1" si="328">IF(COUNTIF($AE202,"*bilans*")&gt;0,L202,IF(OR(COUNTIF($A202,"*zmi*")&gt;0,$AI202=""),"",L202))</f>
        <v/>
      </c>
      <c r="AP202" s="162" t="str">
        <f t="shared" ref="AP202:AP253" ca="1" si="329">IF(COUNTIF($AE202,"*bilans*")&gt;0,M202,IF(OR(COUNTIF($A202,"*zmi*")&gt;0,$AI202=""),"",M202))</f>
        <v/>
      </c>
      <c r="AQ202" s="163" t="str">
        <f t="shared" ref="AQ202:AQ253" ca="1" si="330">IF(COUNTIF($AE202,"*bilans*")&gt;0,P202,IF(OR(COUNTIF($A202,"*zmi*")&gt;0,$AI202=""),"",P202))</f>
        <v/>
      </c>
      <c r="AR202" s="164" t="str">
        <f t="shared" ref="AR202:AR253" ca="1" si="331">IF(COUNTIF($AE202,"*bilans*")&gt;0,Q202,IF(OR(COUNTIF($A202,"*zmi*")&gt;0,$AI202=""),"",Q202))</f>
        <v/>
      </c>
      <c r="AS202" s="164" t="str">
        <f t="shared" ref="AS202:AS253" ca="1" si="332">IF(COUNTIF($AE202,"*bilans*")&gt;0,R202,IF(OR(COUNTIF($A202,"*zmi*")&gt;0,$AI202=""),"",R202))</f>
        <v/>
      </c>
      <c r="AT202" s="164" t="str">
        <f t="shared" ref="AT202:AT253" ca="1" si="333">IF(COUNTIF($AE202,"*bilans*")&gt;0,S202,IF(OR(COUNTIF($A202,"*zmi*")&gt;0,$AI202=""),"",S202))</f>
        <v/>
      </c>
      <c r="AU202" s="164" t="str">
        <f t="shared" ref="AU202:AU253" ca="1" si="334">IF(COUNTIF($AE202,"*bilans*")&gt;0,T202,IF(OR(COUNTIF($A202,"*zmi*")&gt;0,$AI202=""),"",T202))</f>
        <v/>
      </c>
      <c r="AV202" s="164" t="str">
        <f t="shared" ref="AV202:AV253" ca="1" si="335">IF(COUNTIF($AE202,"*bilans*")&gt;0,U202,IF(OR(COUNTIF($A202,"*zmi*")&gt;0,$AI202=""),"",U202))</f>
        <v/>
      </c>
      <c r="AW202" s="164" t="str">
        <f t="shared" ref="AW202:AW253" ca="1" si="336">IF(COUNTIF($AE202,"*bilans*")&gt;0,V202,IF(OR(COUNTIF($A202,"*zmi*")&gt;0,$AI202=""),"",V202))</f>
        <v/>
      </c>
      <c r="AX202" s="164" t="str">
        <f t="shared" ref="AX202:AX253" ca="1" si="337">IF(COUNTIF($AE202,"*bilans*")&gt;0,W202,IF(OR(COUNTIF($A202,"*zmi*")&gt;0,$AI202=""),"",W202))</f>
        <v/>
      </c>
      <c r="AY202" s="164" t="str">
        <f t="shared" ref="AY202:AY253" ca="1" si="338">IF(COUNTIF($AE202,"*bilans*")&gt;0,X202,IF(OR(COUNTIF($A202,"*zmi*")&gt;0,$AI202=""),"",X202))</f>
        <v/>
      </c>
      <c r="AZ202" s="164" t="str">
        <f t="shared" ref="AZ202:AZ253" ca="1" si="339">IF(COUNTIF($AE202,"*bilans*")&gt;0,Y202,IF(OR(COUNTIF($A202,"*zmi*")&gt;0,$AI202=""),"",Y202))</f>
        <v/>
      </c>
      <c r="BA202" s="165" t="str">
        <f t="shared" ref="BA202:BA253" ca="1" si="340">Z202</f>
        <v>nie</v>
      </c>
      <c r="BB202" s="166" t="str">
        <f t="shared" ca="1" si="242"/>
        <v>-</v>
      </c>
      <c r="BC202" s="165" t="str">
        <f t="shared" ref="BC202:BC265" ca="1" si="341">IF(AND(COUNTIF(AD202,"*zmi*")&gt;0,COUNTIF($BB$10:$BB$888,AK202)&gt;0),"tak","nie")</f>
        <v>nie</v>
      </c>
    </row>
    <row r="203" spans="1:55" s="176" customFormat="1" ht="14.45" hidden="1" customHeight="1" x14ac:dyDescent="0.25">
      <c r="A203" s="493" t="s">
        <v>24</v>
      </c>
      <c r="B203" s="493" t="s">
        <v>133</v>
      </c>
      <c r="C203" s="494" t="s">
        <v>131</v>
      </c>
      <c r="D203" s="505" t="s">
        <v>132</v>
      </c>
      <c r="E203" s="497">
        <v>900</v>
      </c>
      <c r="F203" s="497">
        <v>90004</v>
      </c>
      <c r="G203" s="497">
        <v>6050</v>
      </c>
      <c r="H203" s="507">
        <v>2020</v>
      </c>
      <c r="I203" s="499" t="str">
        <f ca="1">IF(COUNTIF(OFFSET(I203,-1,-8),"*propon*")&gt;0,OFFSET(I203,4,0),IF(Y203&gt;0,"2033",IF(X203&gt;0,"2032",IF(W203&gt;0,"2031",IF(V203&gt;0,"2030",IF(U203&gt;0,"2029",IF(T203&gt;0,"2028",IF(S203&gt;0,"2027",IF(R203&gt;0,"2026",IF(Q203&gt;0,"2025",IF(P203&gt;0,"2024",IF(M203&gt;0,"2023",IF(L203&gt;0,"2022","")))))))))))))</f>
        <v>2025</v>
      </c>
      <c r="J203" s="168" t="s">
        <v>94</v>
      </c>
      <c r="K203" s="169">
        <f>SUM(N203:O203)</f>
        <v>441127</v>
      </c>
      <c r="L203" s="170">
        <f t="shared" ref="L203:M203" si="342">SUM(L204:L205)</f>
        <v>118127</v>
      </c>
      <c r="M203" s="171">
        <f t="shared" si="342"/>
        <v>0</v>
      </c>
      <c r="N203" s="172">
        <f>SUM(L203:M203)</f>
        <v>118127</v>
      </c>
      <c r="O203" s="169">
        <f>SUM(P203:Y203)</f>
        <v>323000</v>
      </c>
      <c r="P203" s="173">
        <f t="shared" ref="P203:R203" si="343">SUM(P204:P205)</f>
        <v>81000</v>
      </c>
      <c r="Q203" s="171">
        <f t="shared" si="343"/>
        <v>242000</v>
      </c>
      <c r="R203" s="174">
        <f t="shared" si="343"/>
        <v>0</v>
      </c>
      <c r="S203" s="175">
        <f t="shared" ref="S203:Y203" si="344">SUM(S204:S205)</f>
        <v>0</v>
      </c>
      <c r="T203" s="171">
        <f t="shared" si="344"/>
        <v>0</v>
      </c>
      <c r="U203" s="171">
        <f t="shared" si="344"/>
        <v>0</v>
      </c>
      <c r="V203" s="171">
        <f t="shared" si="344"/>
        <v>0</v>
      </c>
      <c r="W203" s="171">
        <f t="shared" si="344"/>
        <v>0</v>
      </c>
      <c r="X203" s="171">
        <f t="shared" si="344"/>
        <v>0</v>
      </c>
      <c r="Y203" s="174">
        <f t="shared" si="344"/>
        <v>0</v>
      </c>
      <c r="Z203" s="149" t="str">
        <f t="shared" ca="1" si="315"/>
        <v>nie</v>
      </c>
      <c r="AA203" s="366"/>
      <c r="AB203" s="150" t="str">
        <f t="shared" ref="AB203:AB266" ca="1" si="345">IF(IF(OR(COUNTIF(AD203,"*bilans*")&gt;0,COUNTIF(AD203,"*prop*")&gt;0),COUNTIF(AO203:AZ203,"")+COUNTIF(AO203:AZ203,"0"),"")&lt;12,AE203,"-")</f>
        <v>-</v>
      </c>
      <c r="AC203" s="151" t="str">
        <f t="shared" ca="1" si="316"/>
        <v>PRZED ZMIANĄ</v>
      </c>
      <c r="AD203" s="152" t="str">
        <f t="shared" ca="1" si="317"/>
        <v>PRZED ZMIANĄ</v>
      </c>
      <c r="AE203" s="153" t="str">
        <f t="shared" ca="1" si="318"/>
        <v>C/USN/III/P3/38</v>
      </c>
      <c r="AF203" s="154" t="str">
        <f t="shared" ca="1" si="319"/>
        <v>Budowa "Parku Polskich Wynalazców"</v>
      </c>
      <c r="AG203" s="155">
        <f t="shared" ca="1" si="320"/>
        <v>90004</v>
      </c>
      <c r="AH203" s="155" t="str">
        <f t="shared" ca="1" si="321"/>
        <v>6050</v>
      </c>
      <c r="AI203" s="156" t="str">
        <f t="shared" ca="1" si="322"/>
        <v>GPOS</v>
      </c>
      <c r="AJ203" s="157" t="str">
        <f t="shared" ca="1" si="323"/>
        <v>WPF, w tym</v>
      </c>
      <c r="AK203" s="158" t="str">
        <f t="shared" ca="1" si="324"/>
        <v>C/USN/III/P3/38 90004 6050 GPOS</v>
      </c>
      <c r="AL203" s="158" t="str">
        <f t="shared" ca="1" si="325"/>
        <v>C/USN/III/P3/38 90004 6050 WPF, w tym</v>
      </c>
      <c r="AM203" s="159" t="str">
        <f t="shared" ca="1" si="326"/>
        <v>C/USN/III/P3/38 90004 6050 GPOS WPF, w tym</v>
      </c>
      <c r="AN203" s="160">
        <f t="shared" ca="1" si="327"/>
        <v>441127</v>
      </c>
      <c r="AO203" s="161">
        <f t="shared" ca="1" si="328"/>
        <v>118127</v>
      </c>
      <c r="AP203" s="162">
        <f t="shared" ca="1" si="329"/>
        <v>0</v>
      </c>
      <c r="AQ203" s="163">
        <f t="shared" ca="1" si="330"/>
        <v>81000</v>
      </c>
      <c r="AR203" s="164">
        <f t="shared" ca="1" si="331"/>
        <v>242000</v>
      </c>
      <c r="AS203" s="164">
        <f t="shared" ca="1" si="332"/>
        <v>0</v>
      </c>
      <c r="AT203" s="164">
        <f t="shared" ca="1" si="333"/>
        <v>0</v>
      </c>
      <c r="AU203" s="164">
        <f t="shared" ca="1" si="334"/>
        <v>0</v>
      </c>
      <c r="AV203" s="164">
        <f t="shared" ca="1" si="335"/>
        <v>0</v>
      </c>
      <c r="AW203" s="164">
        <f t="shared" ca="1" si="336"/>
        <v>0</v>
      </c>
      <c r="AX203" s="164">
        <f t="shared" ca="1" si="337"/>
        <v>0</v>
      </c>
      <c r="AY203" s="164">
        <f t="shared" ca="1" si="338"/>
        <v>0</v>
      </c>
      <c r="AZ203" s="164">
        <f t="shared" ca="1" si="339"/>
        <v>0</v>
      </c>
      <c r="BA203" s="165" t="str">
        <f t="shared" ca="1" si="340"/>
        <v>nie</v>
      </c>
      <c r="BB203" s="166" t="str">
        <f t="shared" ref="BB203:BB266" ca="1" si="346">IF(COUNTIF(AD203,"*bilans*")&gt;0,"-",IF(IF(COUNTIF(AD203,"*prop*")&gt;0,COUNTIF(AO203:AZ203,"")+COUNTIF(AO203:AZ203,"0"),"")&lt;12,AK203,"-"))</f>
        <v>-</v>
      </c>
      <c r="BC203" s="165" t="str">
        <f t="shared" ca="1" si="341"/>
        <v>nie</v>
      </c>
    </row>
    <row r="204" spans="1:55" s="167" customFormat="1" ht="14.45" hidden="1" customHeight="1" x14ac:dyDescent="0.25">
      <c r="A204" s="493"/>
      <c r="B204" s="493"/>
      <c r="C204" s="494"/>
      <c r="D204" s="506"/>
      <c r="E204" s="497"/>
      <c r="F204" s="497"/>
      <c r="G204" s="497"/>
      <c r="H204" s="498"/>
      <c r="I204" s="499"/>
      <c r="J204" s="177" t="s">
        <v>95</v>
      </c>
      <c r="K204" s="178">
        <f>SUM(N204:O204)</f>
        <v>323000</v>
      </c>
      <c r="L204" s="179"/>
      <c r="M204" s="180"/>
      <c r="N204" s="172">
        <f>SUM(L204:M204)</f>
        <v>0</v>
      </c>
      <c r="O204" s="178">
        <f>SUM(P204:Y204)</f>
        <v>323000</v>
      </c>
      <c r="P204" s="181">
        <v>81000</v>
      </c>
      <c r="Q204" s="180">
        <v>242000</v>
      </c>
      <c r="R204" s="182"/>
      <c r="S204" s="183"/>
      <c r="T204" s="180"/>
      <c r="U204" s="180"/>
      <c r="V204" s="180"/>
      <c r="W204" s="180"/>
      <c r="X204" s="180"/>
      <c r="Y204" s="182"/>
      <c r="Z204" s="149" t="str">
        <f t="shared" ca="1" si="315"/>
        <v>nie</v>
      </c>
      <c r="AA204" s="366"/>
      <c r="AB204" s="150" t="str">
        <f t="shared" ca="1" si="345"/>
        <v>-</v>
      </c>
      <c r="AC204" s="151" t="str">
        <f t="shared" ca="1" si="316"/>
        <v>PRZED ZMIANĄ</v>
      </c>
      <c r="AD204" s="152" t="str">
        <f t="shared" ca="1" si="317"/>
        <v>PRZED ZMIANĄ</v>
      </c>
      <c r="AE204" s="153" t="str">
        <f t="shared" ca="1" si="318"/>
        <v>C/USN/III/P3/38</v>
      </c>
      <c r="AF204" s="154" t="str">
        <f t="shared" ca="1" si="319"/>
        <v>Budowa "Parku Polskich Wynalazców"</v>
      </c>
      <c r="AG204" s="155">
        <f t="shared" ca="1" si="320"/>
        <v>90004</v>
      </c>
      <c r="AH204" s="155" t="str">
        <f t="shared" ca="1" si="321"/>
        <v>6050</v>
      </c>
      <c r="AI204" s="156" t="str">
        <f t="shared" ca="1" si="322"/>
        <v>GPOS</v>
      </c>
      <c r="AJ204" s="157" t="str">
        <f t="shared" ca="1" si="323"/>
        <v>WPF/PM</v>
      </c>
      <c r="AK204" s="158" t="str">
        <f t="shared" ca="1" si="324"/>
        <v>C/USN/III/P3/38 90004 6050 GPOS</v>
      </c>
      <c r="AL204" s="158" t="str">
        <f t="shared" ca="1" si="325"/>
        <v>C/USN/III/P3/38 90004 6050 WPF/PM</v>
      </c>
      <c r="AM204" s="159" t="str">
        <f t="shared" ca="1" si="326"/>
        <v>C/USN/III/P3/38 90004 6050 GPOS WPF/PM</v>
      </c>
      <c r="AN204" s="160">
        <f t="shared" ca="1" si="327"/>
        <v>323000</v>
      </c>
      <c r="AO204" s="161">
        <f t="shared" ca="1" si="328"/>
        <v>0</v>
      </c>
      <c r="AP204" s="162">
        <f t="shared" ca="1" si="329"/>
        <v>0</v>
      </c>
      <c r="AQ204" s="163">
        <f t="shared" ca="1" si="330"/>
        <v>81000</v>
      </c>
      <c r="AR204" s="164">
        <f t="shared" ca="1" si="331"/>
        <v>242000</v>
      </c>
      <c r="AS204" s="164">
        <f t="shared" ca="1" si="332"/>
        <v>0</v>
      </c>
      <c r="AT204" s="164">
        <f t="shared" ca="1" si="333"/>
        <v>0</v>
      </c>
      <c r="AU204" s="164">
        <f t="shared" ca="1" si="334"/>
        <v>0</v>
      </c>
      <c r="AV204" s="164">
        <f t="shared" ca="1" si="335"/>
        <v>0</v>
      </c>
      <c r="AW204" s="164">
        <f t="shared" ca="1" si="336"/>
        <v>0</v>
      </c>
      <c r="AX204" s="164">
        <f t="shared" ca="1" si="337"/>
        <v>0</v>
      </c>
      <c r="AY204" s="164">
        <f t="shared" ca="1" si="338"/>
        <v>0</v>
      </c>
      <c r="AZ204" s="164">
        <f t="shared" ca="1" si="339"/>
        <v>0</v>
      </c>
      <c r="BA204" s="165" t="str">
        <f t="shared" ca="1" si="340"/>
        <v>nie</v>
      </c>
      <c r="BB204" s="166" t="str">
        <f t="shared" ca="1" si="346"/>
        <v>-</v>
      </c>
      <c r="BC204" s="165" t="str">
        <f t="shared" ca="1" si="341"/>
        <v>nie</v>
      </c>
    </row>
    <row r="205" spans="1:55" s="167" customFormat="1" ht="14.45" hidden="1" customHeight="1" x14ac:dyDescent="0.25">
      <c r="A205" s="493"/>
      <c r="B205" s="493"/>
      <c r="C205" s="494"/>
      <c r="D205" s="506"/>
      <c r="E205" s="497"/>
      <c r="F205" s="497"/>
      <c r="G205" s="497"/>
      <c r="H205" s="498"/>
      <c r="I205" s="499"/>
      <c r="J205" s="177" t="s">
        <v>96</v>
      </c>
      <c r="K205" s="178">
        <f>SUM(N205:O205)</f>
        <v>118127</v>
      </c>
      <c r="L205" s="179">
        <v>118127</v>
      </c>
      <c r="M205" s="180">
        <v>0</v>
      </c>
      <c r="N205" s="172">
        <f>SUM(L205:M205)</f>
        <v>118127</v>
      </c>
      <c r="O205" s="178">
        <f>SUM(P205:Y205)</f>
        <v>0</v>
      </c>
      <c r="P205" s="181"/>
      <c r="Q205" s="180"/>
      <c r="R205" s="182"/>
      <c r="S205" s="183"/>
      <c r="T205" s="180"/>
      <c r="U205" s="180"/>
      <c r="V205" s="180"/>
      <c r="W205" s="180"/>
      <c r="X205" s="180"/>
      <c r="Y205" s="182"/>
      <c r="Z205" s="149" t="str">
        <f t="shared" ca="1" si="315"/>
        <v>nie</v>
      </c>
      <c r="AA205" s="366"/>
      <c r="AB205" s="150" t="str">
        <f t="shared" ca="1" si="345"/>
        <v>-</v>
      </c>
      <c r="AC205" s="151" t="str">
        <f t="shared" ca="1" si="316"/>
        <v>PRZED ZMIANĄ</v>
      </c>
      <c r="AD205" s="152" t="str">
        <f t="shared" ca="1" si="317"/>
        <v>PRZED ZMIANĄ</v>
      </c>
      <c r="AE205" s="153" t="str">
        <f t="shared" ca="1" si="318"/>
        <v>C/USN/III/P3/38</v>
      </c>
      <c r="AF205" s="154" t="str">
        <f t="shared" ca="1" si="319"/>
        <v>Budowa "Parku Polskich Wynalazców"</v>
      </c>
      <c r="AG205" s="155">
        <f t="shared" ca="1" si="320"/>
        <v>90004</v>
      </c>
      <c r="AH205" s="155" t="str">
        <f t="shared" ca="1" si="321"/>
        <v>6050</v>
      </c>
      <c r="AI205" s="156" t="str">
        <f t="shared" ca="1" si="322"/>
        <v>GPOS</v>
      </c>
      <c r="AJ205" s="157" t="str">
        <f t="shared" ca="1" si="323"/>
        <v>WPF/UM</v>
      </c>
      <c r="AK205" s="158" t="str">
        <f t="shared" ca="1" si="324"/>
        <v>C/USN/III/P3/38 90004 6050 GPOS</v>
      </c>
      <c r="AL205" s="158" t="str">
        <f t="shared" ca="1" si="325"/>
        <v>C/USN/III/P3/38 90004 6050 WPF/UM</v>
      </c>
      <c r="AM205" s="159" t="str">
        <f t="shared" ca="1" si="326"/>
        <v>C/USN/III/P3/38 90004 6050 GPOS WPF/UM</v>
      </c>
      <c r="AN205" s="160">
        <f t="shared" ca="1" si="327"/>
        <v>118127</v>
      </c>
      <c r="AO205" s="161">
        <f t="shared" ca="1" si="328"/>
        <v>118127</v>
      </c>
      <c r="AP205" s="162">
        <f t="shared" ca="1" si="329"/>
        <v>0</v>
      </c>
      <c r="AQ205" s="163">
        <f t="shared" ca="1" si="330"/>
        <v>0</v>
      </c>
      <c r="AR205" s="164">
        <f t="shared" ca="1" si="331"/>
        <v>0</v>
      </c>
      <c r="AS205" s="164">
        <f t="shared" ca="1" si="332"/>
        <v>0</v>
      </c>
      <c r="AT205" s="164">
        <f t="shared" ca="1" si="333"/>
        <v>0</v>
      </c>
      <c r="AU205" s="164">
        <f t="shared" ca="1" si="334"/>
        <v>0</v>
      </c>
      <c r="AV205" s="164">
        <f t="shared" ca="1" si="335"/>
        <v>0</v>
      </c>
      <c r="AW205" s="164">
        <f t="shared" ca="1" si="336"/>
        <v>0</v>
      </c>
      <c r="AX205" s="164">
        <f t="shared" ca="1" si="337"/>
        <v>0</v>
      </c>
      <c r="AY205" s="164">
        <f t="shared" ca="1" si="338"/>
        <v>0</v>
      </c>
      <c r="AZ205" s="164">
        <f t="shared" ca="1" si="339"/>
        <v>0</v>
      </c>
      <c r="BA205" s="165" t="str">
        <f t="shared" ca="1" si="340"/>
        <v>nie</v>
      </c>
      <c r="BB205" s="166" t="str">
        <f t="shared" ca="1" si="346"/>
        <v>-</v>
      </c>
      <c r="BC205" s="165" t="str">
        <f t="shared" ca="1" si="341"/>
        <v>nie</v>
      </c>
    </row>
    <row r="206" spans="1:55" s="167" customFormat="1" ht="14.45" hidden="1" customHeight="1" x14ac:dyDescent="0.25">
      <c r="A206" s="185" t="s">
        <v>97</v>
      </c>
      <c r="B206" s="186"/>
      <c r="C206" s="187"/>
      <c r="D206" s="186"/>
      <c r="E206" s="186"/>
      <c r="F206" s="186"/>
      <c r="G206" s="186"/>
      <c r="H206" s="186"/>
      <c r="I206" s="186"/>
      <c r="J206" s="186"/>
      <c r="K206" s="186"/>
      <c r="L206" s="186"/>
      <c r="M206" s="186"/>
      <c r="N206" s="186"/>
      <c r="O206" s="186"/>
      <c r="P206" s="186"/>
      <c r="Q206" s="186"/>
      <c r="R206" s="188"/>
      <c r="S206" s="189"/>
      <c r="T206" s="189"/>
      <c r="U206" s="189"/>
      <c r="V206" s="189"/>
      <c r="W206" s="189"/>
      <c r="X206" s="189"/>
      <c r="Y206" s="190"/>
      <c r="Z206" s="149" t="str">
        <f t="shared" ca="1" si="315"/>
        <v>nie</v>
      </c>
      <c r="AA206" s="366"/>
      <c r="AB206" s="150" t="str">
        <f t="shared" ca="1" si="345"/>
        <v>-</v>
      </c>
      <c r="AC206" s="151" t="str">
        <f t="shared" ca="1" si="316"/>
        <v>PROPONOWANA ZMIANA</v>
      </c>
      <c r="AD206" s="152" t="str">
        <f t="shared" ca="1" si="317"/>
        <v/>
      </c>
      <c r="AE206" s="153" t="str">
        <f t="shared" ca="1" si="318"/>
        <v/>
      </c>
      <c r="AF206" s="154" t="str">
        <f t="shared" ca="1" si="319"/>
        <v/>
      </c>
      <c r="AG206" s="155" t="str">
        <f t="shared" ca="1" si="320"/>
        <v/>
      </c>
      <c r="AH206" s="155" t="str">
        <f t="shared" ca="1" si="321"/>
        <v/>
      </c>
      <c r="AI206" s="156" t="str">
        <f t="shared" ca="1" si="322"/>
        <v/>
      </c>
      <c r="AJ206" s="157" t="str">
        <f t="shared" ca="1" si="323"/>
        <v/>
      </c>
      <c r="AK206" s="158" t="str">
        <f t="shared" ca="1" si="324"/>
        <v/>
      </c>
      <c r="AL206" s="158" t="str">
        <f t="shared" ca="1" si="325"/>
        <v/>
      </c>
      <c r="AM206" s="159" t="str">
        <f t="shared" ca="1" si="326"/>
        <v/>
      </c>
      <c r="AN206" s="160" t="str">
        <f t="shared" ca="1" si="327"/>
        <v/>
      </c>
      <c r="AO206" s="161" t="str">
        <f t="shared" ca="1" si="328"/>
        <v/>
      </c>
      <c r="AP206" s="162" t="str">
        <f t="shared" ca="1" si="329"/>
        <v/>
      </c>
      <c r="AQ206" s="163" t="str">
        <f t="shared" ca="1" si="330"/>
        <v/>
      </c>
      <c r="AR206" s="164" t="str">
        <f t="shared" ca="1" si="331"/>
        <v/>
      </c>
      <c r="AS206" s="164" t="str">
        <f t="shared" ca="1" si="332"/>
        <v/>
      </c>
      <c r="AT206" s="164" t="str">
        <f t="shared" ca="1" si="333"/>
        <v/>
      </c>
      <c r="AU206" s="164" t="str">
        <f t="shared" ca="1" si="334"/>
        <v/>
      </c>
      <c r="AV206" s="164" t="str">
        <f t="shared" ca="1" si="335"/>
        <v/>
      </c>
      <c r="AW206" s="164" t="str">
        <f t="shared" ca="1" si="336"/>
        <v/>
      </c>
      <c r="AX206" s="164" t="str">
        <f t="shared" ca="1" si="337"/>
        <v/>
      </c>
      <c r="AY206" s="164" t="str">
        <f t="shared" ca="1" si="338"/>
        <v/>
      </c>
      <c r="AZ206" s="164" t="str">
        <f t="shared" ca="1" si="339"/>
        <v/>
      </c>
      <c r="BA206" s="165" t="str">
        <f t="shared" ca="1" si="340"/>
        <v>nie</v>
      </c>
      <c r="BB206" s="166" t="str">
        <f t="shared" ca="1" si="346"/>
        <v>-</v>
      </c>
      <c r="BC206" s="165" t="str">
        <f t="shared" ca="1" si="341"/>
        <v>nie</v>
      </c>
    </row>
    <row r="207" spans="1:55" s="176" customFormat="1" ht="14.45" hidden="1" customHeight="1" x14ac:dyDescent="0.25">
      <c r="A207" s="493" t="s">
        <v>24</v>
      </c>
      <c r="B207" s="493" t="s">
        <v>133</v>
      </c>
      <c r="C207" s="494" t="s">
        <v>131</v>
      </c>
      <c r="D207" s="505" t="s">
        <v>132</v>
      </c>
      <c r="E207" s="497">
        <v>900</v>
      </c>
      <c r="F207" s="497">
        <v>90004</v>
      </c>
      <c r="G207" s="497">
        <v>6050</v>
      </c>
      <c r="H207" s="507">
        <v>2020</v>
      </c>
      <c r="I207" s="499" t="str">
        <f ca="1">IF(COUNTIF(OFFSET(I207,-1,-8),"*propon*")&gt;0,OFFSET(I207,4,0),IF(Y207&gt;0,"2033",IF(X207&gt;0,"2032",IF(W207&gt;0,"2031",IF(V207&gt;0,"2030",IF(U207&gt;0,"2029",IF(T207&gt;0,"2028",IF(S207&gt;0,"2027",IF(R207&gt;0,"2026",IF(Q207&gt;0,"2025",IF(P207&gt;0,"2024",IF(M207&gt;0,"2023",IF(L207&gt;0,"2022","")))))))))))))</f>
        <v>2025</v>
      </c>
      <c r="J207" s="168" t="s">
        <v>98</v>
      </c>
      <c r="K207" s="169">
        <f>SUM(N207:O207)</f>
        <v>0</v>
      </c>
      <c r="L207" s="170">
        <f t="shared" ref="L207:M207" si="347">SUM(L208:L209)</f>
        <v>0</v>
      </c>
      <c r="M207" s="171">
        <f t="shared" si="347"/>
        <v>0</v>
      </c>
      <c r="N207" s="172">
        <f>SUM(L207:M207)</f>
        <v>0</v>
      </c>
      <c r="O207" s="169">
        <f>SUM(P207:Y207)</f>
        <v>0</v>
      </c>
      <c r="P207" s="173">
        <f t="shared" ref="P207:R207" si="348">SUM(P208:P209)</f>
        <v>0</v>
      </c>
      <c r="Q207" s="171">
        <f t="shared" si="348"/>
        <v>0</v>
      </c>
      <c r="R207" s="174">
        <f t="shared" si="348"/>
        <v>0</v>
      </c>
      <c r="S207" s="175">
        <f t="shared" ref="S207:Y207" si="349">SUM(S208:S209)</f>
        <v>0</v>
      </c>
      <c r="T207" s="171">
        <f t="shared" si="349"/>
        <v>0</v>
      </c>
      <c r="U207" s="171">
        <f t="shared" si="349"/>
        <v>0</v>
      </c>
      <c r="V207" s="171">
        <f t="shared" si="349"/>
        <v>0</v>
      </c>
      <c r="W207" s="171">
        <f t="shared" si="349"/>
        <v>0</v>
      </c>
      <c r="X207" s="171">
        <f t="shared" si="349"/>
        <v>0</v>
      </c>
      <c r="Y207" s="174">
        <f t="shared" si="349"/>
        <v>0</v>
      </c>
      <c r="Z207" s="149" t="str">
        <f t="shared" ca="1" si="315"/>
        <v>nie</v>
      </c>
      <c r="AA207" s="366"/>
      <c r="AB207" s="150" t="str">
        <f t="shared" ca="1" si="345"/>
        <v>-</v>
      </c>
      <c r="AC207" s="151" t="str">
        <f t="shared" ca="1" si="316"/>
        <v>PROPONOWANA ZMIANA</v>
      </c>
      <c r="AD207" s="152" t="str">
        <f t="shared" ca="1" si="317"/>
        <v>PROPONOWANA ZMIANA</v>
      </c>
      <c r="AE207" s="153" t="str">
        <f t="shared" ca="1" si="318"/>
        <v>C/USN/III/P3/38</v>
      </c>
      <c r="AF207" s="154" t="str">
        <f t="shared" ca="1" si="319"/>
        <v>Budowa "Parku Polskich Wynalazców"</v>
      </c>
      <c r="AG207" s="155">
        <f t="shared" ca="1" si="320"/>
        <v>90004</v>
      </c>
      <c r="AH207" s="155" t="str">
        <f t="shared" ca="1" si="321"/>
        <v>6050</v>
      </c>
      <c r="AI207" s="156" t="str">
        <f t="shared" ca="1" si="322"/>
        <v>GPOS</v>
      </c>
      <c r="AJ207" s="157" t="str">
        <f t="shared" ca="1" si="323"/>
        <v>WPF, w tym</v>
      </c>
      <c r="AK207" s="158" t="str">
        <f t="shared" ca="1" si="324"/>
        <v>C/USN/III/P3/38 90004 6050 GPOS</v>
      </c>
      <c r="AL207" s="158" t="str">
        <f t="shared" ca="1" si="325"/>
        <v>C/USN/III/P3/38 90004 6050 WPF, w tym</v>
      </c>
      <c r="AM207" s="159" t="str">
        <f t="shared" ca="1" si="326"/>
        <v>C/USN/III/P3/38 90004 6050 GPOS WPF, w tym</v>
      </c>
      <c r="AN207" s="160">
        <f t="shared" ca="1" si="327"/>
        <v>0</v>
      </c>
      <c r="AO207" s="161">
        <f t="shared" ca="1" si="328"/>
        <v>0</v>
      </c>
      <c r="AP207" s="162">
        <f t="shared" ca="1" si="329"/>
        <v>0</v>
      </c>
      <c r="AQ207" s="163">
        <f t="shared" ca="1" si="330"/>
        <v>0</v>
      </c>
      <c r="AR207" s="164">
        <f t="shared" ca="1" si="331"/>
        <v>0</v>
      </c>
      <c r="AS207" s="164">
        <f t="shared" ca="1" si="332"/>
        <v>0</v>
      </c>
      <c r="AT207" s="164">
        <f t="shared" ca="1" si="333"/>
        <v>0</v>
      </c>
      <c r="AU207" s="164">
        <f t="shared" ca="1" si="334"/>
        <v>0</v>
      </c>
      <c r="AV207" s="164">
        <f t="shared" ca="1" si="335"/>
        <v>0</v>
      </c>
      <c r="AW207" s="164">
        <f t="shared" ca="1" si="336"/>
        <v>0</v>
      </c>
      <c r="AX207" s="164">
        <f t="shared" ca="1" si="337"/>
        <v>0</v>
      </c>
      <c r="AY207" s="164">
        <f t="shared" ca="1" si="338"/>
        <v>0</v>
      </c>
      <c r="AZ207" s="164">
        <f t="shared" ca="1" si="339"/>
        <v>0</v>
      </c>
      <c r="BA207" s="165" t="str">
        <f t="shared" ca="1" si="340"/>
        <v>nie</v>
      </c>
      <c r="BB207" s="166" t="str">
        <f t="shared" ca="1" si="346"/>
        <v>-</v>
      </c>
      <c r="BC207" s="165" t="str">
        <f t="shared" ca="1" si="341"/>
        <v>nie</v>
      </c>
    </row>
    <row r="208" spans="1:55" s="167" customFormat="1" ht="14.45" hidden="1" customHeight="1" x14ac:dyDescent="0.25">
      <c r="A208" s="493"/>
      <c r="B208" s="493"/>
      <c r="C208" s="494"/>
      <c r="D208" s="506"/>
      <c r="E208" s="497"/>
      <c r="F208" s="497"/>
      <c r="G208" s="497"/>
      <c r="H208" s="498"/>
      <c r="I208" s="499"/>
      <c r="J208" s="177" t="s">
        <v>99</v>
      </c>
      <c r="K208" s="178">
        <f>SUM(N208:O208)</f>
        <v>0</v>
      </c>
      <c r="L208" s="179">
        <f t="shared" ref="L208:M208" si="350">L212-L204</f>
        <v>0</v>
      </c>
      <c r="M208" s="180">
        <f t="shared" si="350"/>
        <v>0</v>
      </c>
      <c r="N208" s="172">
        <f>SUM(L208:M208)</f>
        <v>0</v>
      </c>
      <c r="O208" s="178">
        <f>SUM(P208:Y208)</f>
        <v>0</v>
      </c>
      <c r="P208" s="181">
        <f t="shared" ref="P208:R208" si="351">P212-P204</f>
        <v>0</v>
      </c>
      <c r="Q208" s="180">
        <f t="shared" si="351"/>
        <v>0</v>
      </c>
      <c r="R208" s="182">
        <f t="shared" si="351"/>
        <v>0</v>
      </c>
      <c r="S208" s="183">
        <f t="shared" ref="S208:Y209" si="352">S212-S204</f>
        <v>0</v>
      </c>
      <c r="T208" s="180">
        <f t="shared" si="352"/>
        <v>0</v>
      </c>
      <c r="U208" s="180">
        <f t="shared" si="352"/>
        <v>0</v>
      </c>
      <c r="V208" s="180">
        <f t="shared" si="352"/>
        <v>0</v>
      </c>
      <c r="W208" s="180">
        <f t="shared" si="352"/>
        <v>0</v>
      </c>
      <c r="X208" s="180">
        <f t="shared" si="352"/>
        <v>0</v>
      </c>
      <c r="Y208" s="182">
        <f t="shared" si="352"/>
        <v>0</v>
      </c>
      <c r="Z208" s="149" t="str">
        <f t="shared" ca="1" si="315"/>
        <v>nie</v>
      </c>
      <c r="AA208" s="366"/>
      <c r="AB208" s="150" t="str">
        <f t="shared" ca="1" si="345"/>
        <v>-</v>
      </c>
      <c r="AC208" s="151" t="str">
        <f t="shared" ca="1" si="316"/>
        <v>PROPONOWANA ZMIANA</v>
      </c>
      <c r="AD208" s="152" t="str">
        <f t="shared" ca="1" si="317"/>
        <v>PROPONOWANA ZMIANA</v>
      </c>
      <c r="AE208" s="153" t="str">
        <f t="shared" ca="1" si="318"/>
        <v>C/USN/III/P3/38</v>
      </c>
      <c r="AF208" s="154" t="str">
        <f t="shared" ca="1" si="319"/>
        <v>Budowa "Parku Polskich Wynalazców"</v>
      </c>
      <c r="AG208" s="155">
        <f t="shared" ca="1" si="320"/>
        <v>90004</v>
      </c>
      <c r="AH208" s="155" t="str">
        <f t="shared" ca="1" si="321"/>
        <v>6050</v>
      </c>
      <c r="AI208" s="156" t="str">
        <f t="shared" ca="1" si="322"/>
        <v>GPOS</v>
      </c>
      <c r="AJ208" s="157" t="str">
        <f t="shared" ca="1" si="323"/>
        <v>WPF/PM</v>
      </c>
      <c r="AK208" s="158" t="str">
        <f t="shared" ca="1" si="324"/>
        <v>C/USN/III/P3/38 90004 6050 GPOS</v>
      </c>
      <c r="AL208" s="158" t="str">
        <f t="shared" ca="1" si="325"/>
        <v>C/USN/III/P3/38 90004 6050 WPF/PM</v>
      </c>
      <c r="AM208" s="159" t="str">
        <f t="shared" ca="1" si="326"/>
        <v>C/USN/III/P3/38 90004 6050 GPOS WPF/PM</v>
      </c>
      <c r="AN208" s="160">
        <f t="shared" ca="1" si="327"/>
        <v>0</v>
      </c>
      <c r="AO208" s="161">
        <f t="shared" ca="1" si="328"/>
        <v>0</v>
      </c>
      <c r="AP208" s="162">
        <f t="shared" ca="1" si="329"/>
        <v>0</v>
      </c>
      <c r="AQ208" s="163">
        <f t="shared" ca="1" si="330"/>
        <v>0</v>
      </c>
      <c r="AR208" s="164">
        <f t="shared" ca="1" si="331"/>
        <v>0</v>
      </c>
      <c r="AS208" s="164">
        <f t="shared" ca="1" si="332"/>
        <v>0</v>
      </c>
      <c r="AT208" s="164">
        <f t="shared" ca="1" si="333"/>
        <v>0</v>
      </c>
      <c r="AU208" s="164">
        <f t="shared" ca="1" si="334"/>
        <v>0</v>
      </c>
      <c r="AV208" s="164">
        <f t="shared" ca="1" si="335"/>
        <v>0</v>
      </c>
      <c r="AW208" s="164">
        <f t="shared" ca="1" si="336"/>
        <v>0</v>
      </c>
      <c r="AX208" s="164">
        <f t="shared" ca="1" si="337"/>
        <v>0</v>
      </c>
      <c r="AY208" s="164">
        <f t="shared" ca="1" si="338"/>
        <v>0</v>
      </c>
      <c r="AZ208" s="164">
        <f t="shared" ca="1" si="339"/>
        <v>0</v>
      </c>
      <c r="BA208" s="165" t="str">
        <f t="shared" ca="1" si="340"/>
        <v>nie</v>
      </c>
      <c r="BB208" s="166" t="str">
        <f t="shared" ca="1" si="346"/>
        <v>-</v>
      </c>
      <c r="BC208" s="165" t="str">
        <f t="shared" ca="1" si="341"/>
        <v>nie</v>
      </c>
    </row>
    <row r="209" spans="1:55" s="167" customFormat="1" ht="14.45" hidden="1" customHeight="1" x14ac:dyDescent="0.25">
      <c r="A209" s="493"/>
      <c r="B209" s="493"/>
      <c r="C209" s="494"/>
      <c r="D209" s="506"/>
      <c r="E209" s="497"/>
      <c r="F209" s="497"/>
      <c r="G209" s="497"/>
      <c r="H209" s="498"/>
      <c r="I209" s="499"/>
      <c r="J209" s="177" t="s">
        <v>100</v>
      </c>
      <c r="K209" s="178">
        <f>SUM(N209:O209)</f>
        <v>0</v>
      </c>
      <c r="L209" s="179">
        <f t="shared" ref="L209:M209" si="353">L213-L205</f>
        <v>0</v>
      </c>
      <c r="M209" s="180">
        <f t="shared" si="353"/>
        <v>0</v>
      </c>
      <c r="N209" s="172">
        <f>SUM(L209:M209)</f>
        <v>0</v>
      </c>
      <c r="O209" s="178">
        <f>SUM(P209:Y209)</f>
        <v>0</v>
      </c>
      <c r="P209" s="181">
        <f t="shared" ref="P209:R209" si="354">P213-P205</f>
        <v>0</v>
      </c>
      <c r="Q209" s="180">
        <f t="shared" si="354"/>
        <v>0</v>
      </c>
      <c r="R209" s="182">
        <f t="shared" si="354"/>
        <v>0</v>
      </c>
      <c r="S209" s="183">
        <f t="shared" si="352"/>
        <v>0</v>
      </c>
      <c r="T209" s="180">
        <f t="shared" si="352"/>
        <v>0</v>
      </c>
      <c r="U209" s="180">
        <f t="shared" si="352"/>
        <v>0</v>
      </c>
      <c r="V209" s="180">
        <f t="shared" si="352"/>
        <v>0</v>
      </c>
      <c r="W209" s="180">
        <f t="shared" si="352"/>
        <v>0</v>
      </c>
      <c r="X209" s="180">
        <f t="shared" si="352"/>
        <v>0</v>
      </c>
      <c r="Y209" s="182">
        <f t="shared" si="352"/>
        <v>0</v>
      </c>
      <c r="Z209" s="149" t="str">
        <f t="shared" ca="1" si="315"/>
        <v>nie</v>
      </c>
      <c r="AA209" s="366"/>
      <c r="AB209" s="150" t="str">
        <f t="shared" ca="1" si="345"/>
        <v>-</v>
      </c>
      <c r="AC209" s="151" t="str">
        <f t="shared" ca="1" si="316"/>
        <v>PROPONOWANA ZMIANA</v>
      </c>
      <c r="AD209" s="152" t="str">
        <f t="shared" ca="1" si="317"/>
        <v>PROPONOWANA ZMIANA</v>
      </c>
      <c r="AE209" s="153" t="str">
        <f t="shared" ca="1" si="318"/>
        <v>C/USN/III/P3/38</v>
      </c>
      <c r="AF209" s="154" t="str">
        <f t="shared" ca="1" si="319"/>
        <v>Budowa "Parku Polskich Wynalazców"</v>
      </c>
      <c r="AG209" s="155">
        <f t="shared" ca="1" si="320"/>
        <v>90004</v>
      </c>
      <c r="AH209" s="155" t="str">
        <f t="shared" ca="1" si="321"/>
        <v>6050</v>
      </c>
      <c r="AI209" s="156" t="str">
        <f t="shared" ca="1" si="322"/>
        <v>GPOS</v>
      </c>
      <c r="AJ209" s="157" t="str">
        <f t="shared" ca="1" si="323"/>
        <v>WPF/UM</v>
      </c>
      <c r="AK209" s="158" t="str">
        <f t="shared" ca="1" si="324"/>
        <v>C/USN/III/P3/38 90004 6050 GPOS</v>
      </c>
      <c r="AL209" s="158" t="str">
        <f t="shared" ca="1" si="325"/>
        <v>C/USN/III/P3/38 90004 6050 WPF/UM</v>
      </c>
      <c r="AM209" s="159" t="str">
        <f t="shared" ca="1" si="326"/>
        <v>C/USN/III/P3/38 90004 6050 GPOS WPF/UM</v>
      </c>
      <c r="AN209" s="160">
        <f t="shared" ca="1" si="327"/>
        <v>0</v>
      </c>
      <c r="AO209" s="161">
        <f t="shared" ca="1" si="328"/>
        <v>0</v>
      </c>
      <c r="AP209" s="162">
        <f t="shared" ca="1" si="329"/>
        <v>0</v>
      </c>
      <c r="AQ209" s="163">
        <f t="shared" ca="1" si="330"/>
        <v>0</v>
      </c>
      <c r="AR209" s="164">
        <f t="shared" ca="1" si="331"/>
        <v>0</v>
      </c>
      <c r="AS209" s="164">
        <f t="shared" ca="1" si="332"/>
        <v>0</v>
      </c>
      <c r="AT209" s="164">
        <f t="shared" ca="1" si="333"/>
        <v>0</v>
      </c>
      <c r="AU209" s="164">
        <f t="shared" ca="1" si="334"/>
        <v>0</v>
      </c>
      <c r="AV209" s="164">
        <f t="shared" ca="1" si="335"/>
        <v>0</v>
      </c>
      <c r="AW209" s="164">
        <f t="shared" ca="1" si="336"/>
        <v>0</v>
      </c>
      <c r="AX209" s="164">
        <f t="shared" ca="1" si="337"/>
        <v>0</v>
      </c>
      <c r="AY209" s="164">
        <f t="shared" ca="1" si="338"/>
        <v>0</v>
      </c>
      <c r="AZ209" s="164">
        <f t="shared" ca="1" si="339"/>
        <v>0</v>
      </c>
      <c r="BA209" s="165" t="str">
        <f t="shared" ca="1" si="340"/>
        <v>nie</v>
      </c>
      <c r="BB209" s="166" t="str">
        <f t="shared" ca="1" si="346"/>
        <v>-</v>
      </c>
      <c r="BC209" s="165" t="str">
        <f t="shared" ca="1" si="341"/>
        <v>nie</v>
      </c>
    </row>
    <row r="210" spans="1:55" s="167" customFormat="1" ht="14.45" hidden="1" customHeight="1" x14ac:dyDescent="0.25">
      <c r="A210" s="191" t="s">
        <v>101</v>
      </c>
      <c r="B210" s="192"/>
      <c r="C210" s="193"/>
      <c r="D210" s="192"/>
      <c r="E210" s="192"/>
      <c r="F210" s="192"/>
      <c r="G210" s="192"/>
      <c r="H210" s="192"/>
      <c r="I210" s="192"/>
      <c r="J210" s="192"/>
      <c r="K210" s="192"/>
      <c r="L210" s="192"/>
      <c r="M210" s="192"/>
      <c r="N210" s="192"/>
      <c r="O210" s="192"/>
      <c r="P210" s="192"/>
      <c r="Q210" s="192"/>
      <c r="R210" s="194"/>
      <c r="S210" s="195"/>
      <c r="T210" s="195"/>
      <c r="U210" s="195"/>
      <c r="V210" s="195"/>
      <c r="W210" s="195"/>
      <c r="X210" s="195"/>
      <c r="Y210" s="196"/>
      <c r="Z210" s="149" t="str">
        <f t="shared" ca="1" si="315"/>
        <v>nie</v>
      </c>
      <c r="AA210" s="366"/>
      <c r="AB210" s="150" t="str">
        <f t="shared" ca="1" si="345"/>
        <v>-</v>
      </c>
      <c r="AC210" s="151" t="str">
        <f t="shared" ca="1" si="316"/>
        <v>PO ZMIANIE</v>
      </c>
      <c r="AD210" s="152" t="str">
        <f t="shared" ca="1" si="317"/>
        <v/>
      </c>
      <c r="AE210" s="153" t="str">
        <f t="shared" ca="1" si="318"/>
        <v/>
      </c>
      <c r="AF210" s="154" t="str">
        <f t="shared" ca="1" si="319"/>
        <v/>
      </c>
      <c r="AG210" s="155" t="str">
        <f t="shared" ca="1" si="320"/>
        <v/>
      </c>
      <c r="AH210" s="155" t="str">
        <f t="shared" ca="1" si="321"/>
        <v/>
      </c>
      <c r="AI210" s="156" t="str">
        <f t="shared" ca="1" si="322"/>
        <v/>
      </c>
      <c r="AJ210" s="157" t="str">
        <f t="shared" ca="1" si="323"/>
        <v/>
      </c>
      <c r="AK210" s="158" t="str">
        <f t="shared" ca="1" si="324"/>
        <v/>
      </c>
      <c r="AL210" s="158" t="str">
        <f t="shared" ca="1" si="325"/>
        <v/>
      </c>
      <c r="AM210" s="159" t="str">
        <f t="shared" ca="1" si="326"/>
        <v/>
      </c>
      <c r="AN210" s="160" t="str">
        <f t="shared" ca="1" si="327"/>
        <v/>
      </c>
      <c r="AO210" s="161" t="str">
        <f t="shared" ca="1" si="328"/>
        <v/>
      </c>
      <c r="AP210" s="162" t="str">
        <f t="shared" ca="1" si="329"/>
        <v/>
      </c>
      <c r="AQ210" s="163" t="str">
        <f t="shared" ca="1" si="330"/>
        <v/>
      </c>
      <c r="AR210" s="164" t="str">
        <f t="shared" ca="1" si="331"/>
        <v/>
      </c>
      <c r="AS210" s="164" t="str">
        <f t="shared" ca="1" si="332"/>
        <v/>
      </c>
      <c r="AT210" s="164" t="str">
        <f t="shared" ca="1" si="333"/>
        <v/>
      </c>
      <c r="AU210" s="164" t="str">
        <f t="shared" ca="1" si="334"/>
        <v/>
      </c>
      <c r="AV210" s="164" t="str">
        <f t="shared" ca="1" si="335"/>
        <v/>
      </c>
      <c r="AW210" s="164" t="str">
        <f t="shared" ca="1" si="336"/>
        <v/>
      </c>
      <c r="AX210" s="164" t="str">
        <f t="shared" ca="1" si="337"/>
        <v/>
      </c>
      <c r="AY210" s="164" t="str">
        <f t="shared" ca="1" si="338"/>
        <v/>
      </c>
      <c r="AZ210" s="164" t="str">
        <f t="shared" ca="1" si="339"/>
        <v/>
      </c>
      <c r="BA210" s="165" t="str">
        <f t="shared" ca="1" si="340"/>
        <v>nie</v>
      </c>
      <c r="BB210" s="166" t="str">
        <f t="shared" ca="1" si="346"/>
        <v>-</v>
      </c>
      <c r="BC210" s="165" t="str">
        <f t="shared" ca="1" si="341"/>
        <v>nie</v>
      </c>
    </row>
    <row r="211" spans="1:55" s="176" customFormat="1" ht="14.45" hidden="1" customHeight="1" x14ac:dyDescent="0.25">
      <c r="A211" s="493" t="s">
        <v>24</v>
      </c>
      <c r="B211" s="493" t="s">
        <v>133</v>
      </c>
      <c r="C211" s="494" t="s">
        <v>131</v>
      </c>
      <c r="D211" s="505" t="s">
        <v>132</v>
      </c>
      <c r="E211" s="497">
        <v>900</v>
      </c>
      <c r="F211" s="497">
        <v>90004</v>
      </c>
      <c r="G211" s="497">
        <v>6050</v>
      </c>
      <c r="H211" s="507">
        <v>2020</v>
      </c>
      <c r="I211" s="499" t="str">
        <f ca="1">IF(COUNTIF(OFFSET(I211,-1,-8),"*propon*")&gt;0,OFFSET(I211,4,0),IF(Y211&gt;0,"2033",IF(X211&gt;0,"2032",IF(W211&gt;0,"2031",IF(V211&gt;0,"2030",IF(U211&gt;0,"2029",IF(T211&gt;0,"2028",IF(S211&gt;0,"2027",IF(R211&gt;0,"2026",IF(Q211&gt;0,"2025",IF(P211&gt;0,"2024",IF(M211&gt;0,"2023",IF(L211&gt;0,"2022","")))))))))))))</f>
        <v>2025</v>
      </c>
      <c r="J211" s="168" t="s">
        <v>102</v>
      </c>
      <c r="K211" s="169">
        <f>SUM(N211:O211)</f>
        <v>441127</v>
      </c>
      <c r="L211" s="170">
        <f t="shared" ref="L211:M211" si="355">SUM(L212:L213)</f>
        <v>118127</v>
      </c>
      <c r="M211" s="171">
        <f t="shared" si="355"/>
        <v>0</v>
      </c>
      <c r="N211" s="172">
        <f>SUM(L211:M211)</f>
        <v>118127</v>
      </c>
      <c r="O211" s="169">
        <f>SUM(P211:Y211)</f>
        <v>323000</v>
      </c>
      <c r="P211" s="173">
        <f t="shared" ref="P211:R211" si="356">SUM(P212:P213)</f>
        <v>81000</v>
      </c>
      <c r="Q211" s="171">
        <f t="shared" si="356"/>
        <v>242000</v>
      </c>
      <c r="R211" s="174">
        <f t="shared" si="356"/>
        <v>0</v>
      </c>
      <c r="S211" s="175">
        <f t="shared" ref="S211:Y211" si="357">SUM(S212:S213)</f>
        <v>0</v>
      </c>
      <c r="T211" s="171">
        <f t="shared" si="357"/>
        <v>0</v>
      </c>
      <c r="U211" s="171">
        <f t="shared" si="357"/>
        <v>0</v>
      </c>
      <c r="V211" s="171">
        <f t="shared" si="357"/>
        <v>0</v>
      </c>
      <c r="W211" s="171">
        <f t="shared" si="357"/>
        <v>0</v>
      </c>
      <c r="X211" s="171">
        <f t="shared" si="357"/>
        <v>0</v>
      </c>
      <c r="Y211" s="174">
        <f t="shared" si="357"/>
        <v>0</v>
      </c>
      <c r="Z211" s="149" t="str">
        <f t="shared" ca="1" si="315"/>
        <v>nie</v>
      </c>
      <c r="AA211" s="366"/>
      <c r="AB211" s="150" t="str">
        <f t="shared" ca="1" si="345"/>
        <v>-</v>
      </c>
      <c r="AC211" s="151" t="str">
        <f t="shared" ca="1" si="316"/>
        <v>PO ZMIANIE</v>
      </c>
      <c r="AD211" s="152" t="str">
        <f t="shared" ca="1" si="317"/>
        <v>PO ZMIANIE</v>
      </c>
      <c r="AE211" s="153" t="str">
        <f t="shared" ca="1" si="318"/>
        <v>C/USN/III/P3/38</v>
      </c>
      <c r="AF211" s="154" t="str">
        <f t="shared" ca="1" si="319"/>
        <v>Budowa "Parku Polskich Wynalazców"</v>
      </c>
      <c r="AG211" s="155">
        <f t="shared" ca="1" si="320"/>
        <v>90004</v>
      </c>
      <c r="AH211" s="155" t="str">
        <f t="shared" ca="1" si="321"/>
        <v>6050</v>
      </c>
      <c r="AI211" s="156" t="str">
        <f t="shared" ca="1" si="322"/>
        <v>GPOS</v>
      </c>
      <c r="AJ211" s="157" t="str">
        <f t="shared" ca="1" si="323"/>
        <v>WPF, w tym</v>
      </c>
      <c r="AK211" s="158" t="str">
        <f t="shared" ca="1" si="324"/>
        <v>C/USN/III/P3/38 90004 6050 GPOS</v>
      </c>
      <c r="AL211" s="158" t="str">
        <f t="shared" ca="1" si="325"/>
        <v>C/USN/III/P3/38 90004 6050 WPF, w tym</v>
      </c>
      <c r="AM211" s="159" t="str">
        <f t="shared" ca="1" si="326"/>
        <v>C/USN/III/P3/38 90004 6050 GPOS WPF, w tym</v>
      </c>
      <c r="AN211" s="160">
        <f t="shared" ca="1" si="327"/>
        <v>441127</v>
      </c>
      <c r="AO211" s="161">
        <f t="shared" ca="1" si="328"/>
        <v>118127</v>
      </c>
      <c r="AP211" s="162">
        <f t="shared" ca="1" si="329"/>
        <v>0</v>
      </c>
      <c r="AQ211" s="163">
        <f t="shared" ca="1" si="330"/>
        <v>81000</v>
      </c>
      <c r="AR211" s="164">
        <f t="shared" ca="1" si="331"/>
        <v>242000</v>
      </c>
      <c r="AS211" s="164">
        <f t="shared" ca="1" si="332"/>
        <v>0</v>
      </c>
      <c r="AT211" s="164">
        <f t="shared" ca="1" si="333"/>
        <v>0</v>
      </c>
      <c r="AU211" s="164">
        <f t="shared" ca="1" si="334"/>
        <v>0</v>
      </c>
      <c r="AV211" s="164">
        <f t="shared" ca="1" si="335"/>
        <v>0</v>
      </c>
      <c r="AW211" s="164">
        <f t="shared" ca="1" si="336"/>
        <v>0</v>
      </c>
      <c r="AX211" s="164">
        <f t="shared" ca="1" si="337"/>
        <v>0</v>
      </c>
      <c r="AY211" s="164">
        <f t="shared" ca="1" si="338"/>
        <v>0</v>
      </c>
      <c r="AZ211" s="164">
        <f t="shared" ca="1" si="339"/>
        <v>0</v>
      </c>
      <c r="BA211" s="165" t="str">
        <f t="shared" ca="1" si="340"/>
        <v>nie</v>
      </c>
      <c r="BB211" s="166" t="str">
        <f t="shared" ca="1" si="346"/>
        <v>-</v>
      </c>
      <c r="BC211" s="165" t="str">
        <f t="shared" ca="1" si="341"/>
        <v>nie</v>
      </c>
    </row>
    <row r="212" spans="1:55" s="167" customFormat="1" ht="14.45" hidden="1" customHeight="1" x14ac:dyDescent="0.25">
      <c r="A212" s="493"/>
      <c r="B212" s="493"/>
      <c r="C212" s="494"/>
      <c r="D212" s="506"/>
      <c r="E212" s="497"/>
      <c r="F212" s="497"/>
      <c r="G212" s="497"/>
      <c r="H212" s="498"/>
      <c r="I212" s="499"/>
      <c r="J212" s="177" t="s">
        <v>103</v>
      </c>
      <c r="K212" s="178">
        <f>SUM(N212:O212)</f>
        <v>323000</v>
      </c>
      <c r="L212" s="179"/>
      <c r="M212" s="180"/>
      <c r="N212" s="172">
        <f>SUM(L212:M212)</f>
        <v>0</v>
      </c>
      <c r="O212" s="178">
        <f>SUM(P212:Y212)</f>
        <v>323000</v>
      </c>
      <c r="P212" s="181">
        <v>81000</v>
      </c>
      <c r="Q212" s="180">
        <f>242000</f>
        <v>242000</v>
      </c>
      <c r="R212" s="182"/>
      <c r="S212" s="183"/>
      <c r="T212" s="180"/>
      <c r="U212" s="180"/>
      <c r="V212" s="180"/>
      <c r="W212" s="180"/>
      <c r="X212" s="180"/>
      <c r="Y212" s="182"/>
      <c r="Z212" s="149" t="str">
        <f t="shared" ca="1" si="315"/>
        <v>nie</v>
      </c>
      <c r="AA212" s="384"/>
      <c r="AB212" s="150" t="str">
        <f t="shared" ca="1" si="345"/>
        <v>-</v>
      </c>
      <c r="AC212" s="151" t="str">
        <f t="shared" ca="1" si="316"/>
        <v>PO ZMIANIE</v>
      </c>
      <c r="AD212" s="152" t="str">
        <f t="shared" ca="1" si="317"/>
        <v>PO ZMIANIE</v>
      </c>
      <c r="AE212" s="153" t="str">
        <f t="shared" ca="1" si="318"/>
        <v>C/USN/III/P3/38</v>
      </c>
      <c r="AF212" s="154" t="str">
        <f t="shared" ca="1" si="319"/>
        <v>Budowa "Parku Polskich Wynalazców"</v>
      </c>
      <c r="AG212" s="155">
        <f t="shared" ca="1" si="320"/>
        <v>90004</v>
      </c>
      <c r="AH212" s="155" t="str">
        <f t="shared" ca="1" si="321"/>
        <v>6050</v>
      </c>
      <c r="AI212" s="156" t="str">
        <f t="shared" ca="1" si="322"/>
        <v>GPOS</v>
      </c>
      <c r="AJ212" s="157" t="str">
        <f t="shared" ca="1" si="323"/>
        <v>WPF/PM</v>
      </c>
      <c r="AK212" s="158" t="str">
        <f t="shared" ca="1" si="324"/>
        <v>C/USN/III/P3/38 90004 6050 GPOS</v>
      </c>
      <c r="AL212" s="158" t="str">
        <f t="shared" ca="1" si="325"/>
        <v>C/USN/III/P3/38 90004 6050 WPF/PM</v>
      </c>
      <c r="AM212" s="159" t="str">
        <f t="shared" ca="1" si="326"/>
        <v>C/USN/III/P3/38 90004 6050 GPOS WPF/PM</v>
      </c>
      <c r="AN212" s="160">
        <f t="shared" ca="1" si="327"/>
        <v>323000</v>
      </c>
      <c r="AO212" s="161">
        <f t="shared" ca="1" si="328"/>
        <v>0</v>
      </c>
      <c r="AP212" s="162">
        <f t="shared" ca="1" si="329"/>
        <v>0</v>
      </c>
      <c r="AQ212" s="163">
        <f t="shared" ca="1" si="330"/>
        <v>81000</v>
      </c>
      <c r="AR212" s="164">
        <f t="shared" ca="1" si="331"/>
        <v>242000</v>
      </c>
      <c r="AS212" s="164">
        <f t="shared" ca="1" si="332"/>
        <v>0</v>
      </c>
      <c r="AT212" s="164">
        <f t="shared" ca="1" si="333"/>
        <v>0</v>
      </c>
      <c r="AU212" s="164">
        <f t="shared" ca="1" si="334"/>
        <v>0</v>
      </c>
      <c r="AV212" s="164">
        <f t="shared" ca="1" si="335"/>
        <v>0</v>
      </c>
      <c r="AW212" s="164">
        <f t="shared" ca="1" si="336"/>
        <v>0</v>
      </c>
      <c r="AX212" s="164">
        <f t="shared" ca="1" si="337"/>
        <v>0</v>
      </c>
      <c r="AY212" s="164">
        <f t="shared" ca="1" si="338"/>
        <v>0</v>
      </c>
      <c r="AZ212" s="164">
        <f t="shared" ca="1" si="339"/>
        <v>0</v>
      </c>
      <c r="BA212" s="165" t="str">
        <f t="shared" ca="1" si="340"/>
        <v>nie</v>
      </c>
      <c r="BB212" s="166" t="str">
        <f t="shared" ca="1" si="346"/>
        <v>-</v>
      </c>
      <c r="BC212" s="165" t="str">
        <f t="shared" ca="1" si="341"/>
        <v>nie</v>
      </c>
    </row>
    <row r="213" spans="1:55" s="167" customFormat="1" ht="14.45" hidden="1" customHeight="1" thickBot="1" x14ac:dyDescent="0.3">
      <c r="A213" s="500"/>
      <c r="B213" s="500"/>
      <c r="C213" s="501"/>
      <c r="D213" s="513"/>
      <c r="E213" s="503"/>
      <c r="F213" s="503"/>
      <c r="G213" s="503"/>
      <c r="H213" s="504"/>
      <c r="I213" s="499"/>
      <c r="J213" s="197" t="s">
        <v>104</v>
      </c>
      <c r="K213" s="198">
        <f>SUM(N213:O213)</f>
        <v>118127</v>
      </c>
      <c r="L213" s="204">
        <v>118127</v>
      </c>
      <c r="M213" s="200">
        <f>242000-242000</f>
        <v>0</v>
      </c>
      <c r="N213" s="371">
        <f>SUM(L213:M213)</f>
        <v>118127</v>
      </c>
      <c r="O213" s="198">
        <f>SUM(P213:Y213)</f>
        <v>0</v>
      </c>
      <c r="P213" s="201"/>
      <c r="Q213" s="200"/>
      <c r="R213" s="202"/>
      <c r="S213" s="203"/>
      <c r="T213" s="200"/>
      <c r="U213" s="200"/>
      <c r="V213" s="200"/>
      <c r="W213" s="200"/>
      <c r="X213" s="200"/>
      <c r="Y213" s="202"/>
      <c r="Z213" s="149" t="str">
        <f t="shared" ca="1" si="315"/>
        <v>nie</v>
      </c>
      <c r="AA213" s="384"/>
      <c r="AB213" s="150" t="str">
        <f t="shared" ca="1" si="345"/>
        <v>-</v>
      </c>
      <c r="AC213" s="151" t="str">
        <f t="shared" ca="1" si="316"/>
        <v>PO ZMIANIE</v>
      </c>
      <c r="AD213" s="152" t="str">
        <f t="shared" ca="1" si="317"/>
        <v>PO ZMIANIE</v>
      </c>
      <c r="AE213" s="153" t="str">
        <f t="shared" ca="1" si="318"/>
        <v>C/USN/III/P3/38</v>
      </c>
      <c r="AF213" s="154" t="str">
        <f t="shared" ca="1" si="319"/>
        <v>Budowa "Parku Polskich Wynalazców"</v>
      </c>
      <c r="AG213" s="155">
        <f t="shared" ca="1" si="320"/>
        <v>90004</v>
      </c>
      <c r="AH213" s="155" t="str">
        <f t="shared" ca="1" si="321"/>
        <v>6050</v>
      </c>
      <c r="AI213" s="156" t="str">
        <f t="shared" ca="1" si="322"/>
        <v>GPOS</v>
      </c>
      <c r="AJ213" s="157" t="str">
        <f t="shared" ca="1" si="323"/>
        <v>WPF/UM</v>
      </c>
      <c r="AK213" s="158" t="str">
        <f t="shared" ca="1" si="324"/>
        <v>C/USN/III/P3/38 90004 6050 GPOS</v>
      </c>
      <c r="AL213" s="158" t="str">
        <f t="shared" ca="1" si="325"/>
        <v>C/USN/III/P3/38 90004 6050 WPF/UM</v>
      </c>
      <c r="AM213" s="159" t="str">
        <f t="shared" ca="1" si="326"/>
        <v>C/USN/III/P3/38 90004 6050 GPOS WPF/UM</v>
      </c>
      <c r="AN213" s="160">
        <f t="shared" ca="1" si="327"/>
        <v>118127</v>
      </c>
      <c r="AO213" s="161">
        <f t="shared" ca="1" si="328"/>
        <v>118127</v>
      </c>
      <c r="AP213" s="162">
        <f t="shared" ca="1" si="329"/>
        <v>0</v>
      </c>
      <c r="AQ213" s="163">
        <f t="shared" ca="1" si="330"/>
        <v>0</v>
      </c>
      <c r="AR213" s="164">
        <f t="shared" ca="1" si="331"/>
        <v>0</v>
      </c>
      <c r="AS213" s="164">
        <f t="shared" ca="1" si="332"/>
        <v>0</v>
      </c>
      <c r="AT213" s="164">
        <f t="shared" ca="1" si="333"/>
        <v>0</v>
      </c>
      <c r="AU213" s="164">
        <f t="shared" ca="1" si="334"/>
        <v>0</v>
      </c>
      <c r="AV213" s="164">
        <f t="shared" ca="1" si="335"/>
        <v>0</v>
      </c>
      <c r="AW213" s="164">
        <f t="shared" ca="1" si="336"/>
        <v>0</v>
      </c>
      <c r="AX213" s="164">
        <f t="shared" ca="1" si="337"/>
        <v>0</v>
      </c>
      <c r="AY213" s="164">
        <f t="shared" ca="1" si="338"/>
        <v>0</v>
      </c>
      <c r="AZ213" s="164">
        <f t="shared" ca="1" si="339"/>
        <v>0</v>
      </c>
      <c r="BA213" s="165" t="str">
        <f t="shared" ca="1" si="340"/>
        <v>nie</v>
      </c>
      <c r="BB213" s="166" t="str">
        <f t="shared" ca="1" si="346"/>
        <v>-</v>
      </c>
      <c r="BC213" s="165" t="str">
        <f t="shared" ca="1" si="341"/>
        <v>nie</v>
      </c>
    </row>
    <row r="214" spans="1:55" ht="14.45" hidden="1" customHeight="1" x14ac:dyDescent="0.25">
      <c r="A214" s="143" t="s">
        <v>91</v>
      </c>
      <c r="B214" s="144"/>
      <c r="C214" s="145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6"/>
      <c r="S214" s="147"/>
      <c r="T214" s="147"/>
      <c r="U214" s="147"/>
      <c r="V214" s="147"/>
      <c r="W214" s="147"/>
      <c r="X214" s="147"/>
      <c r="Y214" s="148"/>
      <c r="Z214" s="149" t="str">
        <f t="shared" ca="1" si="315"/>
        <v>nie</v>
      </c>
      <c r="AA214" s="366"/>
      <c r="AB214" s="150" t="str">
        <f t="shared" ca="1" si="345"/>
        <v>-</v>
      </c>
      <c r="AC214" s="151" t="str">
        <f t="shared" ca="1" si="316"/>
        <v>PRZED ZMIANĄ</v>
      </c>
      <c r="AD214" s="152" t="str">
        <f t="shared" ca="1" si="317"/>
        <v/>
      </c>
      <c r="AE214" s="153" t="str">
        <f t="shared" ca="1" si="318"/>
        <v/>
      </c>
      <c r="AF214" s="154" t="str">
        <f t="shared" ca="1" si="319"/>
        <v/>
      </c>
      <c r="AG214" s="155" t="str">
        <f t="shared" ca="1" si="320"/>
        <v/>
      </c>
      <c r="AH214" s="155" t="str">
        <f t="shared" ca="1" si="321"/>
        <v/>
      </c>
      <c r="AI214" s="156" t="str">
        <f t="shared" ca="1" si="322"/>
        <v/>
      </c>
      <c r="AJ214" s="157" t="str">
        <f t="shared" ca="1" si="323"/>
        <v/>
      </c>
      <c r="AK214" s="158" t="str">
        <f t="shared" ca="1" si="324"/>
        <v/>
      </c>
      <c r="AL214" s="158" t="str">
        <f t="shared" ca="1" si="325"/>
        <v/>
      </c>
      <c r="AM214" s="159" t="str">
        <f t="shared" ca="1" si="326"/>
        <v/>
      </c>
      <c r="AN214" s="160" t="str">
        <f t="shared" ca="1" si="327"/>
        <v/>
      </c>
      <c r="AO214" s="161" t="str">
        <f t="shared" ca="1" si="328"/>
        <v/>
      </c>
      <c r="AP214" s="162" t="str">
        <f t="shared" ca="1" si="329"/>
        <v/>
      </c>
      <c r="AQ214" s="163" t="str">
        <f t="shared" ca="1" si="330"/>
        <v/>
      </c>
      <c r="AR214" s="164" t="str">
        <f t="shared" ca="1" si="331"/>
        <v/>
      </c>
      <c r="AS214" s="164" t="str">
        <f t="shared" ca="1" si="332"/>
        <v/>
      </c>
      <c r="AT214" s="164" t="str">
        <f t="shared" ca="1" si="333"/>
        <v/>
      </c>
      <c r="AU214" s="164" t="str">
        <f t="shared" ca="1" si="334"/>
        <v/>
      </c>
      <c r="AV214" s="164" t="str">
        <f t="shared" ca="1" si="335"/>
        <v/>
      </c>
      <c r="AW214" s="164" t="str">
        <f t="shared" ca="1" si="336"/>
        <v/>
      </c>
      <c r="AX214" s="164" t="str">
        <f t="shared" ca="1" si="337"/>
        <v/>
      </c>
      <c r="AY214" s="164" t="str">
        <f t="shared" ca="1" si="338"/>
        <v/>
      </c>
      <c r="AZ214" s="164" t="str">
        <f t="shared" ca="1" si="339"/>
        <v/>
      </c>
      <c r="BA214" s="165" t="str">
        <f t="shared" ca="1" si="340"/>
        <v>nie</v>
      </c>
      <c r="BB214" s="166" t="str">
        <f t="shared" ca="1" si="346"/>
        <v>-</v>
      </c>
      <c r="BC214" s="165" t="str">
        <f t="shared" ca="1" si="341"/>
        <v>nie</v>
      </c>
    </row>
    <row r="215" spans="1:55" ht="14.45" hidden="1" customHeight="1" x14ac:dyDescent="0.25">
      <c r="A215" s="493" t="s">
        <v>24</v>
      </c>
      <c r="B215" s="493" t="s">
        <v>26</v>
      </c>
      <c r="C215" s="494" t="s">
        <v>134</v>
      </c>
      <c r="D215" s="505" t="s">
        <v>135</v>
      </c>
      <c r="E215" s="497">
        <v>900</v>
      </c>
      <c r="F215" s="497">
        <v>90004</v>
      </c>
      <c r="G215" s="497">
        <v>6050</v>
      </c>
      <c r="H215" s="507">
        <v>2021</v>
      </c>
      <c r="I215" s="499" t="str">
        <f ca="1">IF(COUNTIF(OFFSET(I215,-1,-8),"*propon*")&gt;0,OFFSET(I215,4,0),IF(Y215&gt;0,"2033",IF(X215&gt;0,"2032",IF(W215&gt;0,"2031",IF(V215&gt;0,"2030",IF(U215&gt;0,"2029",IF(T215&gt;0,"2028",IF(S215&gt;0,"2027",IF(R215&gt;0,"2026",IF(Q215&gt;0,"2025",IF(P215&gt;0,"2024",IF(M215&gt;0,"2023",IF(L215&gt;0,"2022","")))))))))))))</f>
        <v>2025</v>
      </c>
      <c r="J215" s="168" t="s">
        <v>94</v>
      </c>
      <c r="K215" s="169">
        <f>SUM(N215:O215)</f>
        <v>4525501</v>
      </c>
      <c r="L215" s="170">
        <f t="shared" ref="L215:M215" si="358">SUM(L216:L217)</f>
        <v>419444</v>
      </c>
      <c r="M215" s="171">
        <f t="shared" si="358"/>
        <v>3161386</v>
      </c>
      <c r="N215" s="172">
        <f>SUM(L215:M215)</f>
        <v>3580830</v>
      </c>
      <c r="O215" s="169">
        <f>SUM(P215:Y215)</f>
        <v>944671</v>
      </c>
      <c r="P215" s="173">
        <f t="shared" ref="P215:R215" si="359">SUM(P216:P217)</f>
        <v>480000</v>
      </c>
      <c r="Q215" s="171">
        <f t="shared" si="359"/>
        <v>464671</v>
      </c>
      <c r="R215" s="174">
        <f t="shared" si="359"/>
        <v>0</v>
      </c>
      <c r="S215" s="175">
        <f t="shared" ref="S215:Y215" si="360">SUM(S216:S217)</f>
        <v>0</v>
      </c>
      <c r="T215" s="171">
        <f t="shared" si="360"/>
        <v>0</v>
      </c>
      <c r="U215" s="171">
        <f t="shared" si="360"/>
        <v>0</v>
      </c>
      <c r="V215" s="171">
        <f t="shared" si="360"/>
        <v>0</v>
      </c>
      <c r="W215" s="171">
        <f t="shared" si="360"/>
        <v>0</v>
      </c>
      <c r="X215" s="171">
        <f t="shared" si="360"/>
        <v>0</v>
      </c>
      <c r="Y215" s="174">
        <f t="shared" si="360"/>
        <v>0</v>
      </c>
      <c r="Z215" s="149" t="str">
        <f t="shared" ca="1" si="315"/>
        <v>nie</v>
      </c>
      <c r="AA215" s="366"/>
      <c r="AB215" s="150" t="str">
        <f t="shared" ca="1" si="345"/>
        <v>-</v>
      </c>
      <c r="AC215" s="151" t="str">
        <f t="shared" ca="1" si="316"/>
        <v>PRZED ZMIANĄ</v>
      </c>
      <c r="AD215" s="152" t="str">
        <f t="shared" ca="1" si="317"/>
        <v>PRZED ZMIANĄ</v>
      </c>
      <c r="AE215" s="153" t="str">
        <f t="shared" ca="1" si="318"/>
        <v>C/USN/III/P3/39</v>
      </c>
      <c r="AF215" s="154" t="str">
        <f t="shared" ca="1" si="319"/>
        <v>Budowa Parku R. Kozłowskiego</v>
      </c>
      <c r="AG215" s="155">
        <f t="shared" ca="1" si="320"/>
        <v>90004</v>
      </c>
      <c r="AH215" s="155" t="str">
        <f t="shared" ca="1" si="321"/>
        <v>6050</v>
      </c>
      <c r="AI215" s="156" t="str">
        <f t="shared" ca="1" si="322"/>
        <v>GMMW</v>
      </c>
      <c r="AJ215" s="157" t="str">
        <f t="shared" ca="1" si="323"/>
        <v>WPF, w tym</v>
      </c>
      <c r="AK215" s="158" t="str">
        <f t="shared" ca="1" si="324"/>
        <v>C/USN/III/P3/39 90004 6050 GMMW</v>
      </c>
      <c r="AL215" s="158" t="str">
        <f t="shared" ca="1" si="325"/>
        <v>C/USN/III/P3/39 90004 6050 WPF, w tym</v>
      </c>
      <c r="AM215" s="159" t="str">
        <f t="shared" ca="1" si="326"/>
        <v>C/USN/III/P3/39 90004 6050 GMMW WPF, w tym</v>
      </c>
      <c r="AN215" s="160">
        <f t="shared" ca="1" si="327"/>
        <v>4525501</v>
      </c>
      <c r="AO215" s="161">
        <f t="shared" ca="1" si="328"/>
        <v>419444</v>
      </c>
      <c r="AP215" s="162">
        <f t="shared" ca="1" si="329"/>
        <v>3161386</v>
      </c>
      <c r="AQ215" s="163">
        <f t="shared" ca="1" si="330"/>
        <v>480000</v>
      </c>
      <c r="AR215" s="164">
        <f t="shared" ca="1" si="331"/>
        <v>464671</v>
      </c>
      <c r="AS215" s="164">
        <f t="shared" ca="1" si="332"/>
        <v>0</v>
      </c>
      <c r="AT215" s="164">
        <f t="shared" ca="1" si="333"/>
        <v>0</v>
      </c>
      <c r="AU215" s="164">
        <f t="shared" ca="1" si="334"/>
        <v>0</v>
      </c>
      <c r="AV215" s="164">
        <f t="shared" ca="1" si="335"/>
        <v>0</v>
      </c>
      <c r="AW215" s="164">
        <f t="shared" ca="1" si="336"/>
        <v>0</v>
      </c>
      <c r="AX215" s="164">
        <f t="shared" ca="1" si="337"/>
        <v>0</v>
      </c>
      <c r="AY215" s="164">
        <f t="shared" ca="1" si="338"/>
        <v>0</v>
      </c>
      <c r="AZ215" s="164">
        <f t="shared" ca="1" si="339"/>
        <v>0</v>
      </c>
      <c r="BA215" s="165" t="str">
        <f t="shared" ca="1" si="340"/>
        <v>nie</v>
      </c>
      <c r="BB215" s="166" t="str">
        <f t="shared" ca="1" si="346"/>
        <v>-</v>
      </c>
      <c r="BC215" s="165" t="str">
        <f t="shared" ca="1" si="341"/>
        <v>nie</v>
      </c>
    </row>
    <row r="216" spans="1:55" ht="14.45" hidden="1" customHeight="1" x14ac:dyDescent="0.25">
      <c r="A216" s="493"/>
      <c r="B216" s="493"/>
      <c r="C216" s="494"/>
      <c r="D216" s="506"/>
      <c r="E216" s="497"/>
      <c r="F216" s="497"/>
      <c r="G216" s="497"/>
      <c r="H216" s="498"/>
      <c r="I216" s="499"/>
      <c r="J216" s="177" t="s">
        <v>95</v>
      </c>
      <c r="K216" s="178">
        <f>SUM(N216:O216)</f>
        <v>944671</v>
      </c>
      <c r="L216" s="179"/>
      <c r="M216" s="180"/>
      <c r="N216" s="172">
        <f>SUM(L216:M216)</f>
        <v>0</v>
      </c>
      <c r="O216" s="178">
        <f>SUM(P216:Y216)</f>
        <v>944671</v>
      </c>
      <c r="P216" s="181">
        <v>480000</v>
      </c>
      <c r="Q216" s="180">
        <v>464671</v>
      </c>
      <c r="R216" s="182"/>
      <c r="S216" s="183"/>
      <c r="T216" s="180"/>
      <c r="U216" s="180"/>
      <c r="V216" s="180"/>
      <c r="W216" s="180"/>
      <c r="X216" s="180"/>
      <c r="Y216" s="182"/>
      <c r="Z216" s="149" t="str">
        <f t="shared" ca="1" si="315"/>
        <v>nie</v>
      </c>
      <c r="AA216" s="366"/>
      <c r="AB216" s="150" t="str">
        <f t="shared" ca="1" si="345"/>
        <v>-</v>
      </c>
      <c r="AC216" s="151" t="str">
        <f t="shared" ca="1" si="316"/>
        <v>PRZED ZMIANĄ</v>
      </c>
      <c r="AD216" s="152" t="str">
        <f t="shared" ca="1" si="317"/>
        <v>PRZED ZMIANĄ</v>
      </c>
      <c r="AE216" s="153" t="str">
        <f t="shared" ca="1" si="318"/>
        <v>C/USN/III/P3/39</v>
      </c>
      <c r="AF216" s="154" t="str">
        <f t="shared" ca="1" si="319"/>
        <v>Budowa Parku R. Kozłowskiego</v>
      </c>
      <c r="AG216" s="155">
        <f t="shared" ca="1" si="320"/>
        <v>90004</v>
      </c>
      <c r="AH216" s="155" t="str">
        <f t="shared" ca="1" si="321"/>
        <v>6050</v>
      </c>
      <c r="AI216" s="156" t="str">
        <f t="shared" ca="1" si="322"/>
        <v>GMMW</v>
      </c>
      <c r="AJ216" s="157" t="str">
        <f t="shared" ca="1" si="323"/>
        <v>WPF/PM</v>
      </c>
      <c r="AK216" s="158" t="str">
        <f t="shared" ca="1" si="324"/>
        <v>C/USN/III/P3/39 90004 6050 GMMW</v>
      </c>
      <c r="AL216" s="158" t="str">
        <f t="shared" ca="1" si="325"/>
        <v>C/USN/III/P3/39 90004 6050 WPF/PM</v>
      </c>
      <c r="AM216" s="159" t="str">
        <f t="shared" ca="1" si="326"/>
        <v>C/USN/III/P3/39 90004 6050 GMMW WPF/PM</v>
      </c>
      <c r="AN216" s="160">
        <f t="shared" ca="1" si="327"/>
        <v>944671</v>
      </c>
      <c r="AO216" s="161">
        <f t="shared" ca="1" si="328"/>
        <v>0</v>
      </c>
      <c r="AP216" s="162">
        <f t="shared" ca="1" si="329"/>
        <v>0</v>
      </c>
      <c r="AQ216" s="163">
        <f t="shared" ca="1" si="330"/>
        <v>480000</v>
      </c>
      <c r="AR216" s="164">
        <f t="shared" ca="1" si="331"/>
        <v>464671</v>
      </c>
      <c r="AS216" s="164">
        <f t="shared" ca="1" si="332"/>
        <v>0</v>
      </c>
      <c r="AT216" s="164">
        <f t="shared" ca="1" si="333"/>
        <v>0</v>
      </c>
      <c r="AU216" s="164">
        <f t="shared" ca="1" si="334"/>
        <v>0</v>
      </c>
      <c r="AV216" s="164">
        <f t="shared" ca="1" si="335"/>
        <v>0</v>
      </c>
      <c r="AW216" s="164">
        <f t="shared" ca="1" si="336"/>
        <v>0</v>
      </c>
      <c r="AX216" s="164">
        <f t="shared" ca="1" si="337"/>
        <v>0</v>
      </c>
      <c r="AY216" s="164">
        <f t="shared" ca="1" si="338"/>
        <v>0</v>
      </c>
      <c r="AZ216" s="164">
        <f t="shared" ca="1" si="339"/>
        <v>0</v>
      </c>
      <c r="BA216" s="165" t="str">
        <f t="shared" ca="1" si="340"/>
        <v>nie</v>
      </c>
      <c r="BB216" s="166" t="str">
        <f t="shared" ca="1" si="346"/>
        <v>-</v>
      </c>
      <c r="BC216" s="165" t="str">
        <f t="shared" ca="1" si="341"/>
        <v>nie</v>
      </c>
    </row>
    <row r="217" spans="1:55" ht="14.45" hidden="1" customHeight="1" x14ac:dyDescent="0.25">
      <c r="A217" s="493"/>
      <c r="B217" s="493"/>
      <c r="C217" s="494"/>
      <c r="D217" s="506"/>
      <c r="E217" s="497"/>
      <c r="F217" s="497"/>
      <c r="G217" s="497"/>
      <c r="H217" s="498"/>
      <c r="I217" s="499"/>
      <c r="J217" s="177" t="s">
        <v>96</v>
      </c>
      <c r="K217" s="178">
        <f>SUM(N217:O217)</f>
        <v>3580830</v>
      </c>
      <c r="L217" s="179">
        <v>419444</v>
      </c>
      <c r="M217" s="180">
        <v>3161386</v>
      </c>
      <c r="N217" s="172">
        <f>SUM(L217:M217)</f>
        <v>3580830</v>
      </c>
      <c r="O217" s="178">
        <f>SUM(P217:Y217)</f>
        <v>0</v>
      </c>
      <c r="P217" s="181"/>
      <c r="Q217" s="180"/>
      <c r="R217" s="182"/>
      <c r="S217" s="183"/>
      <c r="T217" s="180"/>
      <c r="U217" s="180"/>
      <c r="V217" s="180"/>
      <c r="W217" s="180"/>
      <c r="X217" s="180"/>
      <c r="Y217" s="182"/>
      <c r="Z217" s="149" t="str">
        <f t="shared" ca="1" si="315"/>
        <v>nie</v>
      </c>
      <c r="AA217" s="366"/>
      <c r="AB217" s="150" t="str">
        <f t="shared" ca="1" si="345"/>
        <v>-</v>
      </c>
      <c r="AC217" s="151" t="str">
        <f t="shared" ca="1" si="316"/>
        <v>PRZED ZMIANĄ</v>
      </c>
      <c r="AD217" s="152" t="str">
        <f t="shared" ca="1" si="317"/>
        <v>PRZED ZMIANĄ</v>
      </c>
      <c r="AE217" s="153" t="str">
        <f t="shared" ca="1" si="318"/>
        <v>C/USN/III/P3/39</v>
      </c>
      <c r="AF217" s="154" t="str">
        <f t="shared" ca="1" si="319"/>
        <v>Budowa Parku R. Kozłowskiego</v>
      </c>
      <c r="AG217" s="155">
        <f t="shared" ca="1" si="320"/>
        <v>90004</v>
      </c>
      <c r="AH217" s="155" t="str">
        <f t="shared" ca="1" si="321"/>
        <v>6050</v>
      </c>
      <c r="AI217" s="156" t="str">
        <f t="shared" ca="1" si="322"/>
        <v>GMMW</v>
      </c>
      <c r="AJ217" s="157" t="str">
        <f t="shared" ca="1" si="323"/>
        <v>WPF/UM</v>
      </c>
      <c r="AK217" s="158" t="str">
        <f t="shared" ca="1" si="324"/>
        <v>C/USN/III/P3/39 90004 6050 GMMW</v>
      </c>
      <c r="AL217" s="158" t="str">
        <f t="shared" ca="1" si="325"/>
        <v>C/USN/III/P3/39 90004 6050 WPF/UM</v>
      </c>
      <c r="AM217" s="159" t="str">
        <f t="shared" ca="1" si="326"/>
        <v>C/USN/III/P3/39 90004 6050 GMMW WPF/UM</v>
      </c>
      <c r="AN217" s="160">
        <f t="shared" ca="1" si="327"/>
        <v>3580830</v>
      </c>
      <c r="AO217" s="161">
        <f t="shared" ca="1" si="328"/>
        <v>419444</v>
      </c>
      <c r="AP217" s="162">
        <f t="shared" ca="1" si="329"/>
        <v>3161386</v>
      </c>
      <c r="AQ217" s="163">
        <f t="shared" ca="1" si="330"/>
        <v>0</v>
      </c>
      <c r="AR217" s="164">
        <f t="shared" ca="1" si="331"/>
        <v>0</v>
      </c>
      <c r="AS217" s="164">
        <f t="shared" ca="1" si="332"/>
        <v>0</v>
      </c>
      <c r="AT217" s="164">
        <f t="shared" ca="1" si="333"/>
        <v>0</v>
      </c>
      <c r="AU217" s="164">
        <f t="shared" ca="1" si="334"/>
        <v>0</v>
      </c>
      <c r="AV217" s="164">
        <f t="shared" ca="1" si="335"/>
        <v>0</v>
      </c>
      <c r="AW217" s="164">
        <f t="shared" ca="1" si="336"/>
        <v>0</v>
      </c>
      <c r="AX217" s="164">
        <f t="shared" ca="1" si="337"/>
        <v>0</v>
      </c>
      <c r="AY217" s="164">
        <f t="shared" ca="1" si="338"/>
        <v>0</v>
      </c>
      <c r="AZ217" s="164">
        <f t="shared" ca="1" si="339"/>
        <v>0</v>
      </c>
      <c r="BA217" s="165" t="str">
        <f t="shared" ca="1" si="340"/>
        <v>nie</v>
      </c>
      <c r="BB217" s="166" t="str">
        <f t="shared" ca="1" si="346"/>
        <v>-</v>
      </c>
      <c r="BC217" s="165" t="str">
        <f t="shared" ca="1" si="341"/>
        <v>nie</v>
      </c>
    </row>
    <row r="218" spans="1:55" ht="14.45" hidden="1" customHeight="1" x14ac:dyDescent="0.25">
      <c r="A218" s="185" t="s">
        <v>97</v>
      </c>
      <c r="B218" s="186"/>
      <c r="C218" s="187"/>
      <c r="D218" s="186"/>
      <c r="E218" s="186"/>
      <c r="F218" s="186"/>
      <c r="G218" s="186"/>
      <c r="H218" s="186"/>
      <c r="I218" s="186"/>
      <c r="J218" s="186"/>
      <c r="K218" s="186"/>
      <c r="L218" s="186"/>
      <c r="M218" s="186"/>
      <c r="N218" s="186"/>
      <c r="O218" s="186"/>
      <c r="P218" s="186"/>
      <c r="Q218" s="186"/>
      <c r="R218" s="188"/>
      <c r="S218" s="189"/>
      <c r="T218" s="189"/>
      <c r="U218" s="189"/>
      <c r="V218" s="189"/>
      <c r="W218" s="189"/>
      <c r="X218" s="189"/>
      <c r="Y218" s="190"/>
      <c r="Z218" s="149" t="str">
        <f t="shared" ca="1" si="315"/>
        <v>nie</v>
      </c>
      <c r="AA218" s="366"/>
      <c r="AB218" s="150" t="str">
        <f t="shared" ca="1" si="345"/>
        <v>-</v>
      </c>
      <c r="AC218" s="151" t="str">
        <f t="shared" ca="1" si="316"/>
        <v>PROPONOWANA ZMIANA</v>
      </c>
      <c r="AD218" s="152" t="str">
        <f t="shared" ca="1" si="317"/>
        <v/>
      </c>
      <c r="AE218" s="153" t="str">
        <f t="shared" ca="1" si="318"/>
        <v/>
      </c>
      <c r="AF218" s="154" t="str">
        <f t="shared" ca="1" si="319"/>
        <v/>
      </c>
      <c r="AG218" s="155" t="str">
        <f t="shared" ca="1" si="320"/>
        <v/>
      </c>
      <c r="AH218" s="155" t="str">
        <f t="shared" ca="1" si="321"/>
        <v/>
      </c>
      <c r="AI218" s="156" t="str">
        <f t="shared" ca="1" si="322"/>
        <v/>
      </c>
      <c r="AJ218" s="157" t="str">
        <f t="shared" ca="1" si="323"/>
        <v/>
      </c>
      <c r="AK218" s="158" t="str">
        <f t="shared" ca="1" si="324"/>
        <v/>
      </c>
      <c r="AL218" s="158" t="str">
        <f t="shared" ca="1" si="325"/>
        <v/>
      </c>
      <c r="AM218" s="159" t="str">
        <f t="shared" ca="1" si="326"/>
        <v/>
      </c>
      <c r="AN218" s="160" t="str">
        <f t="shared" ca="1" si="327"/>
        <v/>
      </c>
      <c r="AO218" s="161" t="str">
        <f t="shared" ca="1" si="328"/>
        <v/>
      </c>
      <c r="AP218" s="162" t="str">
        <f t="shared" ca="1" si="329"/>
        <v/>
      </c>
      <c r="AQ218" s="163" t="str">
        <f t="shared" ca="1" si="330"/>
        <v/>
      </c>
      <c r="AR218" s="164" t="str">
        <f t="shared" ca="1" si="331"/>
        <v/>
      </c>
      <c r="AS218" s="164" t="str">
        <f t="shared" ca="1" si="332"/>
        <v/>
      </c>
      <c r="AT218" s="164" t="str">
        <f t="shared" ca="1" si="333"/>
        <v/>
      </c>
      <c r="AU218" s="164" t="str">
        <f t="shared" ca="1" si="334"/>
        <v/>
      </c>
      <c r="AV218" s="164" t="str">
        <f t="shared" ca="1" si="335"/>
        <v/>
      </c>
      <c r="AW218" s="164" t="str">
        <f t="shared" ca="1" si="336"/>
        <v/>
      </c>
      <c r="AX218" s="164" t="str">
        <f t="shared" ca="1" si="337"/>
        <v/>
      </c>
      <c r="AY218" s="164" t="str">
        <f t="shared" ca="1" si="338"/>
        <v/>
      </c>
      <c r="AZ218" s="164" t="str">
        <f t="shared" ca="1" si="339"/>
        <v/>
      </c>
      <c r="BA218" s="165" t="str">
        <f t="shared" ca="1" si="340"/>
        <v>nie</v>
      </c>
      <c r="BB218" s="166" t="str">
        <f t="shared" ca="1" si="346"/>
        <v>-</v>
      </c>
      <c r="BC218" s="165" t="str">
        <f t="shared" ca="1" si="341"/>
        <v>nie</v>
      </c>
    </row>
    <row r="219" spans="1:55" ht="14.45" hidden="1" customHeight="1" x14ac:dyDescent="0.25">
      <c r="A219" s="493" t="s">
        <v>24</v>
      </c>
      <c r="B219" s="493" t="s">
        <v>26</v>
      </c>
      <c r="C219" s="494" t="s">
        <v>134</v>
      </c>
      <c r="D219" s="505" t="s">
        <v>135</v>
      </c>
      <c r="E219" s="497">
        <v>900</v>
      </c>
      <c r="F219" s="497">
        <v>90004</v>
      </c>
      <c r="G219" s="497">
        <v>6050</v>
      </c>
      <c r="H219" s="507">
        <v>2021</v>
      </c>
      <c r="I219" s="499" t="str">
        <f ca="1">IF(COUNTIF(OFFSET(I219,-1,-8),"*propon*")&gt;0,OFFSET(I219,4,0),IF(Y219&gt;0,"2033",IF(X219&gt;0,"2032",IF(W219&gt;0,"2031",IF(V219&gt;0,"2030",IF(U219&gt;0,"2029",IF(T219&gt;0,"2028",IF(S219&gt;0,"2027",IF(R219&gt;0,"2026",IF(Q219&gt;0,"2025",IF(P219&gt;0,"2024",IF(M219&gt;0,"2023",IF(L219&gt;0,"2022","")))))))))))))</f>
        <v>2025</v>
      </c>
      <c r="J219" s="168" t="s">
        <v>98</v>
      </c>
      <c r="K219" s="169">
        <f>SUM(N219:O219)</f>
        <v>0</v>
      </c>
      <c r="L219" s="170">
        <f t="shared" ref="L219:M219" si="361">SUM(L220:L221)</f>
        <v>0</v>
      </c>
      <c r="M219" s="171">
        <f t="shared" si="361"/>
        <v>0</v>
      </c>
      <c r="N219" s="172">
        <f>SUM(L219:M219)</f>
        <v>0</v>
      </c>
      <c r="O219" s="169">
        <f>SUM(P219:Y219)</f>
        <v>0</v>
      </c>
      <c r="P219" s="173">
        <f t="shared" ref="P219:R219" si="362">SUM(P220:P221)</f>
        <v>0</v>
      </c>
      <c r="Q219" s="171">
        <f t="shared" si="362"/>
        <v>0</v>
      </c>
      <c r="R219" s="174">
        <f t="shared" si="362"/>
        <v>0</v>
      </c>
      <c r="S219" s="175">
        <f t="shared" ref="S219:Y219" si="363">SUM(S220:S221)</f>
        <v>0</v>
      </c>
      <c r="T219" s="171">
        <f t="shared" si="363"/>
        <v>0</v>
      </c>
      <c r="U219" s="171">
        <f t="shared" si="363"/>
        <v>0</v>
      </c>
      <c r="V219" s="171">
        <f t="shared" si="363"/>
        <v>0</v>
      </c>
      <c r="W219" s="171">
        <f t="shared" si="363"/>
        <v>0</v>
      </c>
      <c r="X219" s="171">
        <f t="shared" si="363"/>
        <v>0</v>
      </c>
      <c r="Y219" s="174">
        <f t="shared" si="363"/>
        <v>0</v>
      </c>
      <c r="Z219" s="149" t="str">
        <f t="shared" ca="1" si="315"/>
        <v>nie</v>
      </c>
      <c r="AA219" s="366"/>
      <c r="AB219" s="150" t="str">
        <f t="shared" ca="1" si="345"/>
        <v>-</v>
      </c>
      <c r="AC219" s="151" t="str">
        <f t="shared" ca="1" si="316"/>
        <v>PROPONOWANA ZMIANA</v>
      </c>
      <c r="AD219" s="152" t="str">
        <f t="shared" ca="1" si="317"/>
        <v>PROPONOWANA ZMIANA</v>
      </c>
      <c r="AE219" s="153" t="str">
        <f t="shared" ca="1" si="318"/>
        <v>C/USN/III/P3/39</v>
      </c>
      <c r="AF219" s="154" t="str">
        <f t="shared" ca="1" si="319"/>
        <v>Budowa Parku R. Kozłowskiego</v>
      </c>
      <c r="AG219" s="155">
        <f t="shared" ca="1" si="320"/>
        <v>90004</v>
      </c>
      <c r="AH219" s="155" t="str">
        <f t="shared" ca="1" si="321"/>
        <v>6050</v>
      </c>
      <c r="AI219" s="156" t="str">
        <f t="shared" ca="1" si="322"/>
        <v>GMMW</v>
      </c>
      <c r="AJ219" s="157" t="str">
        <f t="shared" ca="1" si="323"/>
        <v>WPF, w tym</v>
      </c>
      <c r="AK219" s="158" t="str">
        <f t="shared" ca="1" si="324"/>
        <v>C/USN/III/P3/39 90004 6050 GMMW</v>
      </c>
      <c r="AL219" s="158" t="str">
        <f t="shared" ca="1" si="325"/>
        <v>C/USN/III/P3/39 90004 6050 WPF, w tym</v>
      </c>
      <c r="AM219" s="159" t="str">
        <f t="shared" ca="1" si="326"/>
        <v>C/USN/III/P3/39 90004 6050 GMMW WPF, w tym</v>
      </c>
      <c r="AN219" s="160">
        <f t="shared" ca="1" si="327"/>
        <v>0</v>
      </c>
      <c r="AO219" s="161">
        <f t="shared" ca="1" si="328"/>
        <v>0</v>
      </c>
      <c r="AP219" s="162">
        <f t="shared" ca="1" si="329"/>
        <v>0</v>
      </c>
      <c r="AQ219" s="163">
        <f t="shared" ca="1" si="330"/>
        <v>0</v>
      </c>
      <c r="AR219" s="164">
        <f t="shared" ca="1" si="331"/>
        <v>0</v>
      </c>
      <c r="AS219" s="164">
        <f t="shared" ca="1" si="332"/>
        <v>0</v>
      </c>
      <c r="AT219" s="164">
        <f t="shared" ca="1" si="333"/>
        <v>0</v>
      </c>
      <c r="AU219" s="164">
        <f t="shared" ca="1" si="334"/>
        <v>0</v>
      </c>
      <c r="AV219" s="164">
        <f t="shared" ca="1" si="335"/>
        <v>0</v>
      </c>
      <c r="AW219" s="164">
        <f t="shared" ca="1" si="336"/>
        <v>0</v>
      </c>
      <c r="AX219" s="164">
        <f t="shared" ca="1" si="337"/>
        <v>0</v>
      </c>
      <c r="AY219" s="164">
        <f t="shared" ca="1" si="338"/>
        <v>0</v>
      </c>
      <c r="AZ219" s="164">
        <f t="shared" ca="1" si="339"/>
        <v>0</v>
      </c>
      <c r="BA219" s="165" t="str">
        <f t="shared" ca="1" si="340"/>
        <v>nie</v>
      </c>
      <c r="BB219" s="166" t="str">
        <f t="shared" ca="1" si="346"/>
        <v>-</v>
      </c>
      <c r="BC219" s="165" t="str">
        <f t="shared" ca="1" si="341"/>
        <v>nie</v>
      </c>
    </row>
    <row r="220" spans="1:55" ht="14.45" hidden="1" customHeight="1" x14ac:dyDescent="0.25">
      <c r="A220" s="493"/>
      <c r="B220" s="493"/>
      <c r="C220" s="494"/>
      <c r="D220" s="506"/>
      <c r="E220" s="497"/>
      <c r="F220" s="497"/>
      <c r="G220" s="497"/>
      <c r="H220" s="498"/>
      <c r="I220" s="499"/>
      <c r="J220" s="177" t="s">
        <v>99</v>
      </c>
      <c r="K220" s="178">
        <f>SUM(N220:O220)</f>
        <v>0</v>
      </c>
      <c r="L220" s="179">
        <f t="shared" ref="L220:M220" si="364">L224-L216</f>
        <v>0</v>
      </c>
      <c r="M220" s="180">
        <f t="shared" si="364"/>
        <v>0</v>
      </c>
      <c r="N220" s="172">
        <f>SUM(L220:M220)</f>
        <v>0</v>
      </c>
      <c r="O220" s="178">
        <f>SUM(P220:Y220)</f>
        <v>0</v>
      </c>
      <c r="P220" s="181">
        <f t="shared" ref="P220:R220" si="365">P224-P216</f>
        <v>0</v>
      </c>
      <c r="Q220" s="180">
        <f t="shared" si="365"/>
        <v>0</v>
      </c>
      <c r="R220" s="182">
        <f t="shared" si="365"/>
        <v>0</v>
      </c>
      <c r="S220" s="183">
        <f t="shared" ref="S220:Y221" si="366">S224-S216</f>
        <v>0</v>
      </c>
      <c r="T220" s="180">
        <f t="shared" si="366"/>
        <v>0</v>
      </c>
      <c r="U220" s="180">
        <f t="shared" si="366"/>
        <v>0</v>
      </c>
      <c r="V220" s="180">
        <f t="shared" si="366"/>
        <v>0</v>
      </c>
      <c r="W220" s="180">
        <f t="shared" si="366"/>
        <v>0</v>
      </c>
      <c r="X220" s="180">
        <f t="shared" si="366"/>
        <v>0</v>
      </c>
      <c r="Y220" s="182">
        <f t="shared" si="366"/>
        <v>0</v>
      </c>
      <c r="Z220" s="149" t="str">
        <f t="shared" ca="1" si="315"/>
        <v>nie</v>
      </c>
      <c r="AA220" s="366"/>
      <c r="AB220" s="150" t="str">
        <f t="shared" ca="1" si="345"/>
        <v>-</v>
      </c>
      <c r="AC220" s="151" t="str">
        <f t="shared" ca="1" si="316"/>
        <v>PROPONOWANA ZMIANA</v>
      </c>
      <c r="AD220" s="152" t="str">
        <f t="shared" ca="1" si="317"/>
        <v>PROPONOWANA ZMIANA</v>
      </c>
      <c r="AE220" s="153" t="str">
        <f t="shared" ca="1" si="318"/>
        <v>C/USN/III/P3/39</v>
      </c>
      <c r="AF220" s="154" t="str">
        <f t="shared" ca="1" si="319"/>
        <v>Budowa Parku R. Kozłowskiego</v>
      </c>
      <c r="AG220" s="155">
        <f t="shared" ca="1" si="320"/>
        <v>90004</v>
      </c>
      <c r="AH220" s="155" t="str">
        <f t="shared" ca="1" si="321"/>
        <v>6050</v>
      </c>
      <c r="AI220" s="156" t="str">
        <f t="shared" ca="1" si="322"/>
        <v>GMMW</v>
      </c>
      <c r="AJ220" s="157" t="str">
        <f t="shared" ca="1" si="323"/>
        <v>WPF/PM</v>
      </c>
      <c r="AK220" s="158" t="str">
        <f t="shared" ca="1" si="324"/>
        <v>C/USN/III/P3/39 90004 6050 GMMW</v>
      </c>
      <c r="AL220" s="158" t="str">
        <f t="shared" ca="1" si="325"/>
        <v>C/USN/III/P3/39 90004 6050 WPF/PM</v>
      </c>
      <c r="AM220" s="159" t="str">
        <f t="shared" ca="1" si="326"/>
        <v>C/USN/III/P3/39 90004 6050 GMMW WPF/PM</v>
      </c>
      <c r="AN220" s="160">
        <f t="shared" ca="1" si="327"/>
        <v>0</v>
      </c>
      <c r="AO220" s="161">
        <f t="shared" ca="1" si="328"/>
        <v>0</v>
      </c>
      <c r="AP220" s="162">
        <f t="shared" ca="1" si="329"/>
        <v>0</v>
      </c>
      <c r="AQ220" s="163">
        <f t="shared" ca="1" si="330"/>
        <v>0</v>
      </c>
      <c r="AR220" s="164">
        <f t="shared" ca="1" si="331"/>
        <v>0</v>
      </c>
      <c r="AS220" s="164">
        <f t="shared" ca="1" si="332"/>
        <v>0</v>
      </c>
      <c r="AT220" s="164">
        <f t="shared" ca="1" si="333"/>
        <v>0</v>
      </c>
      <c r="AU220" s="164">
        <f t="shared" ca="1" si="334"/>
        <v>0</v>
      </c>
      <c r="AV220" s="164">
        <f t="shared" ca="1" si="335"/>
        <v>0</v>
      </c>
      <c r="AW220" s="164">
        <f t="shared" ca="1" si="336"/>
        <v>0</v>
      </c>
      <c r="AX220" s="164">
        <f t="shared" ca="1" si="337"/>
        <v>0</v>
      </c>
      <c r="AY220" s="164">
        <f t="shared" ca="1" si="338"/>
        <v>0</v>
      </c>
      <c r="AZ220" s="164">
        <f t="shared" ca="1" si="339"/>
        <v>0</v>
      </c>
      <c r="BA220" s="165" t="str">
        <f t="shared" ca="1" si="340"/>
        <v>nie</v>
      </c>
      <c r="BB220" s="166" t="str">
        <f t="shared" ca="1" si="346"/>
        <v>-</v>
      </c>
      <c r="BC220" s="165" t="str">
        <f t="shared" ca="1" si="341"/>
        <v>nie</v>
      </c>
    </row>
    <row r="221" spans="1:55" ht="14.45" hidden="1" customHeight="1" x14ac:dyDescent="0.25">
      <c r="A221" s="493"/>
      <c r="B221" s="493"/>
      <c r="C221" s="494"/>
      <c r="D221" s="506"/>
      <c r="E221" s="497"/>
      <c r="F221" s="497"/>
      <c r="G221" s="497"/>
      <c r="H221" s="498"/>
      <c r="I221" s="499"/>
      <c r="J221" s="177" t="s">
        <v>100</v>
      </c>
      <c r="K221" s="178">
        <f>SUM(N221:O221)</f>
        <v>0</v>
      </c>
      <c r="L221" s="179">
        <f t="shared" ref="L221:M221" si="367">L225-L217</f>
        <v>0</v>
      </c>
      <c r="M221" s="180">
        <f t="shared" si="367"/>
        <v>0</v>
      </c>
      <c r="N221" s="172">
        <f>SUM(L221:M221)</f>
        <v>0</v>
      </c>
      <c r="O221" s="178">
        <f>SUM(P221:Y221)</f>
        <v>0</v>
      </c>
      <c r="P221" s="181">
        <f t="shared" ref="P221:R221" si="368">P225-P217</f>
        <v>0</v>
      </c>
      <c r="Q221" s="180">
        <f t="shared" si="368"/>
        <v>0</v>
      </c>
      <c r="R221" s="182">
        <f t="shared" si="368"/>
        <v>0</v>
      </c>
      <c r="S221" s="183">
        <f t="shared" si="366"/>
        <v>0</v>
      </c>
      <c r="T221" s="180">
        <f t="shared" si="366"/>
        <v>0</v>
      </c>
      <c r="U221" s="180">
        <f t="shared" si="366"/>
        <v>0</v>
      </c>
      <c r="V221" s="180">
        <f t="shared" si="366"/>
        <v>0</v>
      </c>
      <c r="W221" s="180">
        <f t="shared" si="366"/>
        <v>0</v>
      </c>
      <c r="X221" s="180">
        <f t="shared" si="366"/>
        <v>0</v>
      </c>
      <c r="Y221" s="182">
        <f t="shared" si="366"/>
        <v>0</v>
      </c>
      <c r="Z221" s="149" t="str">
        <f t="shared" ca="1" si="315"/>
        <v>nie</v>
      </c>
      <c r="AA221" s="366"/>
      <c r="AB221" s="150" t="str">
        <f t="shared" ca="1" si="345"/>
        <v>-</v>
      </c>
      <c r="AC221" s="151" t="str">
        <f t="shared" ca="1" si="316"/>
        <v>PROPONOWANA ZMIANA</v>
      </c>
      <c r="AD221" s="152" t="str">
        <f t="shared" ca="1" si="317"/>
        <v>PROPONOWANA ZMIANA</v>
      </c>
      <c r="AE221" s="153" t="str">
        <f t="shared" ca="1" si="318"/>
        <v>C/USN/III/P3/39</v>
      </c>
      <c r="AF221" s="154" t="str">
        <f t="shared" ca="1" si="319"/>
        <v>Budowa Parku R. Kozłowskiego</v>
      </c>
      <c r="AG221" s="155">
        <f t="shared" ca="1" si="320"/>
        <v>90004</v>
      </c>
      <c r="AH221" s="155" t="str">
        <f t="shared" ca="1" si="321"/>
        <v>6050</v>
      </c>
      <c r="AI221" s="156" t="str">
        <f t="shared" ca="1" si="322"/>
        <v>GMMW</v>
      </c>
      <c r="AJ221" s="157" t="str">
        <f t="shared" ca="1" si="323"/>
        <v>WPF/UM</v>
      </c>
      <c r="AK221" s="158" t="str">
        <f t="shared" ca="1" si="324"/>
        <v>C/USN/III/P3/39 90004 6050 GMMW</v>
      </c>
      <c r="AL221" s="158" t="str">
        <f t="shared" ca="1" si="325"/>
        <v>C/USN/III/P3/39 90004 6050 WPF/UM</v>
      </c>
      <c r="AM221" s="159" t="str">
        <f t="shared" ca="1" si="326"/>
        <v>C/USN/III/P3/39 90004 6050 GMMW WPF/UM</v>
      </c>
      <c r="AN221" s="160">
        <f t="shared" ca="1" si="327"/>
        <v>0</v>
      </c>
      <c r="AO221" s="161">
        <f t="shared" ca="1" si="328"/>
        <v>0</v>
      </c>
      <c r="AP221" s="162">
        <f t="shared" ca="1" si="329"/>
        <v>0</v>
      </c>
      <c r="AQ221" s="163">
        <f t="shared" ca="1" si="330"/>
        <v>0</v>
      </c>
      <c r="AR221" s="164">
        <f t="shared" ca="1" si="331"/>
        <v>0</v>
      </c>
      <c r="AS221" s="164">
        <f t="shared" ca="1" si="332"/>
        <v>0</v>
      </c>
      <c r="AT221" s="164">
        <f t="shared" ca="1" si="333"/>
        <v>0</v>
      </c>
      <c r="AU221" s="164">
        <f t="shared" ca="1" si="334"/>
        <v>0</v>
      </c>
      <c r="AV221" s="164">
        <f t="shared" ca="1" si="335"/>
        <v>0</v>
      </c>
      <c r="AW221" s="164">
        <f t="shared" ca="1" si="336"/>
        <v>0</v>
      </c>
      <c r="AX221" s="164">
        <f t="shared" ca="1" si="337"/>
        <v>0</v>
      </c>
      <c r="AY221" s="164">
        <f t="shared" ca="1" si="338"/>
        <v>0</v>
      </c>
      <c r="AZ221" s="164">
        <f t="shared" ca="1" si="339"/>
        <v>0</v>
      </c>
      <c r="BA221" s="165" t="str">
        <f t="shared" ca="1" si="340"/>
        <v>nie</v>
      </c>
      <c r="BB221" s="166" t="str">
        <f t="shared" ca="1" si="346"/>
        <v>-</v>
      </c>
      <c r="BC221" s="165" t="str">
        <f t="shared" ca="1" si="341"/>
        <v>nie</v>
      </c>
    </row>
    <row r="222" spans="1:55" ht="14.45" hidden="1" customHeight="1" x14ac:dyDescent="0.25">
      <c r="A222" s="191" t="s">
        <v>101</v>
      </c>
      <c r="B222" s="192"/>
      <c r="C222" s="193"/>
      <c r="D222" s="192"/>
      <c r="E222" s="192"/>
      <c r="F222" s="192"/>
      <c r="G222" s="192"/>
      <c r="H222" s="192"/>
      <c r="I222" s="192"/>
      <c r="J222" s="192"/>
      <c r="K222" s="192"/>
      <c r="L222" s="192"/>
      <c r="M222" s="192"/>
      <c r="N222" s="192"/>
      <c r="O222" s="192"/>
      <c r="P222" s="192"/>
      <c r="Q222" s="192"/>
      <c r="R222" s="194"/>
      <c r="S222" s="195"/>
      <c r="T222" s="195"/>
      <c r="U222" s="195"/>
      <c r="V222" s="195"/>
      <c r="W222" s="195"/>
      <c r="X222" s="195"/>
      <c r="Y222" s="196"/>
      <c r="Z222" s="149" t="str">
        <f t="shared" ca="1" si="315"/>
        <v>nie</v>
      </c>
      <c r="AA222" s="366"/>
      <c r="AB222" s="150" t="str">
        <f t="shared" ca="1" si="345"/>
        <v>-</v>
      </c>
      <c r="AC222" s="151" t="str">
        <f t="shared" ca="1" si="316"/>
        <v>PO ZMIANIE</v>
      </c>
      <c r="AD222" s="152" t="str">
        <f t="shared" ca="1" si="317"/>
        <v/>
      </c>
      <c r="AE222" s="153" t="str">
        <f t="shared" ca="1" si="318"/>
        <v/>
      </c>
      <c r="AF222" s="154" t="str">
        <f t="shared" ca="1" si="319"/>
        <v/>
      </c>
      <c r="AG222" s="155" t="str">
        <f t="shared" ca="1" si="320"/>
        <v/>
      </c>
      <c r="AH222" s="155" t="str">
        <f t="shared" ca="1" si="321"/>
        <v/>
      </c>
      <c r="AI222" s="156" t="str">
        <f t="shared" ca="1" si="322"/>
        <v/>
      </c>
      <c r="AJ222" s="157" t="str">
        <f t="shared" ca="1" si="323"/>
        <v/>
      </c>
      <c r="AK222" s="158" t="str">
        <f t="shared" ca="1" si="324"/>
        <v/>
      </c>
      <c r="AL222" s="158" t="str">
        <f t="shared" ca="1" si="325"/>
        <v/>
      </c>
      <c r="AM222" s="159" t="str">
        <f t="shared" ca="1" si="326"/>
        <v/>
      </c>
      <c r="AN222" s="160" t="str">
        <f t="shared" ca="1" si="327"/>
        <v/>
      </c>
      <c r="AO222" s="161" t="str">
        <f t="shared" ca="1" si="328"/>
        <v/>
      </c>
      <c r="AP222" s="162" t="str">
        <f t="shared" ca="1" si="329"/>
        <v/>
      </c>
      <c r="AQ222" s="163" t="str">
        <f t="shared" ca="1" si="330"/>
        <v/>
      </c>
      <c r="AR222" s="164" t="str">
        <f t="shared" ca="1" si="331"/>
        <v/>
      </c>
      <c r="AS222" s="164" t="str">
        <f t="shared" ca="1" si="332"/>
        <v/>
      </c>
      <c r="AT222" s="164" t="str">
        <f t="shared" ca="1" si="333"/>
        <v/>
      </c>
      <c r="AU222" s="164" t="str">
        <f t="shared" ca="1" si="334"/>
        <v/>
      </c>
      <c r="AV222" s="164" t="str">
        <f t="shared" ca="1" si="335"/>
        <v/>
      </c>
      <c r="AW222" s="164" t="str">
        <f t="shared" ca="1" si="336"/>
        <v/>
      </c>
      <c r="AX222" s="164" t="str">
        <f t="shared" ca="1" si="337"/>
        <v/>
      </c>
      <c r="AY222" s="164" t="str">
        <f t="shared" ca="1" si="338"/>
        <v/>
      </c>
      <c r="AZ222" s="164" t="str">
        <f t="shared" ca="1" si="339"/>
        <v/>
      </c>
      <c r="BA222" s="165" t="str">
        <f t="shared" ca="1" si="340"/>
        <v>nie</v>
      </c>
      <c r="BB222" s="166" t="str">
        <f t="shared" ca="1" si="346"/>
        <v>-</v>
      </c>
      <c r="BC222" s="165" t="str">
        <f t="shared" ca="1" si="341"/>
        <v>nie</v>
      </c>
    </row>
    <row r="223" spans="1:55" ht="14.45" hidden="1" customHeight="1" x14ac:dyDescent="0.25">
      <c r="A223" s="493" t="s">
        <v>24</v>
      </c>
      <c r="B223" s="493" t="s">
        <v>26</v>
      </c>
      <c r="C223" s="494" t="s">
        <v>134</v>
      </c>
      <c r="D223" s="505" t="s">
        <v>135</v>
      </c>
      <c r="E223" s="497">
        <v>900</v>
      </c>
      <c r="F223" s="497">
        <v>90004</v>
      </c>
      <c r="G223" s="497">
        <v>6050</v>
      </c>
      <c r="H223" s="507">
        <v>2021</v>
      </c>
      <c r="I223" s="499" t="str">
        <f ca="1">IF(COUNTIF(OFFSET(I223,-1,-8),"*propon*")&gt;0,OFFSET(I223,4,0),IF(Y223&gt;0,"2033",IF(X223&gt;0,"2032",IF(W223&gt;0,"2031",IF(V223&gt;0,"2030",IF(U223&gt;0,"2029",IF(T223&gt;0,"2028",IF(S223&gt;0,"2027",IF(R223&gt;0,"2026",IF(Q223&gt;0,"2025",IF(P223&gt;0,"2024",IF(M223&gt;0,"2023",IF(L223&gt;0,"2022","")))))))))))))</f>
        <v>2025</v>
      </c>
      <c r="J223" s="168" t="s">
        <v>102</v>
      </c>
      <c r="K223" s="169">
        <f>SUM(N223:O223)</f>
        <v>4525501</v>
      </c>
      <c r="L223" s="170">
        <f t="shared" ref="L223:M223" si="369">SUM(L224:L225)</f>
        <v>419444</v>
      </c>
      <c r="M223" s="171">
        <f t="shared" si="369"/>
        <v>3161386</v>
      </c>
      <c r="N223" s="172">
        <f>SUM(L223:M223)</f>
        <v>3580830</v>
      </c>
      <c r="O223" s="169">
        <f>SUM(P223:Y223)</f>
        <v>944671</v>
      </c>
      <c r="P223" s="173">
        <f t="shared" ref="P223:R223" si="370">SUM(P224:P225)</f>
        <v>480000</v>
      </c>
      <c r="Q223" s="171">
        <f t="shared" si="370"/>
        <v>464671</v>
      </c>
      <c r="R223" s="174">
        <f t="shared" si="370"/>
        <v>0</v>
      </c>
      <c r="S223" s="175">
        <f t="shared" ref="S223:Y223" si="371">SUM(S224:S225)</f>
        <v>0</v>
      </c>
      <c r="T223" s="171">
        <f t="shared" si="371"/>
        <v>0</v>
      </c>
      <c r="U223" s="171">
        <f t="shared" si="371"/>
        <v>0</v>
      </c>
      <c r="V223" s="171">
        <f t="shared" si="371"/>
        <v>0</v>
      </c>
      <c r="W223" s="171">
        <f t="shared" si="371"/>
        <v>0</v>
      </c>
      <c r="X223" s="171">
        <f t="shared" si="371"/>
        <v>0</v>
      </c>
      <c r="Y223" s="174">
        <f t="shared" si="371"/>
        <v>0</v>
      </c>
      <c r="Z223" s="149" t="str">
        <f t="shared" ca="1" si="315"/>
        <v>nie</v>
      </c>
      <c r="AA223" s="366"/>
      <c r="AB223" s="150" t="str">
        <f t="shared" ca="1" si="345"/>
        <v>-</v>
      </c>
      <c r="AC223" s="151" t="str">
        <f t="shared" ca="1" si="316"/>
        <v>PO ZMIANIE</v>
      </c>
      <c r="AD223" s="152" t="str">
        <f t="shared" ca="1" si="317"/>
        <v>PO ZMIANIE</v>
      </c>
      <c r="AE223" s="153" t="str">
        <f t="shared" ca="1" si="318"/>
        <v>C/USN/III/P3/39</v>
      </c>
      <c r="AF223" s="154" t="str">
        <f t="shared" ca="1" si="319"/>
        <v>Budowa Parku R. Kozłowskiego</v>
      </c>
      <c r="AG223" s="155">
        <f t="shared" ca="1" si="320"/>
        <v>90004</v>
      </c>
      <c r="AH223" s="155" t="str">
        <f t="shared" ca="1" si="321"/>
        <v>6050</v>
      </c>
      <c r="AI223" s="156" t="str">
        <f t="shared" ca="1" si="322"/>
        <v>GMMW</v>
      </c>
      <c r="AJ223" s="157" t="str">
        <f t="shared" ca="1" si="323"/>
        <v>WPF, w tym</v>
      </c>
      <c r="AK223" s="158" t="str">
        <f t="shared" ca="1" si="324"/>
        <v>C/USN/III/P3/39 90004 6050 GMMW</v>
      </c>
      <c r="AL223" s="158" t="str">
        <f t="shared" ca="1" si="325"/>
        <v>C/USN/III/P3/39 90004 6050 WPF, w tym</v>
      </c>
      <c r="AM223" s="159" t="str">
        <f t="shared" ca="1" si="326"/>
        <v>C/USN/III/P3/39 90004 6050 GMMW WPF, w tym</v>
      </c>
      <c r="AN223" s="160">
        <f t="shared" ca="1" si="327"/>
        <v>4525501</v>
      </c>
      <c r="AO223" s="161">
        <f t="shared" ca="1" si="328"/>
        <v>419444</v>
      </c>
      <c r="AP223" s="162">
        <f t="shared" ca="1" si="329"/>
        <v>3161386</v>
      </c>
      <c r="AQ223" s="163">
        <f t="shared" ca="1" si="330"/>
        <v>480000</v>
      </c>
      <c r="AR223" s="164">
        <f t="shared" ca="1" si="331"/>
        <v>464671</v>
      </c>
      <c r="AS223" s="164">
        <f t="shared" ca="1" si="332"/>
        <v>0</v>
      </c>
      <c r="AT223" s="164">
        <f t="shared" ca="1" si="333"/>
        <v>0</v>
      </c>
      <c r="AU223" s="164">
        <f t="shared" ca="1" si="334"/>
        <v>0</v>
      </c>
      <c r="AV223" s="164">
        <f t="shared" ca="1" si="335"/>
        <v>0</v>
      </c>
      <c r="AW223" s="164">
        <f t="shared" ca="1" si="336"/>
        <v>0</v>
      </c>
      <c r="AX223" s="164">
        <f t="shared" ca="1" si="337"/>
        <v>0</v>
      </c>
      <c r="AY223" s="164">
        <f t="shared" ca="1" si="338"/>
        <v>0</v>
      </c>
      <c r="AZ223" s="164">
        <f t="shared" ca="1" si="339"/>
        <v>0</v>
      </c>
      <c r="BA223" s="165" t="str">
        <f t="shared" ca="1" si="340"/>
        <v>nie</v>
      </c>
      <c r="BB223" s="166" t="str">
        <f t="shared" ca="1" si="346"/>
        <v>-</v>
      </c>
      <c r="BC223" s="165" t="str">
        <f t="shared" ca="1" si="341"/>
        <v>nie</v>
      </c>
    </row>
    <row r="224" spans="1:55" ht="14.45" hidden="1" customHeight="1" x14ac:dyDescent="0.25">
      <c r="A224" s="493"/>
      <c r="B224" s="493"/>
      <c r="C224" s="494"/>
      <c r="D224" s="506"/>
      <c r="E224" s="497"/>
      <c r="F224" s="497"/>
      <c r="G224" s="497"/>
      <c r="H224" s="498"/>
      <c r="I224" s="499"/>
      <c r="J224" s="177" t="s">
        <v>103</v>
      </c>
      <c r="K224" s="178">
        <f>SUM(N224:O224)</f>
        <v>944671</v>
      </c>
      <c r="L224" s="179"/>
      <c r="M224" s="180"/>
      <c r="N224" s="172">
        <f>SUM(L224:M224)</f>
        <v>0</v>
      </c>
      <c r="O224" s="178">
        <f>SUM(P224:Y224)</f>
        <v>944671</v>
      </c>
      <c r="P224" s="181">
        <v>480000</v>
      </c>
      <c r="Q224" s="180">
        <f>464671</f>
        <v>464671</v>
      </c>
      <c r="R224" s="182"/>
      <c r="S224" s="183"/>
      <c r="T224" s="180"/>
      <c r="U224" s="180"/>
      <c r="V224" s="180"/>
      <c r="W224" s="180"/>
      <c r="X224" s="180"/>
      <c r="Y224" s="182"/>
      <c r="Z224" s="149" t="str">
        <f t="shared" ca="1" si="315"/>
        <v>nie</v>
      </c>
      <c r="AA224" s="384"/>
      <c r="AB224" s="150" t="str">
        <f t="shared" ca="1" si="345"/>
        <v>-</v>
      </c>
      <c r="AC224" s="151" t="str">
        <f t="shared" ca="1" si="316"/>
        <v>PO ZMIANIE</v>
      </c>
      <c r="AD224" s="152" t="str">
        <f t="shared" ca="1" si="317"/>
        <v>PO ZMIANIE</v>
      </c>
      <c r="AE224" s="153" t="str">
        <f t="shared" ca="1" si="318"/>
        <v>C/USN/III/P3/39</v>
      </c>
      <c r="AF224" s="154" t="str">
        <f t="shared" ca="1" si="319"/>
        <v>Budowa Parku R. Kozłowskiego</v>
      </c>
      <c r="AG224" s="155">
        <f t="shared" ca="1" si="320"/>
        <v>90004</v>
      </c>
      <c r="AH224" s="155" t="str">
        <f t="shared" ca="1" si="321"/>
        <v>6050</v>
      </c>
      <c r="AI224" s="156" t="str">
        <f t="shared" ca="1" si="322"/>
        <v>GMMW</v>
      </c>
      <c r="AJ224" s="157" t="str">
        <f t="shared" ca="1" si="323"/>
        <v>WPF/PM</v>
      </c>
      <c r="AK224" s="158" t="str">
        <f t="shared" ca="1" si="324"/>
        <v>C/USN/III/P3/39 90004 6050 GMMW</v>
      </c>
      <c r="AL224" s="158" t="str">
        <f t="shared" ca="1" si="325"/>
        <v>C/USN/III/P3/39 90004 6050 WPF/PM</v>
      </c>
      <c r="AM224" s="159" t="str">
        <f t="shared" ca="1" si="326"/>
        <v>C/USN/III/P3/39 90004 6050 GMMW WPF/PM</v>
      </c>
      <c r="AN224" s="160">
        <f t="shared" ca="1" si="327"/>
        <v>944671</v>
      </c>
      <c r="AO224" s="161">
        <f t="shared" ca="1" si="328"/>
        <v>0</v>
      </c>
      <c r="AP224" s="162">
        <f t="shared" ca="1" si="329"/>
        <v>0</v>
      </c>
      <c r="AQ224" s="163">
        <f t="shared" ca="1" si="330"/>
        <v>480000</v>
      </c>
      <c r="AR224" s="164">
        <f t="shared" ca="1" si="331"/>
        <v>464671</v>
      </c>
      <c r="AS224" s="164">
        <f t="shared" ca="1" si="332"/>
        <v>0</v>
      </c>
      <c r="AT224" s="164">
        <f t="shared" ca="1" si="333"/>
        <v>0</v>
      </c>
      <c r="AU224" s="164">
        <f t="shared" ca="1" si="334"/>
        <v>0</v>
      </c>
      <c r="AV224" s="164">
        <f t="shared" ca="1" si="335"/>
        <v>0</v>
      </c>
      <c r="AW224" s="164">
        <f t="shared" ca="1" si="336"/>
        <v>0</v>
      </c>
      <c r="AX224" s="164">
        <f t="shared" ca="1" si="337"/>
        <v>0</v>
      </c>
      <c r="AY224" s="164">
        <f t="shared" ca="1" si="338"/>
        <v>0</v>
      </c>
      <c r="AZ224" s="164">
        <f t="shared" ca="1" si="339"/>
        <v>0</v>
      </c>
      <c r="BA224" s="165" t="str">
        <f t="shared" ca="1" si="340"/>
        <v>nie</v>
      </c>
      <c r="BB224" s="166" t="str">
        <f t="shared" ca="1" si="346"/>
        <v>-</v>
      </c>
      <c r="BC224" s="165" t="str">
        <f t="shared" ca="1" si="341"/>
        <v>nie</v>
      </c>
    </row>
    <row r="225" spans="1:55" ht="14.45" hidden="1" customHeight="1" thickBot="1" x14ac:dyDescent="0.3">
      <c r="A225" s="500"/>
      <c r="B225" s="500"/>
      <c r="C225" s="501"/>
      <c r="D225" s="513"/>
      <c r="E225" s="503"/>
      <c r="F225" s="503"/>
      <c r="G225" s="503"/>
      <c r="H225" s="504"/>
      <c r="I225" s="499"/>
      <c r="J225" s="197" t="s">
        <v>104</v>
      </c>
      <c r="K225" s="198">
        <f>SUM(N225:O225)</f>
        <v>3580830</v>
      </c>
      <c r="L225" s="204">
        <v>419444</v>
      </c>
      <c r="M225" s="200">
        <f>3226057-64671</f>
        <v>3161386</v>
      </c>
      <c r="N225" s="371">
        <f>SUM(L225:M225)</f>
        <v>3580830</v>
      </c>
      <c r="O225" s="198">
        <f>SUM(P225:Y225)</f>
        <v>0</v>
      </c>
      <c r="P225" s="201"/>
      <c r="Q225" s="200"/>
      <c r="R225" s="202"/>
      <c r="S225" s="203"/>
      <c r="T225" s="200"/>
      <c r="U225" s="200"/>
      <c r="V225" s="200"/>
      <c r="W225" s="200"/>
      <c r="X225" s="200"/>
      <c r="Y225" s="202"/>
      <c r="Z225" s="149" t="str">
        <f t="shared" ca="1" si="315"/>
        <v>nie</v>
      </c>
      <c r="AA225" s="384"/>
      <c r="AB225" s="150" t="str">
        <f t="shared" ca="1" si="345"/>
        <v>-</v>
      </c>
      <c r="AC225" s="151" t="str">
        <f t="shared" ca="1" si="316"/>
        <v>PO ZMIANIE</v>
      </c>
      <c r="AD225" s="152" t="str">
        <f t="shared" ca="1" si="317"/>
        <v>PO ZMIANIE</v>
      </c>
      <c r="AE225" s="153" t="str">
        <f t="shared" ca="1" si="318"/>
        <v>C/USN/III/P3/39</v>
      </c>
      <c r="AF225" s="154" t="str">
        <f t="shared" ca="1" si="319"/>
        <v>Budowa Parku R. Kozłowskiego</v>
      </c>
      <c r="AG225" s="155">
        <f t="shared" ca="1" si="320"/>
        <v>90004</v>
      </c>
      <c r="AH225" s="155" t="str">
        <f t="shared" ca="1" si="321"/>
        <v>6050</v>
      </c>
      <c r="AI225" s="156" t="str">
        <f t="shared" ca="1" si="322"/>
        <v>GMMW</v>
      </c>
      <c r="AJ225" s="157" t="str">
        <f t="shared" ca="1" si="323"/>
        <v>WPF/UM</v>
      </c>
      <c r="AK225" s="158" t="str">
        <f t="shared" ca="1" si="324"/>
        <v>C/USN/III/P3/39 90004 6050 GMMW</v>
      </c>
      <c r="AL225" s="158" t="str">
        <f t="shared" ca="1" si="325"/>
        <v>C/USN/III/P3/39 90004 6050 WPF/UM</v>
      </c>
      <c r="AM225" s="159" t="str">
        <f t="shared" ca="1" si="326"/>
        <v>C/USN/III/P3/39 90004 6050 GMMW WPF/UM</v>
      </c>
      <c r="AN225" s="160">
        <f t="shared" ca="1" si="327"/>
        <v>3580830</v>
      </c>
      <c r="AO225" s="161">
        <f t="shared" ca="1" si="328"/>
        <v>419444</v>
      </c>
      <c r="AP225" s="162">
        <f t="shared" ca="1" si="329"/>
        <v>3161386</v>
      </c>
      <c r="AQ225" s="163">
        <f t="shared" ca="1" si="330"/>
        <v>0</v>
      </c>
      <c r="AR225" s="164">
        <f t="shared" ca="1" si="331"/>
        <v>0</v>
      </c>
      <c r="AS225" s="164">
        <f t="shared" ca="1" si="332"/>
        <v>0</v>
      </c>
      <c r="AT225" s="164">
        <f t="shared" ca="1" si="333"/>
        <v>0</v>
      </c>
      <c r="AU225" s="164">
        <f t="shared" ca="1" si="334"/>
        <v>0</v>
      </c>
      <c r="AV225" s="164">
        <f t="shared" ca="1" si="335"/>
        <v>0</v>
      </c>
      <c r="AW225" s="164">
        <f t="shared" ca="1" si="336"/>
        <v>0</v>
      </c>
      <c r="AX225" s="164">
        <f t="shared" ca="1" si="337"/>
        <v>0</v>
      </c>
      <c r="AY225" s="164">
        <f t="shared" ca="1" si="338"/>
        <v>0</v>
      </c>
      <c r="AZ225" s="164">
        <f t="shared" ca="1" si="339"/>
        <v>0</v>
      </c>
      <c r="BA225" s="165" t="str">
        <f t="shared" ca="1" si="340"/>
        <v>nie</v>
      </c>
      <c r="BB225" s="166" t="str">
        <f t="shared" ca="1" si="346"/>
        <v>-</v>
      </c>
      <c r="BC225" s="165" t="str">
        <f t="shared" ca="1" si="341"/>
        <v>nie</v>
      </c>
    </row>
    <row r="226" spans="1:55" ht="14.45" hidden="1" customHeight="1" x14ac:dyDescent="0.25">
      <c r="A226" s="143" t="s">
        <v>91</v>
      </c>
      <c r="B226" s="144"/>
      <c r="C226" s="145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6"/>
      <c r="S226" s="147"/>
      <c r="T226" s="147"/>
      <c r="U226" s="147"/>
      <c r="V226" s="147"/>
      <c r="W226" s="147"/>
      <c r="X226" s="147"/>
      <c r="Y226" s="148"/>
      <c r="Z226" s="149" t="str">
        <f t="shared" ca="1" si="315"/>
        <v>nie</v>
      </c>
      <c r="AA226" s="366"/>
      <c r="AB226" s="150" t="str">
        <f t="shared" ca="1" si="345"/>
        <v>-</v>
      </c>
      <c r="AC226" s="151" t="str">
        <f t="shared" ca="1" si="316"/>
        <v>PRZED ZMIANĄ</v>
      </c>
      <c r="AD226" s="152" t="str">
        <f t="shared" ca="1" si="317"/>
        <v/>
      </c>
      <c r="AE226" s="153" t="str">
        <f t="shared" ca="1" si="318"/>
        <v/>
      </c>
      <c r="AF226" s="154" t="str">
        <f t="shared" ca="1" si="319"/>
        <v/>
      </c>
      <c r="AG226" s="155" t="str">
        <f t="shared" ca="1" si="320"/>
        <v/>
      </c>
      <c r="AH226" s="155" t="str">
        <f t="shared" ca="1" si="321"/>
        <v/>
      </c>
      <c r="AI226" s="156" t="str">
        <f t="shared" ca="1" si="322"/>
        <v/>
      </c>
      <c r="AJ226" s="157" t="str">
        <f t="shared" ca="1" si="323"/>
        <v/>
      </c>
      <c r="AK226" s="158" t="str">
        <f t="shared" ca="1" si="324"/>
        <v/>
      </c>
      <c r="AL226" s="158" t="str">
        <f t="shared" ca="1" si="325"/>
        <v/>
      </c>
      <c r="AM226" s="159" t="str">
        <f t="shared" ca="1" si="326"/>
        <v/>
      </c>
      <c r="AN226" s="160" t="str">
        <f t="shared" ca="1" si="327"/>
        <v/>
      </c>
      <c r="AO226" s="161" t="str">
        <f t="shared" ca="1" si="328"/>
        <v/>
      </c>
      <c r="AP226" s="162" t="str">
        <f t="shared" ca="1" si="329"/>
        <v/>
      </c>
      <c r="AQ226" s="163" t="str">
        <f t="shared" ca="1" si="330"/>
        <v/>
      </c>
      <c r="AR226" s="164" t="str">
        <f t="shared" ca="1" si="331"/>
        <v/>
      </c>
      <c r="AS226" s="164" t="str">
        <f t="shared" ca="1" si="332"/>
        <v/>
      </c>
      <c r="AT226" s="164" t="str">
        <f t="shared" ca="1" si="333"/>
        <v/>
      </c>
      <c r="AU226" s="164" t="str">
        <f t="shared" ca="1" si="334"/>
        <v/>
      </c>
      <c r="AV226" s="164" t="str">
        <f t="shared" ca="1" si="335"/>
        <v/>
      </c>
      <c r="AW226" s="164" t="str">
        <f t="shared" ca="1" si="336"/>
        <v/>
      </c>
      <c r="AX226" s="164" t="str">
        <f t="shared" ca="1" si="337"/>
        <v/>
      </c>
      <c r="AY226" s="164" t="str">
        <f t="shared" ca="1" si="338"/>
        <v/>
      </c>
      <c r="AZ226" s="164" t="str">
        <f t="shared" ca="1" si="339"/>
        <v/>
      </c>
      <c r="BA226" s="165" t="str">
        <f t="shared" ca="1" si="340"/>
        <v>nie</v>
      </c>
      <c r="BB226" s="166" t="str">
        <f t="shared" ca="1" si="346"/>
        <v>-</v>
      </c>
      <c r="BC226" s="165" t="str">
        <f t="shared" ca="1" si="341"/>
        <v>nie</v>
      </c>
    </row>
    <row r="227" spans="1:55" ht="14.45" hidden="1" customHeight="1" x14ac:dyDescent="0.25">
      <c r="A227" s="493" t="s">
        <v>24</v>
      </c>
      <c r="B227" s="493" t="s">
        <v>30</v>
      </c>
      <c r="C227" s="494" t="s">
        <v>134</v>
      </c>
      <c r="D227" s="505" t="s">
        <v>135</v>
      </c>
      <c r="E227" s="497">
        <v>900</v>
      </c>
      <c r="F227" s="497">
        <v>90004</v>
      </c>
      <c r="G227" s="497">
        <v>6050</v>
      </c>
      <c r="H227" s="507">
        <v>2021</v>
      </c>
      <c r="I227" s="499" t="str">
        <f ca="1">IF(COUNTIF(OFFSET(I227,-1,-8),"*propon*")&gt;0,OFFSET(I227,4,0),IF(Y227&gt;0,"2033",IF(X227&gt;0,"2032",IF(W227&gt;0,"2031",IF(V227&gt;0,"2030",IF(U227&gt;0,"2029",IF(T227&gt;0,"2028",IF(S227&gt;0,"2027",IF(R227&gt;0,"2026",IF(Q227&gt;0,"2025",IF(P227&gt;0,"2024",IF(M227&gt;0,"2023",IF(L227&gt;0,"2022","")))))))))))))</f>
        <v>2023</v>
      </c>
      <c r="J227" s="168" t="s">
        <v>94</v>
      </c>
      <c r="K227" s="169">
        <f>SUM(N227:O227)</f>
        <v>2500000</v>
      </c>
      <c r="L227" s="170">
        <f t="shared" ref="L227:M227" si="372">SUM(L228:L229)</f>
        <v>500000</v>
      </c>
      <c r="M227" s="171">
        <f t="shared" si="372"/>
        <v>2000000</v>
      </c>
      <c r="N227" s="172">
        <f>SUM(L227:M227)</f>
        <v>2500000</v>
      </c>
      <c r="O227" s="169">
        <f>SUM(P227:Y227)</f>
        <v>0</v>
      </c>
      <c r="P227" s="173">
        <f t="shared" ref="P227:R227" si="373">SUM(P228:P229)</f>
        <v>0</v>
      </c>
      <c r="Q227" s="171">
        <f t="shared" si="373"/>
        <v>0</v>
      </c>
      <c r="R227" s="174">
        <f t="shared" si="373"/>
        <v>0</v>
      </c>
      <c r="S227" s="175">
        <f t="shared" ref="S227:Y227" si="374">SUM(S228:S229)</f>
        <v>0</v>
      </c>
      <c r="T227" s="171">
        <f t="shared" si="374"/>
        <v>0</v>
      </c>
      <c r="U227" s="171">
        <f t="shared" si="374"/>
        <v>0</v>
      </c>
      <c r="V227" s="171">
        <f t="shared" si="374"/>
        <v>0</v>
      </c>
      <c r="W227" s="171">
        <f t="shared" si="374"/>
        <v>0</v>
      </c>
      <c r="X227" s="171">
        <f t="shared" si="374"/>
        <v>0</v>
      </c>
      <c r="Y227" s="174">
        <f t="shared" si="374"/>
        <v>0</v>
      </c>
      <c r="Z227" s="149" t="str">
        <f t="shared" ca="1" si="315"/>
        <v>nie</v>
      </c>
      <c r="AA227" s="366"/>
      <c r="AB227" s="150" t="str">
        <f t="shared" ca="1" si="345"/>
        <v>-</v>
      </c>
      <c r="AC227" s="151" t="str">
        <f t="shared" ca="1" si="316"/>
        <v>PRZED ZMIANĄ</v>
      </c>
      <c r="AD227" s="152" t="str">
        <f t="shared" ca="1" si="317"/>
        <v>PRZED ZMIANĄ</v>
      </c>
      <c r="AE227" s="153" t="str">
        <f t="shared" ca="1" si="318"/>
        <v>C/USN/III/P3/39</v>
      </c>
      <c r="AF227" s="154" t="str">
        <f t="shared" ca="1" si="319"/>
        <v>Budowa Parku R. Kozłowskiego</v>
      </c>
      <c r="AG227" s="155">
        <f t="shared" ca="1" si="320"/>
        <v>90004</v>
      </c>
      <c r="AH227" s="155" t="str">
        <f t="shared" ca="1" si="321"/>
        <v>6050</v>
      </c>
      <c r="AI227" s="156" t="str">
        <f t="shared" ca="1" si="322"/>
        <v>MWPO</v>
      </c>
      <c r="AJ227" s="157" t="str">
        <f t="shared" ca="1" si="323"/>
        <v>WPF, w tym</v>
      </c>
      <c r="AK227" s="158" t="str">
        <f t="shared" ca="1" si="324"/>
        <v>C/USN/III/P3/39 90004 6050 MWPO</v>
      </c>
      <c r="AL227" s="158" t="str">
        <f t="shared" ca="1" si="325"/>
        <v>C/USN/III/P3/39 90004 6050 WPF, w tym</v>
      </c>
      <c r="AM227" s="159" t="str">
        <f t="shared" ca="1" si="326"/>
        <v>C/USN/III/P3/39 90004 6050 MWPO WPF, w tym</v>
      </c>
      <c r="AN227" s="160">
        <f t="shared" ca="1" si="327"/>
        <v>2500000</v>
      </c>
      <c r="AO227" s="161">
        <f t="shared" ca="1" si="328"/>
        <v>500000</v>
      </c>
      <c r="AP227" s="162">
        <f t="shared" ca="1" si="329"/>
        <v>2000000</v>
      </c>
      <c r="AQ227" s="163">
        <f t="shared" ca="1" si="330"/>
        <v>0</v>
      </c>
      <c r="AR227" s="164">
        <f t="shared" ca="1" si="331"/>
        <v>0</v>
      </c>
      <c r="AS227" s="164">
        <f t="shared" ca="1" si="332"/>
        <v>0</v>
      </c>
      <c r="AT227" s="164">
        <f t="shared" ca="1" si="333"/>
        <v>0</v>
      </c>
      <c r="AU227" s="164">
        <f t="shared" ca="1" si="334"/>
        <v>0</v>
      </c>
      <c r="AV227" s="164">
        <f t="shared" ca="1" si="335"/>
        <v>0</v>
      </c>
      <c r="AW227" s="164">
        <f t="shared" ca="1" si="336"/>
        <v>0</v>
      </c>
      <c r="AX227" s="164">
        <f t="shared" ca="1" si="337"/>
        <v>0</v>
      </c>
      <c r="AY227" s="164">
        <f t="shared" ca="1" si="338"/>
        <v>0</v>
      </c>
      <c r="AZ227" s="164">
        <f t="shared" ca="1" si="339"/>
        <v>0</v>
      </c>
      <c r="BA227" s="165" t="str">
        <f t="shared" ca="1" si="340"/>
        <v>nie</v>
      </c>
      <c r="BB227" s="166" t="str">
        <f t="shared" ca="1" si="346"/>
        <v>-</v>
      </c>
      <c r="BC227" s="165" t="str">
        <f t="shared" ca="1" si="341"/>
        <v>nie</v>
      </c>
    </row>
    <row r="228" spans="1:55" ht="14.45" hidden="1" customHeight="1" x14ac:dyDescent="0.25">
      <c r="A228" s="493"/>
      <c r="B228" s="493"/>
      <c r="C228" s="494"/>
      <c r="D228" s="506"/>
      <c r="E228" s="497"/>
      <c r="F228" s="497"/>
      <c r="G228" s="497"/>
      <c r="H228" s="498"/>
      <c r="I228" s="499"/>
      <c r="J228" s="177" t="s">
        <v>95</v>
      </c>
      <c r="K228" s="178">
        <f>SUM(N228:O228)</f>
        <v>0</v>
      </c>
      <c r="L228" s="179"/>
      <c r="M228" s="180"/>
      <c r="N228" s="172">
        <f>SUM(L228:M228)</f>
        <v>0</v>
      </c>
      <c r="O228" s="178">
        <f>SUM(P228:Y228)</f>
        <v>0</v>
      </c>
      <c r="P228" s="181"/>
      <c r="Q228" s="180"/>
      <c r="R228" s="182"/>
      <c r="S228" s="183"/>
      <c r="T228" s="180"/>
      <c r="U228" s="180"/>
      <c r="V228" s="180"/>
      <c r="W228" s="180"/>
      <c r="X228" s="180"/>
      <c r="Y228" s="182"/>
      <c r="Z228" s="149" t="str">
        <f t="shared" ca="1" si="315"/>
        <v>nie</v>
      </c>
      <c r="AA228" s="366"/>
      <c r="AB228" s="150" t="str">
        <f t="shared" ca="1" si="345"/>
        <v>-</v>
      </c>
      <c r="AC228" s="151" t="str">
        <f t="shared" ca="1" si="316"/>
        <v>PRZED ZMIANĄ</v>
      </c>
      <c r="AD228" s="152" t="str">
        <f t="shared" ca="1" si="317"/>
        <v>PRZED ZMIANĄ</v>
      </c>
      <c r="AE228" s="153" t="str">
        <f t="shared" ca="1" si="318"/>
        <v>C/USN/III/P3/39</v>
      </c>
      <c r="AF228" s="154" t="str">
        <f t="shared" ca="1" si="319"/>
        <v>Budowa Parku R. Kozłowskiego</v>
      </c>
      <c r="AG228" s="155">
        <f t="shared" ca="1" si="320"/>
        <v>90004</v>
      </c>
      <c r="AH228" s="155" t="str">
        <f t="shared" ca="1" si="321"/>
        <v>6050</v>
      </c>
      <c r="AI228" s="156" t="str">
        <f t="shared" ca="1" si="322"/>
        <v>MWPO</v>
      </c>
      <c r="AJ228" s="157" t="str">
        <f t="shared" ca="1" si="323"/>
        <v>WPF/PM</v>
      </c>
      <c r="AK228" s="158" t="str">
        <f t="shared" ca="1" si="324"/>
        <v>C/USN/III/P3/39 90004 6050 MWPO</v>
      </c>
      <c r="AL228" s="158" t="str">
        <f t="shared" ca="1" si="325"/>
        <v>C/USN/III/P3/39 90004 6050 WPF/PM</v>
      </c>
      <c r="AM228" s="159" t="str">
        <f t="shared" ca="1" si="326"/>
        <v>C/USN/III/P3/39 90004 6050 MWPO WPF/PM</v>
      </c>
      <c r="AN228" s="160">
        <f t="shared" ca="1" si="327"/>
        <v>0</v>
      </c>
      <c r="AO228" s="161">
        <f t="shared" ca="1" si="328"/>
        <v>0</v>
      </c>
      <c r="AP228" s="162">
        <f t="shared" ca="1" si="329"/>
        <v>0</v>
      </c>
      <c r="AQ228" s="163">
        <f t="shared" ca="1" si="330"/>
        <v>0</v>
      </c>
      <c r="AR228" s="164">
        <f t="shared" ca="1" si="331"/>
        <v>0</v>
      </c>
      <c r="AS228" s="164">
        <f t="shared" ca="1" si="332"/>
        <v>0</v>
      </c>
      <c r="AT228" s="164">
        <f t="shared" ca="1" si="333"/>
        <v>0</v>
      </c>
      <c r="AU228" s="164">
        <f t="shared" ca="1" si="334"/>
        <v>0</v>
      </c>
      <c r="AV228" s="164">
        <f t="shared" ca="1" si="335"/>
        <v>0</v>
      </c>
      <c r="AW228" s="164">
        <f t="shared" ca="1" si="336"/>
        <v>0</v>
      </c>
      <c r="AX228" s="164">
        <f t="shared" ca="1" si="337"/>
        <v>0</v>
      </c>
      <c r="AY228" s="164">
        <f t="shared" ca="1" si="338"/>
        <v>0</v>
      </c>
      <c r="AZ228" s="164">
        <f t="shared" ca="1" si="339"/>
        <v>0</v>
      </c>
      <c r="BA228" s="165" t="str">
        <f t="shared" ca="1" si="340"/>
        <v>nie</v>
      </c>
      <c r="BB228" s="166" t="str">
        <f t="shared" ca="1" si="346"/>
        <v>-</v>
      </c>
      <c r="BC228" s="165" t="str">
        <f t="shared" ca="1" si="341"/>
        <v>nie</v>
      </c>
    </row>
    <row r="229" spans="1:55" ht="14.45" hidden="1" customHeight="1" x14ac:dyDescent="0.25">
      <c r="A229" s="493"/>
      <c r="B229" s="493"/>
      <c r="C229" s="494"/>
      <c r="D229" s="506"/>
      <c r="E229" s="497"/>
      <c r="F229" s="497"/>
      <c r="G229" s="497"/>
      <c r="H229" s="498"/>
      <c r="I229" s="499"/>
      <c r="J229" s="177" t="s">
        <v>96</v>
      </c>
      <c r="K229" s="178">
        <f>SUM(N229:O229)</f>
        <v>2500000</v>
      </c>
      <c r="L229" s="184">
        <v>500000</v>
      </c>
      <c r="M229" s="180">
        <v>2000000</v>
      </c>
      <c r="N229" s="172">
        <f>SUM(L229:M229)</f>
        <v>2500000</v>
      </c>
      <c r="O229" s="178">
        <f>SUM(P229:Y229)</f>
        <v>0</v>
      </c>
      <c r="P229" s="181"/>
      <c r="Q229" s="180"/>
      <c r="R229" s="182"/>
      <c r="S229" s="183"/>
      <c r="T229" s="180"/>
      <c r="U229" s="180"/>
      <c r="V229" s="180"/>
      <c r="W229" s="180"/>
      <c r="X229" s="180"/>
      <c r="Y229" s="182"/>
      <c r="Z229" s="149" t="str">
        <f t="shared" ca="1" si="315"/>
        <v>nie</v>
      </c>
      <c r="AA229" s="366"/>
      <c r="AB229" s="150" t="str">
        <f t="shared" ca="1" si="345"/>
        <v>-</v>
      </c>
      <c r="AC229" s="151" t="str">
        <f t="shared" ca="1" si="316"/>
        <v>PRZED ZMIANĄ</v>
      </c>
      <c r="AD229" s="152" t="str">
        <f t="shared" ca="1" si="317"/>
        <v>PRZED ZMIANĄ</v>
      </c>
      <c r="AE229" s="153" t="str">
        <f t="shared" ca="1" si="318"/>
        <v>C/USN/III/P3/39</v>
      </c>
      <c r="AF229" s="154" t="str">
        <f t="shared" ca="1" si="319"/>
        <v>Budowa Parku R. Kozłowskiego</v>
      </c>
      <c r="AG229" s="155">
        <f t="shared" ca="1" si="320"/>
        <v>90004</v>
      </c>
      <c r="AH229" s="155" t="str">
        <f t="shared" ca="1" si="321"/>
        <v>6050</v>
      </c>
      <c r="AI229" s="156" t="str">
        <f t="shared" ca="1" si="322"/>
        <v>MWPO</v>
      </c>
      <c r="AJ229" s="157" t="str">
        <f t="shared" ca="1" si="323"/>
        <v>WPF/UM</v>
      </c>
      <c r="AK229" s="158" t="str">
        <f t="shared" ca="1" si="324"/>
        <v>C/USN/III/P3/39 90004 6050 MWPO</v>
      </c>
      <c r="AL229" s="158" t="str">
        <f t="shared" ca="1" si="325"/>
        <v>C/USN/III/P3/39 90004 6050 WPF/UM</v>
      </c>
      <c r="AM229" s="159" t="str">
        <f t="shared" ca="1" si="326"/>
        <v>C/USN/III/P3/39 90004 6050 MWPO WPF/UM</v>
      </c>
      <c r="AN229" s="160">
        <f t="shared" ca="1" si="327"/>
        <v>2500000</v>
      </c>
      <c r="AO229" s="161">
        <f t="shared" ca="1" si="328"/>
        <v>500000</v>
      </c>
      <c r="AP229" s="162">
        <f t="shared" ca="1" si="329"/>
        <v>2000000</v>
      </c>
      <c r="AQ229" s="163">
        <f t="shared" ca="1" si="330"/>
        <v>0</v>
      </c>
      <c r="AR229" s="164">
        <f t="shared" ca="1" si="331"/>
        <v>0</v>
      </c>
      <c r="AS229" s="164">
        <f t="shared" ca="1" si="332"/>
        <v>0</v>
      </c>
      <c r="AT229" s="164">
        <f t="shared" ca="1" si="333"/>
        <v>0</v>
      </c>
      <c r="AU229" s="164">
        <f t="shared" ca="1" si="334"/>
        <v>0</v>
      </c>
      <c r="AV229" s="164">
        <f t="shared" ca="1" si="335"/>
        <v>0</v>
      </c>
      <c r="AW229" s="164">
        <f t="shared" ca="1" si="336"/>
        <v>0</v>
      </c>
      <c r="AX229" s="164">
        <f t="shared" ca="1" si="337"/>
        <v>0</v>
      </c>
      <c r="AY229" s="164">
        <f t="shared" ca="1" si="338"/>
        <v>0</v>
      </c>
      <c r="AZ229" s="164">
        <f t="shared" ca="1" si="339"/>
        <v>0</v>
      </c>
      <c r="BA229" s="165" t="str">
        <f t="shared" ca="1" si="340"/>
        <v>nie</v>
      </c>
      <c r="BB229" s="166" t="str">
        <f t="shared" ca="1" si="346"/>
        <v>-</v>
      </c>
      <c r="BC229" s="165" t="str">
        <f t="shared" ca="1" si="341"/>
        <v>nie</v>
      </c>
    </row>
    <row r="230" spans="1:55" ht="14.45" hidden="1" customHeight="1" x14ac:dyDescent="0.25">
      <c r="A230" s="185" t="s">
        <v>97</v>
      </c>
      <c r="B230" s="186"/>
      <c r="C230" s="187"/>
      <c r="D230" s="186"/>
      <c r="E230" s="186"/>
      <c r="F230" s="186"/>
      <c r="G230" s="186"/>
      <c r="H230" s="186"/>
      <c r="I230" s="186"/>
      <c r="J230" s="186"/>
      <c r="K230" s="186"/>
      <c r="L230" s="186"/>
      <c r="M230" s="186"/>
      <c r="N230" s="186"/>
      <c r="O230" s="186"/>
      <c r="P230" s="186"/>
      <c r="Q230" s="186"/>
      <c r="R230" s="188"/>
      <c r="S230" s="189"/>
      <c r="T230" s="189"/>
      <c r="U230" s="189"/>
      <c r="V230" s="189"/>
      <c r="W230" s="189"/>
      <c r="X230" s="189"/>
      <c r="Y230" s="190"/>
      <c r="Z230" s="149" t="str">
        <f t="shared" ca="1" si="315"/>
        <v>nie</v>
      </c>
      <c r="AA230" s="366"/>
      <c r="AB230" s="150" t="str">
        <f t="shared" ca="1" si="345"/>
        <v>-</v>
      </c>
      <c r="AC230" s="151" t="str">
        <f t="shared" ca="1" si="316"/>
        <v>PROPONOWANA ZMIANA</v>
      </c>
      <c r="AD230" s="152" t="str">
        <f t="shared" ca="1" si="317"/>
        <v/>
      </c>
      <c r="AE230" s="153" t="str">
        <f t="shared" ca="1" si="318"/>
        <v/>
      </c>
      <c r="AF230" s="154" t="str">
        <f t="shared" ca="1" si="319"/>
        <v/>
      </c>
      <c r="AG230" s="155" t="str">
        <f t="shared" ca="1" si="320"/>
        <v/>
      </c>
      <c r="AH230" s="155" t="str">
        <f t="shared" ca="1" si="321"/>
        <v/>
      </c>
      <c r="AI230" s="156" t="str">
        <f t="shared" ca="1" si="322"/>
        <v/>
      </c>
      <c r="AJ230" s="157" t="str">
        <f t="shared" ca="1" si="323"/>
        <v/>
      </c>
      <c r="AK230" s="158" t="str">
        <f t="shared" ca="1" si="324"/>
        <v/>
      </c>
      <c r="AL230" s="158" t="str">
        <f t="shared" ca="1" si="325"/>
        <v/>
      </c>
      <c r="AM230" s="159" t="str">
        <f t="shared" ca="1" si="326"/>
        <v/>
      </c>
      <c r="AN230" s="160" t="str">
        <f t="shared" ca="1" si="327"/>
        <v/>
      </c>
      <c r="AO230" s="161" t="str">
        <f t="shared" ca="1" si="328"/>
        <v/>
      </c>
      <c r="AP230" s="162" t="str">
        <f t="shared" ca="1" si="329"/>
        <v/>
      </c>
      <c r="AQ230" s="163" t="str">
        <f t="shared" ca="1" si="330"/>
        <v/>
      </c>
      <c r="AR230" s="164" t="str">
        <f t="shared" ca="1" si="331"/>
        <v/>
      </c>
      <c r="AS230" s="164" t="str">
        <f t="shared" ca="1" si="332"/>
        <v/>
      </c>
      <c r="AT230" s="164" t="str">
        <f t="shared" ca="1" si="333"/>
        <v/>
      </c>
      <c r="AU230" s="164" t="str">
        <f t="shared" ca="1" si="334"/>
        <v/>
      </c>
      <c r="AV230" s="164" t="str">
        <f t="shared" ca="1" si="335"/>
        <v/>
      </c>
      <c r="AW230" s="164" t="str">
        <f t="shared" ca="1" si="336"/>
        <v/>
      </c>
      <c r="AX230" s="164" t="str">
        <f t="shared" ca="1" si="337"/>
        <v/>
      </c>
      <c r="AY230" s="164" t="str">
        <f t="shared" ca="1" si="338"/>
        <v/>
      </c>
      <c r="AZ230" s="164" t="str">
        <f t="shared" ca="1" si="339"/>
        <v/>
      </c>
      <c r="BA230" s="165" t="str">
        <f t="shared" ca="1" si="340"/>
        <v>nie</v>
      </c>
      <c r="BB230" s="166" t="str">
        <f t="shared" ca="1" si="346"/>
        <v>-</v>
      </c>
      <c r="BC230" s="165" t="str">
        <f t="shared" ca="1" si="341"/>
        <v>nie</v>
      </c>
    </row>
    <row r="231" spans="1:55" ht="14.45" hidden="1" customHeight="1" x14ac:dyDescent="0.25">
      <c r="A231" s="493" t="s">
        <v>24</v>
      </c>
      <c r="B231" s="493" t="s">
        <v>30</v>
      </c>
      <c r="C231" s="494" t="s">
        <v>134</v>
      </c>
      <c r="D231" s="505" t="s">
        <v>135</v>
      </c>
      <c r="E231" s="497">
        <v>900</v>
      </c>
      <c r="F231" s="497">
        <v>90004</v>
      </c>
      <c r="G231" s="497">
        <v>6050</v>
      </c>
      <c r="H231" s="507">
        <v>2021</v>
      </c>
      <c r="I231" s="499" t="str">
        <f ca="1">IF(COUNTIF(OFFSET(I231,-1,-8),"*propon*")&gt;0,OFFSET(I231,4,0),IF(Y231&gt;0,"2033",IF(X231&gt;0,"2032",IF(W231&gt;0,"2031",IF(V231&gt;0,"2030",IF(U231&gt;0,"2029",IF(T231&gt;0,"2028",IF(S231&gt;0,"2027",IF(R231&gt;0,"2026",IF(Q231&gt;0,"2025",IF(P231&gt;0,"2024",IF(M231&gt;0,"2023",IF(L231&gt;0,"2022","")))))))))))))</f>
        <v>2023</v>
      </c>
      <c r="J231" s="168" t="s">
        <v>98</v>
      </c>
      <c r="K231" s="169">
        <f>SUM(N231:O231)</f>
        <v>0</v>
      </c>
      <c r="L231" s="170">
        <f t="shared" ref="L231:M231" si="375">SUM(L232:L233)</f>
        <v>0</v>
      </c>
      <c r="M231" s="171">
        <f t="shared" si="375"/>
        <v>0</v>
      </c>
      <c r="N231" s="172">
        <f>SUM(L231:M231)</f>
        <v>0</v>
      </c>
      <c r="O231" s="169">
        <f>SUM(P231:Y231)</f>
        <v>0</v>
      </c>
      <c r="P231" s="173">
        <f t="shared" ref="P231:R231" si="376">SUM(P232:P233)</f>
        <v>0</v>
      </c>
      <c r="Q231" s="171">
        <f t="shared" si="376"/>
        <v>0</v>
      </c>
      <c r="R231" s="174">
        <f t="shared" si="376"/>
        <v>0</v>
      </c>
      <c r="S231" s="175">
        <f t="shared" ref="S231:Y231" si="377">SUM(S232:S233)</f>
        <v>0</v>
      </c>
      <c r="T231" s="171">
        <f t="shared" si="377"/>
        <v>0</v>
      </c>
      <c r="U231" s="171">
        <f t="shared" si="377"/>
        <v>0</v>
      </c>
      <c r="V231" s="171">
        <f t="shared" si="377"/>
        <v>0</v>
      </c>
      <c r="W231" s="171">
        <f t="shared" si="377"/>
        <v>0</v>
      </c>
      <c r="X231" s="171">
        <f t="shared" si="377"/>
        <v>0</v>
      </c>
      <c r="Y231" s="174">
        <f t="shared" si="377"/>
        <v>0</v>
      </c>
      <c r="Z231" s="149" t="str">
        <f t="shared" ca="1" si="315"/>
        <v>nie</v>
      </c>
      <c r="AA231" s="366"/>
      <c r="AB231" s="150" t="str">
        <f t="shared" ca="1" si="345"/>
        <v>-</v>
      </c>
      <c r="AC231" s="151" t="str">
        <f t="shared" ca="1" si="316"/>
        <v>PROPONOWANA ZMIANA</v>
      </c>
      <c r="AD231" s="152" t="str">
        <f t="shared" ca="1" si="317"/>
        <v>PROPONOWANA ZMIANA</v>
      </c>
      <c r="AE231" s="153" t="str">
        <f t="shared" ca="1" si="318"/>
        <v>C/USN/III/P3/39</v>
      </c>
      <c r="AF231" s="154" t="str">
        <f t="shared" ca="1" si="319"/>
        <v>Budowa Parku R. Kozłowskiego</v>
      </c>
      <c r="AG231" s="155">
        <f t="shared" ca="1" si="320"/>
        <v>90004</v>
      </c>
      <c r="AH231" s="155" t="str">
        <f t="shared" ca="1" si="321"/>
        <v>6050</v>
      </c>
      <c r="AI231" s="156" t="str">
        <f t="shared" ca="1" si="322"/>
        <v>MWPO</v>
      </c>
      <c r="AJ231" s="157" t="str">
        <f t="shared" ca="1" si="323"/>
        <v>WPF, w tym</v>
      </c>
      <c r="AK231" s="158" t="str">
        <f t="shared" ca="1" si="324"/>
        <v>C/USN/III/P3/39 90004 6050 MWPO</v>
      </c>
      <c r="AL231" s="158" t="str">
        <f t="shared" ca="1" si="325"/>
        <v>C/USN/III/P3/39 90004 6050 WPF, w tym</v>
      </c>
      <c r="AM231" s="159" t="str">
        <f t="shared" ca="1" si="326"/>
        <v>C/USN/III/P3/39 90004 6050 MWPO WPF, w tym</v>
      </c>
      <c r="AN231" s="160">
        <f t="shared" ca="1" si="327"/>
        <v>0</v>
      </c>
      <c r="AO231" s="161">
        <f t="shared" ca="1" si="328"/>
        <v>0</v>
      </c>
      <c r="AP231" s="162">
        <f t="shared" ca="1" si="329"/>
        <v>0</v>
      </c>
      <c r="AQ231" s="163">
        <f t="shared" ca="1" si="330"/>
        <v>0</v>
      </c>
      <c r="AR231" s="164">
        <f t="shared" ca="1" si="331"/>
        <v>0</v>
      </c>
      <c r="AS231" s="164">
        <f t="shared" ca="1" si="332"/>
        <v>0</v>
      </c>
      <c r="AT231" s="164">
        <f t="shared" ca="1" si="333"/>
        <v>0</v>
      </c>
      <c r="AU231" s="164">
        <f t="shared" ca="1" si="334"/>
        <v>0</v>
      </c>
      <c r="AV231" s="164">
        <f t="shared" ca="1" si="335"/>
        <v>0</v>
      </c>
      <c r="AW231" s="164">
        <f t="shared" ca="1" si="336"/>
        <v>0</v>
      </c>
      <c r="AX231" s="164">
        <f t="shared" ca="1" si="337"/>
        <v>0</v>
      </c>
      <c r="AY231" s="164">
        <f t="shared" ca="1" si="338"/>
        <v>0</v>
      </c>
      <c r="AZ231" s="164">
        <f t="shared" ca="1" si="339"/>
        <v>0</v>
      </c>
      <c r="BA231" s="165" t="str">
        <f t="shared" ca="1" si="340"/>
        <v>nie</v>
      </c>
      <c r="BB231" s="166" t="str">
        <f t="shared" ca="1" si="346"/>
        <v>-</v>
      </c>
      <c r="BC231" s="165" t="str">
        <f t="shared" ca="1" si="341"/>
        <v>nie</v>
      </c>
    </row>
    <row r="232" spans="1:55" ht="14.45" hidden="1" customHeight="1" x14ac:dyDescent="0.25">
      <c r="A232" s="493"/>
      <c r="B232" s="493"/>
      <c r="C232" s="494"/>
      <c r="D232" s="506"/>
      <c r="E232" s="497"/>
      <c r="F232" s="497"/>
      <c r="G232" s="497"/>
      <c r="H232" s="498"/>
      <c r="I232" s="499"/>
      <c r="J232" s="177" t="s">
        <v>99</v>
      </c>
      <c r="K232" s="178">
        <f>SUM(N232:O232)</f>
        <v>0</v>
      </c>
      <c r="L232" s="179">
        <f t="shared" ref="L232:M232" si="378">L236-L228</f>
        <v>0</v>
      </c>
      <c r="M232" s="180">
        <f t="shared" si="378"/>
        <v>0</v>
      </c>
      <c r="N232" s="172">
        <f>SUM(L232:M232)</f>
        <v>0</v>
      </c>
      <c r="O232" s="178">
        <f>SUM(P232:Y232)</f>
        <v>0</v>
      </c>
      <c r="P232" s="181">
        <f t="shared" ref="P232:R232" si="379">P236-P228</f>
        <v>0</v>
      </c>
      <c r="Q232" s="180">
        <f t="shared" si="379"/>
        <v>0</v>
      </c>
      <c r="R232" s="182">
        <f t="shared" si="379"/>
        <v>0</v>
      </c>
      <c r="S232" s="183">
        <f t="shared" ref="S232:Y233" si="380">S236-S228</f>
        <v>0</v>
      </c>
      <c r="T232" s="180">
        <f t="shared" si="380"/>
        <v>0</v>
      </c>
      <c r="U232" s="180">
        <f t="shared" si="380"/>
        <v>0</v>
      </c>
      <c r="V232" s="180">
        <f t="shared" si="380"/>
        <v>0</v>
      </c>
      <c r="W232" s="180">
        <f t="shared" si="380"/>
        <v>0</v>
      </c>
      <c r="X232" s="180">
        <f t="shared" si="380"/>
        <v>0</v>
      </c>
      <c r="Y232" s="182">
        <f t="shared" si="380"/>
        <v>0</v>
      </c>
      <c r="Z232" s="149" t="str">
        <f t="shared" ca="1" si="315"/>
        <v>nie</v>
      </c>
      <c r="AA232" s="366"/>
      <c r="AB232" s="150" t="str">
        <f t="shared" ca="1" si="345"/>
        <v>-</v>
      </c>
      <c r="AC232" s="151" t="str">
        <f t="shared" ca="1" si="316"/>
        <v>PROPONOWANA ZMIANA</v>
      </c>
      <c r="AD232" s="152" t="str">
        <f t="shared" ca="1" si="317"/>
        <v>PROPONOWANA ZMIANA</v>
      </c>
      <c r="AE232" s="153" t="str">
        <f t="shared" ca="1" si="318"/>
        <v>C/USN/III/P3/39</v>
      </c>
      <c r="AF232" s="154" t="str">
        <f t="shared" ca="1" si="319"/>
        <v>Budowa Parku R. Kozłowskiego</v>
      </c>
      <c r="AG232" s="155">
        <f t="shared" ca="1" si="320"/>
        <v>90004</v>
      </c>
      <c r="AH232" s="155" t="str">
        <f t="shared" ca="1" si="321"/>
        <v>6050</v>
      </c>
      <c r="AI232" s="156" t="str">
        <f t="shared" ca="1" si="322"/>
        <v>MWPO</v>
      </c>
      <c r="AJ232" s="157" t="str">
        <f t="shared" ca="1" si="323"/>
        <v>WPF/PM</v>
      </c>
      <c r="AK232" s="158" t="str">
        <f t="shared" ca="1" si="324"/>
        <v>C/USN/III/P3/39 90004 6050 MWPO</v>
      </c>
      <c r="AL232" s="158" t="str">
        <f t="shared" ca="1" si="325"/>
        <v>C/USN/III/P3/39 90004 6050 WPF/PM</v>
      </c>
      <c r="AM232" s="159" t="str">
        <f t="shared" ca="1" si="326"/>
        <v>C/USN/III/P3/39 90004 6050 MWPO WPF/PM</v>
      </c>
      <c r="AN232" s="160">
        <f t="shared" ca="1" si="327"/>
        <v>0</v>
      </c>
      <c r="AO232" s="161">
        <f t="shared" ca="1" si="328"/>
        <v>0</v>
      </c>
      <c r="AP232" s="162">
        <f t="shared" ca="1" si="329"/>
        <v>0</v>
      </c>
      <c r="AQ232" s="163">
        <f t="shared" ca="1" si="330"/>
        <v>0</v>
      </c>
      <c r="AR232" s="164">
        <f t="shared" ca="1" si="331"/>
        <v>0</v>
      </c>
      <c r="AS232" s="164">
        <f t="shared" ca="1" si="332"/>
        <v>0</v>
      </c>
      <c r="AT232" s="164">
        <f t="shared" ca="1" si="333"/>
        <v>0</v>
      </c>
      <c r="AU232" s="164">
        <f t="shared" ca="1" si="334"/>
        <v>0</v>
      </c>
      <c r="AV232" s="164">
        <f t="shared" ca="1" si="335"/>
        <v>0</v>
      </c>
      <c r="AW232" s="164">
        <f t="shared" ca="1" si="336"/>
        <v>0</v>
      </c>
      <c r="AX232" s="164">
        <f t="shared" ca="1" si="337"/>
        <v>0</v>
      </c>
      <c r="AY232" s="164">
        <f t="shared" ca="1" si="338"/>
        <v>0</v>
      </c>
      <c r="AZ232" s="164">
        <f t="shared" ca="1" si="339"/>
        <v>0</v>
      </c>
      <c r="BA232" s="165" t="str">
        <f t="shared" ca="1" si="340"/>
        <v>nie</v>
      </c>
      <c r="BB232" s="166" t="str">
        <f t="shared" ca="1" si="346"/>
        <v>-</v>
      </c>
      <c r="BC232" s="165" t="str">
        <f t="shared" ca="1" si="341"/>
        <v>nie</v>
      </c>
    </row>
    <row r="233" spans="1:55" ht="14.45" hidden="1" customHeight="1" x14ac:dyDescent="0.25">
      <c r="A233" s="493"/>
      <c r="B233" s="493"/>
      <c r="C233" s="494"/>
      <c r="D233" s="506"/>
      <c r="E233" s="497"/>
      <c r="F233" s="497"/>
      <c r="G233" s="497"/>
      <c r="H233" s="498"/>
      <c r="I233" s="499"/>
      <c r="J233" s="177" t="s">
        <v>100</v>
      </c>
      <c r="K233" s="178">
        <f>SUM(N233:O233)</f>
        <v>0</v>
      </c>
      <c r="L233" s="179">
        <f t="shared" ref="L233:M233" si="381">L237-L229</f>
        <v>0</v>
      </c>
      <c r="M233" s="180">
        <f t="shared" si="381"/>
        <v>0</v>
      </c>
      <c r="N233" s="172">
        <f>SUM(L233:M233)</f>
        <v>0</v>
      </c>
      <c r="O233" s="178">
        <f>SUM(P233:Y233)</f>
        <v>0</v>
      </c>
      <c r="P233" s="181">
        <f t="shared" ref="P233:R233" si="382">P237-P229</f>
        <v>0</v>
      </c>
      <c r="Q233" s="180">
        <f t="shared" si="382"/>
        <v>0</v>
      </c>
      <c r="R233" s="182">
        <f t="shared" si="382"/>
        <v>0</v>
      </c>
      <c r="S233" s="183">
        <f t="shared" si="380"/>
        <v>0</v>
      </c>
      <c r="T233" s="180">
        <f t="shared" si="380"/>
        <v>0</v>
      </c>
      <c r="U233" s="180">
        <f t="shared" si="380"/>
        <v>0</v>
      </c>
      <c r="V233" s="180">
        <f t="shared" si="380"/>
        <v>0</v>
      </c>
      <c r="W233" s="180">
        <f t="shared" si="380"/>
        <v>0</v>
      </c>
      <c r="X233" s="180">
        <f t="shared" si="380"/>
        <v>0</v>
      </c>
      <c r="Y233" s="182">
        <f t="shared" si="380"/>
        <v>0</v>
      </c>
      <c r="Z233" s="149" t="str">
        <f t="shared" ca="1" si="315"/>
        <v>nie</v>
      </c>
      <c r="AA233" s="366"/>
      <c r="AB233" s="150" t="str">
        <f t="shared" ca="1" si="345"/>
        <v>-</v>
      </c>
      <c r="AC233" s="151" t="str">
        <f t="shared" ca="1" si="316"/>
        <v>PROPONOWANA ZMIANA</v>
      </c>
      <c r="AD233" s="152" t="str">
        <f t="shared" ca="1" si="317"/>
        <v>PROPONOWANA ZMIANA</v>
      </c>
      <c r="AE233" s="153" t="str">
        <f t="shared" ca="1" si="318"/>
        <v>C/USN/III/P3/39</v>
      </c>
      <c r="AF233" s="154" t="str">
        <f t="shared" ca="1" si="319"/>
        <v>Budowa Parku R. Kozłowskiego</v>
      </c>
      <c r="AG233" s="155">
        <f t="shared" ca="1" si="320"/>
        <v>90004</v>
      </c>
      <c r="AH233" s="155" t="str">
        <f t="shared" ca="1" si="321"/>
        <v>6050</v>
      </c>
      <c r="AI233" s="156" t="str">
        <f t="shared" ca="1" si="322"/>
        <v>MWPO</v>
      </c>
      <c r="AJ233" s="157" t="str">
        <f t="shared" ca="1" si="323"/>
        <v>WPF/UM</v>
      </c>
      <c r="AK233" s="158" t="str">
        <f t="shared" ca="1" si="324"/>
        <v>C/USN/III/P3/39 90004 6050 MWPO</v>
      </c>
      <c r="AL233" s="158" t="str">
        <f t="shared" ca="1" si="325"/>
        <v>C/USN/III/P3/39 90004 6050 WPF/UM</v>
      </c>
      <c r="AM233" s="159" t="str">
        <f t="shared" ca="1" si="326"/>
        <v>C/USN/III/P3/39 90004 6050 MWPO WPF/UM</v>
      </c>
      <c r="AN233" s="160">
        <f t="shared" ca="1" si="327"/>
        <v>0</v>
      </c>
      <c r="AO233" s="161">
        <f t="shared" ca="1" si="328"/>
        <v>0</v>
      </c>
      <c r="AP233" s="162">
        <f t="shared" ca="1" si="329"/>
        <v>0</v>
      </c>
      <c r="AQ233" s="163">
        <f t="shared" ca="1" si="330"/>
        <v>0</v>
      </c>
      <c r="AR233" s="164">
        <f t="shared" ca="1" si="331"/>
        <v>0</v>
      </c>
      <c r="AS233" s="164">
        <f t="shared" ca="1" si="332"/>
        <v>0</v>
      </c>
      <c r="AT233" s="164">
        <f t="shared" ca="1" si="333"/>
        <v>0</v>
      </c>
      <c r="AU233" s="164">
        <f t="shared" ca="1" si="334"/>
        <v>0</v>
      </c>
      <c r="AV233" s="164">
        <f t="shared" ca="1" si="335"/>
        <v>0</v>
      </c>
      <c r="AW233" s="164">
        <f t="shared" ca="1" si="336"/>
        <v>0</v>
      </c>
      <c r="AX233" s="164">
        <f t="shared" ca="1" si="337"/>
        <v>0</v>
      </c>
      <c r="AY233" s="164">
        <f t="shared" ca="1" si="338"/>
        <v>0</v>
      </c>
      <c r="AZ233" s="164">
        <f t="shared" ca="1" si="339"/>
        <v>0</v>
      </c>
      <c r="BA233" s="165" t="str">
        <f t="shared" ca="1" si="340"/>
        <v>nie</v>
      </c>
      <c r="BB233" s="166" t="str">
        <f t="shared" ca="1" si="346"/>
        <v>-</v>
      </c>
      <c r="BC233" s="165" t="str">
        <f t="shared" ca="1" si="341"/>
        <v>nie</v>
      </c>
    </row>
    <row r="234" spans="1:55" ht="14.45" hidden="1" customHeight="1" x14ac:dyDescent="0.25">
      <c r="A234" s="191" t="s">
        <v>101</v>
      </c>
      <c r="B234" s="192"/>
      <c r="C234" s="193"/>
      <c r="D234" s="192"/>
      <c r="E234" s="192"/>
      <c r="F234" s="192"/>
      <c r="G234" s="192"/>
      <c r="H234" s="192"/>
      <c r="I234" s="192"/>
      <c r="J234" s="192"/>
      <c r="K234" s="192"/>
      <c r="L234" s="192"/>
      <c r="M234" s="192"/>
      <c r="N234" s="192"/>
      <c r="O234" s="192"/>
      <c r="P234" s="192"/>
      <c r="Q234" s="192"/>
      <c r="R234" s="194"/>
      <c r="S234" s="195"/>
      <c r="T234" s="195"/>
      <c r="U234" s="195"/>
      <c r="V234" s="195"/>
      <c r="W234" s="195"/>
      <c r="X234" s="195"/>
      <c r="Y234" s="196"/>
      <c r="Z234" s="149" t="str">
        <f t="shared" ca="1" si="315"/>
        <v>nie</v>
      </c>
      <c r="AA234" s="366"/>
      <c r="AB234" s="150" t="str">
        <f t="shared" ca="1" si="345"/>
        <v>-</v>
      </c>
      <c r="AC234" s="151" t="str">
        <f t="shared" ca="1" si="316"/>
        <v>PO ZMIANIE</v>
      </c>
      <c r="AD234" s="152" t="str">
        <f t="shared" ca="1" si="317"/>
        <v/>
      </c>
      <c r="AE234" s="153" t="str">
        <f t="shared" ca="1" si="318"/>
        <v/>
      </c>
      <c r="AF234" s="154" t="str">
        <f t="shared" ca="1" si="319"/>
        <v/>
      </c>
      <c r="AG234" s="155" t="str">
        <f t="shared" ca="1" si="320"/>
        <v/>
      </c>
      <c r="AH234" s="155" t="str">
        <f t="shared" ca="1" si="321"/>
        <v/>
      </c>
      <c r="AI234" s="156" t="str">
        <f t="shared" ca="1" si="322"/>
        <v/>
      </c>
      <c r="AJ234" s="157" t="str">
        <f t="shared" ca="1" si="323"/>
        <v/>
      </c>
      <c r="AK234" s="158" t="str">
        <f t="shared" ca="1" si="324"/>
        <v/>
      </c>
      <c r="AL234" s="158" t="str">
        <f t="shared" ca="1" si="325"/>
        <v/>
      </c>
      <c r="AM234" s="159" t="str">
        <f t="shared" ca="1" si="326"/>
        <v/>
      </c>
      <c r="AN234" s="160" t="str">
        <f t="shared" ca="1" si="327"/>
        <v/>
      </c>
      <c r="AO234" s="161" t="str">
        <f t="shared" ca="1" si="328"/>
        <v/>
      </c>
      <c r="AP234" s="162" t="str">
        <f t="shared" ca="1" si="329"/>
        <v/>
      </c>
      <c r="AQ234" s="163" t="str">
        <f t="shared" ca="1" si="330"/>
        <v/>
      </c>
      <c r="AR234" s="164" t="str">
        <f t="shared" ca="1" si="331"/>
        <v/>
      </c>
      <c r="AS234" s="164" t="str">
        <f t="shared" ca="1" si="332"/>
        <v/>
      </c>
      <c r="AT234" s="164" t="str">
        <f t="shared" ca="1" si="333"/>
        <v/>
      </c>
      <c r="AU234" s="164" t="str">
        <f t="shared" ca="1" si="334"/>
        <v/>
      </c>
      <c r="AV234" s="164" t="str">
        <f t="shared" ca="1" si="335"/>
        <v/>
      </c>
      <c r="AW234" s="164" t="str">
        <f t="shared" ca="1" si="336"/>
        <v/>
      </c>
      <c r="AX234" s="164" t="str">
        <f t="shared" ca="1" si="337"/>
        <v/>
      </c>
      <c r="AY234" s="164" t="str">
        <f t="shared" ca="1" si="338"/>
        <v/>
      </c>
      <c r="AZ234" s="164" t="str">
        <f t="shared" ca="1" si="339"/>
        <v/>
      </c>
      <c r="BA234" s="165" t="str">
        <f t="shared" ca="1" si="340"/>
        <v>nie</v>
      </c>
      <c r="BB234" s="166" t="str">
        <f t="shared" ca="1" si="346"/>
        <v>-</v>
      </c>
      <c r="BC234" s="165" t="str">
        <f t="shared" ca="1" si="341"/>
        <v>nie</v>
      </c>
    </row>
    <row r="235" spans="1:55" ht="14.45" hidden="1" customHeight="1" x14ac:dyDescent="0.25">
      <c r="A235" s="493" t="s">
        <v>24</v>
      </c>
      <c r="B235" s="493" t="s">
        <v>30</v>
      </c>
      <c r="C235" s="494" t="s">
        <v>134</v>
      </c>
      <c r="D235" s="505" t="s">
        <v>135</v>
      </c>
      <c r="E235" s="497">
        <v>900</v>
      </c>
      <c r="F235" s="497">
        <v>90004</v>
      </c>
      <c r="G235" s="497">
        <v>6050</v>
      </c>
      <c r="H235" s="507">
        <v>2021</v>
      </c>
      <c r="I235" s="499" t="str">
        <f ca="1">IF(COUNTIF(OFFSET(I235,-1,-8),"*propon*")&gt;0,OFFSET(I235,4,0),IF(Y235&gt;0,"2033",IF(X235&gt;0,"2032",IF(W235&gt;0,"2031",IF(V235&gt;0,"2030",IF(U235&gt;0,"2029",IF(T235&gt;0,"2028",IF(S235&gt;0,"2027",IF(R235&gt;0,"2026",IF(Q235&gt;0,"2025",IF(P235&gt;0,"2024",IF(M235&gt;0,"2023",IF(L235&gt;0,"2022","")))))))))))))</f>
        <v>2023</v>
      </c>
      <c r="J235" s="168" t="s">
        <v>102</v>
      </c>
      <c r="K235" s="169">
        <f>SUM(N235:O235)</f>
        <v>2500000</v>
      </c>
      <c r="L235" s="170">
        <f t="shared" ref="L235:M235" si="383">SUM(L236:L237)</f>
        <v>500000</v>
      </c>
      <c r="M235" s="171">
        <f t="shared" si="383"/>
        <v>2000000</v>
      </c>
      <c r="N235" s="172">
        <f>SUM(L235:M235)</f>
        <v>2500000</v>
      </c>
      <c r="O235" s="169">
        <f>SUM(P235:Y235)</f>
        <v>0</v>
      </c>
      <c r="P235" s="173">
        <f t="shared" ref="P235:R235" si="384">SUM(P236:P237)</f>
        <v>0</v>
      </c>
      <c r="Q235" s="171">
        <f t="shared" si="384"/>
        <v>0</v>
      </c>
      <c r="R235" s="174">
        <f t="shared" si="384"/>
        <v>0</v>
      </c>
      <c r="S235" s="175">
        <f t="shared" ref="S235:Y235" si="385">SUM(S236:S237)</f>
        <v>0</v>
      </c>
      <c r="T235" s="171">
        <f t="shared" si="385"/>
        <v>0</v>
      </c>
      <c r="U235" s="171">
        <f t="shared" si="385"/>
        <v>0</v>
      </c>
      <c r="V235" s="171">
        <f t="shared" si="385"/>
        <v>0</v>
      </c>
      <c r="W235" s="171">
        <f t="shared" si="385"/>
        <v>0</v>
      </c>
      <c r="X235" s="171">
        <f t="shared" si="385"/>
        <v>0</v>
      </c>
      <c r="Y235" s="174">
        <f t="shared" si="385"/>
        <v>0</v>
      </c>
      <c r="Z235" s="149" t="str">
        <f t="shared" ca="1" si="315"/>
        <v>nie</v>
      </c>
      <c r="AA235" s="366"/>
      <c r="AB235" s="150" t="str">
        <f t="shared" ca="1" si="345"/>
        <v>-</v>
      </c>
      <c r="AC235" s="151" t="str">
        <f t="shared" ca="1" si="316"/>
        <v>PO ZMIANIE</v>
      </c>
      <c r="AD235" s="152" t="str">
        <f t="shared" ca="1" si="317"/>
        <v>PO ZMIANIE</v>
      </c>
      <c r="AE235" s="153" t="str">
        <f t="shared" ca="1" si="318"/>
        <v>C/USN/III/P3/39</v>
      </c>
      <c r="AF235" s="154" t="str">
        <f t="shared" ca="1" si="319"/>
        <v>Budowa Parku R. Kozłowskiego</v>
      </c>
      <c r="AG235" s="155">
        <f t="shared" ca="1" si="320"/>
        <v>90004</v>
      </c>
      <c r="AH235" s="155" t="str">
        <f t="shared" ca="1" si="321"/>
        <v>6050</v>
      </c>
      <c r="AI235" s="156" t="str">
        <f t="shared" ca="1" si="322"/>
        <v>MWPO</v>
      </c>
      <c r="AJ235" s="157" t="str">
        <f t="shared" ca="1" si="323"/>
        <v>WPF, w tym</v>
      </c>
      <c r="AK235" s="158" t="str">
        <f t="shared" ca="1" si="324"/>
        <v>C/USN/III/P3/39 90004 6050 MWPO</v>
      </c>
      <c r="AL235" s="158" t="str">
        <f t="shared" ca="1" si="325"/>
        <v>C/USN/III/P3/39 90004 6050 WPF, w tym</v>
      </c>
      <c r="AM235" s="159" t="str">
        <f t="shared" ca="1" si="326"/>
        <v>C/USN/III/P3/39 90004 6050 MWPO WPF, w tym</v>
      </c>
      <c r="AN235" s="160">
        <f t="shared" ca="1" si="327"/>
        <v>2500000</v>
      </c>
      <c r="AO235" s="161">
        <f t="shared" ca="1" si="328"/>
        <v>500000</v>
      </c>
      <c r="AP235" s="162">
        <f t="shared" ca="1" si="329"/>
        <v>2000000</v>
      </c>
      <c r="AQ235" s="163">
        <f t="shared" ca="1" si="330"/>
        <v>0</v>
      </c>
      <c r="AR235" s="164">
        <f t="shared" ca="1" si="331"/>
        <v>0</v>
      </c>
      <c r="AS235" s="164">
        <f t="shared" ca="1" si="332"/>
        <v>0</v>
      </c>
      <c r="AT235" s="164">
        <f t="shared" ca="1" si="333"/>
        <v>0</v>
      </c>
      <c r="AU235" s="164">
        <f t="shared" ca="1" si="334"/>
        <v>0</v>
      </c>
      <c r="AV235" s="164">
        <f t="shared" ca="1" si="335"/>
        <v>0</v>
      </c>
      <c r="AW235" s="164">
        <f t="shared" ca="1" si="336"/>
        <v>0</v>
      </c>
      <c r="AX235" s="164">
        <f t="shared" ca="1" si="337"/>
        <v>0</v>
      </c>
      <c r="AY235" s="164">
        <f t="shared" ca="1" si="338"/>
        <v>0</v>
      </c>
      <c r="AZ235" s="164">
        <f t="shared" ca="1" si="339"/>
        <v>0</v>
      </c>
      <c r="BA235" s="165" t="str">
        <f t="shared" ca="1" si="340"/>
        <v>nie</v>
      </c>
      <c r="BB235" s="166" t="str">
        <f t="shared" ca="1" si="346"/>
        <v>-</v>
      </c>
      <c r="BC235" s="165" t="str">
        <f t="shared" ca="1" si="341"/>
        <v>nie</v>
      </c>
    </row>
    <row r="236" spans="1:55" ht="14.45" hidden="1" customHeight="1" x14ac:dyDescent="0.25">
      <c r="A236" s="493"/>
      <c r="B236" s="493"/>
      <c r="C236" s="494"/>
      <c r="D236" s="506"/>
      <c r="E236" s="497"/>
      <c r="F236" s="497"/>
      <c r="G236" s="497"/>
      <c r="H236" s="498"/>
      <c r="I236" s="499"/>
      <c r="J236" s="177" t="s">
        <v>103</v>
      </c>
      <c r="K236" s="178">
        <f>SUM(N236:O236)</f>
        <v>0</v>
      </c>
      <c r="L236" s="179"/>
      <c r="M236" s="180"/>
      <c r="N236" s="172">
        <f>SUM(L236:M236)</f>
        <v>0</v>
      </c>
      <c r="O236" s="178">
        <f>SUM(P236:Y236)</f>
        <v>0</v>
      </c>
      <c r="P236" s="181"/>
      <c r="Q236" s="180"/>
      <c r="R236" s="182"/>
      <c r="S236" s="183"/>
      <c r="T236" s="180"/>
      <c r="U236" s="180"/>
      <c r="V236" s="180"/>
      <c r="W236" s="180"/>
      <c r="X236" s="180"/>
      <c r="Y236" s="182"/>
      <c r="Z236" s="149" t="str">
        <f t="shared" ca="1" si="315"/>
        <v>nie</v>
      </c>
      <c r="AA236" s="384"/>
      <c r="AB236" s="150" t="str">
        <f t="shared" ca="1" si="345"/>
        <v>-</v>
      </c>
      <c r="AC236" s="151" t="str">
        <f t="shared" ca="1" si="316"/>
        <v>PO ZMIANIE</v>
      </c>
      <c r="AD236" s="152" t="str">
        <f t="shared" ca="1" si="317"/>
        <v>PO ZMIANIE</v>
      </c>
      <c r="AE236" s="153" t="str">
        <f t="shared" ca="1" si="318"/>
        <v>C/USN/III/P3/39</v>
      </c>
      <c r="AF236" s="154" t="str">
        <f t="shared" ca="1" si="319"/>
        <v>Budowa Parku R. Kozłowskiego</v>
      </c>
      <c r="AG236" s="155">
        <f t="shared" ca="1" si="320"/>
        <v>90004</v>
      </c>
      <c r="AH236" s="155" t="str">
        <f t="shared" ca="1" si="321"/>
        <v>6050</v>
      </c>
      <c r="AI236" s="156" t="str">
        <f t="shared" ca="1" si="322"/>
        <v>MWPO</v>
      </c>
      <c r="AJ236" s="157" t="str">
        <f t="shared" ca="1" si="323"/>
        <v>WPF/PM</v>
      </c>
      <c r="AK236" s="158" t="str">
        <f t="shared" ca="1" si="324"/>
        <v>C/USN/III/P3/39 90004 6050 MWPO</v>
      </c>
      <c r="AL236" s="158" t="str">
        <f t="shared" ca="1" si="325"/>
        <v>C/USN/III/P3/39 90004 6050 WPF/PM</v>
      </c>
      <c r="AM236" s="159" t="str">
        <f t="shared" ca="1" si="326"/>
        <v>C/USN/III/P3/39 90004 6050 MWPO WPF/PM</v>
      </c>
      <c r="AN236" s="160">
        <f t="shared" ca="1" si="327"/>
        <v>0</v>
      </c>
      <c r="AO236" s="161">
        <f t="shared" ca="1" si="328"/>
        <v>0</v>
      </c>
      <c r="AP236" s="162">
        <f t="shared" ca="1" si="329"/>
        <v>0</v>
      </c>
      <c r="AQ236" s="163">
        <f t="shared" ca="1" si="330"/>
        <v>0</v>
      </c>
      <c r="AR236" s="164">
        <f t="shared" ca="1" si="331"/>
        <v>0</v>
      </c>
      <c r="AS236" s="164">
        <f t="shared" ca="1" si="332"/>
        <v>0</v>
      </c>
      <c r="AT236" s="164">
        <f t="shared" ca="1" si="333"/>
        <v>0</v>
      </c>
      <c r="AU236" s="164">
        <f t="shared" ca="1" si="334"/>
        <v>0</v>
      </c>
      <c r="AV236" s="164">
        <f t="shared" ca="1" si="335"/>
        <v>0</v>
      </c>
      <c r="AW236" s="164">
        <f t="shared" ca="1" si="336"/>
        <v>0</v>
      </c>
      <c r="AX236" s="164">
        <f t="shared" ca="1" si="337"/>
        <v>0</v>
      </c>
      <c r="AY236" s="164">
        <f t="shared" ca="1" si="338"/>
        <v>0</v>
      </c>
      <c r="AZ236" s="164">
        <f t="shared" ca="1" si="339"/>
        <v>0</v>
      </c>
      <c r="BA236" s="165" t="str">
        <f t="shared" ca="1" si="340"/>
        <v>nie</v>
      </c>
      <c r="BB236" s="166" t="str">
        <f t="shared" ca="1" si="346"/>
        <v>-</v>
      </c>
      <c r="BC236" s="165" t="str">
        <f t="shared" ca="1" si="341"/>
        <v>nie</v>
      </c>
    </row>
    <row r="237" spans="1:55" ht="14.45" hidden="1" customHeight="1" thickBot="1" x14ac:dyDescent="0.3">
      <c r="A237" s="500"/>
      <c r="B237" s="500"/>
      <c r="C237" s="501"/>
      <c r="D237" s="513"/>
      <c r="E237" s="503"/>
      <c r="F237" s="503"/>
      <c r="G237" s="503"/>
      <c r="H237" s="504"/>
      <c r="I237" s="499"/>
      <c r="J237" s="197" t="s">
        <v>104</v>
      </c>
      <c r="K237" s="198">
        <f>SUM(N237:O237)</f>
        <v>2500000</v>
      </c>
      <c r="L237" s="199">
        <v>500000</v>
      </c>
      <c r="M237" s="200">
        <v>2000000</v>
      </c>
      <c r="N237" s="371">
        <f>SUM(L237:M237)</f>
        <v>2500000</v>
      </c>
      <c r="O237" s="198">
        <f>SUM(P237:Y237)</f>
        <v>0</v>
      </c>
      <c r="P237" s="201"/>
      <c r="Q237" s="200"/>
      <c r="R237" s="202"/>
      <c r="S237" s="203"/>
      <c r="T237" s="200"/>
      <c r="U237" s="200"/>
      <c r="V237" s="200"/>
      <c r="W237" s="200"/>
      <c r="X237" s="200"/>
      <c r="Y237" s="202"/>
      <c r="Z237" s="149" t="str">
        <f t="shared" ca="1" si="315"/>
        <v>nie</v>
      </c>
      <c r="AA237" s="384"/>
      <c r="AB237" s="150" t="str">
        <f t="shared" ca="1" si="345"/>
        <v>-</v>
      </c>
      <c r="AC237" s="151" t="str">
        <f t="shared" ca="1" si="316"/>
        <v>PO ZMIANIE</v>
      </c>
      <c r="AD237" s="152" t="str">
        <f t="shared" ca="1" si="317"/>
        <v>PO ZMIANIE</v>
      </c>
      <c r="AE237" s="153" t="str">
        <f t="shared" ca="1" si="318"/>
        <v>C/USN/III/P3/39</v>
      </c>
      <c r="AF237" s="154" t="str">
        <f t="shared" ca="1" si="319"/>
        <v>Budowa Parku R. Kozłowskiego</v>
      </c>
      <c r="AG237" s="155">
        <f t="shared" ca="1" si="320"/>
        <v>90004</v>
      </c>
      <c r="AH237" s="155" t="str">
        <f t="shared" ca="1" si="321"/>
        <v>6050</v>
      </c>
      <c r="AI237" s="156" t="str">
        <f t="shared" ca="1" si="322"/>
        <v>MWPO</v>
      </c>
      <c r="AJ237" s="157" t="str">
        <f t="shared" ca="1" si="323"/>
        <v>WPF/UM</v>
      </c>
      <c r="AK237" s="158" t="str">
        <f t="shared" ca="1" si="324"/>
        <v>C/USN/III/P3/39 90004 6050 MWPO</v>
      </c>
      <c r="AL237" s="158" t="str">
        <f t="shared" ca="1" si="325"/>
        <v>C/USN/III/P3/39 90004 6050 WPF/UM</v>
      </c>
      <c r="AM237" s="159" t="str">
        <f t="shared" ca="1" si="326"/>
        <v>C/USN/III/P3/39 90004 6050 MWPO WPF/UM</v>
      </c>
      <c r="AN237" s="160">
        <f t="shared" ca="1" si="327"/>
        <v>2500000</v>
      </c>
      <c r="AO237" s="161">
        <f t="shared" ca="1" si="328"/>
        <v>500000</v>
      </c>
      <c r="AP237" s="162">
        <f t="shared" ca="1" si="329"/>
        <v>2000000</v>
      </c>
      <c r="AQ237" s="163">
        <f t="shared" ca="1" si="330"/>
        <v>0</v>
      </c>
      <c r="AR237" s="164">
        <f t="shared" ca="1" si="331"/>
        <v>0</v>
      </c>
      <c r="AS237" s="164">
        <f t="shared" ca="1" si="332"/>
        <v>0</v>
      </c>
      <c r="AT237" s="164">
        <f t="shared" ca="1" si="333"/>
        <v>0</v>
      </c>
      <c r="AU237" s="164">
        <f t="shared" ca="1" si="334"/>
        <v>0</v>
      </c>
      <c r="AV237" s="164">
        <f t="shared" ca="1" si="335"/>
        <v>0</v>
      </c>
      <c r="AW237" s="164">
        <f t="shared" ca="1" si="336"/>
        <v>0</v>
      </c>
      <c r="AX237" s="164">
        <f t="shared" ca="1" si="337"/>
        <v>0</v>
      </c>
      <c r="AY237" s="164">
        <f t="shared" ca="1" si="338"/>
        <v>0</v>
      </c>
      <c r="AZ237" s="164">
        <f t="shared" ca="1" si="339"/>
        <v>0</v>
      </c>
      <c r="BA237" s="165" t="str">
        <f t="shared" ca="1" si="340"/>
        <v>nie</v>
      </c>
      <c r="BB237" s="166" t="str">
        <f t="shared" ca="1" si="346"/>
        <v>-</v>
      </c>
      <c r="BC237" s="165" t="str">
        <f t="shared" ca="1" si="341"/>
        <v>nie</v>
      </c>
    </row>
    <row r="238" spans="1:55" ht="14.45" hidden="1" customHeight="1" x14ac:dyDescent="0.25">
      <c r="A238" s="143" t="s">
        <v>91</v>
      </c>
      <c r="B238" s="144"/>
      <c r="C238" s="145"/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6"/>
      <c r="S238" s="147"/>
      <c r="T238" s="147"/>
      <c r="U238" s="147"/>
      <c r="V238" s="147"/>
      <c r="W238" s="147"/>
      <c r="X238" s="147"/>
      <c r="Y238" s="148"/>
      <c r="Z238" s="149" t="str">
        <f t="shared" ca="1" si="315"/>
        <v>nie</v>
      </c>
      <c r="AA238" s="366"/>
      <c r="AB238" s="150" t="str">
        <f t="shared" ca="1" si="345"/>
        <v>-</v>
      </c>
      <c r="AC238" s="151" t="str">
        <f t="shared" ca="1" si="316"/>
        <v>PRZED ZMIANĄ</v>
      </c>
      <c r="AD238" s="152" t="str">
        <f t="shared" ca="1" si="317"/>
        <v/>
      </c>
      <c r="AE238" s="153" t="str">
        <f t="shared" ca="1" si="318"/>
        <v/>
      </c>
      <c r="AF238" s="154" t="str">
        <f t="shared" ca="1" si="319"/>
        <v/>
      </c>
      <c r="AG238" s="155" t="str">
        <f t="shared" ca="1" si="320"/>
        <v/>
      </c>
      <c r="AH238" s="155" t="str">
        <f t="shared" ca="1" si="321"/>
        <v/>
      </c>
      <c r="AI238" s="156" t="str">
        <f t="shared" ca="1" si="322"/>
        <v/>
      </c>
      <c r="AJ238" s="157" t="str">
        <f t="shared" ca="1" si="323"/>
        <v/>
      </c>
      <c r="AK238" s="158" t="str">
        <f t="shared" ca="1" si="324"/>
        <v/>
      </c>
      <c r="AL238" s="158" t="str">
        <f t="shared" ca="1" si="325"/>
        <v/>
      </c>
      <c r="AM238" s="159" t="str">
        <f t="shared" ca="1" si="326"/>
        <v/>
      </c>
      <c r="AN238" s="160" t="str">
        <f t="shared" ca="1" si="327"/>
        <v/>
      </c>
      <c r="AO238" s="161" t="str">
        <f t="shared" ca="1" si="328"/>
        <v/>
      </c>
      <c r="AP238" s="162" t="str">
        <f t="shared" ca="1" si="329"/>
        <v/>
      </c>
      <c r="AQ238" s="163" t="str">
        <f t="shared" ca="1" si="330"/>
        <v/>
      </c>
      <c r="AR238" s="164" t="str">
        <f t="shared" ca="1" si="331"/>
        <v/>
      </c>
      <c r="AS238" s="164" t="str">
        <f t="shared" ca="1" si="332"/>
        <v/>
      </c>
      <c r="AT238" s="164" t="str">
        <f t="shared" ca="1" si="333"/>
        <v/>
      </c>
      <c r="AU238" s="164" t="str">
        <f t="shared" ca="1" si="334"/>
        <v/>
      </c>
      <c r="AV238" s="164" t="str">
        <f t="shared" ca="1" si="335"/>
        <v/>
      </c>
      <c r="AW238" s="164" t="str">
        <f t="shared" ca="1" si="336"/>
        <v/>
      </c>
      <c r="AX238" s="164" t="str">
        <f t="shared" ca="1" si="337"/>
        <v/>
      </c>
      <c r="AY238" s="164" t="str">
        <f t="shared" ca="1" si="338"/>
        <v/>
      </c>
      <c r="AZ238" s="164" t="str">
        <f t="shared" ca="1" si="339"/>
        <v/>
      </c>
      <c r="BA238" s="165" t="str">
        <f t="shared" ca="1" si="340"/>
        <v>nie</v>
      </c>
      <c r="BB238" s="166" t="str">
        <f t="shared" ca="1" si="346"/>
        <v>-</v>
      </c>
      <c r="BC238" s="165" t="str">
        <f t="shared" ca="1" si="341"/>
        <v>nie</v>
      </c>
    </row>
    <row r="239" spans="1:55" ht="14.45" hidden="1" customHeight="1" x14ac:dyDescent="0.25">
      <c r="A239" s="493" t="s">
        <v>24</v>
      </c>
      <c r="B239" s="493" t="s">
        <v>26</v>
      </c>
      <c r="C239" s="494" t="s">
        <v>136</v>
      </c>
      <c r="D239" s="505" t="s">
        <v>467</v>
      </c>
      <c r="E239" s="497">
        <v>900</v>
      </c>
      <c r="F239" s="497">
        <v>90004</v>
      </c>
      <c r="G239" s="497">
        <v>6050</v>
      </c>
      <c r="H239" s="507">
        <v>2021</v>
      </c>
      <c r="I239" s="499" t="str">
        <f ca="1">IF(COUNTIF(OFFSET(I239,-1,-8),"*propon*")&gt;0,OFFSET(I239,4,0),IF(Y239&gt;0,"2033",IF(X239&gt;0,"2032",IF(W239&gt;0,"2031",IF(V239&gt;0,"2030",IF(U239&gt;0,"2029",IF(T239&gt;0,"2028",IF(S239&gt;0,"2027",IF(R239&gt;0,"2026",IF(Q239&gt;0,"2025",IF(P239&gt;0,"2024",IF(M239&gt;0,"2023",IF(L239&gt;0,"2022","")))))))))))))</f>
        <v>2025</v>
      </c>
      <c r="J239" s="168" t="s">
        <v>94</v>
      </c>
      <c r="K239" s="169">
        <f>SUM(N239:O239)</f>
        <v>2050000</v>
      </c>
      <c r="L239" s="170">
        <f t="shared" ref="L239:M239" si="386">SUM(L240:L241)</f>
        <v>0</v>
      </c>
      <c r="M239" s="171">
        <f t="shared" si="386"/>
        <v>17220</v>
      </c>
      <c r="N239" s="172">
        <f>SUM(L239:M239)</f>
        <v>17220</v>
      </c>
      <c r="O239" s="169">
        <f>SUM(P239:Y239)</f>
        <v>2032780</v>
      </c>
      <c r="P239" s="173">
        <f t="shared" ref="P239:R239" si="387">SUM(P240:P241)</f>
        <v>1782780</v>
      </c>
      <c r="Q239" s="171">
        <f t="shared" si="387"/>
        <v>250000</v>
      </c>
      <c r="R239" s="174">
        <f t="shared" si="387"/>
        <v>0</v>
      </c>
      <c r="S239" s="175">
        <f t="shared" ref="S239:Y239" si="388">SUM(S240:S241)</f>
        <v>0</v>
      </c>
      <c r="T239" s="171">
        <f t="shared" si="388"/>
        <v>0</v>
      </c>
      <c r="U239" s="171">
        <f t="shared" si="388"/>
        <v>0</v>
      </c>
      <c r="V239" s="171">
        <f t="shared" si="388"/>
        <v>0</v>
      </c>
      <c r="W239" s="171">
        <f t="shared" si="388"/>
        <v>0</v>
      </c>
      <c r="X239" s="171">
        <f t="shared" si="388"/>
        <v>0</v>
      </c>
      <c r="Y239" s="174">
        <f t="shared" si="388"/>
        <v>0</v>
      </c>
      <c r="Z239" s="149" t="str">
        <f t="shared" ca="1" si="315"/>
        <v>nie</v>
      </c>
      <c r="AA239" s="366"/>
      <c r="AB239" s="150" t="str">
        <f t="shared" ca="1" si="345"/>
        <v>-</v>
      </c>
      <c r="AC239" s="151" t="str">
        <f t="shared" ca="1" si="316"/>
        <v>PRZED ZMIANĄ</v>
      </c>
      <c r="AD239" s="152" t="str">
        <f t="shared" ca="1" si="317"/>
        <v>PRZED ZMIANĄ</v>
      </c>
      <c r="AE239" s="153" t="str">
        <f t="shared" ca="1" si="318"/>
        <v>C/USN/III/P3/40</v>
      </c>
      <c r="AF239" s="154" t="str">
        <f t="shared" ca="1" si="319"/>
        <v>Budowa Parku Przy Bażantarni - część wschodnia wraz z modernizacją części zachodniej</v>
      </c>
      <c r="AG239" s="155">
        <f t="shared" ca="1" si="320"/>
        <v>90004</v>
      </c>
      <c r="AH239" s="155" t="str">
        <f t="shared" ca="1" si="321"/>
        <v>6050</v>
      </c>
      <c r="AI239" s="156" t="str">
        <f t="shared" ca="1" si="322"/>
        <v>GMMW</v>
      </c>
      <c r="AJ239" s="157" t="str">
        <f t="shared" ca="1" si="323"/>
        <v>WPF, w tym</v>
      </c>
      <c r="AK239" s="158" t="str">
        <f t="shared" ca="1" si="324"/>
        <v>C/USN/III/P3/40 90004 6050 GMMW</v>
      </c>
      <c r="AL239" s="158" t="str">
        <f t="shared" ca="1" si="325"/>
        <v>C/USN/III/P3/40 90004 6050 WPF, w tym</v>
      </c>
      <c r="AM239" s="159" t="str">
        <f t="shared" ca="1" si="326"/>
        <v>C/USN/III/P3/40 90004 6050 GMMW WPF, w tym</v>
      </c>
      <c r="AN239" s="160">
        <f t="shared" ca="1" si="327"/>
        <v>2050000</v>
      </c>
      <c r="AO239" s="161">
        <f t="shared" ca="1" si="328"/>
        <v>0</v>
      </c>
      <c r="AP239" s="162">
        <f t="shared" ca="1" si="329"/>
        <v>17220</v>
      </c>
      <c r="AQ239" s="163">
        <f t="shared" ca="1" si="330"/>
        <v>1782780</v>
      </c>
      <c r="AR239" s="164">
        <f t="shared" ca="1" si="331"/>
        <v>250000</v>
      </c>
      <c r="AS239" s="164">
        <f t="shared" ca="1" si="332"/>
        <v>0</v>
      </c>
      <c r="AT239" s="164">
        <f t="shared" ca="1" si="333"/>
        <v>0</v>
      </c>
      <c r="AU239" s="164">
        <f t="shared" ca="1" si="334"/>
        <v>0</v>
      </c>
      <c r="AV239" s="164">
        <f t="shared" ca="1" si="335"/>
        <v>0</v>
      </c>
      <c r="AW239" s="164">
        <f t="shared" ca="1" si="336"/>
        <v>0</v>
      </c>
      <c r="AX239" s="164">
        <f t="shared" ca="1" si="337"/>
        <v>0</v>
      </c>
      <c r="AY239" s="164">
        <f t="shared" ca="1" si="338"/>
        <v>0</v>
      </c>
      <c r="AZ239" s="164">
        <f t="shared" ca="1" si="339"/>
        <v>0</v>
      </c>
      <c r="BA239" s="165" t="str">
        <f t="shared" ca="1" si="340"/>
        <v>nie</v>
      </c>
      <c r="BB239" s="166" t="str">
        <f t="shared" ca="1" si="346"/>
        <v>-</v>
      </c>
      <c r="BC239" s="165" t="str">
        <f t="shared" ca="1" si="341"/>
        <v>nie</v>
      </c>
    </row>
    <row r="240" spans="1:55" ht="14.45" hidden="1" customHeight="1" x14ac:dyDescent="0.25">
      <c r="A240" s="493"/>
      <c r="B240" s="493"/>
      <c r="C240" s="494"/>
      <c r="D240" s="506"/>
      <c r="E240" s="497"/>
      <c r="F240" s="497"/>
      <c r="G240" s="497"/>
      <c r="H240" s="498"/>
      <c r="I240" s="499"/>
      <c r="J240" s="177" t="s">
        <v>95</v>
      </c>
      <c r="K240" s="178">
        <f>SUM(N240:O240)</f>
        <v>2024797</v>
      </c>
      <c r="L240" s="179"/>
      <c r="M240" s="180"/>
      <c r="N240" s="172">
        <f>SUM(L240:M240)</f>
        <v>0</v>
      </c>
      <c r="O240" s="178">
        <f>SUM(P240:Y240)</f>
        <v>2024797</v>
      </c>
      <c r="P240" s="181">
        <v>1774797</v>
      </c>
      <c r="Q240" s="180">
        <v>250000</v>
      </c>
      <c r="R240" s="182"/>
      <c r="S240" s="183"/>
      <c r="T240" s="180"/>
      <c r="U240" s="180"/>
      <c r="V240" s="180"/>
      <c r="W240" s="180"/>
      <c r="X240" s="180"/>
      <c r="Y240" s="182"/>
      <c r="Z240" s="149" t="str">
        <f t="shared" ca="1" si="315"/>
        <v>nie</v>
      </c>
      <c r="AA240" s="366"/>
      <c r="AB240" s="150" t="str">
        <f t="shared" ca="1" si="345"/>
        <v>-</v>
      </c>
      <c r="AC240" s="151" t="str">
        <f t="shared" ca="1" si="316"/>
        <v>PRZED ZMIANĄ</v>
      </c>
      <c r="AD240" s="152" t="str">
        <f t="shared" ca="1" si="317"/>
        <v>PRZED ZMIANĄ</v>
      </c>
      <c r="AE240" s="153" t="str">
        <f t="shared" ca="1" si="318"/>
        <v>C/USN/III/P3/40</v>
      </c>
      <c r="AF240" s="154" t="str">
        <f t="shared" ca="1" si="319"/>
        <v>Budowa Parku Przy Bażantarni - część wschodnia wraz z modernizacją części zachodniej</v>
      </c>
      <c r="AG240" s="155">
        <f t="shared" ca="1" si="320"/>
        <v>90004</v>
      </c>
      <c r="AH240" s="155" t="str">
        <f t="shared" ca="1" si="321"/>
        <v>6050</v>
      </c>
      <c r="AI240" s="156" t="str">
        <f t="shared" ca="1" si="322"/>
        <v>GMMW</v>
      </c>
      <c r="AJ240" s="157" t="str">
        <f t="shared" ca="1" si="323"/>
        <v>WPF/PM</v>
      </c>
      <c r="AK240" s="158" t="str">
        <f t="shared" ca="1" si="324"/>
        <v>C/USN/III/P3/40 90004 6050 GMMW</v>
      </c>
      <c r="AL240" s="158" t="str">
        <f t="shared" ca="1" si="325"/>
        <v>C/USN/III/P3/40 90004 6050 WPF/PM</v>
      </c>
      <c r="AM240" s="159" t="str">
        <f t="shared" ca="1" si="326"/>
        <v>C/USN/III/P3/40 90004 6050 GMMW WPF/PM</v>
      </c>
      <c r="AN240" s="160">
        <f t="shared" ca="1" si="327"/>
        <v>2024797</v>
      </c>
      <c r="AO240" s="161">
        <f t="shared" ca="1" si="328"/>
        <v>0</v>
      </c>
      <c r="AP240" s="162">
        <f t="shared" ca="1" si="329"/>
        <v>0</v>
      </c>
      <c r="AQ240" s="163">
        <f t="shared" ca="1" si="330"/>
        <v>1774797</v>
      </c>
      <c r="AR240" s="164">
        <f t="shared" ca="1" si="331"/>
        <v>250000</v>
      </c>
      <c r="AS240" s="164">
        <f t="shared" ca="1" si="332"/>
        <v>0</v>
      </c>
      <c r="AT240" s="164">
        <f t="shared" ca="1" si="333"/>
        <v>0</v>
      </c>
      <c r="AU240" s="164">
        <f t="shared" ca="1" si="334"/>
        <v>0</v>
      </c>
      <c r="AV240" s="164">
        <f t="shared" ca="1" si="335"/>
        <v>0</v>
      </c>
      <c r="AW240" s="164">
        <f t="shared" ca="1" si="336"/>
        <v>0</v>
      </c>
      <c r="AX240" s="164">
        <f t="shared" ca="1" si="337"/>
        <v>0</v>
      </c>
      <c r="AY240" s="164">
        <f t="shared" ca="1" si="338"/>
        <v>0</v>
      </c>
      <c r="AZ240" s="164">
        <f t="shared" ca="1" si="339"/>
        <v>0</v>
      </c>
      <c r="BA240" s="165" t="str">
        <f t="shared" ca="1" si="340"/>
        <v>nie</v>
      </c>
      <c r="BB240" s="166" t="str">
        <f t="shared" ca="1" si="346"/>
        <v>-</v>
      </c>
      <c r="BC240" s="165" t="str">
        <f t="shared" ca="1" si="341"/>
        <v>nie</v>
      </c>
    </row>
    <row r="241" spans="1:55" ht="14.45" hidden="1" customHeight="1" x14ac:dyDescent="0.25">
      <c r="A241" s="493"/>
      <c r="B241" s="493"/>
      <c r="C241" s="494"/>
      <c r="D241" s="506"/>
      <c r="E241" s="497"/>
      <c r="F241" s="497"/>
      <c r="G241" s="497"/>
      <c r="H241" s="498"/>
      <c r="I241" s="499"/>
      <c r="J241" s="177" t="s">
        <v>96</v>
      </c>
      <c r="K241" s="178">
        <f>SUM(N241:O241)</f>
        <v>25203</v>
      </c>
      <c r="L241" s="179"/>
      <c r="M241" s="180">
        <v>17220</v>
      </c>
      <c r="N241" s="172">
        <f>SUM(L241:M241)</f>
        <v>17220</v>
      </c>
      <c r="O241" s="178">
        <f>SUM(P241:Y241)</f>
        <v>7983</v>
      </c>
      <c r="P241" s="181">
        <v>7983</v>
      </c>
      <c r="Q241" s="180"/>
      <c r="R241" s="182"/>
      <c r="S241" s="183"/>
      <c r="T241" s="180"/>
      <c r="U241" s="180"/>
      <c r="V241" s="180"/>
      <c r="W241" s="180"/>
      <c r="X241" s="180"/>
      <c r="Y241" s="182"/>
      <c r="Z241" s="149" t="str">
        <f t="shared" ca="1" si="315"/>
        <v>nie</v>
      </c>
      <c r="AA241" s="366"/>
      <c r="AB241" s="150" t="str">
        <f t="shared" ca="1" si="345"/>
        <v>-</v>
      </c>
      <c r="AC241" s="151" t="str">
        <f t="shared" ca="1" si="316"/>
        <v>PRZED ZMIANĄ</v>
      </c>
      <c r="AD241" s="152" t="str">
        <f t="shared" ca="1" si="317"/>
        <v>PRZED ZMIANĄ</v>
      </c>
      <c r="AE241" s="153" t="str">
        <f t="shared" ca="1" si="318"/>
        <v>C/USN/III/P3/40</v>
      </c>
      <c r="AF241" s="154" t="str">
        <f t="shared" ca="1" si="319"/>
        <v>Budowa Parku Przy Bażantarni - część wschodnia wraz z modernizacją części zachodniej</v>
      </c>
      <c r="AG241" s="155">
        <f t="shared" ca="1" si="320"/>
        <v>90004</v>
      </c>
      <c r="AH241" s="155" t="str">
        <f t="shared" ca="1" si="321"/>
        <v>6050</v>
      </c>
      <c r="AI241" s="156" t="str">
        <f t="shared" ca="1" si="322"/>
        <v>GMMW</v>
      </c>
      <c r="AJ241" s="157" t="str">
        <f t="shared" ca="1" si="323"/>
        <v>WPF/UM</v>
      </c>
      <c r="AK241" s="158" t="str">
        <f t="shared" ca="1" si="324"/>
        <v>C/USN/III/P3/40 90004 6050 GMMW</v>
      </c>
      <c r="AL241" s="158" t="str">
        <f t="shared" ca="1" si="325"/>
        <v>C/USN/III/P3/40 90004 6050 WPF/UM</v>
      </c>
      <c r="AM241" s="159" t="str">
        <f t="shared" ca="1" si="326"/>
        <v>C/USN/III/P3/40 90004 6050 GMMW WPF/UM</v>
      </c>
      <c r="AN241" s="160">
        <f t="shared" ca="1" si="327"/>
        <v>25203</v>
      </c>
      <c r="AO241" s="161">
        <f t="shared" ca="1" si="328"/>
        <v>0</v>
      </c>
      <c r="AP241" s="162">
        <f t="shared" ca="1" si="329"/>
        <v>17220</v>
      </c>
      <c r="AQ241" s="163">
        <f t="shared" ca="1" si="330"/>
        <v>7983</v>
      </c>
      <c r="AR241" s="164">
        <f t="shared" ca="1" si="331"/>
        <v>0</v>
      </c>
      <c r="AS241" s="164">
        <f t="shared" ca="1" si="332"/>
        <v>0</v>
      </c>
      <c r="AT241" s="164">
        <f t="shared" ca="1" si="333"/>
        <v>0</v>
      </c>
      <c r="AU241" s="164">
        <f t="shared" ca="1" si="334"/>
        <v>0</v>
      </c>
      <c r="AV241" s="164">
        <f t="shared" ca="1" si="335"/>
        <v>0</v>
      </c>
      <c r="AW241" s="164">
        <f t="shared" ca="1" si="336"/>
        <v>0</v>
      </c>
      <c r="AX241" s="164">
        <f t="shared" ca="1" si="337"/>
        <v>0</v>
      </c>
      <c r="AY241" s="164">
        <f t="shared" ca="1" si="338"/>
        <v>0</v>
      </c>
      <c r="AZ241" s="164">
        <f t="shared" ca="1" si="339"/>
        <v>0</v>
      </c>
      <c r="BA241" s="165" t="str">
        <f t="shared" ca="1" si="340"/>
        <v>nie</v>
      </c>
      <c r="BB241" s="166" t="str">
        <f t="shared" ca="1" si="346"/>
        <v>-</v>
      </c>
      <c r="BC241" s="165" t="str">
        <f t="shared" ca="1" si="341"/>
        <v>nie</v>
      </c>
    </row>
    <row r="242" spans="1:55" ht="14.45" hidden="1" customHeight="1" x14ac:dyDescent="0.25">
      <c r="A242" s="185" t="s">
        <v>97</v>
      </c>
      <c r="B242" s="186"/>
      <c r="C242" s="187"/>
      <c r="D242" s="186"/>
      <c r="E242" s="186"/>
      <c r="F242" s="186"/>
      <c r="G242" s="186"/>
      <c r="H242" s="186"/>
      <c r="I242" s="186"/>
      <c r="J242" s="186"/>
      <c r="K242" s="186"/>
      <c r="L242" s="186"/>
      <c r="M242" s="186"/>
      <c r="N242" s="186"/>
      <c r="O242" s="186"/>
      <c r="P242" s="186"/>
      <c r="Q242" s="186"/>
      <c r="R242" s="188"/>
      <c r="S242" s="189"/>
      <c r="T242" s="189"/>
      <c r="U242" s="189"/>
      <c r="V242" s="189"/>
      <c r="W242" s="189"/>
      <c r="X242" s="189"/>
      <c r="Y242" s="190"/>
      <c r="Z242" s="149" t="str">
        <f t="shared" ca="1" si="315"/>
        <v>nie</v>
      </c>
      <c r="AA242" s="366"/>
      <c r="AB242" s="150" t="str">
        <f t="shared" ca="1" si="345"/>
        <v>-</v>
      </c>
      <c r="AC242" s="151" t="str">
        <f t="shared" ca="1" si="316"/>
        <v>PROPONOWANA ZMIANA</v>
      </c>
      <c r="AD242" s="152" t="str">
        <f t="shared" ca="1" si="317"/>
        <v/>
      </c>
      <c r="AE242" s="153" t="str">
        <f t="shared" ca="1" si="318"/>
        <v/>
      </c>
      <c r="AF242" s="154" t="str">
        <f t="shared" ca="1" si="319"/>
        <v/>
      </c>
      <c r="AG242" s="155" t="str">
        <f t="shared" ca="1" si="320"/>
        <v/>
      </c>
      <c r="AH242" s="155" t="str">
        <f t="shared" ca="1" si="321"/>
        <v/>
      </c>
      <c r="AI242" s="156" t="str">
        <f t="shared" ca="1" si="322"/>
        <v/>
      </c>
      <c r="AJ242" s="157" t="str">
        <f t="shared" ca="1" si="323"/>
        <v/>
      </c>
      <c r="AK242" s="158" t="str">
        <f t="shared" ca="1" si="324"/>
        <v/>
      </c>
      <c r="AL242" s="158" t="str">
        <f t="shared" ca="1" si="325"/>
        <v/>
      </c>
      <c r="AM242" s="159" t="str">
        <f t="shared" ca="1" si="326"/>
        <v/>
      </c>
      <c r="AN242" s="160" t="str">
        <f t="shared" ca="1" si="327"/>
        <v/>
      </c>
      <c r="AO242" s="161" t="str">
        <f t="shared" ca="1" si="328"/>
        <v/>
      </c>
      <c r="AP242" s="162" t="str">
        <f t="shared" ca="1" si="329"/>
        <v/>
      </c>
      <c r="AQ242" s="163" t="str">
        <f t="shared" ca="1" si="330"/>
        <v/>
      </c>
      <c r="AR242" s="164" t="str">
        <f t="shared" ca="1" si="331"/>
        <v/>
      </c>
      <c r="AS242" s="164" t="str">
        <f t="shared" ca="1" si="332"/>
        <v/>
      </c>
      <c r="AT242" s="164" t="str">
        <f t="shared" ca="1" si="333"/>
        <v/>
      </c>
      <c r="AU242" s="164" t="str">
        <f t="shared" ca="1" si="334"/>
        <v/>
      </c>
      <c r="AV242" s="164" t="str">
        <f t="shared" ca="1" si="335"/>
        <v/>
      </c>
      <c r="AW242" s="164" t="str">
        <f t="shared" ca="1" si="336"/>
        <v/>
      </c>
      <c r="AX242" s="164" t="str">
        <f t="shared" ca="1" si="337"/>
        <v/>
      </c>
      <c r="AY242" s="164" t="str">
        <f t="shared" ca="1" si="338"/>
        <v/>
      </c>
      <c r="AZ242" s="164" t="str">
        <f t="shared" ca="1" si="339"/>
        <v/>
      </c>
      <c r="BA242" s="165" t="str">
        <f t="shared" ca="1" si="340"/>
        <v>nie</v>
      </c>
      <c r="BB242" s="166" t="str">
        <f t="shared" ca="1" si="346"/>
        <v>-</v>
      </c>
      <c r="BC242" s="165" t="str">
        <f t="shared" ca="1" si="341"/>
        <v>nie</v>
      </c>
    </row>
    <row r="243" spans="1:55" ht="14.45" hidden="1" customHeight="1" x14ac:dyDescent="0.25">
      <c r="A243" s="493" t="s">
        <v>24</v>
      </c>
      <c r="B243" s="493" t="s">
        <v>26</v>
      </c>
      <c r="C243" s="494" t="s">
        <v>136</v>
      </c>
      <c r="D243" s="505" t="s">
        <v>467</v>
      </c>
      <c r="E243" s="497">
        <v>900</v>
      </c>
      <c r="F243" s="497">
        <v>90004</v>
      </c>
      <c r="G243" s="497">
        <v>6050</v>
      </c>
      <c r="H243" s="507">
        <v>2021</v>
      </c>
      <c r="I243" s="499" t="str">
        <f ca="1">IF(COUNTIF(OFFSET(I243,-1,-8),"*propon*")&gt;0,OFFSET(I243,4,0),IF(Y243&gt;0,"2033",IF(X243&gt;0,"2032",IF(W243&gt;0,"2031",IF(V243&gt;0,"2030",IF(U243&gt;0,"2029",IF(T243&gt;0,"2028",IF(S243&gt;0,"2027",IF(R243&gt;0,"2026",IF(Q243&gt;0,"2025",IF(P243&gt;0,"2024",IF(M243&gt;0,"2023",IF(L243&gt;0,"2022","")))))))))))))</f>
        <v>2025</v>
      </c>
      <c r="J243" s="168" t="s">
        <v>98</v>
      </c>
      <c r="K243" s="169">
        <f>SUM(N243:O243)</f>
        <v>0</v>
      </c>
      <c r="L243" s="170">
        <f t="shared" ref="L243:M243" si="389">SUM(L244:L245)</f>
        <v>0</v>
      </c>
      <c r="M243" s="171">
        <f t="shared" si="389"/>
        <v>0</v>
      </c>
      <c r="N243" s="172">
        <f>SUM(L243:M243)</f>
        <v>0</v>
      </c>
      <c r="O243" s="169">
        <f>SUM(P243:Y243)</f>
        <v>0</v>
      </c>
      <c r="P243" s="173">
        <f t="shared" ref="P243:R243" si="390">SUM(P244:P245)</f>
        <v>0</v>
      </c>
      <c r="Q243" s="171">
        <f t="shared" si="390"/>
        <v>0</v>
      </c>
      <c r="R243" s="174">
        <f t="shared" si="390"/>
        <v>0</v>
      </c>
      <c r="S243" s="175">
        <f t="shared" ref="S243:Y243" si="391">SUM(S244:S245)</f>
        <v>0</v>
      </c>
      <c r="T243" s="171">
        <f t="shared" si="391"/>
        <v>0</v>
      </c>
      <c r="U243" s="171">
        <f t="shared" si="391"/>
        <v>0</v>
      </c>
      <c r="V243" s="171">
        <f t="shared" si="391"/>
        <v>0</v>
      </c>
      <c r="W243" s="171">
        <f t="shared" si="391"/>
        <v>0</v>
      </c>
      <c r="X243" s="171">
        <f t="shared" si="391"/>
        <v>0</v>
      </c>
      <c r="Y243" s="174">
        <f t="shared" si="391"/>
        <v>0</v>
      </c>
      <c r="Z243" s="149" t="str">
        <f t="shared" ca="1" si="315"/>
        <v>nie</v>
      </c>
      <c r="AA243" s="366"/>
      <c r="AB243" s="150" t="str">
        <f t="shared" ca="1" si="345"/>
        <v>-</v>
      </c>
      <c r="AC243" s="151" t="str">
        <f t="shared" ca="1" si="316"/>
        <v>PROPONOWANA ZMIANA</v>
      </c>
      <c r="AD243" s="152" t="str">
        <f t="shared" ca="1" si="317"/>
        <v>PROPONOWANA ZMIANA</v>
      </c>
      <c r="AE243" s="153" t="str">
        <f t="shared" ca="1" si="318"/>
        <v>C/USN/III/P3/40</v>
      </c>
      <c r="AF243" s="154" t="str">
        <f t="shared" ca="1" si="319"/>
        <v>Budowa Parku Przy Bażantarni - część wschodnia wraz z modernizacją części zachodniej</v>
      </c>
      <c r="AG243" s="155">
        <f t="shared" ca="1" si="320"/>
        <v>90004</v>
      </c>
      <c r="AH243" s="155" t="str">
        <f t="shared" ca="1" si="321"/>
        <v>6050</v>
      </c>
      <c r="AI243" s="156" t="str">
        <f t="shared" ca="1" si="322"/>
        <v>GMMW</v>
      </c>
      <c r="AJ243" s="157" t="str">
        <f t="shared" ca="1" si="323"/>
        <v>WPF, w tym</v>
      </c>
      <c r="AK243" s="158" t="str">
        <f t="shared" ca="1" si="324"/>
        <v>C/USN/III/P3/40 90004 6050 GMMW</v>
      </c>
      <c r="AL243" s="158" t="str">
        <f t="shared" ca="1" si="325"/>
        <v>C/USN/III/P3/40 90004 6050 WPF, w tym</v>
      </c>
      <c r="AM243" s="159" t="str">
        <f t="shared" ca="1" si="326"/>
        <v>C/USN/III/P3/40 90004 6050 GMMW WPF, w tym</v>
      </c>
      <c r="AN243" s="160">
        <f t="shared" ca="1" si="327"/>
        <v>0</v>
      </c>
      <c r="AO243" s="161">
        <f t="shared" ca="1" si="328"/>
        <v>0</v>
      </c>
      <c r="AP243" s="162">
        <f t="shared" ca="1" si="329"/>
        <v>0</v>
      </c>
      <c r="AQ243" s="163">
        <f t="shared" ca="1" si="330"/>
        <v>0</v>
      </c>
      <c r="AR243" s="164">
        <f t="shared" ca="1" si="331"/>
        <v>0</v>
      </c>
      <c r="AS243" s="164">
        <f t="shared" ca="1" si="332"/>
        <v>0</v>
      </c>
      <c r="AT243" s="164">
        <f t="shared" ca="1" si="333"/>
        <v>0</v>
      </c>
      <c r="AU243" s="164">
        <f t="shared" ca="1" si="334"/>
        <v>0</v>
      </c>
      <c r="AV243" s="164">
        <f t="shared" ca="1" si="335"/>
        <v>0</v>
      </c>
      <c r="AW243" s="164">
        <f t="shared" ca="1" si="336"/>
        <v>0</v>
      </c>
      <c r="AX243" s="164">
        <f t="shared" ca="1" si="337"/>
        <v>0</v>
      </c>
      <c r="AY243" s="164">
        <f t="shared" ca="1" si="338"/>
        <v>0</v>
      </c>
      <c r="AZ243" s="164">
        <f t="shared" ca="1" si="339"/>
        <v>0</v>
      </c>
      <c r="BA243" s="165" t="str">
        <f t="shared" ca="1" si="340"/>
        <v>nie</v>
      </c>
      <c r="BB243" s="166" t="str">
        <f t="shared" ca="1" si="346"/>
        <v>-</v>
      </c>
      <c r="BC243" s="165" t="str">
        <f t="shared" ca="1" si="341"/>
        <v>nie</v>
      </c>
    </row>
    <row r="244" spans="1:55" ht="14.45" hidden="1" customHeight="1" x14ac:dyDescent="0.25">
      <c r="A244" s="493"/>
      <c r="B244" s="493"/>
      <c r="C244" s="494"/>
      <c r="D244" s="506"/>
      <c r="E244" s="497"/>
      <c r="F244" s="497"/>
      <c r="G244" s="497"/>
      <c r="H244" s="498"/>
      <c r="I244" s="499"/>
      <c r="J244" s="177" t="s">
        <v>99</v>
      </c>
      <c r="K244" s="178">
        <f>SUM(N244:O244)</f>
        <v>0</v>
      </c>
      <c r="L244" s="179">
        <f t="shared" ref="L244:M244" si="392">L248-L240</f>
        <v>0</v>
      </c>
      <c r="M244" s="180">
        <f t="shared" si="392"/>
        <v>0</v>
      </c>
      <c r="N244" s="172">
        <f>SUM(L244:M244)</f>
        <v>0</v>
      </c>
      <c r="O244" s="178">
        <f>SUM(P244:Y244)</f>
        <v>0</v>
      </c>
      <c r="P244" s="181">
        <f t="shared" ref="P244:R244" si="393">P248-P240</f>
        <v>0</v>
      </c>
      <c r="Q244" s="180">
        <f t="shared" si="393"/>
        <v>0</v>
      </c>
      <c r="R244" s="182">
        <f t="shared" si="393"/>
        <v>0</v>
      </c>
      <c r="S244" s="183">
        <f t="shared" ref="S244:Y245" si="394">S248-S240</f>
        <v>0</v>
      </c>
      <c r="T244" s="180">
        <f t="shared" si="394"/>
        <v>0</v>
      </c>
      <c r="U244" s="180">
        <f t="shared" si="394"/>
        <v>0</v>
      </c>
      <c r="V244" s="180">
        <f t="shared" si="394"/>
        <v>0</v>
      </c>
      <c r="W244" s="180">
        <f t="shared" si="394"/>
        <v>0</v>
      </c>
      <c r="X244" s="180">
        <f t="shared" si="394"/>
        <v>0</v>
      </c>
      <c r="Y244" s="182">
        <f t="shared" si="394"/>
        <v>0</v>
      </c>
      <c r="Z244" s="149" t="str">
        <f t="shared" ca="1" si="315"/>
        <v>nie</v>
      </c>
      <c r="AA244" s="366"/>
      <c r="AB244" s="150" t="str">
        <f t="shared" ca="1" si="345"/>
        <v>-</v>
      </c>
      <c r="AC244" s="151" t="str">
        <f t="shared" ca="1" si="316"/>
        <v>PROPONOWANA ZMIANA</v>
      </c>
      <c r="AD244" s="152" t="str">
        <f t="shared" ca="1" si="317"/>
        <v>PROPONOWANA ZMIANA</v>
      </c>
      <c r="AE244" s="153" t="str">
        <f t="shared" ca="1" si="318"/>
        <v>C/USN/III/P3/40</v>
      </c>
      <c r="AF244" s="154" t="str">
        <f t="shared" ca="1" si="319"/>
        <v>Budowa Parku Przy Bażantarni - część wschodnia wraz z modernizacją części zachodniej</v>
      </c>
      <c r="AG244" s="155">
        <f t="shared" ca="1" si="320"/>
        <v>90004</v>
      </c>
      <c r="AH244" s="155" t="str">
        <f t="shared" ca="1" si="321"/>
        <v>6050</v>
      </c>
      <c r="AI244" s="156" t="str">
        <f t="shared" ca="1" si="322"/>
        <v>GMMW</v>
      </c>
      <c r="AJ244" s="157" t="str">
        <f t="shared" ca="1" si="323"/>
        <v>WPF/PM</v>
      </c>
      <c r="AK244" s="158" t="str">
        <f t="shared" ca="1" si="324"/>
        <v>C/USN/III/P3/40 90004 6050 GMMW</v>
      </c>
      <c r="AL244" s="158" t="str">
        <f t="shared" ca="1" si="325"/>
        <v>C/USN/III/P3/40 90004 6050 WPF/PM</v>
      </c>
      <c r="AM244" s="159" t="str">
        <f t="shared" ca="1" si="326"/>
        <v>C/USN/III/P3/40 90004 6050 GMMW WPF/PM</v>
      </c>
      <c r="AN244" s="160">
        <f t="shared" ca="1" si="327"/>
        <v>0</v>
      </c>
      <c r="AO244" s="161">
        <f t="shared" ca="1" si="328"/>
        <v>0</v>
      </c>
      <c r="AP244" s="162">
        <f t="shared" ca="1" si="329"/>
        <v>0</v>
      </c>
      <c r="AQ244" s="163">
        <f t="shared" ca="1" si="330"/>
        <v>0</v>
      </c>
      <c r="AR244" s="164">
        <f t="shared" ca="1" si="331"/>
        <v>0</v>
      </c>
      <c r="AS244" s="164">
        <f t="shared" ca="1" si="332"/>
        <v>0</v>
      </c>
      <c r="AT244" s="164">
        <f t="shared" ca="1" si="333"/>
        <v>0</v>
      </c>
      <c r="AU244" s="164">
        <f t="shared" ca="1" si="334"/>
        <v>0</v>
      </c>
      <c r="AV244" s="164">
        <f t="shared" ca="1" si="335"/>
        <v>0</v>
      </c>
      <c r="AW244" s="164">
        <f t="shared" ca="1" si="336"/>
        <v>0</v>
      </c>
      <c r="AX244" s="164">
        <f t="shared" ca="1" si="337"/>
        <v>0</v>
      </c>
      <c r="AY244" s="164">
        <f t="shared" ca="1" si="338"/>
        <v>0</v>
      </c>
      <c r="AZ244" s="164">
        <f t="shared" ca="1" si="339"/>
        <v>0</v>
      </c>
      <c r="BA244" s="165" t="str">
        <f t="shared" ca="1" si="340"/>
        <v>nie</v>
      </c>
      <c r="BB244" s="166" t="str">
        <f t="shared" ca="1" si="346"/>
        <v>-</v>
      </c>
      <c r="BC244" s="165" t="str">
        <f t="shared" ca="1" si="341"/>
        <v>nie</v>
      </c>
    </row>
    <row r="245" spans="1:55" ht="14.45" hidden="1" customHeight="1" x14ac:dyDescent="0.25">
      <c r="A245" s="493"/>
      <c r="B245" s="493"/>
      <c r="C245" s="494"/>
      <c r="D245" s="506"/>
      <c r="E245" s="497"/>
      <c r="F245" s="497"/>
      <c r="G245" s="497"/>
      <c r="H245" s="498"/>
      <c r="I245" s="499"/>
      <c r="J245" s="177" t="s">
        <v>100</v>
      </c>
      <c r="K245" s="178">
        <f>SUM(N245:O245)</f>
        <v>0</v>
      </c>
      <c r="L245" s="179">
        <f t="shared" ref="L245:M245" si="395">L249-L241</f>
        <v>0</v>
      </c>
      <c r="M245" s="180">
        <f t="shared" si="395"/>
        <v>0</v>
      </c>
      <c r="N245" s="172">
        <f>SUM(L245:M245)</f>
        <v>0</v>
      </c>
      <c r="O245" s="178">
        <f>SUM(P245:Y245)</f>
        <v>0</v>
      </c>
      <c r="P245" s="181">
        <f t="shared" ref="P245:R245" si="396">P249-P241</f>
        <v>0</v>
      </c>
      <c r="Q245" s="180">
        <f t="shared" si="396"/>
        <v>0</v>
      </c>
      <c r="R245" s="182">
        <f t="shared" si="396"/>
        <v>0</v>
      </c>
      <c r="S245" s="183">
        <f t="shared" si="394"/>
        <v>0</v>
      </c>
      <c r="T245" s="180">
        <f t="shared" si="394"/>
        <v>0</v>
      </c>
      <c r="U245" s="180">
        <f t="shared" si="394"/>
        <v>0</v>
      </c>
      <c r="V245" s="180">
        <f t="shared" si="394"/>
        <v>0</v>
      </c>
      <c r="W245" s="180">
        <f t="shared" si="394"/>
        <v>0</v>
      </c>
      <c r="X245" s="180">
        <f t="shared" si="394"/>
        <v>0</v>
      </c>
      <c r="Y245" s="182">
        <f t="shared" si="394"/>
        <v>0</v>
      </c>
      <c r="Z245" s="149" t="str">
        <f t="shared" ca="1" si="315"/>
        <v>nie</v>
      </c>
      <c r="AA245" s="366"/>
      <c r="AB245" s="150" t="str">
        <f t="shared" ca="1" si="345"/>
        <v>-</v>
      </c>
      <c r="AC245" s="151" t="str">
        <f t="shared" ca="1" si="316"/>
        <v>PROPONOWANA ZMIANA</v>
      </c>
      <c r="AD245" s="152" t="str">
        <f t="shared" ca="1" si="317"/>
        <v>PROPONOWANA ZMIANA</v>
      </c>
      <c r="AE245" s="153" t="str">
        <f t="shared" ca="1" si="318"/>
        <v>C/USN/III/P3/40</v>
      </c>
      <c r="AF245" s="154" t="str">
        <f t="shared" ca="1" si="319"/>
        <v>Budowa Parku Przy Bażantarni - część wschodnia wraz z modernizacją części zachodniej</v>
      </c>
      <c r="AG245" s="155">
        <f t="shared" ca="1" si="320"/>
        <v>90004</v>
      </c>
      <c r="AH245" s="155" t="str">
        <f t="shared" ca="1" si="321"/>
        <v>6050</v>
      </c>
      <c r="AI245" s="156" t="str">
        <f t="shared" ca="1" si="322"/>
        <v>GMMW</v>
      </c>
      <c r="AJ245" s="157" t="str">
        <f t="shared" ca="1" si="323"/>
        <v>WPF/UM</v>
      </c>
      <c r="AK245" s="158" t="str">
        <f t="shared" ca="1" si="324"/>
        <v>C/USN/III/P3/40 90004 6050 GMMW</v>
      </c>
      <c r="AL245" s="158" t="str">
        <f t="shared" ca="1" si="325"/>
        <v>C/USN/III/P3/40 90004 6050 WPF/UM</v>
      </c>
      <c r="AM245" s="159" t="str">
        <f t="shared" ca="1" si="326"/>
        <v>C/USN/III/P3/40 90004 6050 GMMW WPF/UM</v>
      </c>
      <c r="AN245" s="160">
        <f t="shared" ca="1" si="327"/>
        <v>0</v>
      </c>
      <c r="AO245" s="161">
        <f t="shared" ca="1" si="328"/>
        <v>0</v>
      </c>
      <c r="AP245" s="162">
        <f t="shared" ca="1" si="329"/>
        <v>0</v>
      </c>
      <c r="AQ245" s="163">
        <f t="shared" ca="1" si="330"/>
        <v>0</v>
      </c>
      <c r="AR245" s="164">
        <f t="shared" ca="1" si="331"/>
        <v>0</v>
      </c>
      <c r="AS245" s="164">
        <f t="shared" ca="1" si="332"/>
        <v>0</v>
      </c>
      <c r="AT245" s="164">
        <f t="shared" ca="1" si="333"/>
        <v>0</v>
      </c>
      <c r="AU245" s="164">
        <f t="shared" ca="1" si="334"/>
        <v>0</v>
      </c>
      <c r="AV245" s="164">
        <f t="shared" ca="1" si="335"/>
        <v>0</v>
      </c>
      <c r="AW245" s="164">
        <f t="shared" ca="1" si="336"/>
        <v>0</v>
      </c>
      <c r="AX245" s="164">
        <f t="shared" ca="1" si="337"/>
        <v>0</v>
      </c>
      <c r="AY245" s="164">
        <f t="shared" ca="1" si="338"/>
        <v>0</v>
      </c>
      <c r="AZ245" s="164">
        <f t="shared" ca="1" si="339"/>
        <v>0</v>
      </c>
      <c r="BA245" s="165" t="str">
        <f t="shared" ca="1" si="340"/>
        <v>nie</v>
      </c>
      <c r="BB245" s="166" t="str">
        <f t="shared" ca="1" si="346"/>
        <v>-</v>
      </c>
      <c r="BC245" s="165" t="str">
        <f t="shared" ca="1" si="341"/>
        <v>nie</v>
      </c>
    </row>
    <row r="246" spans="1:55" ht="14.45" hidden="1" customHeight="1" x14ac:dyDescent="0.25">
      <c r="A246" s="191" t="s">
        <v>101</v>
      </c>
      <c r="B246" s="192"/>
      <c r="C246" s="193"/>
      <c r="D246" s="192"/>
      <c r="E246" s="192"/>
      <c r="F246" s="192"/>
      <c r="G246" s="192"/>
      <c r="H246" s="192"/>
      <c r="I246" s="192"/>
      <c r="J246" s="192"/>
      <c r="K246" s="192"/>
      <c r="L246" s="192"/>
      <c r="M246" s="192"/>
      <c r="N246" s="192"/>
      <c r="O246" s="192"/>
      <c r="P246" s="192"/>
      <c r="Q246" s="192"/>
      <c r="R246" s="194"/>
      <c r="S246" s="195"/>
      <c r="T246" s="195"/>
      <c r="U246" s="195"/>
      <c r="V246" s="195"/>
      <c r="W246" s="195"/>
      <c r="X246" s="195"/>
      <c r="Y246" s="196"/>
      <c r="Z246" s="149" t="str">
        <f t="shared" ca="1" si="315"/>
        <v>nie</v>
      </c>
      <c r="AA246" s="366"/>
      <c r="AB246" s="150" t="str">
        <f t="shared" ca="1" si="345"/>
        <v>-</v>
      </c>
      <c r="AC246" s="151" t="str">
        <f t="shared" ca="1" si="316"/>
        <v>PO ZMIANIE</v>
      </c>
      <c r="AD246" s="152" t="str">
        <f t="shared" ca="1" si="317"/>
        <v/>
      </c>
      <c r="AE246" s="153" t="str">
        <f t="shared" ca="1" si="318"/>
        <v/>
      </c>
      <c r="AF246" s="154" t="str">
        <f t="shared" ca="1" si="319"/>
        <v/>
      </c>
      <c r="AG246" s="155" t="str">
        <f t="shared" ca="1" si="320"/>
        <v/>
      </c>
      <c r="AH246" s="155" t="str">
        <f t="shared" ca="1" si="321"/>
        <v/>
      </c>
      <c r="AI246" s="156" t="str">
        <f t="shared" ca="1" si="322"/>
        <v/>
      </c>
      <c r="AJ246" s="157" t="str">
        <f t="shared" ca="1" si="323"/>
        <v/>
      </c>
      <c r="AK246" s="158" t="str">
        <f t="shared" ca="1" si="324"/>
        <v/>
      </c>
      <c r="AL246" s="158" t="str">
        <f t="shared" ca="1" si="325"/>
        <v/>
      </c>
      <c r="AM246" s="159" t="str">
        <f t="shared" ca="1" si="326"/>
        <v/>
      </c>
      <c r="AN246" s="160" t="str">
        <f t="shared" ca="1" si="327"/>
        <v/>
      </c>
      <c r="AO246" s="161" t="str">
        <f t="shared" ca="1" si="328"/>
        <v/>
      </c>
      <c r="AP246" s="162" t="str">
        <f t="shared" ca="1" si="329"/>
        <v/>
      </c>
      <c r="AQ246" s="163" t="str">
        <f t="shared" ca="1" si="330"/>
        <v/>
      </c>
      <c r="AR246" s="164" t="str">
        <f t="shared" ca="1" si="331"/>
        <v/>
      </c>
      <c r="AS246" s="164" t="str">
        <f t="shared" ca="1" si="332"/>
        <v/>
      </c>
      <c r="AT246" s="164" t="str">
        <f t="shared" ca="1" si="333"/>
        <v/>
      </c>
      <c r="AU246" s="164" t="str">
        <f t="shared" ca="1" si="334"/>
        <v/>
      </c>
      <c r="AV246" s="164" t="str">
        <f t="shared" ca="1" si="335"/>
        <v/>
      </c>
      <c r="AW246" s="164" t="str">
        <f t="shared" ca="1" si="336"/>
        <v/>
      </c>
      <c r="AX246" s="164" t="str">
        <f t="shared" ca="1" si="337"/>
        <v/>
      </c>
      <c r="AY246" s="164" t="str">
        <f t="shared" ca="1" si="338"/>
        <v/>
      </c>
      <c r="AZ246" s="164" t="str">
        <f t="shared" ca="1" si="339"/>
        <v/>
      </c>
      <c r="BA246" s="165" t="str">
        <f t="shared" ca="1" si="340"/>
        <v>nie</v>
      </c>
      <c r="BB246" s="166" t="str">
        <f t="shared" ca="1" si="346"/>
        <v>-</v>
      </c>
      <c r="BC246" s="165" t="str">
        <f t="shared" ca="1" si="341"/>
        <v>nie</v>
      </c>
    </row>
    <row r="247" spans="1:55" ht="14.45" hidden="1" customHeight="1" x14ac:dyDescent="0.25">
      <c r="A247" s="493" t="s">
        <v>24</v>
      </c>
      <c r="B247" s="493" t="s">
        <v>26</v>
      </c>
      <c r="C247" s="494" t="s">
        <v>136</v>
      </c>
      <c r="D247" s="505" t="s">
        <v>467</v>
      </c>
      <c r="E247" s="497">
        <v>900</v>
      </c>
      <c r="F247" s="497">
        <v>90004</v>
      </c>
      <c r="G247" s="497">
        <v>6050</v>
      </c>
      <c r="H247" s="507">
        <v>2021</v>
      </c>
      <c r="I247" s="499" t="str">
        <f ca="1">IF(COUNTIF(OFFSET(I247,-1,-8),"*propon*")&gt;0,OFFSET(I247,4,0),IF(Y247&gt;0,"2033",IF(X247&gt;0,"2032",IF(W247&gt;0,"2031",IF(V247&gt;0,"2030",IF(U247&gt;0,"2029",IF(T247&gt;0,"2028",IF(S247&gt;0,"2027",IF(R247&gt;0,"2026",IF(Q247&gt;0,"2025",IF(P247&gt;0,"2024",IF(M247&gt;0,"2023",IF(L247&gt;0,"2022","")))))))))))))</f>
        <v>2025</v>
      </c>
      <c r="J247" s="168" t="s">
        <v>102</v>
      </c>
      <c r="K247" s="169">
        <f>SUM(N247:O247)</f>
        <v>2050000</v>
      </c>
      <c r="L247" s="170">
        <f t="shared" ref="L247:M247" si="397">SUM(L248:L249)</f>
        <v>0</v>
      </c>
      <c r="M247" s="171">
        <f t="shared" si="397"/>
        <v>17220</v>
      </c>
      <c r="N247" s="172">
        <f>SUM(L247:M247)</f>
        <v>17220</v>
      </c>
      <c r="O247" s="169">
        <f>SUM(P247:Y247)</f>
        <v>2032780</v>
      </c>
      <c r="P247" s="173">
        <f t="shared" ref="P247:R247" si="398">SUM(P248:P249)</f>
        <v>1782780</v>
      </c>
      <c r="Q247" s="171">
        <f t="shared" si="398"/>
        <v>250000</v>
      </c>
      <c r="R247" s="174">
        <f t="shared" si="398"/>
        <v>0</v>
      </c>
      <c r="S247" s="175">
        <f t="shared" ref="S247:Y247" si="399">SUM(S248:S249)</f>
        <v>0</v>
      </c>
      <c r="T247" s="171">
        <f t="shared" si="399"/>
        <v>0</v>
      </c>
      <c r="U247" s="171">
        <f t="shared" si="399"/>
        <v>0</v>
      </c>
      <c r="V247" s="171">
        <f t="shared" si="399"/>
        <v>0</v>
      </c>
      <c r="W247" s="171">
        <f t="shared" si="399"/>
        <v>0</v>
      </c>
      <c r="X247" s="171">
        <f t="shared" si="399"/>
        <v>0</v>
      </c>
      <c r="Y247" s="174">
        <f t="shared" si="399"/>
        <v>0</v>
      </c>
      <c r="Z247" s="149" t="str">
        <f t="shared" ca="1" si="315"/>
        <v>nie</v>
      </c>
      <c r="AA247" s="366"/>
      <c r="AB247" s="150" t="str">
        <f t="shared" ca="1" si="345"/>
        <v>-</v>
      </c>
      <c r="AC247" s="151" t="str">
        <f t="shared" ca="1" si="316"/>
        <v>PO ZMIANIE</v>
      </c>
      <c r="AD247" s="152" t="str">
        <f t="shared" ca="1" si="317"/>
        <v>PO ZMIANIE</v>
      </c>
      <c r="AE247" s="153" t="str">
        <f t="shared" ca="1" si="318"/>
        <v>C/USN/III/P3/40</v>
      </c>
      <c r="AF247" s="154" t="str">
        <f t="shared" ca="1" si="319"/>
        <v>Budowa Parku Przy Bażantarni - część wschodnia wraz z modernizacją części zachodniej</v>
      </c>
      <c r="AG247" s="155">
        <f t="shared" ca="1" si="320"/>
        <v>90004</v>
      </c>
      <c r="AH247" s="155" t="str">
        <f t="shared" ca="1" si="321"/>
        <v>6050</v>
      </c>
      <c r="AI247" s="156" t="str">
        <f t="shared" ca="1" si="322"/>
        <v>GMMW</v>
      </c>
      <c r="AJ247" s="157" t="str">
        <f t="shared" ca="1" si="323"/>
        <v>WPF, w tym</v>
      </c>
      <c r="AK247" s="158" t="str">
        <f t="shared" ca="1" si="324"/>
        <v>C/USN/III/P3/40 90004 6050 GMMW</v>
      </c>
      <c r="AL247" s="158" t="str">
        <f t="shared" ca="1" si="325"/>
        <v>C/USN/III/P3/40 90004 6050 WPF, w tym</v>
      </c>
      <c r="AM247" s="159" t="str">
        <f t="shared" ca="1" si="326"/>
        <v>C/USN/III/P3/40 90004 6050 GMMW WPF, w tym</v>
      </c>
      <c r="AN247" s="160">
        <f t="shared" ca="1" si="327"/>
        <v>2050000</v>
      </c>
      <c r="AO247" s="161">
        <f t="shared" ca="1" si="328"/>
        <v>0</v>
      </c>
      <c r="AP247" s="162">
        <f t="shared" ca="1" si="329"/>
        <v>17220</v>
      </c>
      <c r="AQ247" s="163">
        <f t="shared" ca="1" si="330"/>
        <v>1782780</v>
      </c>
      <c r="AR247" s="164">
        <f t="shared" ca="1" si="331"/>
        <v>250000</v>
      </c>
      <c r="AS247" s="164">
        <f t="shared" ca="1" si="332"/>
        <v>0</v>
      </c>
      <c r="AT247" s="164">
        <f t="shared" ca="1" si="333"/>
        <v>0</v>
      </c>
      <c r="AU247" s="164">
        <f t="shared" ca="1" si="334"/>
        <v>0</v>
      </c>
      <c r="AV247" s="164">
        <f t="shared" ca="1" si="335"/>
        <v>0</v>
      </c>
      <c r="AW247" s="164">
        <f t="shared" ca="1" si="336"/>
        <v>0</v>
      </c>
      <c r="AX247" s="164">
        <f t="shared" ca="1" si="337"/>
        <v>0</v>
      </c>
      <c r="AY247" s="164">
        <f t="shared" ca="1" si="338"/>
        <v>0</v>
      </c>
      <c r="AZ247" s="164">
        <f t="shared" ca="1" si="339"/>
        <v>0</v>
      </c>
      <c r="BA247" s="165" t="str">
        <f t="shared" ca="1" si="340"/>
        <v>nie</v>
      </c>
      <c r="BB247" s="166" t="str">
        <f t="shared" ca="1" si="346"/>
        <v>-</v>
      </c>
      <c r="BC247" s="165" t="str">
        <f t="shared" ca="1" si="341"/>
        <v>nie</v>
      </c>
    </row>
    <row r="248" spans="1:55" ht="14.45" hidden="1" customHeight="1" x14ac:dyDescent="0.25">
      <c r="A248" s="493"/>
      <c r="B248" s="493"/>
      <c r="C248" s="494"/>
      <c r="D248" s="506"/>
      <c r="E248" s="497"/>
      <c r="F248" s="497"/>
      <c r="G248" s="497"/>
      <c r="H248" s="498"/>
      <c r="I248" s="499"/>
      <c r="J248" s="177" t="s">
        <v>103</v>
      </c>
      <c r="K248" s="178">
        <f>SUM(N248:O248)</f>
        <v>2024797</v>
      </c>
      <c r="L248" s="179"/>
      <c r="M248" s="180"/>
      <c r="N248" s="172">
        <f>SUM(L248:M248)</f>
        <v>0</v>
      </c>
      <c r="O248" s="178">
        <f>SUM(P248:Y248)</f>
        <v>2024797</v>
      </c>
      <c r="P248" s="181">
        <f>1422017+352780</f>
        <v>1774797</v>
      </c>
      <c r="Q248" s="180">
        <f>250000</f>
        <v>250000</v>
      </c>
      <c r="R248" s="182"/>
      <c r="S248" s="183"/>
      <c r="T248" s="180"/>
      <c r="U248" s="180"/>
      <c r="V248" s="180"/>
      <c r="W248" s="180"/>
      <c r="X248" s="180"/>
      <c r="Y248" s="182"/>
      <c r="Z248" s="149" t="str">
        <f t="shared" ca="1" si="315"/>
        <v>nie</v>
      </c>
      <c r="AA248" s="384"/>
      <c r="AB248" s="150" t="str">
        <f t="shared" ca="1" si="345"/>
        <v>-</v>
      </c>
      <c r="AC248" s="151" t="str">
        <f t="shared" ca="1" si="316"/>
        <v>PO ZMIANIE</v>
      </c>
      <c r="AD248" s="152" t="str">
        <f t="shared" ca="1" si="317"/>
        <v>PO ZMIANIE</v>
      </c>
      <c r="AE248" s="153" t="str">
        <f t="shared" ca="1" si="318"/>
        <v>C/USN/III/P3/40</v>
      </c>
      <c r="AF248" s="154" t="str">
        <f t="shared" ca="1" si="319"/>
        <v>Budowa Parku Przy Bażantarni - część wschodnia wraz z modernizacją części zachodniej</v>
      </c>
      <c r="AG248" s="155">
        <f t="shared" ca="1" si="320"/>
        <v>90004</v>
      </c>
      <c r="AH248" s="155" t="str">
        <f t="shared" ca="1" si="321"/>
        <v>6050</v>
      </c>
      <c r="AI248" s="156" t="str">
        <f t="shared" ca="1" si="322"/>
        <v>GMMW</v>
      </c>
      <c r="AJ248" s="157" t="str">
        <f t="shared" ca="1" si="323"/>
        <v>WPF/PM</v>
      </c>
      <c r="AK248" s="158" t="str">
        <f t="shared" ca="1" si="324"/>
        <v>C/USN/III/P3/40 90004 6050 GMMW</v>
      </c>
      <c r="AL248" s="158" t="str">
        <f t="shared" ca="1" si="325"/>
        <v>C/USN/III/P3/40 90004 6050 WPF/PM</v>
      </c>
      <c r="AM248" s="159" t="str">
        <f t="shared" ca="1" si="326"/>
        <v>C/USN/III/P3/40 90004 6050 GMMW WPF/PM</v>
      </c>
      <c r="AN248" s="160">
        <f t="shared" ca="1" si="327"/>
        <v>2024797</v>
      </c>
      <c r="AO248" s="161">
        <f t="shared" ca="1" si="328"/>
        <v>0</v>
      </c>
      <c r="AP248" s="162">
        <f t="shared" ca="1" si="329"/>
        <v>0</v>
      </c>
      <c r="AQ248" s="163">
        <f t="shared" ca="1" si="330"/>
        <v>1774797</v>
      </c>
      <c r="AR248" s="164">
        <f t="shared" ca="1" si="331"/>
        <v>250000</v>
      </c>
      <c r="AS248" s="164">
        <f t="shared" ca="1" si="332"/>
        <v>0</v>
      </c>
      <c r="AT248" s="164">
        <f t="shared" ca="1" si="333"/>
        <v>0</v>
      </c>
      <c r="AU248" s="164">
        <f t="shared" ca="1" si="334"/>
        <v>0</v>
      </c>
      <c r="AV248" s="164">
        <f t="shared" ca="1" si="335"/>
        <v>0</v>
      </c>
      <c r="AW248" s="164">
        <f t="shared" ca="1" si="336"/>
        <v>0</v>
      </c>
      <c r="AX248" s="164">
        <f t="shared" ca="1" si="337"/>
        <v>0</v>
      </c>
      <c r="AY248" s="164">
        <f t="shared" ca="1" si="338"/>
        <v>0</v>
      </c>
      <c r="AZ248" s="164">
        <f t="shared" ca="1" si="339"/>
        <v>0</v>
      </c>
      <c r="BA248" s="165" t="str">
        <f t="shared" ca="1" si="340"/>
        <v>nie</v>
      </c>
      <c r="BB248" s="166" t="str">
        <f t="shared" ca="1" si="346"/>
        <v>-</v>
      </c>
      <c r="BC248" s="165" t="str">
        <f t="shared" ca="1" si="341"/>
        <v>nie</v>
      </c>
    </row>
    <row r="249" spans="1:55" ht="14.45" hidden="1" customHeight="1" thickBot="1" x14ac:dyDescent="0.3">
      <c r="A249" s="500"/>
      <c r="B249" s="500"/>
      <c r="C249" s="501"/>
      <c r="D249" s="506"/>
      <c r="E249" s="503"/>
      <c r="F249" s="503"/>
      <c r="G249" s="503"/>
      <c r="H249" s="504"/>
      <c r="I249" s="499"/>
      <c r="J249" s="197" t="s">
        <v>104</v>
      </c>
      <c r="K249" s="198">
        <f>SUM(N249:O249)</f>
        <v>25203</v>
      </c>
      <c r="L249" s="204"/>
      <c r="M249" s="200">
        <f>220000-202780</f>
        <v>17220</v>
      </c>
      <c r="N249" s="371">
        <f>SUM(L249:M249)</f>
        <v>17220</v>
      </c>
      <c r="O249" s="198">
        <f>SUM(P249:Y249)</f>
        <v>7983</v>
      </c>
      <c r="P249" s="201">
        <v>7983</v>
      </c>
      <c r="Q249" s="200"/>
      <c r="R249" s="202"/>
      <c r="S249" s="203"/>
      <c r="T249" s="200"/>
      <c r="U249" s="200"/>
      <c r="V249" s="200"/>
      <c r="W249" s="200"/>
      <c r="X249" s="200"/>
      <c r="Y249" s="202"/>
      <c r="Z249" s="149" t="str">
        <f t="shared" ca="1" si="315"/>
        <v>nie</v>
      </c>
      <c r="AA249" s="384"/>
      <c r="AB249" s="150" t="str">
        <f t="shared" ca="1" si="345"/>
        <v>-</v>
      </c>
      <c r="AC249" s="151" t="str">
        <f t="shared" ca="1" si="316"/>
        <v>PO ZMIANIE</v>
      </c>
      <c r="AD249" s="152" t="str">
        <f t="shared" ca="1" si="317"/>
        <v>PO ZMIANIE</v>
      </c>
      <c r="AE249" s="153" t="str">
        <f t="shared" ca="1" si="318"/>
        <v>C/USN/III/P3/40</v>
      </c>
      <c r="AF249" s="154" t="str">
        <f t="shared" ca="1" si="319"/>
        <v>Budowa Parku Przy Bażantarni - część wschodnia wraz z modernizacją części zachodniej</v>
      </c>
      <c r="AG249" s="155">
        <f t="shared" ca="1" si="320"/>
        <v>90004</v>
      </c>
      <c r="AH249" s="155" t="str">
        <f t="shared" ca="1" si="321"/>
        <v>6050</v>
      </c>
      <c r="AI249" s="156" t="str">
        <f t="shared" ca="1" si="322"/>
        <v>GMMW</v>
      </c>
      <c r="AJ249" s="157" t="str">
        <f t="shared" ca="1" si="323"/>
        <v>WPF/UM</v>
      </c>
      <c r="AK249" s="158" t="str">
        <f t="shared" ca="1" si="324"/>
        <v>C/USN/III/P3/40 90004 6050 GMMW</v>
      </c>
      <c r="AL249" s="158" t="str">
        <f t="shared" ca="1" si="325"/>
        <v>C/USN/III/P3/40 90004 6050 WPF/UM</v>
      </c>
      <c r="AM249" s="159" t="str">
        <f t="shared" ca="1" si="326"/>
        <v>C/USN/III/P3/40 90004 6050 GMMW WPF/UM</v>
      </c>
      <c r="AN249" s="160">
        <f t="shared" ca="1" si="327"/>
        <v>25203</v>
      </c>
      <c r="AO249" s="161">
        <f t="shared" ca="1" si="328"/>
        <v>0</v>
      </c>
      <c r="AP249" s="162">
        <f t="shared" ca="1" si="329"/>
        <v>17220</v>
      </c>
      <c r="AQ249" s="163">
        <f t="shared" ca="1" si="330"/>
        <v>7983</v>
      </c>
      <c r="AR249" s="164">
        <f t="shared" ca="1" si="331"/>
        <v>0</v>
      </c>
      <c r="AS249" s="164">
        <f t="shared" ca="1" si="332"/>
        <v>0</v>
      </c>
      <c r="AT249" s="164">
        <f t="shared" ca="1" si="333"/>
        <v>0</v>
      </c>
      <c r="AU249" s="164">
        <f t="shared" ca="1" si="334"/>
        <v>0</v>
      </c>
      <c r="AV249" s="164">
        <f t="shared" ca="1" si="335"/>
        <v>0</v>
      </c>
      <c r="AW249" s="164">
        <f t="shared" ca="1" si="336"/>
        <v>0</v>
      </c>
      <c r="AX249" s="164">
        <f t="shared" ca="1" si="337"/>
        <v>0</v>
      </c>
      <c r="AY249" s="164">
        <f t="shared" ca="1" si="338"/>
        <v>0</v>
      </c>
      <c r="AZ249" s="164">
        <f t="shared" ca="1" si="339"/>
        <v>0</v>
      </c>
      <c r="BA249" s="165" t="str">
        <f t="shared" ca="1" si="340"/>
        <v>nie</v>
      </c>
      <c r="BB249" s="166" t="str">
        <f t="shared" ca="1" si="346"/>
        <v>-</v>
      </c>
      <c r="BC249" s="165" t="str">
        <f t="shared" ca="1" si="341"/>
        <v>nie</v>
      </c>
    </row>
    <row r="250" spans="1:55" ht="14.45" hidden="1" customHeight="1" x14ac:dyDescent="0.25">
      <c r="A250" s="143" t="s">
        <v>91</v>
      </c>
      <c r="B250" s="144"/>
      <c r="C250" s="145"/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6"/>
      <c r="S250" s="147"/>
      <c r="T250" s="147"/>
      <c r="U250" s="147"/>
      <c r="V250" s="147"/>
      <c r="W250" s="147"/>
      <c r="X250" s="147"/>
      <c r="Y250" s="148"/>
      <c r="Z250" s="149" t="str">
        <f t="shared" ca="1" si="315"/>
        <v>nie</v>
      </c>
      <c r="AA250" s="366"/>
      <c r="AB250" s="150" t="str">
        <f t="shared" ref="AB250:AB261" ca="1" si="400">IF(IF(OR(COUNTIF(AD250,"*bilans*")&gt;0,COUNTIF(AD250,"*prop*")&gt;0),COUNTIF(AO250:AZ250,"")+COUNTIF(AO250:AZ250,"0"),"")&lt;12,AE250,"-")</f>
        <v>-</v>
      </c>
      <c r="AC250" s="151" t="str">
        <f t="shared" ca="1" si="316"/>
        <v>PRZED ZMIANĄ</v>
      </c>
      <c r="AD250" s="152" t="str">
        <f t="shared" ref="AD250:AD261" ca="1" si="401">IF(AE250="","",AC250)</f>
        <v/>
      </c>
      <c r="AE250" s="153" t="str">
        <f t="shared" ca="1" si="318"/>
        <v/>
      </c>
      <c r="AF250" s="154" t="str">
        <f t="shared" ca="1" si="319"/>
        <v/>
      </c>
      <c r="AG250" s="155" t="str">
        <f t="shared" ca="1" si="320"/>
        <v/>
      </c>
      <c r="AH250" s="155" t="str">
        <f t="shared" ca="1" si="321"/>
        <v/>
      </c>
      <c r="AI250" s="156" t="str">
        <f t="shared" ca="1" si="322"/>
        <v/>
      </c>
      <c r="AJ250" s="157" t="str">
        <f t="shared" ca="1" si="323"/>
        <v/>
      </c>
      <c r="AK250" s="158" t="str">
        <f t="shared" ref="AK250:AK261" ca="1" si="402">IF(AH250="","",AE250&amp;" "&amp;AG250&amp;" "&amp;AH250&amp;" "&amp;AI250)</f>
        <v/>
      </c>
      <c r="AL250" s="158" t="str">
        <f t="shared" ref="AL250:AL261" ca="1" si="403">IF(AH250="","",AE250&amp;" "&amp;AG250&amp;" "&amp;AH250&amp;" "&amp;AJ250)</f>
        <v/>
      </c>
      <c r="AM250" s="159" t="str">
        <f t="shared" ref="AM250:AM261" ca="1" si="404">IF(AH250="","",AE250&amp;" "&amp;AG250&amp;" "&amp;AH250&amp;" "&amp;AI250&amp;" "&amp;AJ250)</f>
        <v/>
      </c>
      <c r="AN250" s="160" t="str">
        <f t="shared" ca="1" si="327"/>
        <v/>
      </c>
      <c r="AO250" s="161" t="str">
        <f t="shared" ca="1" si="328"/>
        <v/>
      </c>
      <c r="AP250" s="162" t="str">
        <f t="shared" ca="1" si="329"/>
        <v/>
      </c>
      <c r="AQ250" s="163" t="str">
        <f t="shared" ca="1" si="330"/>
        <v/>
      </c>
      <c r="AR250" s="164" t="str">
        <f t="shared" ca="1" si="331"/>
        <v/>
      </c>
      <c r="AS250" s="164" t="str">
        <f t="shared" ca="1" si="332"/>
        <v/>
      </c>
      <c r="AT250" s="164" t="str">
        <f t="shared" ca="1" si="333"/>
        <v/>
      </c>
      <c r="AU250" s="164" t="str">
        <f t="shared" ca="1" si="334"/>
        <v/>
      </c>
      <c r="AV250" s="164" t="str">
        <f t="shared" ca="1" si="335"/>
        <v/>
      </c>
      <c r="AW250" s="164" t="str">
        <f t="shared" ca="1" si="336"/>
        <v/>
      </c>
      <c r="AX250" s="164" t="str">
        <f t="shared" ca="1" si="337"/>
        <v/>
      </c>
      <c r="AY250" s="164" t="str">
        <f t="shared" ca="1" si="338"/>
        <v/>
      </c>
      <c r="AZ250" s="164" t="str">
        <f t="shared" ca="1" si="339"/>
        <v/>
      </c>
      <c r="BA250" s="165" t="str">
        <f t="shared" ca="1" si="340"/>
        <v>nie</v>
      </c>
      <c r="BB250" s="166" t="str">
        <f t="shared" ref="BB250:BB261" ca="1" si="405">IF(COUNTIF(AD250,"*bilans*")&gt;0,"-",IF(IF(COUNTIF(AD250,"*prop*")&gt;0,COUNTIF(AO250:AZ250,"")+COUNTIF(AO250:AZ250,"0"),"")&lt;12,AK250,"-"))</f>
        <v>-</v>
      </c>
      <c r="BC250" s="165" t="str">
        <f t="shared" ca="1" si="341"/>
        <v>nie</v>
      </c>
    </row>
    <row r="251" spans="1:55" ht="14.45" hidden="1" customHeight="1" x14ac:dyDescent="0.25">
      <c r="A251" s="493" t="s">
        <v>24</v>
      </c>
      <c r="B251" s="493" t="s">
        <v>415</v>
      </c>
      <c r="C251" s="494" t="s">
        <v>136</v>
      </c>
      <c r="D251" s="505" t="s">
        <v>467</v>
      </c>
      <c r="E251" s="497">
        <v>900</v>
      </c>
      <c r="F251" s="497">
        <v>90004</v>
      </c>
      <c r="G251" s="497">
        <v>6050</v>
      </c>
      <c r="H251" s="507">
        <v>2021</v>
      </c>
      <c r="I251" s="499" t="str">
        <f ca="1">IF(COUNTIF(OFFSET(I251,-1,-8),"*propon*")&gt;0,OFFSET(I251,4,0),IF(Y251&gt;0,"2033",IF(X251&gt;0,"2032",IF(W251&gt;0,"2031",IF(V251&gt;0,"2030",IF(U251&gt;0,"2029",IF(T251&gt;0,"2028",IF(S251&gt;0,"2027",IF(R251&gt;0,"2026",IF(Q251&gt;0,"2025",IF(P251&gt;0,"2024",IF(M251&gt;0,"2023",IF(L251&gt;0,"2022","")))))))))))))</f>
        <v>2024</v>
      </c>
      <c r="J251" s="168" t="s">
        <v>94</v>
      </c>
      <c r="K251" s="169">
        <f>SUM(N251:O251)</f>
        <v>500000</v>
      </c>
      <c r="L251" s="170">
        <f t="shared" ref="L251:M251" si="406">SUM(L252:L253)</f>
        <v>0</v>
      </c>
      <c r="M251" s="171">
        <f t="shared" si="406"/>
        <v>89175</v>
      </c>
      <c r="N251" s="172">
        <f>SUM(L251:M251)</f>
        <v>89175</v>
      </c>
      <c r="O251" s="169">
        <f>SUM(P251:Y251)</f>
        <v>410825</v>
      </c>
      <c r="P251" s="173">
        <f t="shared" ref="P251:Y251" si="407">SUM(P252:P253)</f>
        <v>410825</v>
      </c>
      <c r="Q251" s="171">
        <f t="shared" si="407"/>
        <v>0</v>
      </c>
      <c r="R251" s="174">
        <f t="shared" si="407"/>
        <v>0</v>
      </c>
      <c r="S251" s="175">
        <f t="shared" si="407"/>
        <v>0</v>
      </c>
      <c r="T251" s="171">
        <f t="shared" si="407"/>
        <v>0</v>
      </c>
      <c r="U251" s="171">
        <f t="shared" si="407"/>
        <v>0</v>
      </c>
      <c r="V251" s="171">
        <f t="shared" si="407"/>
        <v>0</v>
      </c>
      <c r="W251" s="171">
        <f t="shared" si="407"/>
        <v>0</v>
      </c>
      <c r="X251" s="171">
        <f t="shared" si="407"/>
        <v>0</v>
      </c>
      <c r="Y251" s="174">
        <f t="shared" si="407"/>
        <v>0</v>
      </c>
      <c r="Z251" s="149" t="str">
        <f t="shared" ca="1" si="315"/>
        <v>nie</v>
      </c>
      <c r="AA251" s="366"/>
      <c r="AB251" s="150" t="str">
        <f t="shared" ca="1" si="400"/>
        <v>-</v>
      </c>
      <c r="AC251" s="151" t="str">
        <f t="shared" ca="1" si="316"/>
        <v>PRZED ZMIANĄ</v>
      </c>
      <c r="AD251" s="152" t="str">
        <f t="shared" ca="1" si="401"/>
        <v>PRZED ZMIANĄ</v>
      </c>
      <c r="AE251" s="153" t="str">
        <f t="shared" ca="1" si="318"/>
        <v>C/USN/III/P3/40</v>
      </c>
      <c r="AF251" s="154" t="str">
        <f t="shared" ca="1" si="319"/>
        <v>Budowa Parku Przy Bażantarni - część wschodnia wraz z modernizacją części zachodniej</v>
      </c>
      <c r="AG251" s="155">
        <f t="shared" ca="1" si="320"/>
        <v>90004</v>
      </c>
      <c r="AH251" s="155" t="str">
        <f t="shared" ca="1" si="321"/>
        <v>6050</v>
      </c>
      <c r="AI251" s="156" t="str">
        <f t="shared" ca="1" si="322"/>
        <v>MWPO/0027</v>
      </c>
      <c r="AJ251" s="157" t="str">
        <f t="shared" ca="1" si="323"/>
        <v>WPF, w tym</v>
      </c>
      <c r="AK251" s="158" t="str">
        <f t="shared" ca="1" si="402"/>
        <v>C/USN/III/P3/40 90004 6050 MWPO/0027</v>
      </c>
      <c r="AL251" s="158" t="str">
        <f t="shared" ca="1" si="403"/>
        <v>C/USN/III/P3/40 90004 6050 WPF, w tym</v>
      </c>
      <c r="AM251" s="159" t="str">
        <f t="shared" ca="1" si="404"/>
        <v>C/USN/III/P3/40 90004 6050 MWPO/0027 WPF, w tym</v>
      </c>
      <c r="AN251" s="160">
        <f t="shared" ca="1" si="327"/>
        <v>500000</v>
      </c>
      <c r="AO251" s="161">
        <f t="shared" ca="1" si="328"/>
        <v>0</v>
      </c>
      <c r="AP251" s="162">
        <f t="shared" ca="1" si="329"/>
        <v>89175</v>
      </c>
      <c r="AQ251" s="163">
        <f t="shared" ca="1" si="330"/>
        <v>410825</v>
      </c>
      <c r="AR251" s="164">
        <f t="shared" ca="1" si="331"/>
        <v>0</v>
      </c>
      <c r="AS251" s="164">
        <f t="shared" ca="1" si="332"/>
        <v>0</v>
      </c>
      <c r="AT251" s="164">
        <f t="shared" ca="1" si="333"/>
        <v>0</v>
      </c>
      <c r="AU251" s="164">
        <f t="shared" ca="1" si="334"/>
        <v>0</v>
      </c>
      <c r="AV251" s="164">
        <f t="shared" ca="1" si="335"/>
        <v>0</v>
      </c>
      <c r="AW251" s="164">
        <f t="shared" ca="1" si="336"/>
        <v>0</v>
      </c>
      <c r="AX251" s="164">
        <f t="shared" ca="1" si="337"/>
        <v>0</v>
      </c>
      <c r="AY251" s="164">
        <f t="shared" ca="1" si="338"/>
        <v>0</v>
      </c>
      <c r="AZ251" s="164">
        <f t="shared" ca="1" si="339"/>
        <v>0</v>
      </c>
      <c r="BA251" s="165" t="str">
        <f t="shared" ca="1" si="340"/>
        <v>nie</v>
      </c>
      <c r="BB251" s="166" t="str">
        <f t="shared" ca="1" si="405"/>
        <v>-</v>
      </c>
      <c r="BC251" s="165" t="str">
        <f t="shared" ca="1" si="341"/>
        <v>nie</v>
      </c>
    </row>
    <row r="252" spans="1:55" ht="14.45" hidden="1" customHeight="1" x14ac:dyDescent="0.25">
      <c r="A252" s="493"/>
      <c r="B252" s="493"/>
      <c r="C252" s="494"/>
      <c r="D252" s="506"/>
      <c r="E252" s="497"/>
      <c r="F252" s="497"/>
      <c r="G252" s="497"/>
      <c r="H252" s="498"/>
      <c r="I252" s="499"/>
      <c r="J252" s="177" t="s">
        <v>95</v>
      </c>
      <c r="K252" s="178">
        <f>SUM(N252:O252)</f>
        <v>410825</v>
      </c>
      <c r="L252" s="179"/>
      <c r="M252" s="180"/>
      <c r="N252" s="172">
        <f>SUM(L252:M252)</f>
        <v>0</v>
      </c>
      <c r="O252" s="178">
        <f>SUM(P252:Y252)</f>
        <v>410825</v>
      </c>
      <c r="P252" s="181">
        <v>410825</v>
      </c>
      <c r="Q252" s="180"/>
      <c r="R252" s="182"/>
      <c r="S252" s="183"/>
      <c r="T252" s="180"/>
      <c r="U252" s="180"/>
      <c r="V252" s="180"/>
      <c r="W252" s="180"/>
      <c r="X252" s="180"/>
      <c r="Y252" s="182"/>
      <c r="Z252" s="149" t="str">
        <f t="shared" ca="1" si="315"/>
        <v>nie</v>
      </c>
      <c r="AA252" s="366"/>
      <c r="AB252" s="150" t="str">
        <f t="shared" ca="1" si="400"/>
        <v>-</v>
      </c>
      <c r="AC252" s="151" t="str">
        <f t="shared" ca="1" si="316"/>
        <v>PRZED ZMIANĄ</v>
      </c>
      <c r="AD252" s="152" t="str">
        <f t="shared" ca="1" si="401"/>
        <v>PRZED ZMIANĄ</v>
      </c>
      <c r="AE252" s="153" t="str">
        <f t="shared" ca="1" si="318"/>
        <v>C/USN/III/P3/40</v>
      </c>
      <c r="AF252" s="154" t="str">
        <f t="shared" ca="1" si="319"/>
        <v>Budowa Parku Przy Bażantarni - część wschodnia wraz z modernizacją części zachodniej</v>
      </c>
      <c r="AG252" s="155">
        <f t="shared" ca="1" si="320"/>
        <v>90004</v>
      </c>
      <c r="AH252" s="155" t="str">
        <f t="shared" ca="1" si="321"/>
        <v>6050</v>
      </c>
      <c r="AI252" s="156" t="str">
        <f t="shared" ca="1" si="322"/>
        <v>MWPO/0027</v>
      </c>
      <c r="AJ252" s="157" t="str">
        <f t="shared" ca="1" si="323"/>
        <v>WPF/PM</v>
      </c>
      <c r="AK252" s="158" t="str">
        <f t="shared" ca="1" si="402"/>
        <v>C/USN/III/P3/40 90004 6050 MWPO/0027</v>
      </c>
      <c r="AL252" s="158" t="str">
        <f t="shared" ca="1" si="403"/>
        <v>C/USN/III/P3/40 90004 6050 WPF/PM</v>
      </c>
      <c r="AM252" s="159" t="str">
        <f t="shared" ca="1" si="404"/>
        <v>C/USN/III/P3/40 90004 6050 MWPO/0027 WPF/PM</v>
      </c>
      <c r="AN252" s="160">
        <f t="shared" ca="1" si="327"/>
        <v>410825</v>
      </c>
      <c r="AO252" s="161">
        <f t="shared" ca="1" si="328"/>
        <v>0</v>
      </c>
      <c r="AP252" s="162">
        <f t="shared" ca="1" si="329"/>
        <v>0</v>
      </c>
      <c r="AQ252" s="163">
        <f t="shared" ca="1" si="330"/>
        <v>410825</v>
      </c>
      <c r="AR252" s="164">
        <f t="shared" ca="1" si="331"/>
        <v>0</v>
      </c>
      <c r="AS252" s="164">
        <f t="shared" ca="1" si="332"/>
        <v>0</v>
      </c>
      <c r="AT252" s="164">
        <f t="shared" ca="1" si="333"/>
        <v>0</v>
      </c>
      <c r="AU252" s="164">
        <f t="shared" ca="1" si="334"/>
        <v>0</v>
      </c>
      <c r="AV252" s="164">
        <f t="shared" ca="1" si="335"/>
        <v>0</v>
      </c>
      <c r="AW252" s="164">
        <f t="shared" ca="1" si="336"/>
        <v>0</v>
      </c>
      <c r="AX252" s="164">
        <f t="shared" ca="1" si="337"/>
        <v>0</v>
      </c>
      <c r="AY252" s="164">
        <f t="shared" ca="1" si="338"/>
        <v>0</v>
      </c>
      <c r="AZ252" s="164">
        <f t="shared" ca="1" si="339"/>
        <v>0</v>
      </c>
      <c r="BA252" s="165" t="str">
        <f t="shared" ca="1" si="340"/>
        <v>nie</v>
      </c>
      <c r="BB252" s="166" t="str">
        <f t="shared" ca="1" si="405"/>
        <v>-</v>
      </c>
      <c r="BC252" s="165" t="str">
        <f t="shared" ca="1" si="341"/>
        <v>nie</v>
      </c>
    </row>
    <row r="253" spans="1:55" ht="14.45" hidden="1" customHeight="1" x14ac:dyDescent="0.25">
      <c r="A253" s="493"/>
      <c r="B253" s="493"/>
      <c r="C253" s="494"/>
      <c r="D253" s="506"/>
      <c r="E253" s="497"/>
      <c r="F253" s="497"/>
      <c r="G253" s="497"/>
      <c r="H253" s="498"/>
      <c r="I253" s="499"/>
      <c r="J253" s="177" t="s">
        <v>96</v>
      </c>
      <c r="K253" s="178">
        <f>SUM(N253:O253)</f>
        <v>89175</v>
      </c>
      <c r="L253" s="184"/>
      <c r="M253" s="180">
        <v>89175</v>
      </c>
      <c r="N253" s="172">
        <f>SUM(L253:M253)</f>
        <v>89175</v>
      </c>
      <c r="O253" s="178">
        <f>SUM(P253:Y253)</f>
        <v>0</v>
      </c>
      <c r="P253" s="181"/>
      <c r="Q253" s="180"/>
      <c r="R253" s="182"/>
      <c r="S253" s="183"/>
      <c r="T253" s="180"/>
      <c r="U253" s="180"/>
      <c r="V253" s="180"/>
      <c r="W253" s="180"/>
      <c r="X253" s="180"/>
      <c r="Y253" s="182"/>
      <c r="Z253" s="149" t="str">
        <f t="shared" ca="1" si="315"/>
        <v>nie</v>
      </c>
      <c r="AA253" s="366"/>
      <c r="AB253" s="150" t="str">
        <f t="shared" ca="1" si="400"/>
        <v>-</v>
      </c>
      <c r="AC253" s="151" t="str">
        <f t="shared" ca="1" si="316"/>
        <v>PRZED ZMIANĄ</v>
      </c>
      <c r="AD253" s="152" t="str">
        <f t="shared" ca="1" si="401"/>
        <v>PRZED ZMIANĄ</v>
      </c>
      <c r="AE253" s="153" t="str">
        <f t="shared" ca="1" si="318"/>
        <v>C/USN/III/P3/40</v>
      </c>
      <c r="AF253" s="154" t="str">
        <f t="shared" ca="1" si="319"/>
        <v>Budowa Parku Przy Bażantarni - część wschodnia wraz z modernizacją części zachodniej</v>
      </c>
      <c r="AG253" s="155">
        <f t="shared" ca="1" si="320"/>
        <v>90004</v>
      </c>
      <c r="AH253" s="155" t="str">
        <f t="shared" ca="1" si="321"/>
        <v>6050</v>
      </c>
      <c r="AI253" s="156" t="str">
        <f t="shared" ca="1" si="322"/>
        <v>MWPO/0027</v>
      </c>
      <c r="AJ253" s="157" t="str">
        <f t="shared" ca="1" si="323"/>
        <v>WPF/UM</v>
      </c>
      <c r="AK253" s="158" t="str">
        <f t="shared" ca="1" si="402"/>
        <v>C/USN/III/P3/40 90004 6050 MWPO/0027</v>
      </c>
      <c r="AL253" s="158" t="str">
        <f t="shared" ca="1" si="403"/>
        <v>C/USN/III/P3/40 90004 6050 WPF/UM</v>
      </c>
      <c r="AM253" s="159" t="str">
        <f t="shared" ca="1" si="404"/>
        <v>C/USN/III/P3/40 90004 6050 MWPO/0027 WPF/UM</v>
      </c>
      <c r="AN253" s="160">
        <f t="shared" ca="1" si="327"/>
        <v>89175</v>
      </c>
      <c r="AO253" s="161">
        <f t="shared" ca="1" si="328"/>
        <v>0</v>
      </c>
      <c r="AP253" s="162">
        <f t="shared" ca="1" si="329"/>
        <v>89175</v>
      </c>
      <c r="AQ253" s="163">
        <f t="shared" ca="1" si="330"/>
        <v>0</v>
      </c>
      <c r="AR253" s="164">
        <f t="shared" ca="1" si="331"/>
        <v>0</v>
      </c>
      <c r="AS253" s="164">
        <f t="shared" ca="1" si="332"/>
        <v>0</v>
      </c>
      <c r="AT253" s="164">
        <f t="shared" ca="1" si="333"/>
        <v>0</v>
      </c>
      <c r="AU253" s="164">
        <f t="shared" ca="1" si="334"/>
        <v>0</v>
      </c>
      <c r="AV253" s="164">
        <f t="shared" ca="1" si="335"/>
        <v>0</v>
      </c>
      <c r="AW253" s="164">
        <f t="shared" ca="1" si="336"/>
        <v>0</v>
      </c>
      <c r="AX253" s="164">
        <f t="shared" ca="1" si="337"/>
        <v>0</v>
      </c>
      <c r="AY253" s="164">
        <f t="shared" ca="1" si="338"/>
        <v>0</v>
      </c>
      <c r="AZ253" s="164">
        <f t="shared" ca="1" si="339"/>
        <v>0</v>
      </c>
      <c r="BA253" s="165" t="str">
        <f t="shared" ca="1" si="340"/>
        <v>nie</v>
      </c>
      <c r="BB253" s="166" t="str">
        <f t="shared" ca="1" si="405"/>
        <v>-</v>
      </c>
      <c r="BC253" s="165" t="str">
        <f t="shared" ca="1" si="341"/>
        <v>nie</v>
      </c>
    </row>
    <row r="254" spans="1:55" ht="14.45" hidden="1" customHeight="1" x14ac:dyDescent="0.25">
      <c r="A254" s="185" t="s">
        <v>97</v>
      </c>
      <c r="B254" s="186"/>
      <c r="C254" s="187"/>
      <c r="D254" s="186"/>
      <c r="E254" s="186"/>
      <c r="F254" s="186"/>
      <c r="G254" s="186"/>
      <c r="H254" s="186"/>
      <c r="I254" s="186"/>
      <c r="J254" s="186"/>
      <c r="K254" s="186"/>
      <c r="L254" s="186"/>
      <c r="M254" s="186"/>
      <c r="N254" s="186"/>
      <c r="O254" s="186"/>
      <c r="P254" s="186"/>
      <c r="Q254" s="186"/>
      <c r="R254" s="188"/>
      <c r="S254" s="189"/>
      <c r="T254" s="189"/>
      <c r="U254" s="189"/>
      <c r="V254" s="189"/>
      <c r="W254" s="189"/>
      <c r="X254" s="189"/>
      <c r="Y254" s="190"/>
      <c r="Z254" s="149" t="str">
        <f t="shared" ca="1" si="315"/>
        <v>nie</v>
      </c>
      <c r="AA254" s="366"/>
      <c r="AB254" s="150" t="str">
        <f t="shared" ca="1" si="400"/>
        <v>-</v>
      </c>
      <c r="AC254" s="151" t="str">
        <f t="shared" ref="AC254:AC317" ca="1" si="408">IF(OR(A254="",COUNTIF(A254,"*12.000*")&gt;0),OFFSET(AC254,-1,0),A254)</f>
        <v>PROPONOWANA ZMIANA</v>
      </c>
      <c r="AD254" s="152" t="str">
        <f t="shared" ca="1" si="401"/>
        <v/>
      </c>
      <c r="AE254" s="153" t="str">
        <f t="shared" ref="AE254:AE317" ca="1" si="409">IF(COUNTIF(A254,"*bilans*")&gt;0,"Bilans zmian",IF(COUNTIF(A254,"*zmi*")&gt;0,"",IF(COUNTIF(A254:C254,"")=0,C254,IF(AND(COUNTIF(C254,"")=1,COUNTIF(OFFSET(A254,-1,0),"*przed*")=1,COUNTIF(OFFSET(AE254,4,0),"")=0),OFFSET(AE254,4,0),IF(AND(COUNTIF(A254:B254,"")=0,COUNTIF(OFFSET(A254,-1,0),"*zmi*")=1),"nowe:"&amp;" "&amp;AF254,OFFSET(AE254,-1,0))))))</f>
        <v/>
      </c>
      <c r="AF254" s="154" t="str">
        <f t="shared" ref="AF254:AF317" ca="1" si="410">IF(COUNTIF(A254,"*zmi*")&gt;0,"",IF(COUNTIF(A254:C254,"")=0,D254,IF(AND(COUNTIF(C254,"")=1,COUNTIF(OFFSET(A254,-1,0),"*przed*")=1),OFFSET(AF254,4,0),IF(AND(COUNTIF(A254:B254,"")=0,COUNTIF(OFFSET(A254,-1,0),"*zmi*")=1),D254,OFFSET(AF254,-1,0)))))</f>
        <v/>
      </c>
      <c r="AG254" s="155" t="str">
        <f t="shared" ref="AG254:AG317" ca="1" si="411">IF(COUNTIF($A254,"*zmi*")&gt;0,"",IF(COUNTIF($A254:$C254,"")=0,F254,IF(AND(COUNTIF($C254,"")=1,COUNTIF(OFFSET($A254,-1,0),"*przed*")=1),OFFSET(AG254,4,0),IF(AND(COUNTIF($A254:$B254,"")=0,COUNTIF(OFFSET($A254,-1,0),"*zmi*")=1),F254,OFFSET(AG254,-1,0)))))</f>
        <v/>
      </c>
      <c r="AH254" s="155" t="str">
        <f t="shared" ref="AH254:AH317" ca="1" si="412">IF(COUNTIF($A254,"*zmi*")&gt;0,"",IF(COUNTIF($A254:$C254,"")=0,LEFT(G254,4),IF(AND(COUNTIF($C254,"")=1,COUNTIF(OFFSET($A254,-1,0),"*przed*")=1),OFFSET(AH254,4,0),IF(AND(COUNTIF($A254:$B254,"")=0,COUNTIF(OFFSET($A254,-1,0),"*zmi*")=1),LEFT(G254,4),OFFSET(AH254,-1,0)))))</f>
        <v/>
      </c>
      <c r="AI254" s="156" t="str">
        <f t="shared" ref="AI254:AI317" ca="1" si="413">IF(COUNTIF($A254,"*zmi*")&gt;0,"",IF(COUNTIF($A254:$C254,"")=0,B254,IF(AND(COUNTIF($C254,"")=1,COUNTIF(OFFSET($A254,-1,0),"*przed*")=1),OFFSET(AI254,4,0),IF(AND(COUNTIF($A254:$B254,"")=0,COUNTIF(OFFSET($A254,-1,0),"*zmi*")=1),B254,OFFSET(AI254,-1,0)))))</f>
        <v/>
      </c>
      <c r="AJ254" s="157" t="str">
        <f t="shared" ref="AJ254:AJ317" ca="1" si="414">IF(AH254="","",IF(COUNTIF(A254,"*zmi*")&gt;0,"",SUBSTITUTE(SUBSTITUTE(J254,";",""),":","")))</f>
        <v/>
      </c>
      <c r="AK254" s="158" t="str">
        <f t="shared" ca="1" si="402"/>
        <v/>
      </c>
      <c r="AL254" s="158" t="str">
        <f t="shared" ca="1" si="403"/>
        <v/>
      </c>
      <c r="AM254" s="159" t="str">
        <f t="shared" ca="1" si="404"/>
        <v/>
      </c>
      <c r="AN254" s="160" t="str">
        <f t="shared" ref="AN254:AN317" ca="1" si="415">IF(COUNTIF($AE254,"*bilans*")&gt;0,K254,IF(OR(COUNTIF($A254,"*zmi*")&gt;0,$AI254=""),"",K254))</f>
        <v/>
      </c>
      <c r="AO254" s="161" t="str">
        <f t="shared" ref="AO254:AO317" ca="1" si="416">IF(COUNTIF($AE254,"*bilans*")&gt;0,L254,IF(OR(COUNTIF($A254,"*zmi*")&gt;0,$AI254=""),"",L254))</f>
        <v/>
      </c>
      <c r="AP254" s="162" t="str">
        <f t="shared" ref="AP254:AP317" ca="1" si="417">IF(COUNTIF($AE254,"*bilans*")&gt;0,M254,IF(OR(COUNTIF($A254,"*zmi*")&gt;0,$AI254=""),"",M254))</f>
        <v/>
      </c>
      <c r="AQ254" s="163" t="str">
        <f t="shared" ref="AQ254:AQ317" ca="1" si="418">IF(COUNTIF($AE254,"*bilans*")&gt;0,P254,IF(OR(COUNTIF($A254,"*zmi*")&gt;0,$AI254=""),"",P254))</f>
        <v/>
      </c>
      <c r="AR254" s="164" t="str">
        <f t="shared" ref="AR254:AR317" ca="1" si="419">IF(COUNTIF($AE254,"*bilans*")&gt;0,Q254,IF(OR(COUNTIF($A254,"*zmi*")&gt;0,$AI254=""),"",Q254))</f>
        <v/>
      </c>
      <c r="AS254" s="164" t="str">
        <f t="shared" ref="AS254:AS317" ca="1" si="420">IF(COUNTIF($AE254,"*bilans*")&gt;0,R254,IF(OR(COUNTIF($A254,"*zmi*")&gt;0,$AI254=""),"",R254))</f>
        <v/>
      </c>
      <c r="AT254" s="164" t="str">
        <f t="shared" ref="AT254:AT317" ca="1" si="421">IF(COUNTIF($AE254,"*bilans*")&gt;0,S254,IF(OR(COUNTIF($A254,"*zmi*")&gt;0,$AI254=""),"",S254))</f>
        <v/>
      </c>
      <c r="AU254" s="164" t="str">
        <f t="shared" ref="AU254:AU317" ca="1" si="422">IF(COUNTIF($AE254,"*bilans*")&gt;0,T254,IF(OR(COUNTIF($A254,"*zmi*")&gt;0,$AI254=""),"",T254))</f>
        <v/>
      </c>
      <c r="AV254" s="164" t="str">
        <f t="shared" ref="AV254:AV317" ca="1" si="423">IF(COUNTIF($AE254,"*bilans*")&gt;0,U254,IF(OR(COUNTIF($A254,"*zmi*")&gt;0,$AI254=""),"",U254))</f>
        <v/>
      </c>
      <c r="AW254" s="164" t="str">
        <f t="shared" ref="AW254:AW317" ca="1" si="424">IF(COUNTIF($AE254,"*bilans*")&gt;0,V254,IF(OR(COUNTIF($A254,"*zmi*")&gt;0,$AI254=""),"",V254))</f>
        <v/>
      </c>
      <c r="AX254" s="164" t="str">
        <f t="shared" ref="AX254:AX317" ca="1" si="425">IF(COUNTIF($AE254,"*bilans*")&gt;0,W254,IF(OR(COUNTIF($A254,"*zmi*")&gt;0,$AI254=""),"",W254))</f>
        <v/>
      </c>
      <c r="AY254" s="164" t="str">
        <f t="shared" ref="AY254:AY317" ca="1" si="426">IF(COUNTIF($AE254,"*bilans*")&gt;0,X254,IF(OR(COUNTIF($A254,"*zmi*")&gt;0,$AI254=""),"",X254))</f>
        <v/>
      </c>
      <c r="AZ254" s="164" t="str">
        <f t="shared" ref="AZ254:AZ317" ca="1" si="427">IF(COUNTIF($AE254,"*bilans*")&gt;0,Y254,IF(OR(COUNTIF($A254,"*zmi*")&gt;0,$AI254=""),"",Y254))</f>
        <v/>
      </c>
      <c r="BA254" s="165" t="str">
        <f t="shared" ref="BA254:BA317" ca="1" si="428">Z254</f>
        <v>nie</v>
      </c>
      <c r="BB254" s="166" t="str">
        <f t="shared" ca="1" si="405"/>
        <v>-</v>
      </c>
      <c r="BC254" s="165" t="str">
        <f t="shared" ca="1" si="341"/>
        <v>nie</v>
      </c>
    </row>
    <row r="255" spans="1:55" ht="14.45" hidden="1" customHeight="1" x14ac:dyDescent="0.25">
      <c r="A255" s="493" t="s">
        <v>24</v>
      </c>
      <c r="B255" s="493" t="s">
        <v>415</v>
      </c>
      <c r="C255" s="494" t="s">
        <v>136</v>
      </c>
      <c r="D255" s="505" t="s">
        <v>467</v>
      </c>
      <c r="E255" s="497">
        <v>900</v>
      </c>
      <c r="F255" s="497">
        <v>90004</v>
      </c>
      <c r="G255" s="497">
        <v>6050</v>
      </c>
      <c r="H255" s="507">
        <v>2021</v>
      </c>
      <c r="I255" s="499" t="str">
        <f ca="1">IF(COUNTIF(OFFSET(I255,-1,-8),"*propon*")&gt;0,OFFSET(I255,4,0),IF(Y255&gt;0,"2033",IF(X255&gt;0,"2032",IF(W255&gt;0,"2031",IF(V255&gt;0,"2030",IF(U255&gt;0,"2029",IF(T255&gt;0,"2028",IF(S255&gt;0,"2027",IF(R255&gt;0,"2026",IF(Q255&gt;0,"2025",IF(P255&gt;0,"2024",IF(M255&gt;0,"2023",IF(L255&gt;0,"2022","")))))))))))))</f>
        <v>2024</v>
      </c>
      <c r="J255" s="168" t="s">
        <v>98</v>
      </c>
      <c r="K255" s="169">
        <f>SUM(N255:O255)</f>
        <v>0</v>
      </c>
      <c r="L255" s="170">
        <f t="shared" ref="L255:M255" si="429">SUM(L256:L257)</f>
        <v>0</v>
      </c>
      <c r="M255" s="171">
        <f t="shared" si="429"/>
        <v>0</v>
      </c>
      <c r="N255" s="172">
        <f>SUM(L255:M255)</f>
        <v>0</v>
      </c>
      <c r="O255" s="169">
        <f>SUM(P255:Y255)</f>
        <v>0</v>
      </c>
      <c r="P255" s="173">
        <f t="shared" ref="P255:Y255" si="430">SUM(P256:P257)</f>
        <v>0</v>
      </c>
      <c r="Q255" s="171">
        <f t="shared" si="430"/>
        <v>0</v>
      </c>
      <c r="R255" s="174">
        <f t="shared" si="430"/>
        <v>0</v>
      </c>
      <c r="S255" s="175">
        <f t="shared" si="430"/>
        <v>0</v>
      </c>
      <c r="T255" s="171">
        <f t="shared" si="430"/>
        <v>0</v>
      </c>
      <c r="U255" s="171">
        <f t="shared" si="430"/>
        <v>0</v>
      </c>
      <c r="V255" s="171">
        <f t="shared" si="430"/>
        <v>0</v>
      </c>
      <c r="W255" s="171">
        <f t="shared" si="430"/>
        <v>0</v>
      </c>
      <c r="X255" s="171">
        <f t="shared" si="430"/>
        <v>0</v>
      </c>
      <c r="Y255" s="174">
        <f t="shared" si="430"/>
        <v>0</v>
      </c>
      <c r="Z255" s="149" t="str">
        <f t="shared" ca="1" si="315"/>
        <v>nie</v>
      </c>
      <c r="AA255" s="366"/>
      <c r="AB255" s="150" t="str">
        <f t="shared" ca="1" si="400"/>
        <v>-</v>
      </c>
      <c r="AC255" s="151" t="str">
        <f t="shared" ca="1" si="408"/>
        <v>PROPONOWANA ZMIANA</v>
      </c>
      <c r="AD255" s="152" t="str">
        <f t="shared" ca="1" si="401"/>
        <v>PROPONOWANA ZMIANA</v>
      </c>
      <c r="AE255" s="153" t="str">
        <f t="shared" ca="1" si="409"/>
        <v>C/USN/III/P3/40</v>
      </c>
      <c r="AF255" s="154" t="str">
        <f t="shared" ca="1" si="410"/>
        <v>Budowa Parku Przy Bażantarni - część wschodnia wraz z modernizacją części zachodniej</v>
      </c>
      <c r="AG255" s="155">
        <f t="shared" ca="1" si="411"/>
        <v>90004</v>
      </c>
      <c r="AH255" s="155" t="str">
        <f t="shared" ca="1" si="412"/>
        <v>6050</v>
      </c>
      <c r="AI255" s="156" t="str">
        <f t="shared" ca="1" si="413"/>
        <v>MWPO/0027</v>
      </c>
      <c r="AJ255" s="157" t="str">
        <f t="shared" ca="1" si="414"/>
        <v>WPF, w tym</v>
      </c>
      <c r="AK255" s="158" t="str">
        <f t="shared" ca="1" si="402"/>
        <v>C/USN/III/P3/40 90004 6050 MWPO/0027</v>
      </c>
      <c r="AL255" s="158" t="str">
        <f t="shared" ca="1" si="403"/>
        <v>C/USN/III/P3/40 90004 6050 WPF, w tym</v>
      </c>
      <c r="AM255" s="159" t="str">
        <f t="shared" ca="1" si="404"/>
        <v>C/USN/III/P3/40 90004 6050 MWPO/0027 WPF, w tym</v>
      </c>
      <c r="AN255" s="160">
        <f t="shared" ca="1" si="415"/>
        <v>0</v>
      </c>
      <c r="AO255" s="161">
        <f t="shared" ca="1" si="416"/>
        <v>0</v>
      </c>
      <c r="AP255" s="162">
        <f t="shared" ca="1" si="417"/>
        <v>0</v>
      </c>
      <c r="AQ255" s="163">
        <f t="shared" ca="1" si="418"/>
        <v>0</v>
      </c>
      <c r="AR255" s="164">
        <f t="shared" ca="1" si="419"/>
        <v>0</v>
      </c>
      <c r="AS255" s="164">
        <f t="shared" ca="1" si="420"/>
        <v>0</v>
      </c>
      <c r="AT255" s="164">
        <f t="shared" ca="1" si="421"/>
        <v>0</v>
      </c>
      <c r="AU255" s="164">
        <f t="shared" ca="1" si="422"/>
        <v>0</v>
      </c>
      <c r="AV255" s="164">
        <f t="shared" ca="1" si="423"/>
        <v>0</v>
      </c>
      <c r="AW255" s="164">
        <f t="shared" ca="1" si="424"/>
        <v>0</v>
      </c>
      <c r="AX255" s="164">
        <f t="shared" ca="1" si="425"/>
        <v>0</v>
      </c>
      <c r="AY255" s="164">
        <f t="shared" ca="1" si="426"/>
        <v>0</v>
      </c>
      <c r="AZ255" s="164">
        <f t="shared" ca="1" si="427"/>
        <v>0</v>
      </c>
      <c r="BA255" s="165" t="str">
        <f t="shared" ca="1" si="428"/>
        <v>nie</v>
      </c>
      <c r="BB255" s="166" t="str">
        <f t="shared" ca="1" si="405"/>
        <v>-</v>
      </c>
      <c r="BC255" s="165" t="str">
        <f t="shared" ca="1" si="341"/>
        <v>nie</v>
      </c>
    </row>
    <row r="256" spans="1:55" ht="14.45" hidden="1" customHeight="1" x14ac:dyDescent="0.25">
      <c r="A256" s="493"/>
      <c r="B256" s="493"/>
      <c r="C256" s="494"/>
      <c r="D256" s="506"/>
      <c r="E256" s="497"/>
      <c r="F256" s="497"/>
      <c r="G256" s="497"/>
      <c r="H256" s="498"/>
      <c r="I256" s="499"/>
      <c r="J256" s="177" t="s">
        <v>99</v>
      </c>
      <c r="K256" s="178">
        <f>SUM(N256:O256)</f>
        <v>0</v>
      </c>
      <c r="L256" s="179">
        <f t="shared" ref="L256:M256" si="431">L260-L252</f>
        <v>0</v>
      </c>
      <c r="M256" s="180">
        <f t="shared" si="431"/>
        <v>0</v>
      </c>
      <c r="N256" s="172">
        <f>SUM(L256:M256)</f>
        <v>0</v>
      </c>
      <c r="O256" s="178">
        <f>SUM(P256:Y256)</f>
        <v>0</v>
      </c>
      <c r="P256" s="181">
        <f t="shared" ref="P256:Y256" si="432">P260-P252</f>
        <v>0</v>
      </c>
      <c r="Q256" s="180">
        <f t="shared" si="432"/>
        <v>0</v>
      </c>
      <c r="R256" s="182">
        <f t="shared" si="432"/>
        <v>0</v>
      </c>
      <c r="S256" s="183">
        <f t="shared" si="432"/>
        <v>0</v>
      </c>
      <c r="T256" s="180">
        <f t="shared" si="432"/>
        <v>0</v>
      </c>
      <c r="U256" s="180">
        <f t="shared" si="432"/>
        <v>0</v>
      </c>
      <c r="V256" s="180">
        <f t="shared" si="432"/>
        <v>0</v>
      </c>
      <c r="W256" s="180">
        <f t="shared" si="432"/>
        <v>0</v>
      </c>
      <c r="X256" s="180">
        <f t="shared" si="432"/>
        <v>0</v>
      </c>
      <c r="Y256" s="182">
        <f t="shared" si="432"/>
        <v>0</v>
      </c>
      <c r="Z256" s="149" t="str">
        <f t="shared" ca="1" si="315"/>
        <v>nie</v>
      </c>
      <c r="AA256" s="366"/>
      <c r="AB256" s="150" t="str">
        <f t="shared" ca="1" si="400"/>
        <v>-</v>
      </c>
      <c r="AC256" s="151" t="str">
        <f t="shared" ca="1" si="408"/>
        <v>PROPONOWANA ZMIANA</v>
      </c>
      <c r="AD256" s="152" t="str">
        <f t="shared" ca="1" si="401"/>
        <v>PROPONOWANA ZMIANA</v>
      </c>
      <c r="AE256" s="153" t="str">
        <f t="shared" ca="1" si="409"/>
        <v>C/USN/III/P3/40</v>
      </c>
      <c r="AF256" s="154" t="str">
        <f t="shared" ca="1" si="410"/>
        <v>Budowa Parku Przy Bażantarni - część wschodnia wraz z modernizacją części zachodniej</v>
      </c>
      <c r="AG256" s="155">
        <f t="shared" ca="1" si="411"/>
        <v>90004</v>
      </c>
      <c r="AH256" s="155" t="str">
        <f t="shared" ca="1" si="412"/>
        <v>6050</v>
      </c>
      <c r="AI256" s="156" t="str">
        <f t="shared" ca="1" si="413"/>
        <v>MWPO/0027</v>
      </c>
      <c r="AJ256" s="157" t="str">
        <f t="shared" ca="1" si="414"/>
        <v>WPF/PM</v>
      </c>
      <c r="AK256" s="158" t="str">
        <f t="shared" ca="1" si="402"/>
        <v>C/USN/III/P3/40 90004 6050 MWPO/0027</v>
      </c>
      <c r="AL256" s="158" t="str">
        <f t="shared" ca="1" si="403"/>
        <v>C/USN/III/P3/40 90004 6050 WPF/PM</v>
      </c>
      <c r="AM256" s="159" t="str">
        <f t="shared" ca="1" si="404"/>
        <v>C/USN/III/P3/40 90004 6050 MWPO/0027 WPF/PM</v>
      </c>
      <c r="AN256" s="160">
        <f t="shared" ca="1" si="415"/>
        <v>0</v>
      </c>
      <c r="AO256" s="161">
        <f t="shared" ca="1" si="416"/>
        <v>0</v>
      </c>
      <c r="AP256" s="162">
        <f t="shared" ca="1" si="417"/>
        <v>0</v>
      </c>
      <c r="AQ256" s="163">
        <f t="shared" ca="1" si="418"/>
        <v>0</v>
      </c>
      <c r="AR256" s="164">
        <f t="shared" ca="1" si="419"/>
        <v>0</v>
      </c>
      <c r="AS256" s="164">
        <f t="shared" ca="1" si="420"/>
        <v>0</v>
      </c>
      <c r="AT256" s="164">
        <f t="shared" ca="1" si="421"/>
        <v>0</v>
      </c>
      <c r="AU256" s="164">
        <f t="shared" ca="1" si="422"/>
        <v>0</v>
      </c>
      <c r="AV256" s="164">
        <f t="shared" ca="1" si="423"/>
        <v>0</v>
      </c>
      <c r="AW256" s="164">
        <f t="shared" ca="1" si="424"/>
        <v>0</v>
      </c>
      <c r="AX256" s="164">
        <f t="shared" ca="1" si="425"/>
        <v>0</v>
      </c>
      <c r="AY256" s="164">
        <f t="shared" ca="1" si="426"/>
        <v>0</v>
      </c>
      <c r="AZ256" s="164">
        <f t="shared" ca="1" si="427"/>
        <v>0</v>
      </c>
      <c r="BA256" s="165" t="str">
        <f t="shared" ca="1" si="428"/>
        <v>nie</v>
      </c>
      <c r="BB256" s="166" t="str">
        <f t="shared" ca="1" si="405"/>
        <v>-</v>
      </c>
      <c r="BC256" s="165" t="str">
        <f t="shared" ca="1" si="341"/>
        <v>nie</v>
      </c>
    </row>
    <row r="257" spans="1:55" ht="14.45" hidden="1" customHeight="1" x14ac:dyDescent="0.25">
      <c r="A257" s="493"/>
      <c r="B257" s="493"/>
      <c r="C257" s="494"/>
      <c r="D257" s="506"/>
      <c r="E257" s="497"/>
      <c r="F257" s="497"/>
      <c r="G257" s="497"/>
      <c r="H257" s="498"/>
      <c r="I257" s="499"/>
      <c r="J257" s="177" t="s">
        <v>100</v>
      </c>
      <c r="K257" s="178">
        <f>SUM(N257:O257)</f>
        <v>0</v>
      </c>
      <c r="L257" s="179">
        <f t="shared" ref="L257:M257" si="433">L261-L253</f>
        <v>0</v>
      </c>
      <c r="M257" s="180">
        <f t="shared" si="433"/>
        <v>0</v>
      </c>
      <c r="N257" s="172">
        <f>SUM(L257:M257)</f>
        <v>0</v>
      </c>
      <c r="O257" s="178">
        <f>SUM(P257:Y257)</f>
        <v>0</v>
      </c>
      <c r="P257" s="181">
        <f t="shared" ref="P257:Y257" si="434">P261-P253</f>
        <v>0</v>
      </c>
      <c r="Q257" s="180">
        <f t="shared" si="434"/>
        <v>0</v>
      </c>
      <c r="R257" s="182">
        <f t="shared" si="434"/>
        <v>0</v>
      </c>
      <c r="S257" s="183">
        <f t="shared" si="434"/>
        <v>0</v>
      </c>
      <c r="T257" s="180">
        <f t="shared" si="434"/>
        <v>0</v>
      </c>
      <c r="U257" s="180">
        <f t="shared" si="434"/>
        <v>0</v>
      </c>
      <c r="V257" s="180">
        <f t="shared" si="434"/>
        <v>0</v>
      </c>
      <c r="W257" s="180">
        <f t="shared" si="434"/>
        <v>0</v>
      </c>
      <c r="X257" s="180">
        <f t="shared" si="434"/>
        <v>0</v>
      </c>
      <c r="Y257" s="182">
        <f t="shared" si="434"/>
        <v>0</v>
      </c>
      <c r="Z257" s="149" t="str">
        <f t="shared" ca="1" si="315"/>
        <v>nie</v>
      </c>
      <c r="AA257" s="366"/>
      <c r="AB257" s="150" t="str">
        <f t="shared" ca="1" si="400"/>
        <v>-</v>
      </c>
      <c r="AC257" s="151" t="str">
        <f t="shared" ca="1" si="408"/>
        <v>PROPONOWANA ZMIANA</v>
      </c>
      <c r="AD257" s="152" t="str">
        <f t="shared" ca="1" si="401"/>
        <v>PROPONOWANA ZMIANA</v>
      </c>
      <c r="AE257" s="153" t="str">
        <f t="shared" ca="1" si="409"/>
        <v>C/USN/III/P3/40</v>
      </c>
      <c r="AF257" s="154" t="str">
        <f t="shared" ca="1" si="410"/>
        <v>Budowa Parku Przy Bażantarni - część wschodnia wraz z modernizacją części zachodniej</v>
      </c>
      <c r="AG257" s="155">
        <f t="shared" ca="1" si="411"/>
        <v>90004</v>
      </c>
      <c r="AH257" s="155" t="str">
        <f t="shared" ca="1" si="412"/>
        <v>6050</v>
      </c>
      <c r="AI257" s="156" t="str">
        <f t="shared" ca="1" si="413"/>
        <v>MWPO/0027</v>
      </c>
      <c r="AJ257" s="157" t="str">
        <f t="shared" ca="1" si="414"/>
        <v>WPF/UM</v>
      </c>
      <c r="AK257" s="158" t="str">
        <f t="shared" ca="1" si="402"/>
        <v>C/USN/III/P3/40 90004 6050 MWPO/0027</v>
      </c>
      <c r="AL257" s="158" t="str">
        <f t="shared" ca="1" si="403"/>
        <v>C/USN/III/P3/40 90004 6050 WPF/UM</v>
      </c>
      <c r="AM257" s="159" t="str">
        <f t="shared" ca="1" si="404"/>
        <v>C/USN/III/P3/40 90004 6050 MWPO/0027 WPF/UM</v>
      </c>
      <c r="AN257" s="160">
        <f t="shared" ca="1" si="415"/>
        <v>0</v>
      </c>
      <c r="AO257" s="161">
        <f t="shared" ca="1" si="416"/>
        <v>0</v>
      </c>
      <c r="AP257" s="162">
        <f t="shared" ca="1" si="417"/>
        <v>0</v>
      </c>
      <c r="AQ257" s="163">
        <f t="shared" ca="1" si="418"/>
        <v>0</v>
      </c>
      <c r="AR257" s="164">
        <f t="shared" ca="1" si="419"/>
        <v>0</v>
      </c>
      <c r="AS257" s="164">
        <f t="shared" ca="1" si="420"/>
        <v>0</v>
      </c>
      <c r="AT257" s="164">
        <f t="shared" ca="1" si="421"/>
        <v>0</v>
      </c>
      <c r="AU257" s="164">
        <f t="shared" ca="1" si="422"/>
        <v>0</v>
      </c>
      <c r="AV257" s="164">
        <f t="shared" ca="1" si="423"/>
        <v>0</v>
      </c>
      <c r="AW257" s="164">
        <f t="shared" ca="1" si="424"/>
        <v>0</v>
      </c>
      <c r="AX257" s="164">
        <f t="shared" ca="1" si="425"/>
        <v>0</v>
      </c>
      <c r="AY257" s="164">
        <f t="shared" ca="1" si="426"/>
        <v>0</v>
      </c>
      <c r="AZ257" s="164">
        <f t="shared" ca="1" si="427"/>
        <v>0</v>
      </c>
      <c r="BA257" s="165" t="str">
        <f t="shared" ca="1" si="428"/>
        <v>nie</v>
      </c>
      <c r="BB257" s="166" t="str">
        <f t="shared" ca="1" si="405"/>
        <v>-</v>
      </c>
      <c r="BC257" s="165" t="str">
        <f t="shared" ca="1" si="341"/>
        <v>nie</v>
      </c>
    </row>
    <row r="258" spans="1:55" ht="14.45" hidden="1" customHeight="1" x14ac:dyDescent="0.25">
      <c r="A258" s="191" t="s">
        <v>101</v>
      </c>
      <c r="B258" s="192"/>
      <c r="C258" s="193"/>
      <c r="D258" s="192"/>
      <c r="E258" s="192"/>
      <c r="F258" s="192"/>
      <c r="G258" s="192"/>
      <c r="H258" s="192"/>
      <c r="I258" s="192"/>
      <c r="J258" s="192"/>
      <c r="K258" s="192"/>
      <c r="L258" s="192"/>
      <c r="M258" s="192"/>
      <c r="N258" s="192"/>
      <c r="O258" s="192"/>
      <c r="P258" s="192"/>
      <c r="Q258" s="192"/>
      <c r="R258" s="194"/>
      <c r="S258" s="195"/>
      <c r="T258" s="195"/>
      <c r="U258" s="195"/>
      <c r="V258" s="195"/>
      <c r="W258" s="195"/>
      <c r="X258" s="195"/>
      <c r="Y258" s="196"/>
      <c r="Z258" s="149" t="str">
        <f t="shared" ca="1" si="315"/>
        <v>nie</v>
      </c>
      <c r="AA258" s="366"/>
      <c r="AB258" s="150" t="str">
        <f t="shared" ca="1" si="400"/>
        <v>-</v>
      </c>
      <c r="AC258" s="151" t="str">
        <f t="shared" ca="1" si="408"/>
        <v>PO ZMIANIE</v>
      </c>
      <c r="AD258" s="152" t="str">
        <f t="shared" ca="1" si="401"/>
        <v/>
      </c>
      <c r="AE258" s="153" t="str">
        <f t="shared" ca="1" si="409"/>
        <v/>
      </c>
      <c r="AF258" s="154" t="str">
        <f t="shared" ca="1" si="410"/>
        <v/>
      </c>
      <c r="AG258" s="155" t="str">
        <f t="shared" ca="1" si="411"/>
        <v/>
      </c>
      <c r="AH258" s="155" t="str">
        <f t="shared" ca="1" si="412"/>
        <v/>
      </c>
      <c r="AI258" s="156" t="str">
        <f t="shared" ca="1" si="413"/>
        <v/>
      </c>
      <c r="AJ258" s="157" t="str">
        <f t="shared" ca="1" si="414"/>
        <v/>
      </c>
      <c r="AK258" s="158" t="str">
        <f t="shared" ca="1" si="402"/>
        <v/>
      </c>
      <c r="AL258" s="158" t="str">
        <f t="shared" ca="1" si="403"/>
        <v/>
      </c>
      <c r="AM258" s="159" t="str">
        <f t="shared" ca="1" si="404"/>
        <v/>
      </c>
      <c r="AN258" s="160" t="str">
        <f t="shared" ca="1" si="415"/>
        <v/>
      </c>
      <c r="AO258" s="161" t="str">
        <f t="shared" ca="1" si="416"/>
        <v/>
      </c>
      <c r="AP258" s="162" t="str">
        <f t="shared" ca="1" si="417"/>
        <v/>
      </c>
      <c r="AQ258" s="163" t="str">
        <f t="shared" ca="1" si="418"/>
        <v/>
      </c>
      <c r="AR258" s="164" t="str">
        <f t="shared" ca="1" si="419"/>
        <v/>
      </c>
      <c r="AS258" s="164" t="str">
        <f t="shared" ca="1" si="420"/>
        <v/>
      </c>
      <c r="AT258" s="164" t="str">
        <f t="shared" ca="1" si="421"/>
        <v/>
      </c>
      <c r="AU258" s="164" t="str">
        <f t="shared" ca="1" si="422"/>
        <v/>
      </c>
      <c r="AV258" s="164" t="str">
        <f t="shared" ca="1" si="423"/>
        <v/>
      </c>
      <c r="AW258" s="164" t="str">
        <f t="shared" ca="1" si="424"/>
        <v/>
      </c>
      <c r="AX258" s="164" t="str">
        <f t="shared" ca="1" si="425"/>
        <v/>
      </c>
      <c r="AY258" s="164" t="str">
        <f t="shared" ca="1" si="426"/>
        <v/>
      </c>
      <c r="AZ258" s="164" t="str">
        <f t="shared" ca="1" si="427"/>
        <v/>
      </c>
      <c r="BA258" s="165" t="str">
        <f t="shared" ca="1" si="428"/>
        <v>nie</v>
      </c>
      <c r="BB258" s="166" t="str">
        <f t="shared" ca="1" si="405"/>
        <v>-</v>
      </c>
      <c r="BC258" s="165" t="str">
        <f t="shared" ca="1" si="341"/>
        <v>nie</v>
      </c>
    </row>
    <row r="259" spans="1:55" ht="14.45" hidden="1" customHeight="1" x14ac:dyDescent="0.25">
      <c r="A259" s="493" t="s">
        <v>24</v>
      </c>
      <c r="B259" s="493" t="s">
        <v>415</v>
      </c>
      <c r="C259" s="494" t="s">
        <v>136</v>
      </c>
      <c r="D259" s="505" t="s">
        <v>467</v>
      </c>
      <c r="E259" s="497">
        <v>900</v>
      </c>
      <c r="F259" s="497">
        <v>90004</v>
      </c>
      <c r="G259" s="497">
        <v>6050</v>
      </c>
      <c r="H259" s="507">
        <v>2021</v>
      </c>
      <c r="I259" s="499" t="str">
        <f ca="1">IF(COUNTIF(OFFSET(I259,-1,-8),"*propon*")&gt;0,OFFSET(I259,4,0),IF(Y259&gt;0,"2033",IF(X259&gt;0,"2032",IF(W259&gt;0,"2031",IF(V259&gt;0,"2030",IF(U259&gt;0,"2029",IF(T259&gt;0,"2028",IF(S259&gt;0,"2027",IF(R259&gt;0,"2026",IF(Q259&gt;0,"2025",IF(P259&gt;0,"2024",IF(M259&gt;0,"2023",IF(L259&gt;0,"2022","")))))))))))))</f>
        <v>2024</v>
      </c>
      <c r="J259" s="168" t="s">
        <v>102</v>
      </c>
      <c r="K259" s="169">
        <f>SUM(N259:O259)</f>
        <v>500000</v>
      </c>
      <c r="L259" s="170">
        <f t="shared" ref="L259:M259" si="435">SUM(L260:L261)</f>
        <v>0</v>
      </c>
      <c r="M259" s="171">
        <f t="shared" si="435"/>
        <v>89175</v>
      </c>
      <c r="N259" s="172">
        <f>SUM(L259:M259)</f>
        <v>89175</v>
      </c>
      <c r="O259" s="169">
        <f>SUM(P259:Y259)</f>
        <v>410825</v>
      </c>
      <c r="P259" s="173">
        <f t="shared" ref="P259:Y259" si="436">SUM(P260:P261)</f>
        <v>410825</v>
      </c>
      <c r="Q259" s="171">
        <f t="shared" si="436"/>
        <v>0</v>
      </c>
      <c r="R259" s="174">
        <f t="shared" si="436"/>
        <v>0</v>
      </c>
      <c r="S259" s="175">
        <f t="shared" si="436"/>
        <v>0</v>
      </c>
      <c r="T259" s="171">
        <f t="shared" si="436"/>
        <v>0</v>
      </c>
      <c r="U259" s="171">
        <f t="shared" si="436"/>
        <v>0</v>
      </c>
      <c r="V259" s="171">
        <f t="shared" si="436"/>
        <v>0</v>
      </c>
      <c r="W259" s="171">
        <f t="shared" si="436"/>
        <v>0</v>
      </c>
      <c r="X259" s="171">
        <f t="shared" si="436"/>
        <v>0</v>
      </c>
      <c r="Y259" s="174">
        <f t="shared" si="436"/>
        <v>0</v>
      </c>
      <c r="Z259" s="149" t="str">
        <f t="shared" ca="1" si="315"/>
        <v>nie</v>
      </c>
      <c r="AA259" s="366"/>
      <c r="AB259" s="150" t="str">
        <f t="shared" ca="1" si="400"/>
        <v>-</v>
      </c>
      <c r="AC259" s="151" t="str">
        <f t="shared" ca="1" si="408"/>
        <v>PO ZMIANIE</v>
      </c>
      <c r="AD259" s="152" t="str">
        <f t="shared" ca="1" si="401"/>
        <v>PO ZMIANIE</v>
      </c>
      <c r="AE259" s="153" t="str">
        <f t="shared" ca="1" si="409"/>
        <v>C/USN/III/P3/40</v>
      </c>
      <c r="AF259" s="154" t="str">
        <f t="shared" ca="1" si="410"/>
        <v>Budowa Parku Przy Bażantarni - część wschodnia wraz z modernizacją części zachodniej</v>
      </c>
      <c r="AG259" s="155">
        <f t="shared" ca="1" si="411"/>
        <v>90004</v>
      </c>
      <c r="AH259" s="155" t="str">
        <f t="shared" ca="1" si="412"/>
        <v>6050</v>
      </c>
      <c r="AI259" s="156" t="str">
        <f t="shared" ca="1" si="413"/>
        <v>MWPO/0027</v>
      </c>
      <c r="AJ259" s="157" t="str">
        <f t="shared" ca="1" si="414"/>
        <v>WPF, w tym</v>
      </c>
      <c r="AK259" s="158" t="str">
        <f t="shared" ca="1" si="402"/>
        <v>C/USN/III/P3/40 90004 6050 MWPO/0027</v>
      </c>
      <c r="AL259" s="158" t="str">
        <f t="shared" ca="1" si="403"/>
        <v>C/USN/III/P3/40 90004 6050 WPF, w tym</v>
      </c>
      <c r="AM259" s="159" t="str">
        <f t="shared" ca="1" si="404"/>
        <v>C/USN/III/P3/40 90004 6050 MWPO/0027 WPF, w tym</v>
      </c>
      <c r="AN259" s="160">
        <f t="shared" ca="1" si="415"/>
        <v>500000</v>
      </c>
      <c r="AO259" s="161">
        <f t="shared" ca="1" si="416"/>
        <v>0</v>
      </c>
      <c r="AP259" s="162">
        <f t="shared" ca="1" si="417"/>
        <v>89175</v>
      </c>
      <c r="AQ259" s="163">
        <f t="shared" ca="1" si="418"/>
        <v>410825</v>
      </c>
      <c r="AR259" s="164">
        <f t="shared" ca="1" si="419"/>
        <v>0</v>
      </c>
      <c r="AS259" s="164">
        <f t="shared" ca="1" si="420"/>
        <v>0</v>
      </c>
      <c r="AT259" s="164">
        <f t="shared" ca="1" si="421"/>
        <v>0</v>
      </c>
      <c r="AU259" s="164">
        <f t="shared" ca="1" si="422"/>
        <v>0</v>
      </c>
      <c r="AV259" s="164">
        <f t="shared" ca="1" si="423"/>
        <v>0</v>
      </c>
      <c r="AW259" s="164">
        <f t="shared" ca="1" si="424"/>
        <v>0</v>
      </c>
      <c r="AX259" s="164">
        <f t="shared" ca="1" si="425"/>
        <v>0</v>
      </c>
      <c r="AY259" s="164">
        <f t="shared" ca="1" si="426"/>
        <v>0</v>
      </c>
      <c r="AZ259" s="164">
        <f t="shared" ca="1" si="427"/>
        <v>0</v>
      </c>
      <c r="BA259" s="165" t="str">
        <f t="shared" ca="1" si="428"/>
        <v>nie</v>
      </c>
      <c r="BB259" s="166" t="str">
        <f t="shared" ca="1" si="405"/>
        <v>-</v>
      </c>
      <c r="BC259" s="165" t="str">
        <f t="shared" ca="1" si="341"/>
        <v>nie</v>
      </c>
    </row>
    <row r="260" spans="1:55" ht="14.45" hidden="1" customHeight="1" x14ac:dyDescent="0.25">
      <c r="A260" s="493"/>
      <c r="B260" s="493"/>
      <c r="C260" s="494"/>
      <c r="D260" s="506"/>
      <c r="E260" s="497"/>
      <c r="F260" s="497"/>
      <c r="G260" s="497"/>
      <c r="H260" s="498"/>
      <c r="I260" s="499"/>
      <c r="J260" s="177" t="s">
        <v>103</v>
      </c>
      <c r="K260" s="178">
        <f>SUM(N260:O260)</f>
        <v>410825</v>
      </c>
      <c r="L260" s="179"/>
      <c r="M260" s="180"/>
      <c r="N260" s="172">
        <f>SUM(L260:M260)</f>
        <v>0</v>
      </c>
      <c r="O260" s="178">
        <f>SUM(P260:Y260)</f>
        <v>410825</v>
      </c>
      <c r="P260" s="181">
        <f>410825</f>
        <v>410825</v>
      </c>
      <c r="Q260" s="180"/>
      <c r="R260" s="182"/>
      <c r="S260" s="183"/>
      <c r="T260" s="180"/>
      <c r="U260" s="180"/>
      <c r="V260" s="180"/>
      <c r="W260" s="180"/>
      <c r="X260" s="180"/>
      <c r="Y260" s="182"/>
      <c r="Z260" s="149" t="str">
        <f t="shared" ca="1" si="315"/>
        <v>nie</v>
      </c>
      <c r="AA260" s="384"/>
      <c r="AB260" s="150" t="str">
        <f t="shared" ca="1" si="400"/>
        <v>-</v>
      </c>
      <c r="AC260" s="151" t="str">
        <f t="shared" ca="1" si="408"/>
        <v>PO ZMIANIE</v>
      </c>
      <c r="AD260" s="152" t="str">
        <f t="shared" ca="1" si="401"/>
        <v>PO ZMIANIE</v>
      </c>
      <c r="AE260" s="153" t="str">
        <f t="shared" ca="1" si="409"/>
        <v>C/USN/III/P3/40</v>
      </c>
      <c r="AF260" s="154" t="str">
        <f t="shared" ca="1" si="410"/>
        <v>Budowa Parku Przy Bażantarni - część wschodnia wraz z modernizacją części zachodniej</v>
      </c>
      <c r="AG260" s="155">
        <f t="shared" ca="1" si="411"/>
        <v>90004</v>
      </c>
      <c r="AH260" s="155" t="str">
        <f t="shared" ca="1" si="412"/>
        <v>6050</v>
      </c>
      <c r="AI260" s="156" t="str">
        <f t="shared" ca="1" si="413"/>
        <v>MWPO/0027</v>
      </c>
      <c r="AJ260" s="157" t="str">
        <f t="shared" ca="1" si="414"/>
        <v>WPF/PM</v>
      </c>
      <c r="AK260" s="158" t="str">
        <f t="shared" ca="1" si="402"/>
        <v>C/USN/III/P3/40 90004 6050 MWPO/0027</v>
      </c>
      <c r="AL260" s="158" t="str">
        <f t="shared" ca="1" si="403"/>
        <v>C/USN/III/P3/40 90004 6050 WPF/PM</v>
      </c>
      <c r="AM260" s="159" t="str">
        <f t="shared" ca="1" si="404"/>
        <v>C/USN/III/P3/40 90004 6050 MWPO/0027 WPF/PM</v>
      </c>
      <c r="AN260" s="160">
        <f t="shared" ca="1" si="415"/>
        <v>410825</v>
      </c>
      <c r="AO260" s="161">
        <f t="shared" ca="1" si="416"/>
        <v>0</v>
      </c>
      <c r="AP260" s="162">
        <f t="shared" ca="1" si="417"/>
        <v>0</v>
      </c>
      <c r="AQ260" s="163">
        <f t="shared" ca="1" si="418"/>
        <v>410825</v>
      </c>
      <c r="AR260" s="164">
        <f t="shared" ca="1" si="419"/>
        <v>0</v>
      </c>
      <c r="AS260" s="164">
        <f t="shared" ca="1" si="420"/>
        <v>0</v>
      </c>
      <c r="AT260" s="164">
        <f t="shared" ca="1" si="421"/>
        <v>0</v>
      </c>
      <c r="AU260" s="164">
        <f t="shared" ca="1" si="422"/>
        <v>0</v>
      </c>
      <c r="AV260" s="164">
        <f t="shared" ca="1" si="423"/>
        <v>0</v>
      </c>
      <c r="AW260" s="164">
        <f t="shared" ca="1" si="424"/>
        <v>0</v>
      </c>
      <c r="AX260" s="164">
        <f t="shared" ca="1" si="425"/>
        <v>0</v>
      </c>
      <c r="AY260" s="164">
        <f t="shared" ca="1" si="426"/>
        <v>0</v>
      </c>
      <c r="AZ260" s="164">
        <f t="shared" ca="1" si="427"/>
        <v>0</v>
      </c>
      <c r="BA260" s="165" t="str">
        <f t="shared" ca="1" si="428"/>
        <v>nie</v>
      </c>
      <c r="BB260" s="166" t="str">
        <f t="shared" ca="1" si="405"/>
        <v>-</v>
      </c>
      <c r="BC260" s="165" t="str">
        <f t="shared" ca="1" si="341"/>
        <v>nie</v>
      </c>
    </row>
    <row r="261" spans="1:55" ht="14.45" hidden="1" customHeight="1" thickBot="1" x14ac:dyDescent="0.3">
      <c r="A261" s="500"/>
      <c r="B261" s="493"/>
      <c r="C261" s="501"/>
      <c r="D261" s="506"/>
      <c r="E261" s="503"/>
      <c r="F261" s="503"/>
      <c r="G261" s="503"/>
      <c r="H261" s="504"/>
      <c r="I261" s="499"/>
      <c r="J261" s="197" t="s">
        <v>104</v>
      </c>
      <c r="K261" s="198">
        <f>SUM(N261:O261)</f>
        <v>89175</v>
      </c>
      <c r="L261" s="199"/>
      <c r="M261" s="200">
        <f>95000-5825</f>
        <v>89175</v>
      </c>
      <c r="N261" s="371">
        <f>SUM(L261:M261)</f>
        <v>89175</v>
      </c>
      <c r="O261" s="198">
        <f>SUM(P261:Y261)</f>
        <v>0</v>
      </c>
      <c r="P261" s="201"/>
      <c r="Q261" s="200"/>
      <c r="R261" s="202"/>
      <c r="S261" s="203"/>
      <c r="T261" s="200"/>
      <c r="U261" s="200"/>
      <c r="V261" s="200"/>
      <c r="W261" s="200"/>
      <c r="X261" s="200"/>
      <c r="Y261" s="202"/>
      <c r="Z261" s="149" t="str">
        <f t="shared" ca="1" si="315"/>
        <v>nie</v>
      </c>
      <c r="AA261" s="384"/>
      <c r="AB261" s="150" t="str">
        <f t="shared" ca="1" si="400"/>
        <v>-</v>
      </c>
      <c r="AC261" s="151" t="str">
        <f t="shared" ca="1" si="408"/>
        <v>PO ZMIANIE</v>
      </c>
      <c r="AD261" s="152" t="str">
        <f t="shared" ca="1" si="401"/>
        <v>PO ZMIANIE</v>
      </c>
      <c r="AE261" s="153" t="str">
        <f t="shared" ca="1" si="409"/>
        <v>C/USN/III/P3/40</v>
      </c>
      <c r="AF261" s="154" t="str">
        <f t="shared" ca="1" si="410"/>
        <v>Budowa Parku Przy Bażantarni - część wschodnia wraz z modernizacją części zachodniej</v>
      </c>
      <c r="AG261" s="155">
        <f t="shared" ca="1" si="411"/>
        <v>90004</v>
      </c>
      <c r="AH261" s="155" t="str">
        <f t="shared" ca="1" si="412"/>
        <v>6050</v>
      </c>
      <c r="AI261" s="156" t="str">
        <f t="shared" ca="1" si="413"/>
        <v>MWPO/0027</v>
      </c>
      <c r="AJ261" s="157" t="str">
        <f t="shared" ca="1" si="414"/>
        <v>WPF/UM</v>
      </c>
      <c r="AK261" s="158" t="str">
        <f t="shared" ca="1" si="402"/>
        <v>C/USN/III/P3/40 90004 6050 MWPO/0027</v>
      </c>
      <c r="AL261" s="158" t="str">
        <f t="shared" ca="1" si="403"/>
        <v>C/USN/III/P3/40 90004 6050 WPF/UM</v>
      </c>
      <c r="AM261" s="159" t="str">
        <f t="shared" ca="1" si="404"/>
        <v>C/USN/III/P3/40 90004 6050 MWPO/0027 WPF/UM</v>
      </c>
      <c r="AN261" s="160">
        <f t="shared" ca="1" si="415"/>
        <v>89175</v>
      </c>
      <c r="AO261" s="161">
        <f t="shared" ca="1" si="416"/>
        <v>0</v>
      </c>
      <c r="AP261" s="162">
        <f t="shared" ca="1" si="417"/>
        <v>89175</v>
      </c>
      <c r="AQ261" s="163">
        <f t="shared" ca="1" si="418"/>
        <v>0</v>
      </c>
      <c r="AR261" s="164">
        <f t="shared" ca="1" si="419"/>
        <v>0</v>
      </c>
      <c r="AS261" s="164">
        <f t="shared" ca="1" si="420"/>
        <v>0</v>
      </c>
      <c r="AT261" s="164">
        <f t="shared" ca="1" si="421"/>
        <v>0</v>
      </c>
      <c r="AU261" s="164">
        <f t="shared" ca="1" si="422"/>
        <v>0</v>
      </c>
      <c r="AV261" s="164">
        <f t="shared" ca="1" si="423"/>
        <v>0</v>
      </c>
      <c r="AW261" s="164">
        <f t="shared" ca="1" si="424"/>
        <v>0</v>
      </c>
      <c r="AX261" s="164">
        <f t="shared" ca="1" si="425"/>
        <v>0</v>
      </c>
      <c r="AY261" s="164">
        <f t="shared" ca="1" si="426"/>
        <v>0</v>
      </c>
      <c r="AZ261" s="164">
        <f t="shared" ca="1" si="427"/>
        <v>0</v>
      </c>
      <c r="BA261" s="165" t="str">
        <f t="shared" ca="1" si="428"/>
        <v>nie</v>
      </c>
      <c r="BB261" s="166" t="str">
        <f t="shared" ca="1" si="405"/>
        <v>-</v>
      </c>
      <c r="BC261" s="165" t="str">
        <f t="shared" ca="1" si="341"/>
        <v>nie</v>
      </c>
    </row>
    <row r="262" spans="1:55" s="167" customFormat="1" ht="14.45" hidden="1" customHeight="1" x14ac:dyDescent="0.25">
      <c r="A262" s="143" t="s">
        <v>91</v>
      </c>
      <c r="B262" s="144"/>
      <c r="C262" s="145"/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6"/>
      <c r="S262" s="147"/>
      <c r="T262" s="147"/>
      <c r="U262" s="147"/>
      <c r="V262" s="147"/>
      <c r="W262" s="147"/>
      <c r="X262" s="147"/>
      <c r="Y262" s="148"/>
      <c r="Z262" s="149" t="str">
        <f t="shared" ca="1" si="315"/>
        <v>nie</v>
      </c>
      <c r="AA262" s="366"/>
      <c r="AB262" s="150" t="str">
        <f t="shared" ca="1" si="345"/>
        <v>-</v>
      </c>
      <c r="AC262" s="151" t="str">
        <f t="shared" ca="1" si="408"/>
        <v>PRZED ZMIANĄ</v>
      </c>
      <c r="AD262" s="152" t="str">
        <f t="shared" ca="1" si="317"/>
        <v/>
      </c>
      <c r="AE262" s="153" t="str">
        <f t="shared" ca="1" si="409"/>
        <v/>
      </c>
      <c r="AF262" s="154" t="str">
        <f t="shared" ca="1" si="410"/>
        <v/>
      </c>
      <c r="AG262" s="155" t="str">
        <f t="shared" ca="1" si="411"/>
        <v/>
      </c>
      <c r="AH262" s="155" t="str">
        <f t="shared" ca="1" si="412"/>
        <v/>
      </c>
      <c r="AI262" s="156" t="str">
        <f t="shared" ca="1" si="413"/>
        <v/>
      </c>
      <c r="AJ262" s="157" t="str">
        <f t="shared" ca="1" si="414"/>
        <v/>
      </c>
      <c r="AK262" s="158" t="str">
        <f t="shared" ca="1" si="324"/>
        <v/>
      </c>
      <c r="AL262" s="158" t="str">
        <f t="shared" ca="1" si="325"/>
        <v/>
      </c>
      <c r="AM262" s="159" t="str">
        <f t="shared" ca="1" si="326"/>
        <v/>
      </c>
      <c r="AN262" s="160" t="str">
        <f t="shared" ca="1" si="415"/>
        <v/>
      </c>
      <c r="AO262" s="161" t="str">
        <f t="shared" ca="1" si="416"/>
        <v/>
      </c>
      <c r="AP262" s="162" t="str">
        <f t="shared" ca="1" si="417"/>
        <v/>
      </c>
      <c r="AQ262" s="163" t="str">
        <f t="shared" ca="1" si="418"/>
        <v/>
      </c>
      <c r="AR262" s="164" t="str">
        <f t="shared" ca="1" si="419"/>
        <v/>
      </c>
      <c r="AS262" s="164" t="str">
        <f t="shared" ca="1" si="420"/>
        <v/>
      </c>
      <c r="AT262" s="164" t="str">
        <f t="shared" ca="1" si="421"/>
        <v/>
      </c>
      <c r="AU262" s="164" t="str">
        <f t="shared" ca="1" si="422"/>
        <v/>
      </c>
      <c r="AV262" s="164" t="str">
        <f t="shared" ca="1" si="423"/>
        <v/>
      </c>
      <c r="AW262" s="164" t="str">
        <f t="shared" ca="1" si="424"/>
        <v/>
      </c>
      <c r="AX262" s="164" t="str">
        <f t="shared" ca="1" si="425"/>
        <v/>
      </c>
      <c r="AY262" s="164" t="str">
        <f t="shared" ca="1" si="426"/>
        <v/>
      </c>
      <c r="AZ262" s="164" t="str">
        <f t="shared" ca="1" si="427"/>
        <v/>
      </c>
      <c r="BA262" s="165" t="str">
        <f t="shared" ca="1" si="428"/>
        <v>nie</v>
      </c>
      <c r="BB262" s="166" t="str">
        <f t="shared" ca="1" si="346"/>
        <v>-</v>
      </c>
      <c r="BC262" s="165" t="str">
        <f t="shared" ca="1" si="341"/>
        <v>nie</v>
      </c>
    </row>
    <row r="263" spans="1:55" s="176" customFormat="1" ht="14.45" hidden="1" customHeight="1" x14ac:dyDescent="0.25">
      <c r="A263" s="493" t="s">
        <v>24</v>
      </c>
      <c r="B263" s="493" t="s">
        <v>137</v>
      </c>
      <c r="C263" s="494" t="s">
        <v>138</v>
      </c>
      <c r="D263" s="505" t="s">
        <v>139</v>
      </c>
      <c r="E263" s="497">
        <v>900</v>
      </c>
      <c r="F263" s="497">
        <v>90004</v>
      </c>
      <c r="G263" s="497">
        <v>6050</v>
      </c>
      <c r="H263" s="507">
        <v>2022</v>
      </c>
      <c r="I263" s="499" t="str">
        <f ca="1">IF(COUNTIF(OFFSET(I263,-1,-8),"*propon*")&gt;0,OFFSET(I263,4,0),IF(Y263&gt;0,"2033",IF(X263&gt;0,"2032",IF(W263&gt;0,"2031",IF(V263&gt;0,"2030",IF(U263&gt;0,"2029",IF(T263&gt;0,"2028",IF(S263&gt;0,"2027",IF(R263&gt;0,"2026",IF(Q263&gt;0,"2025",IF(P263&gt;0,"2024",IF(M263&gt;0,"2023",IF(L263&gt;0,"2022","")))))))))))))</f>
        <v>2024</v>
      </c>
      <c r="J263" s="168" t="s">
        <v>94</v>
      </c>
      <c r="K263" s="169">
        <f>SUM(N263:O263)</f>
        <v>1555875</v>
      </c>
      <c r="L263" s="170">
        <f t="shared" ref="L263:M263" si="437">SUM(L264:L265)</f>
        <v>62577</v>
      </c>
      <c r="M263" s="171">
        <f t="shared" si="437"/>
        <v>1035175</v>
      </c>
      <c r="N263" s="172">
        <f>SUM(L263:M263)</f>
        <v>1097752</v>
      </c>
      <c r="O263" s="169">
        <f>SUM(P263:Y263)</f>
        <v>458123</v>
      </c>
      <c r="P263" s="173">
        <f t="shared" ref="P263:R263" si="438">SUM(P264:P265)</f>
        <v>458123</v>
      </c>
      <c r="Q263" s="171">
        <f t="shared" si="438"/>
        <v>0</v>
      </c>
      <c r="R263" s="174">
        <f t="shared" si="438"/>
        <v>0</v>
      </c>
      <c r="S263" s="175">
        <f t="shared" ref="S263:Y263" si="439">SUM(S264:S265)</f>
        <v>0</v>
      </c>
      <c r="T263" s="171">
        <f t="shared" si="439"/>
        <v>0</v>
      </c>
      <c r="U263" s="171">
        <f t="shared" si="439"/>
        <v>0</v>
      </c>
      <c r="V263" s="171">
        <f t="shared" si="439"/>
        <v>0</v>
      </c>
      <c r="W263" s="171">
        <f t="shared" si="439"/>
        <v>0</v>
      </c>
      <c r="X263" s="171">
        <f t="shared" si="439"/>
        <v>0</v>
      </c>
      <c r="Y263" s="174">
        <f t="shared" si="439"/>
        <v>0</v>
      </c>
      <c r="Z263" s="149" t="str">
        <f t="shared" ca="1" si="315"/>
        <v>nie</v>
      </c>
      <c r="AA263" s="366"/>
      <c r="AB263" s="150" t="str">
        <f t="shared" ca="1" si="345"/>
        <v>-</v>
      </c>
      <c r="AC263" s="151" t="str">
        <f t="shared" ca="1" si="408"/>
        <v>PRZED ZMIANĄ</v>
      </c>
      <c r="AD263" s="152" t="str">
        <f t="shared" ca="1" si="317"/>
        <v>PRZED ZMIANĄ</v>
      </c>
      <c r="AE263" s="153" t="str">
        <f t="shared" ca="1" si="409"/>
        <v>C/USN/III/P3/41</v>
      </c>
      <c r="AF263" s="154" t="str">
        <f t="shared" ca="1" si="410"/>
        <v>Zielona Oś Ursynowa - Nowy Park i fontanna w otoczeniu pięknych kwiatów i ziół - obok Ratusza</v>
      </c>
      <c r="AG263" s="155">
        <f t="shared" ca="1" si="411"/>
        <v>90004</v>
      </c>
      <c r="AH263" s="155" t="str">
        <f t="shared" ca="1" si="412"/>
        <v>6050</v>
      </c>
      <c r="AI263" s="156" t="str">
        <f t="shared" ca="1" si="413"/>
        <v>BO/22/12/0232</v>
      </c>
      <c r="AJ263" s="157" t="str">
        <f t="shared" ca="1" si="414"/>
        <v>WPF, w tym</v>
      </c>
      <c r="AK263" s="158" t="str">
        <f t="shared" ca="1" si="324"/>
        <v>C/USN/III/P3/41 90004 6050 BO/22/12/0232</v>
      </c>
      <c r="AL263" s="158" t="str">
        <f t="shared" ca="1" si="325"/>
        <v>C/USN/III/P3/41 90004 6050 WPF, w tym</v>
      </c>
      <c r="AM263" s="159" t="str">
        <f t="shared" ca="1" si="326"/>
        <v>C/USN/III/P3/41 90004 6050 BO/22/12/0232 WPF, w tym</v>
      </c>
      <c r="AN263" s="160">
        <f t="shared" ca="1" si="415"/>
        <v>1555875</v>
      </c>
      <c r="AO263" s="161">
        <f t="shared" ca="1" si="416"/>
        <v>62577</v>
      </c>
      <c r="AP263" s="162">
        <f t="shared" ca="1" si="417"/>
        <v>1035175</v>
      </c>
      <c r="AQ263" s="163">
        <f t="shared" ca="1" si="418"/>
        <v>458123</v>
      </c>
      <c r="AR263" s="164">
        <f t="shared" ca="1" si="419"/>
        <v>0</v>
      </c>
      <c r="AS263" s="164">
        <f t="shared" ca="1" si="420"/>
        <v>0</v>
      </c>
      <c r="AT263" s="164">
        <f t="shared" ca="1" si="421"/>
        <v>0</v>
      </c>
      <c r="AU263" s="164">
        <f t="shared" ca="1" si="422"/>
        <v>0</v>
      </c>
      <c r="AV263" s="164">
        <f t="shared" ca="1" si="423"/>
        <v>0</v>
      </c>
      <c r="AW263" s="164">
        <f t="shared" ca="1" si="424"/>
        <v>0</v>
      </c>
      <c r="AX263" s="164">
        <f t="shared" ca="1" si="425"/>
        <v>0</v>
      </c>
      <c r="AY263" s="164">
        <f t="shared" ca="1" si="426"/>
        <v>0</v>
      </c>
      <c r="AZ263" s="164">
        <f t="shared" ca="1" si="427"/>
        <v>0</v>
      </c>
      <c r="BA263" s="165" t="str">
        <f t="shared" ca="1" si="428"/>
        <v>nie</v>
      </c>
      <c r="BB263" s="166" t="str">
        <f t="shared" ca="1" si="346"/>
        <v>-</v>
      </c>
      <c r="BC263" s="165" t="str">
        <f t="shared" ca="1" si="341"/>
        <v>nie</v>
      </c>
    </row>
    <row r="264" spans="1:55" s="167" customFormat="1" ht="14.45" hidden="1" customHeight="1" x14ac:dyDescent="0.25">
      <c r="A264" s="493"/>
      <c r="B264" s="493"/>
      <c r="C264" s="494"/>
      <c r="D264" s="506"/>
      <c r="E264" s="497"/>
      <c r="F264" s="497"/>
      <c r="G264" s="497"/>
      <c r="H264" s="498"/>
      <c r="I264" s="499"/>
      <c r="J264" s="177" t="s">
        <v>95</v>
      </c>
      <c r="K264" s="178">
        <f>SUM(N264:O264)</f>
        <v>458123</v>
      </c>
      <c r="L264" s="179"/>
      <c r="M264" s="180"/>
      <c r="N264" s="172">
        <f>SUM(L264:M264)</f>
        <v>0</v>
      </c>
      <c r="O264" s="178">
        <f>SUM(P264:Y264)</f>
        <v>458123</v>
      </c>
      <c r="P264" s="181">
        <v>458123</v>
      </c>
      <c r="Q264" s="180"/>
      <c r="R264" s="182"/>
      <c r="S264" s="183"/>
      <c r="T264" s="180"/>
      <c r="U264" s="180"/>
      <c r="V264" s="180"/>
      <c r="W264" s="180"/>
      <c r="X264" s="180"/>
      <c r="Y264" s="182"/>
      <c r="Z264" s="149" t="str">
        <f t="shared" ca="1" si="315"/>
        <v>nie</v>
      </c>
      <c r="AA264" s="366"/>
      <c r="AB264" s="150" t="str">
        <f t="shared" ca="1" si="345"/>
        <v>-</v>
      </c>
      <c r="AC264" s="151" t="str">
        <f t="shared" ca="1" si="408"/>
        <v>PRZED ZMIANĄ</v>
      </c>
      <c r="AD264" s="152" t="str">
        <f t="shared" ca="1" si="317"/>
        <v>PRZED ZMIANĄ</v>
      </c>
      <c r="AE264" s="153" t="str">
        <f t="shared" ca="1" si="409"/>
        <v>C/USN/III/P3/41</v>
      </c>
      <c r="AF264" s="154" t="str">
        <f t="shared" ca="1" si="410"/>
        <v>Zielona Oś Ursynowa - Nowy Park i fontanna w otoczeniu pięknych kwiatów i ziół - obok Ratusza</v>
      </c>
      <c r="AG264" s="155">
        <f t="shared" ca="1" si="411"/>
        <v>90004</v>
      </c>
      <c r="AH264" s="155" t="str">
        <f t="shared" ca="1" si="412"/>
        <v>6050</v>
      </c>
      <c r="AI264" s="156" t="str">
        <f t="shared" ca="1" si="413"/>
        <v>BO/22/12/0232</v>
      </c>
      <c r="AJ264" s="157" t="str">
        <f t="shared" ca="1" si="414"/>
        <v>WPF/PM</v>
      </c>
      <c r="AK264" s="158" t="str">
        <f t="shared" ca="1" si="324"/>
        <v>C/USN/III/P3/41 90004 6050 BO/22/12/0232</v>
      </c>
      <c r="AL264" s="158" t="str">
        <f t="shared" ca="1" si="325"/>
        <v>C/USN/III/P3/41 90004 6050 WPF/PM</v>
      </c>
      <c r="AM264" s="159" t="str">
        <f t="shared" ca="1" si="326"/>
        <v>C/USN/III/P3/41 90004 6050 BO/22/12/0232 WPF/PM</v>
      </c>
      <c r="AN264" s="160">
        <f t="shared" ca="1" si="415"/>
        <v>458123</v>
      </c>
      <c r="AO264" s="161">
        <f t="shared" ca="1" si="416"/>
        <v>0</v>
      </c>
      <c r="AP264" s="162">
        <f t="shared" ca="1" si="417"/>
        <v>0</v>
      </c>
      <c r="AQ264" s="163">
        <f t="shared" ca="1" si="418"/>
        <v>458123</v>
      </c>
      <c r="AR264" s="164">
        <f t="shared" ca="1" si="419"/>
        <v>0</v>
      </c>
      <c r="AS264" s="164">
        <f t="shared" ca="1" si="420"/>
        <v>0</v>
      </c>
      <c r="AT264" s="164">
        <f t="shared" ca="1" si="421"/>
        <v>0</v>
      </c>
      <c r="AU264" s="164">
        <f t="shared" ca="1" si="422"/>
        <v>0</v>
      </c>
      <c r="AV264" s="164">
        <f t="shared" ca="1" si="423"/>
        <v>0</v>
      </c>
      <c r="AW264" s="164">
        <f t="shared" ca="1" si="424"/>
        <v>0</v>
      </c>
      <c r="AX264" s="164">
        <f t="shared" ca="1" si="425"/>
        <v>0</v>
      </c>
      <c r="AY264" s="164">
        <f t="shared" ca="1" si="426"/>
        <v>0</v>
      </c>
      <c r="AZ264" s="164">
        <f t="shared" ca="1" si="427"/>
        <v>0</v>
      </c>
      <c r="BA264" s="165" t="str">
        <f t="shared" ca="1" si="428"/>
        <v>nie</v>
      </c>
      <c r="BB264" s="166" t="str">
        <f t="shared" ca="1" si="346"/>
        <v>-</v>
      </c>
      <c r="BC264" s="165" t="str">
        <f t="shared" ca="1" si="341"/>
        <v>nie</v>
      </c>
    </row>
    <row r="265" spans="1:55" s="167" customFormat="1" ht="14.45" hidden="1" customHeight="1" x14ac:dyDescent="0.25">
      <c r="A265" s="493"/>
      <c r="B265" s="493"/>
      <c r="C265" s="494"/>
      <c r="D265" s="506"/>
      <c r="E265" s="497"/>
      <c r="F265" s="497"/>
      <c r="G265" s="497"/>
      <c r="H265" s="498"/>
      <c r="I265" s="499"/>
      <c r="J265" s="177" t="s">
        <v>96</v>
      </c>
      <c r="K265" s="178">
        <f>SUM(N265:O265)</f>
        <v>1097752</v>
      </c>
      <c r="L265" s="184">
        <v>62577</v>
      </c>
      <c r="M265" s="180">
        <v>1035175</v>
      </c>
      <c r="N265" s="172">
        <f>SUM(L265:M265)</f>
        <v>1097752</v>
      </c>
      <c r="O265" s="178">
        <f>SUM(P265:Y265)</f>
        <v>0</v>
      </c>
      <c r="P265" s="181"/>
      <c r="Q265" s="180"/>
      <c r="R265" s="182"/>
      <c r="S265" s="183"/>
      <c r="T265" s="180"/>
      <c r="U265" s="180"/>
      <c r="V265" s="180"/>
      <c r="W265" s="180"/>
      <c r="X265" s="180"/>
      <c r="Y265" s="182"/>
      <c r="Z265" s="149" t="str">
        <f t="shared" ca="1" si="315"/>
        <v>nie</v>
      </c>
      <c r="AA265" s="366"/>
      <c r="AB265" s="150" t="str">
        <f t="shared" ca="1" si="345"/>
        <v>-</v>
      </c>
      <c r="AC265" s="151" t="str">
        <f t="shared" ca="1" si="408"/>
        <v>PRZED ZMIANĄ</v>
      </c>
      <c r="AD265" s="152" t="str">
        <f t="shared" ca="1" si="317"/>
        <v>PRZED ZMIANĄ</v>
      </c>
      <c r="AE265" s="153" t="str">
        <f t="shared" ca="1" si="409"/>
        <v>C/USN/III/P3/41</v>
      </c>
      <c r="AF265" s="154" t="str">
        <f t="shared" ca="1" si="410"/>
        <v>Zielona Oś Ursynowa - Nowy Park i fontanna w otoczeniu pięknych kwiatów i ziół - obok Ratusza</v>
      </c>
      <c r="AG265" s="155">
        <f t="shared" ca="1" si="411"/>
        <v>90004</v>
      </c>
      <c r="AH265" s="155" t="str">
        <f t="shared" ca="1" si="412"/>
        <v>6050</v>
      </c>
      <c r="AI265" s="156" t="str">
        <f t="shared" ca="1" si="413"/>
        <v>BO/22/12/0232</v>
      </c>
      <c r="AJ265" s="157" t="str">
        <f t="shared" ca="1" si="414"/>
        <v>WPF/UM</v>
      </c>
      <c r="AK265" s="158" t="str">
        <f t="shared" ca="1" si="324"/>
        <v>C/USN/III/P3/41 90004 6050 BO/22/12/0232</v>
      </c>
      <c r="AL265" s="158" t="str">
        <f t="shared" ca="1" si="325"/>
        <v>C/USN/III/P3/41 90004 6050 WPF/UM</v>
      </c>
      <c r="AM265" s="159" t="str">
        <f t="shared" ca="1" si="326"/>
        <v>C/USN/III/P3/41 90004 6050 BO/22/12/0232 WPF/UM</v>
      </c>
      <c r="AN265" s="160">
        <f t="shared" ca="1" si="415"/>
        <v>1097752</v>
      </c>
      <c r="AO265" s="161">
        <f t="shared" ca="1" si="416"/>
        <v>62577</v>
      </c>
      <c r="AP265" s="162">
        <f t="shared" ca="1" si="417"/>
        <v>1035175</v>
      </c>
      <c r="AQ265" s="163">
        <f t="shared" ca="1" si="418"/>
        <v>0</v>
      </c>
      <c r="AR265" s="164">
        <f t="shared" ca="1" si="419"/>
        <v>0</v>
      </c>
      <c r="AS265" s="164">
        <f t="shared" ca="1" si="420"/>
        <v>0</v>
      </c>
      <c r="AT265" s="164">
        <f t="shared" ca="1" si="421"/>
        <v>0</v>
      </c>
      <c r="AU265" s="164">
        <f t="shared" ca="1" si="422"/>
        <v>0</v>
      </c>
      <c r="AV265" s="164">
        <f t="shared" ca="1" si="423"/>
        <v>0</v>
      </c>
      <c r="AW265" s="164">
        <f t="shared" ca="1" si="424"/>
        <v>0</v>
      </c>
      <c r="AX265" s="164">
        <f t="shared" ca="1" si="425"/>
        <v>0</v>
      </c>
      <c r="AY265" s="164">
        <f t="shared" ca="1" si="426"/>
        <v>0</v>
      </c>
      <c r="AZ265" s="164">
        <f t="shared" ca="1" si="427"/>
        <v>0</v>
      </c>
      <c r="BA265" s="165" t="str">
        <f t="shared" ca="1" si="428"/>
        <v>nie</v>
      </c>
      <c r="BB265" s="166" t="str">
        <f t="shared" ca="1" si="346"/>
        <v>-</v>
      </c>
      <c r="BC265" s="165" t="str">
        <f t="shared" ca="1" si="341"/>
        <v>nie</v>
      </c>
    </row>
    <row r="266" spans="1:55" s="167" customFormat="1" ht="14.45" hidden="1" customHeight="1" x14ac:dyDescent="0.25">
      <c r="A266" s="185" t="s">
        <v>97</v>
      </c>
      <c r="B266" s="186"/>
      <c r="C266" s="187"/>
      <c r="D266" s="186"/>
      <c r="E266" s="186"/>
      <c r="F266" s="186"/>
      <c r="G266" s="186"/>
      <c r="H266" s="186"/>
      <c r="I266" s="186"/>
      <c r="J266" s="186"/>
      <c r="K266" s="186"/>
      <c r="L266" s="186"/>
      <c r="M266" s="186"/>
      <c r="N266" s="186"/>
      <c r="O266" s="186"/>
      <c r="P266" s="186"/>
      <c r="Q266" s="186"/>
      <c r="R266" s="188"/>
      <c r="S266" s="189"/>
      <c r="T266" s="189"/>
      <c r="U266" s="189"/>
      <c r="V266" s="189"/>
      <c r="W266" s="189"/>
      <c r="X266" s="189"/>
      <c r="Y266" s="190"/>
      <c r="Z266" s="149" t="str">
        <f t="shared" ref="Z266:Z329" ca="1" si="440">IF(COUNTIF(A266,"*zmia*")&gt;0,OFFSET(Z266,1,0),IF(COUNTIF($AB$10:$AB$888,AE266)&gt;0,"tak","nie"))</f>
        <v>nie</v>
      </c>
      <c r="AA266" s="366"/>
      <c r="AB266" s="150" t="str">
        <f t="shared" ca="1" si="345"/>
        <v>-</v>
      </c>
      <c r="AC266" s="151" t="str">
        <f t="shared" ca="1" si="408"/>
        <v>PROPONOWANA ZMIANA</v>
      </c>
      <c r="AD266" s="152" t="str">
        <f t="shared" ref="AD266:AD341" ca="1" si="441">IF(AE266="","",AC266)</f>
        <v/>
      </c>
      <c r="AE266" s="153" t="str">
        <f t="shared" ca="1" si="409"/>
        <v/>
      </c>
      <c r="AF266" s="154" t="str">
        <f t="shared" ca="1" si="410"/>
        <v/>
      </c>
      <c r="AG266" s="155" t="str">
        <f t="shared" ca="1" si="411"/>
        <v/>
      </c>
      <c r="AH266" s="155" t="str">
        <f t="shared" ca="1" si="412"/>
        <v/>
      </c>
      <c r="AI266" s="156" t="str">
        <f t="shared" ca="1" si="413"/>
        <v/>
      </c>
      <c r="AJ266" s="157" t="str">
        <f t="shared" ca="1" si="414"/>
        <v/>
      </c>
      <c r="AK266" s="158" t="str">
        <f t="shared" ref="AK266:AK341" ca="1" si="442">IF(AH266="","",AE266&amp;" "&amp;AG266&amp;" "&amp;AH266&amp;" "&amp;AI266)</f>
        <v/>
      </c>
      <c r="AL266" s="158" t="str">
        <f t="shared" ref="AL266:AL341" ca="1" si="443">IF(AH266="","",AE266&amp;" "&amp;AG266&amp;" "&amp;AH266&amp;" "&amp;AJ266)</f>
        <v/>
      </c>
      <c r="AM266" s="159" t="str">
        <f t="shared" ref="AM266:AM341" ca="1" si="444">IF(AH266="","",AE266&amp;" "&amp;AG266&amp;" "&amp;AH266&amp;" "&amp;AI266&amp;" "&amp;AJ266)</f>
        <v/>
      </c>
      <c r="AN266" s="160" t="str">
        <f t="shared" ca="1" si="415"/>
        <v/>
      </c>
      <c r="AO266" s="161" t="str">
        <f t="shared" ca="1" si="416"/>
        <v/>
      </c>
      <c r="AP266" s="162" t="str">
        <f t="shared" ca="1" si="417"/>
        <v/>
      </c>
      <c r="AQ266" s="163" t="str">
        <f t="shared" ca="1" si="418"/>
        <v/>
      </c>
      <c r="AR266" s="164" t="str">
        <f t="shared" ca="1" si="419"/>
        <v/>
      </c>
      <c r="AS266" s="164" t="str">
        <f t="shared" ca="1" si="420"/>
        <v/>
      </c>
      <c r="AT266" s="164" t="str">
        <f t="shared" ca="1" si="421"/>
        <v/>
      </c>
      <c r="AU266" s="164" t="str">
        <f t="shared" ca="1" si="422"/>
        <v/>
      </c>
      <c r="AV266" s="164" t="str">
        <f t="shared" ca="1" si="423"/>
        <v/>
      </c>
      <c r="AW266" s="164" t="str">
        <f t="shared" ca="1" si="424"/>
        <v/>
      </c>
      <c r="AX266" s="164" t="str">
        <f t="shared" ca="1" si="425"/>
        <v/>
      </c>
      <c r="AY266" s="164" t="str">
        <f t="shared" ca="1" si="426"/>
        <v/>
      </c>
      <c r="AZ266" s="164" t="str">
        <f t="shared" ca="1" si="427"/>
        <v/>
      </c>
      <c r="BA266" s="165" t="str">
        <f t="shared" ca="1" si="428"/>
        <v>nie</v>
      </c>
      <c r="BB266" s="166" t="str">
        <f t="shared" ca="1" si="346"/>
        <v>-</v>
      </c>
      <c r="BC266" s="165" t="str">
        <f t="shared" ref="BC266:BC329" ca="1" si="445">IF(AND(COUNTIF(AD266,"*zmi*")&gt;0,COUNTIF($BB$10:$BB$888,AK266)&gt;0),"tak","nie")</f>
        <v>nie</v>
      </c>
    </row>
    <row r="267" spans="1:55" s="176" customFormat="1" ht="14.45" hidden="1" customHeight="1" x14ac:dyDescent="0.25">
      <c r="A267" s="493" t="s">
        <v>24</v>
      </c>
      <c r="B267" s="493" t="s">
        <v>137</v>
      </c>
      <c r="C267" s="494" t="s">
        <v>138</v>
      </c>
      <c r="D267" s="505" t="s">
        <v>139</v>
      </c>
      <c r="E267" s="497">
        <v>900</v>
      </c>
      <c r="F267" s="497">
        <v>90004</v>
      </c>
      <c r="G267" s="497">
        <v>6050</v>
      </c>
      <c r="H267" s="507">
        <v>2022</v>
      </c>
      <c r="I267" s="499" t="str">
        <f ca="1">IF(COUNTIF(OFFSET(I267,-1,-8),"*propon*")&gt;0,OFFSET(I267,4,0),IF(Y267&gt;0,"2033",IF(X267&gt;0,"2032",IF(W267&gt;0,"2031",IF(V267&gt;0,"2030",IF(U267&gt;0,"2029",IF(T267&gt;0,"2028",IF(S267&gt;0,"2027",IF(R267&gt;0,"2026",IF(Q267&gt;0,"2025",IF(P267&gt;0,"2024",IF(M267&gt;0,"2023",IF(L267&gt;0,"2022","")))))))))))))</f>
        <v>2024</v>
      </c>
      <c r="J267" s="168" t="s">
        <v>98</v>
      </c>
      <c r="K267" s="169">
        <f>SUM(N267:O267)</f>
        <v>0</v>
      </c>
      <c r="L267" s="170">
        <f t="shared" ref="L267:M267" si="446">SUM(L268:L269)</f>
        <v>0</v>
      </c>
      <c r="M267" s="171">
        <f t="shared" si="446"/>
        <v>0</v>
      </c>
      <c r="N267" s="172">
        <f>SUM(L267:M267)</f>
        <v>0</v>
      </c>
      <c r="O267" s="169">
        <f>SUM(P267:Y267)</f>
        <v>0</v>
      </c>
      <c r="P267" s="173">
        <f t="shared" ref="P267:R267" si="447">SUM(P268:P269)</f>
        <v>0</v>
      </c>
      <c r="Q267" s="171">
        <f t="shared" si="447"/>
        <v>0</v>
      </c>
      <c r="R267" s="174">
        <f t="shared" si="447"/>
        <v>0</v>
      </c>
      <c r="S267" s="175">
        <f t="shared" ref="S267:Y267" si="448">SUM(S268:S269)</f>
        <v>0</v>
      </c>
      <c r="T267" s="171">
        <f t="shared" si="448"/>
        <v>0</v>
      </c>
      <c r="U267" s="171">
        <f t="shared" si="448"/>
        <v>0</v>
      </c>
      <c r="V267" s="171">
        <f t="shared" si="448"/>
        <v>0</v>
      </c>
      <c r="W267" s="171">
        <f t="shared" si="448"/>
        <v>0</v>
      </c>
      <c r="X267" s="171">
        <f t="shared" si="448"/>
        <v>0</v>
      </c>
      <c r="Y267" s="174">
        <f t="shared" si="448"/>
        <v>0</v>
      </c>
      <c r="Z267" s="149" t="str">
        <f t="shared" ca="1" si="440"/>
        <v>nie</v>
      </c>
      <c r="AA267" s="366"/>
      <c r="AB267" s="150" t="str">
        <f t="shared" ref="AB267:AB342" ca="1" si="449">IF(IF(OR(COUNTIF(AD267,"*bilans*")&gt;0,COUNTIF(AD267,"*prop*")&gt;0),COUNTIF(AO267:AZ267,"")+COUNTIF(AO267:AZ267,"0"),"")&lt;12,AE267,"-")</f>
        <v>-</v>
      </c>
      <c r="AC267" s="151" t="str">
        <f t="shared" ca="1" si="408"/>
        <v>PROPONOWANA ZMIANA</v>
      </c>
      <c r="AD267" s="152" t="str">
        <f t="shared" ca="1" si="441"/>
        <v>PROPONOWANA ZMIANA</v>
      </c>
      <c r="AE267" s="153" t="str">
        <f t="shared" ca="1" si="409"/>
        <v>C/USN/III/P3/41</v>
      </c>
      <c r="AF267" s="154" t="str">
        <f t="shared" ca="1" si="410"/>
        <v>Zielona Oś Ursynowa - Nowy Park i fontanna w otoczeniu pięknych kwiatów i ziół - obok Ratusza</v>
      </c>
      <c r="AG267" s="155">
        <f t="shared" ca="1" si="411"/>
        <v>90004</v>
      </c>
      <c r="AH267" s="155" t="str">
        <f t="shared" ca="1" si="412"/>
        <v>6050</v>
      </c>
      <c r="AI267" s="156" t="str">
        <f t="shared" ca="1" si="413"/>
        <v>BO/22/12/0232</v>
      </c>
      <c r="AJ267" s="157" t="str">
        <f t="shared" ca="1" si="414"/>
        <v>WPF, w tym</v>
      </c>
      <c r="AK267" s="158" t="str">
        <f t="shared" ca="1" si="442"/>
        <v>C/USN/III/P3/41 90004 6050 BO/22/12/0232</v>
      </c>
      <c r="AL267" s="158" t="str">
        <f t="shared" ca="1" si="443"/>
        <v>C/USN/III/P3/41 90004 6050 WPF, w tym</v>
      </c>
      <c r="AM267" s="159" t="str">
        <f t="shared" ca="1" si="444"/>
        <v>C/USN/III/P3/41 90004 6050 BO/22/12/0232 WPF, w tym</v>
      </c>
      <c r="AN267" s="160">
        <f t="shared" ca="1" si="415"/>
        <v>0</v>
      </c>
      <c r="AO267" s="161">
        <f t="shared" ca="1" si="416"/>
        <v>0</v>
      </c>
      <c r="AP267" s="162">
        <f t="shared" ca="1" si="417"/>
        <v>0</v>
      </c>
      <c r="AQ267" s="163">
        <f t="shared" ca="1" si="418"/>
        <v>0</v>
      </c>
      <c r="AR267" s="164">
        <f t="shared" ca="1" si="419"/>
        <v>0</v>
      </c>
      <c r="AS267" s="164">
        <f t="shared" ca="1" si="420"/>
        <v>0</v>
      </c>
      <c r="AT267" s="164">
        <f t="shared" ca="1" si="421"/>
        <v>0</v>
      </c>
      <c r="AU267" s="164">
        <f t="shared" ca="1" si="422"/>
        <v>0</v>
      </c>
      <c r="AV267" s="164">
        <f t="shared" ca="1" si="423"/>
        <v>0</v>
      </c>
      <c r="AW267" s="164">
        <f t="shared" ca="1" si="424"/>
        <v>0</v>
      </c>
      <c r="AX267" s="164">
        <f t="shared" ca="1" si="425"/>
        <v>0</v>
      </c>
      <c r="AY267" s="164">
        <f t="shared" ca="1" si="426"/>
        <v>0</v>
      </c>
      <c r="AZ267" s="164">
        <f t="shared" ca="1" si="427"/>
        <v>0</v>
      </c>
      <c r="BA267" s="165" t="str">
        <f t="shared" ca="1" si="428"/>
        <v>nie</v>
      </c>
      <c r="BB267" s="166" t="str">
        <f t="shared" ref="BB267:BB342" ca="1" si="450">IF(COUNTIF(AD267,"*bilans*")&gt;0,"-",IF(IF(COUNTIF(AD267,"*prop*")&gt;0,COUNTIF(AO267:AZ267,"")+COUNTIF(AO267:AZ267,"0"),"")&lt;12,AK267,"-"))</f>
        <v>-</v>
      </c>
      <c r="BC267" s="165" t="str">
        <f t="shared" ca="1" si="445"/>
        <v>nie</v>
      </c>
    </row>
    <row r="268" spans="1:55" s="167" customFormat="1" ht="14.45" hidden="1" customHeight="1" x14ac:dyDescent="0.25">
      <c r="A268" s="493"/>
      <c r="B268" s="493"/>
      <c r="C268" s="494"/>
      <c r="D268" s="506"/>
      <c r="E268" s="497"/>
      <c r="F268" s="497"/>
      <c r="G268" s="497"/>
      <c r="H268" s="498"/>
      <c r="I268" s="499"/>
      <c r="J268" s="177" t="s">
        <v>99</v>
      </c>
      <c r="K268" s="178">
        <f>SUM(N268:O268)</f>
        <v>0</v>
      </c>
      <c r="L268" s="179">
        <f t="shared" ref="L268:M268" si="451">L272-L264</f>
        <v>0</v>
      </c>
      <c r="M268" s="180">
        <f t="shared" si="451"/>
        <v>0</v>
      </c>
      <c r="N268" s="172">
        <f>SUM(L268:M268)</f>
        <v>0</v>
      </c>
      <c r="O268" s="178">
        <f>SUM(P268:Y268)</f>
        <v>0</v>
      </c>
      <c r="P268" s="181">
        <f t="shared" ref="P268:R268" si="452">P272-P264</f>
        <v>0</v>
      </c>
      <c r="Q268" s="180">
        <f t="shared" si="452"/>
        <v>0</v>
      </c>
      <c r="R268" s="182">
        <f t="shared" si="452"/>
        <v>0</v>
      </c>
      <c r="S268" s="183">
        <f t="shared" ref="S268:Y269" si="453">S272-S264</f>
        <v>0</v>
      </c>
      <c r="T268" s="180">
        <f t="shared" si="453"/>
        <v>0</v>
      </c>
      <c r="U268" s="180">
        <f t="shared" si="453"/>
        <v>0</v>
      </c>
      <c r="V268" s="180">
        <f t="shared" si="453"/>
        <v>0</v>
      </c>
      <c r="W268" s="180">
        <f t="shared" si="453"/>
        <v>0</v>
      </c>
      <c r="X268" s="180">
        <f t="shared" si="453"/>
        <v>0</v>
      </c>
      <c r="Y268" s="182">
        <f t="shared" si="453"/>
        <v>0</v>
      </c>
      <c r="Z268" s="149" t="str">
        <f t="shared" ca="1" si="440"/>
        <v>nie</v>
      </c>
      <c r="AA268" s="366"/>
      <c r="AB268" s="150" t="str">
        <f t="shared" ca="1" si="449"/>
        <v>-</v>
      </c>
      <c r="AC268" s="151" t="str">
        <f t="shared" ca="1" si="408"/>
        <v>PROPONOWANA ZMIANA</v>
      </c>
      <c r="AD268" s="152" t="str">
        <f t="shared" ca="1" si="441"/>
        <v>PROPONOWANA ZMIANA</v>
      </c>
      <c r="AE268" s="153" t="str">
        <f t="shared" ca="1" si="409"/>
        <v>C/USN/III/P3/41</v>
      </c>
      <c r="AF268" s="154" t="str">
        <f t="shared" ca="1" si="410"/>
        <v>Zielona Oś Ursynowa - Nowy Park i fontanna w otoczeniu pięknych kwiatów i ziół - obok Ratusza</v>
      </c>
      <c r="AG268" s="155">
        <f t="shared" ca="1" si="411"/>
        <v>90004</v>
      </c>
      <c r="AH268" s="155" t="str">
        <f t="shared" ca="1" si="412"/>
        <v>6050</v>
      </c>
      <c r="AI268" s="156" t="str">
        <f t="shared" ca="1" si="413"/>
        <v>BO/22/12/0232</v>
      </c>
      <c r="AJ268" s="157" t="str">
        <f t="shared" ca="1" si="414"/>
        <v>WPF/PM</v>
      </c>
      <c r="AK268" s="158" t="str">
        <f t="shared" ca="1" si="442"/>
        <v>C/USN/III/P3/41 90004 6050 BO/22/12/0232</v>
      </c>
      <c r="AL268" s="158" t="str">
        <f t="shared" ca="1" si="443"/>
        <v>C/USN/III/P3/41 90004 6050 WPF/PM</v>
      </c>
      <c r="AM268" s="159" t="str">
        <f t="shared" ca="1" si="444"/>
        <v>C/USN/III/P3/41 90004 6050 BO/22/12/0232 WPF/PM</v>
      </c>
      <c r="AN268" s="160">
        <f t="shared" ca="1" si="415"/>
        <v>0</v>
      </c>
      <c r="AO268" s="161">
        <f t="shared" ca="1" si="416"/>
        <v>0</v>
      </c>
      <c r="AP268" s="162">
        <f t="shared" ca="1" si="417"/>
        <v>0</v>
      </c>
      <c r="AQ268" s="163">
        <f t="shared" ca="1" si="418"/>
        <v>0</v>
      </c>
      <c r="AR268" s="164">
        <f t="shared" ca="1" si="419"/>
        <v>0</v>
      </c>
      <c r="AS268" s="164">
        <f t="shared" ca="1" si="420"/>
        <v>0</v>
      </c>
      <c r="AT268" s="164">
        <f t="shared" ca="1" si="421"/>
        <v>0</v>
      </c>
      <c r="AU268" s="164">
        <f t="shared" ca="1" si="422"/>
        <v>0</v>
      </c>
      <c r="AV268" s="164">
        <f t="shared" ca="1" si="423"/>
        <v>0</v>
      </c>
      <c r="AW268" s="164">
        <f t="shared" ca="1" si="424"/>
        <v>0</v>
      </c>
      <c r="AX268" s="164">
        <f t="shared" ca="1" si="425"/>
        <v>0</v>
      </c>
      <c r="AY268" s="164">
        <f t="shared" ca="1" si="426"/>
        <v>0</v>
      </c>
      <c r="AZ268" s="164">
        <f t="shared" ca="1" si="427"/>
        <v>0</v>
      </c>
      <c r="BA268" s="165" t="str">
        <f t="shared" ca="1" si="428"/>
        <v>nie</v>
      </c>
      <c r="BB268" s="166" t="str">
        <f t="shared" ca="1" si="450"/>
        <v>-</v>
      </c>
      <c r="BC268" s="165" t="str">
        <f t="shared" ca="1" si="445"/>
        <v>nie</v>
      </c>
    </row>
    <row r="269" spans="1:55" s="167" customFormat="1" ht="14.45" hidden="1" customHeight="1" x14ac:dyDescent="0.25">
      <c r="A269" s="493"/>
      <c r="B269" s="493"/>
      <c r="C269" s="494"/>
      <c r="D269" s="506"/>
      <c r="E269" s="497"/>
      <c r="F269" s="497"/>
      <c r="G269" s="497"/>
      <c r="H269" s="498"/>
      <c r="I269" s="499"/>
      <c r="J269" s="177" t="s">
        <v>100</v>
      </c>
      <c r="K269" s="178">
        <f>SUM(N269:O269)</f>
        <v>0</v>
      </c>
      <c r="L269" s="179">
        <f t="shared" ref="L269:M269" si="454">L273-L265</f>
        <v>0</v>
      </c>
      <c r="M269" s="180">
        <f t="shared" si="454"/>
        <v>0</v>
      </c>
      <c r="N269" s="172">
        <f>SUM(L269:M269)</f>
        <v>0</v>
      </c>
      <c r="O269" s="178">
        <f>SUM(P269:Y269)</f>
        <v>0</v>
      </c>
      <c r="P269" s="181">
        <f t="shared" ref="P269:R269" si="455">P273-P265</f>
        <v>0</v>
      </c>
      <c r="Q269" s="180">
        <f t="shared" si="455"/>
        <v>0</v>
      </c>
      <c r="R269" s="182">
        <f t="shared" si="455"/>
        <v>0</v>
      </c>
      <c r="S269" s="183">
        <f t="shared" si="453"/>
        <v>0</v>
      </c>
      <c r="T269" s="180">
        <f t="shared" si="453"/>
        <v>0</v>
      </c>
      <c r="U269" s="180">
        <f t="shared" si="453"/>
        <v>0</v>
      </c>
      <c r="V269" s="180">
        <f t="shared" si="453"/>
        <v>0</v>
      </c>
      <c r="W269" s="180">
        <f t="shared" si="453"/>
        <v>0</v>
      </c>
      <c r="X269" s="180">
        <f t="shared" si="453"/>
        <v>0</v>
      </c>
      <c r="Y269" s="182">
        <f t="shared" si="453"/>
        <v>0</v>
      </c>
      <c r="Z269" s="149" t="str">
        <f t="shared" ca="1" si="440"/>
        <v>nie</v>
      </c>
      <c r="AA269" s="366"/>
      <c r="AB269" s="150" t="str">
        <f t="shared" ca="1" si="449"/>
        <v>-</v>
      </c>
      <c r="AC269" s="151" t="str">
        <f t="shared" ca="1" si="408"/>
        <v>PROPONOWANA ZMIANA</v>
      </c>
      <c r="AD269" s="152" t="str">
        <f t="shared" ca="1" si="441"/>
        <v>PROPONOWANA ZMIANA</v>
      </c>
      <c r="AE269" s="153" t="str">
        <f t="shared" ca="1" si="409"/>
        <v>C/USN/III/P3/41</v>
      </c>
      <c r="AF269" s="154" t="str">
        <f t="shared" ca="1" si="410"/>
        <v>Zielona Oś Ursynowa - Nowy Park i fontanna w otoczeniu pięknych kwiatów i ziół - obok Ratusza</v>
      </c>
      <c r="AG269" s="155">
        <f t="shared" ca="1" si="411"/>
        <v>90004</v>
      </c>
      <c r="AH269" s="155" t="str">
        <f t="shared" ca="1" si="412"/>
        <v>6050</v>
      </c>
      <c r="AI269" s="156" t="str">
        <f t="shared" ca="1" si="413"/>
        <v>BO/22/12/0232</v>
      </c>
      <c r="AJ269" s="157" t="str">
        <f t="shared" ca="1" si="414"/>
        <v>WPF/UM</v>
      </c>
      <c r="AK269" s="158" t="str">
        <f t="shared" ca="1" si="442"/>
        <v>C/USN/III/P3/41 90004 6050 BO/22/12/0232</v>
      </c>
      <c r="AL269" s="158" t="str">
        <f t="shared" ca="1" si="443"/>
        <v>C/USN/III/P3/41 90004 6050 WPF/UM</v>
      </c>
      <c r="AM269" s="159" t="str">
        <f t="shared" ca="1" si="444"/>
        <v>C/USN/III/P3/41 90004 6050 BO/22/12/0232 WPF/UM</v>
      </c>
      <c r="AN269" s="160">
        <f t="shared" ca="1" si="415"/>
        <v>0</v>
      </c>
      <c r="AO269" s="161">
        <f t="shared" ca="1" si="416"/>
        <v>0</v>
      </c>
      <c r="AP269" s="162">
        <f t="shared" ca="1" si="417"/>
        <v>0</v>
      </c>
      <c r="AQ269" s="163">
        <f t="shared" ca="1" si="418"/>
        <v>0</v>
      </c>
      <c r="AR269" s="164">
        <f t="shared" ca="1" si="419"/>
        <v>0</v>
      </c>
      <c r="AS269" s="164">
        <f t="shared" ca="1" si="420"/>
        <v>0</v>
      </c>
      <c r="AT269" s="164">
        <f t="shared" ca="1" si="421"/>
        <v>0</v>
      </c>
      <c r="AU269" s="164">
        <f t="shared" ca="1" si="422"/>
        <v>0</v>
      </c>
      <c r="AV269" s="164">
        <f t="shared" ca="1" si="423"/>
        <v>0</v>
      </c>
      <c r="AW269" s="164">
        <f t="shared" ca="1" si="424"/>
        <v>0</v>
      </c>
      <c r="AX269" s="164">
        <f t="shared" ca="1" si="425"/>
        <v>0</v>
      </c>
      <c r="AY269" s="164">
        <f t="shared" ca="1" si="426"/>
        <v>0</v>
      </c>
      <c r="AZ269" s="164">
        <f t="shared" ca="1" si="427"/>
        <v>0</v>
      </c>
      <c r="BA269" s="165" t="str">
        <f t="shared" ca="1" si="428"/>
        <v>nie</v>
      </c>
      <c r="BB269" s="166" t="str">
        <f t="shared" ca="1" si="450"/>
        <v>-</v>
      </c>
      <c r="BC269" s="165" t="str">
        <f t="shared" ca="1" si="445"/>
        <v>nie</v>
      </c>
    </row>
    <row r="270" spans="1:55" s="167" customFormat="1" ht="14.45" hidden="1" customHeight="1" x14ac:dyDescent="0.25">
      <c r="A270" s="191" t="s">
        <v>101</v>
      </c>
      <c r="B270" s="192"/>
      <c r="C270" s="193"/>
      <c r="D270" s="192"/>
      <c r="E270" s="192"/>
      <c r="F270" s="192"/>
      <c r="G270" s="192"/>
      <c r="H270" s="192"/>
      <c r="I270" s="192"/>
      <c r="J270" s="192"/>
      <c r="K270" s="192"/>
      <c r="L270" s="192"/>
      <c r="M270" s="192"/>
      <c r="N270" s="192"/>
      <c r="O270" s="192"/>
      <c r="P270" s="192"/>
      <c r="Q270" s="192"/>
      <c r="R270" s="194"/>
      <c r="S270" s="195"/>
      <c r="T270" s="195"/>
      <c r="U270" s="195"/>
      <c r="V270" s="195"/>
      <c r="W270" s="195"/>
      <c r="X270" s="195"/>
      <c r="Y270" s="196"/>
      <c r="Z270" s="149" t="str">
        <f t="shared" ca="1" si="440"/>
        <v>nie</v>
      </c>
      <c r="AA270" s="366"/>
      <c r="AB270" s="150" t="str">
        <f t="shared" ca="1" si="449"/>
        <v>-</v>
      </c>
      <c r="AC270" s="151" t="str">
        <f t="shared" ca="1" si="408"/>
        <v>PO ZMIANIE</v>
      </c>
      <c r="AD270" s="152" t="str">
        <f t="shared" ca="1" si="441"/>
        <v/>
      </c>
      <c r="AE270" s="153" t="str">
        <f t="shared" ca="1" si="409"/>
        <v/>
      </c>
      <c r="AF270" s="154" t="str">
        <f t="shared" ca="1" si="410"/>
        <v/>
      </c>
      <c r="AG270" s="155" t="str">
        <f t="shared" ca="1" si="411"/>
        <v/>
      </c>
      <c r="AH270" s="155" t="str">
        <f t="shared" ca="1" si="412"/>
        <v/>
      </c>
      <c r="AI270" s="156" t="str">
        <f t="shared" ca="1" si="413"/>
        <v/>
      </c>
      <c r="AJ270" s="157" t="str">
        <f t="shared" ca="1" si="414"/>
        <v/>
      </c>
      <c r="AK270" s="158" t="str">
        <f t="shared" ca="1" si="442"/>
        <v/>
      </c>
      <c r="AL270" s="158" t="str">
        <f t="shared" ca="1" si="443"/>
        <v/>
      </c>
      <c r="AM270" s="159" t="str">
        <f t="shared" ca="1" si="444"/>
        <v/>
      </c>
      <c r="AN270" s="160" t="str">
        <f t="shared" ca="1" si="415"/>
        <v/>
      </c>
      <c r="AO270" s="161" t="str">
        <f t="shared" ca="1" si="416"/>
        <v/>
      </c>
      <c r="AP270" s="162" t="str">
        <f t="shared" ca="1" si="417"/>
        <v/>
      </c>
      <c r="AQ270" s="163" t="str">
        <f t="shared" ca="1" si="418"/>
        <v/>
      </c>
      <c r="AR270" s="164" t="str">
        <f t="shared" ca="1" si="419"/>
        <v/>
      </c>
      <c r="AS270" s="164" t="str">
        <f t="shared" ca="1" si="420"/>
        <v/>
      </c>
      <c r="AT270" s="164" t="str">
        <f t="shared" ca="1" si="421"/>
        <v/>
      </c>
      <c r="AU270" s="164" t="str">
        <f t="shared" ca="1" si="422"/>
        <v/>
      </c>
      <c r="AV270" s="164" t="str">
        <f t="shared" ca="1" si="423"/>
        <v/>
      </c>
      <c r="AW270" s="164" t="str">
        <f t="shared" ca="1" si="424"/>
        <v/>
      </c>
      <c r="AX270" s="164" t="str">
        <f t="shared" ca="1" si="425"/>
        <v/>
      </c>
      <c r="AY270" s="164" t="str">
        <f t="shared" ca="1" si="426"/>
        <v/>
      </c>
      <c r="AZ270" s="164" t="str">
        <f t="shared" ca="1" si="427"/>
        <v/>
      </c>
      <c r="BA270" s="165" t="str">
        <f t="shared" ca="1" si="428"/>
        <v>nie</v>
      </c>
      <c r="BB270" s="166" t="str">
        <f t="shared" ca="1" si="450"/>
        <v>-</v>
      </c>
      <c r="BC270" s="165" t="str">
        <f t="shared" ca="1" si="445"/>
        <v>nie</v>
      </c>
    </row>
    <row r="271" spans="1:55" s="176" customFormat="1" ht="14.45" hidden="1" customHeight="1" x14ac:dyDescent="0.25">
      <c r="A271" s="493" t="s">
        <v>24</v>
      </c>
      <c r="B271" s="493" t="s">
        <v>137</v>
      </c>
      <c r="C271" s="494" t="s">
        <v>138</v>
      </c>
      <c r="D271" s="505" t="s">
        <v>139</v>
      </c>
      <c r="E271" s="497">
        <v>900</v>
      </c>
      <c r="F271" s="497">
        <v>90004</v>
      </c>
      <c r="G271" s="497">
        <v>6050</v>
      </c>
      <c r="H271" s="507">
        <v>2022</v>
      </c>
      <c r="I271" s="499" t="str">
        <f ca="1">IF(COUNTIF(OFFSET(I271,-1,-8),"*propon*")&gt;0,OFFSET(I271,4,0),IF(Y271&gt;0,"2033",IF(X271&gt;0,"2032",IF(W271&gt;0,"2031",IF(V271&gt;0,"2030",IF(U271&gt;0,"2029",IF(T271&gt;0,"2028",IF(S271&gt;0,"2027",IF(R271&gt;0,"2026",IF(Q271&gt;0,"2025",IF(P271&gt;0,"2024",IF(M271&gt;0,"2023",IF(L271&gt;0,"2022","")))))))))))))</f>
        <v>2024</v>
      </c>
      <c r="J271" s="168" t="s">
        <v>102</v>
      </c>
      <c r="K271" s="169">
        <f>SUM(N271:O271)</f>
        <v>1555875</v>
      </c>
      <c r="L271" s="170">
        <f t="shared" ref="L271:M271" si="456">SUM(L272:L273)</f>
        <v>62577</v>
      </c>
      <c r="M271" s="171">
        <f t="shared" si="456"/>
        <v>1035175</v>
      </c>
      <c r="N271" s="172">
        <f>SUM(L271:M271)</f>
        <v>1097752</v>
      </c>
      <c r="O271" s="169">
        <f>SUM(P271:Y271)</f>
        <v>458123</v>
      </c>
      <c r="P271" s="173">
        <f t="shared" ref="P271:R271" si="457">SUM(P272:P273)</f>
        <v>458123</v>
      </c>
      <c r="Q271" s="171">
        <f t="shared" si="457"/>
        <v>0</v>
      </c>
      <c r="R271" s="174">
        <f t="shared" si="457"/>
        <v>0</v>
      </c>
      <c r="S271" s="175">
        <f t="shared" ref="S271:Y271" si="458">SUM(S272:S273)</f>
        <v>0</v>
      </c>
      <c r="T271" s="171">
        <f t="shared" si="458"/>
        <v>0</v>
      </c>
      <c r="U271" s="171">
        <f t="shared" si="458"/>
        <v>0</v>
      </c>
      <c r="V271" s="171">
        <f t="shared" si="458"/>
        <v>0</v>
      </c>
      <c r="W271" s="171">
        <f t="shared" si="458"/>
        <v>0</v>
      </c>
      <c r="X271" s="171">
        <f t="shared" si="458"/>
        <v>0</v>
      </c>
      <c r="Y271" s="174">
        <f t="shared" si="458"/>
        <v>0</v>
      </c>
      <c r="Z271" s="149" t="str">
        <f t="shared" ca="1" si="440"/>
        <v>nie</v>
      </c>
      <c r="AA271" s="366"/>
      <c r="AB271" s="150" t="str">
        <f t="shared" ca="1" si="449"/>
        <v>-</v>
      </c>
      <c r="AC271" s="151" t="str">
        <f t="shared" ca="1" si="408"/>
        <v>PO ZMIANIE</v>
      </c>
      <c r="AD271" s="152" t="str">
        <f t="shared" ca="1" si="441"/>
        <v>PO ZMIANIE</v>
      </c>
      <c r="AE271" s="153" t="str">
        <f t="shared" ca="1" si="409"/>
        <v>C/USN/III/P3/41</v>
      </c>
      <c r="AF271" s="154" t="str">
        <f t="shared" ca="1" si="410"/>
        <v>Zielona Oś Ursynowa - Nowy Park i fontanna w otoczeniu pięknych kwiatów i ziół - obok Ratusza</v>
      </c>
      <c r="AG271" s="155">
        <f t="shared" ca="1" si="411"/>
        <v>90004</v>
      </c>
      <c r="AH271" s="155" t="str">
        <f t="shared" ca="1" si="412"/>
        <v>6050</v>
      </c>
      <c r="AI271" s="156" t="str">
        <f t="shared" ca="1" si="413"/>
        <v>BO/22/12/0232</v>
      </c>
      <c r="AJ271" s="157" t="str">
        <f t="shared" ca="1" si="414"/>
        <v>WPF, w tym</v>
      </c>
      <c r="AK271" s="158" t="str">
        <f t="shared" ca="1" si="442"/>
        <v>C/USN/III/P3/41 90004 6050 BO/22/12/0232</v>
      </c>
      <c r="AL271" s="158" t="str">
        <f t="shared" ca="1" si="443"/>
        <v>C/USN/III/P3/41 90004 6050 WPF, w tym</v>
      </c>
      <c r="AM271" s="159" t="str">
        <f t="shared" ca="1" si="444"/>
        <v>C/USN/III/P3/41 90004 6050 BO/22/12/0232 WPF, w tym</v>
      </c>
      <c r="AN271" s="160">
        <f t="shared" ca="1" si="415"/>
        <v>1555875</v>
      </c>
      <c r="AO271" s="161">
        <f t="shared" ca="1" si="416"/>
        <v>62577</v>
      </c>
      <c r="AP271" s="162">
        <f t="shared" ca="1" si="417"/>
        <v>1035175</v>
      </c>
      <c r="AQ271" s="163">
        <f t="shared" ca="1" si="418"/>
        <v>458123</v>
      </c>
      <c r="AR271" s="164">
        <f t="shared" ca="1" si="419"/>
        <v>0</v>
      </c>
      <c r="AS271" s="164">
        <f t="shared" ca="1" si="420"/>
        <v>0</v>
      </c>
      <c r="AT271" s="164">
        <f t="shared" ca="1" si="421"/>
        <v>0</v>
      </c>
      <c r="AU271" s="164">
        <f t="shared" ca="1" si="422"/>
        <v>0</v>
      </c>
      <c r="AV271" s="164">
        <f t="shared" ca="1" si="423"/>
        <v>0</v>
      </c>
      <c r="AW271" s="164">
        <f t="shared" ca="1" si="424"/>
        <v>0</v>
      </c>
      <c r="AX271" s="164">
        <f t="shared" ca="1" si="425"/>
        <v>0</v>
      </c>
      <c r="AY271" s="164">
        <f t="shared" ca="1" si="426"/>
        <v>0</v>
      </c>
      <c r="AZ271" s="164">
        <f t="shared" ca="1" si="427"/>
        <v>0</v>
      </c>
      <c r="BA271" s="165" t="str">
        <f t="shared" ca="1" si="428"/>
        <v>nie</v>
      </c>
      <c r="BB271" s="166" t="str">
        <f t="shared" ca="1" si="450"/>
        <v>-</v>
      </c>
      <c r="BC271" s="165" t="str">
        <f t="shared" ca="1" si="445"/>
        <v>nie</v>
      </c>
    </row>
    <row r="272" spans="1:55" s="167" customFormat="1" ht="14.45" hidden="1" customHeight="1" x14ac:dyDescent="0.25">
      <c r="A272" s="493"/>
      <c r="B272" s="493"/>
      <c r="C272" s="494"/>
      <c r="D272" s="506"/>
      <c r="E272" s="497"/>
      <c r="F272" s="497"/>
      <c r="G272" s="497"/>
      <c r="H272" s="498"/>
      <c r="I272" s="499"/>
      <c r="J272" s="177" t="s">
        <v>103</v>
      </c>
      <c r="K272" s="178">
        <f>SUM(N272:O272)</f>
        <v>458123</v>
      </c>
      <c r="L272" s="179"/>
      <c r="M272" s="180"/>
      <c r="N272" s="172">
        <f>SUM(L272:M272)</f>
        <v>0</v>
      </c>
      <c r="O272" s="178">
        <f>SUM(P272:Y272)</f>
        <v>458123</v>
      </c>
      <c r="P272" s="181">
        <f>226203+231920</f>
        <v>458123</v>
      </c>
      <c r="Q272" s="180"/>
      <c r="R272" s="182"/>
      <c r="S272" s="183"/>
      <c r="T272" s="180"/>
      <c r="U272" s="180"/>
      <c r="V272" s="180"/>
      <c r="W272" s="180"/>
      <c r="X272" s="180"/>
      <c r="Y272" s="182"/>
      <c r="Z272" s="149" t="str">
        <f t="shared" ca="1" si="440"/>
        <v>nie</v>
      </c>
      <c r="AA272" s="384"/>
      <c r="AB272" s="150" t="str">
        <f t="shared" ca="1" si="449"/>
        <v>-</v>
      </c>
      <c r="AC272" s="151" t="str">
        <f t="shared" ca="1" si="408"/>
        <v>PO ZMIANIE</v>
      </c>
      <c r="AD272" s="152" t="str">
        <f t="shared" ca="1" si="441"/>
        <v>PO ZMIANIE</v>
      </c>
      <c r="AE272" s="153" t="str">
        <f t="shared" ca="1" si="409"/>
        <v>C/USN/III/P3/41</v>
      </c>
      <c r="AF272" s="154" t="str">
        <f t="shared" ca="1" si="410"/>
        <v>Zielona Oś Ursynowa - Nowy Park i fontanna w otoczeniu pięknych kwiatów i ziół - obok Ratusza</v>
      </c>
      <c r="AG272" s="155">
        <f t="shared" ca="1" si="411"/>
        <v>90004</v>
      </c>
      <c r="AH272" s="155" t="str">
        <f t="shared" ca="1" si="412"/>
        <v>6050</v>
      </c>
      <c r="AI272" s="156" t="str">
        <f t="shared" ca="1" si="413"/>
        <v>BO/22/12/0232</v>
      </c>
      <c r="AJ272" s="157" t="str">
        <f t="shared" ca="1" si="414"/>
        <v>WPF/PM</v>
      </c>
      <c r="AK272" s="158" t="str">
        <f t="shared" ca="1" si="442"/>
        <v>C/USN/III/P3/41 90004 6050 BO/22/12/0232</v>
      </c>
      <c r="AL272" s="158" t="str">
        <f t="shared" ca="1" si="443"/>
        <v>C/USN/III/P3/41 90004 6050 WPF/PM</v>
      </c>
      <c r="AM272" s="159" t="str">
        <f t="shared" ca="1" si="444"/>
        <v>C/USN/III/P3/41 90004 6050 BO/22/12/0232 WPF/PM</v>
      </c>
      <c r="AN272" s="160">
        <f t="shared" ca="1" si="415"/>
        <v>458123</v>
      </c>
      <c r="AO272" s="161">
        <f t="shared" ca="1" si="416"/>
        <v>0</v>
      </c>
      <c r="AP272" s="162">
        <f t="shared" ca="1" si="417"/>
        <v>0</v>
      </c>
      <c r="AQ272" s="163">
        <f t="shared" ca="1" si="418"/>
        <v>458123</v>
      </c>
      <c r="AR272" s="164">
        <f t="shared" ca="1" si="419"/>
        <v>0</v>
      </c>
      <c r="AS272" s="164">
        <f t="shared" ca="1" si="420"/>
        <v>0</v>
      </c>
      <c r="AT272" s="164">
        <f t="shared" ca="1" si="421"/>
        <v>0</v>
      </c>
      <c r="AU272" s="164">
        <f t="shared" ca="1" si="422"/>
        <v>0</v>
      </c>
      <c r="AV272" s="164">
        <f t="shared" ca="1" si="423"/>
        <v>0</v>
      </c>
      <c r="AW272" s="164">
        <f t="shared" ca="1" si="424"/>
        <v>0</v>
      </c>
      <c r="AX272" s="164">
        <f t="shared" ca="1" si="425"/>
        <v>0</v>
      </c>
      <c r="AY272" s="164">
        <f t="shared" ca="1" si="426"/>
        <v>0</v>
      </c>
      <c r="AZ272" s="164">
        <f t="shared" ca="1" si="427"/>
        <v>0</v>
      </c>
      <c r="BA272" s="165" t="str">
        <f t="shared" ca="1" si="428"/>
        <v>nie</v>
      </c>
      <c r="BB272" s="166" t="str">
        <f t="shared" ca="1" si="450"/>
        <v>-</v>
      </c>
      <c r="BC272" s="165" t="str">
        <f t="shared" ca="1" si="445"/>
        <v>nie</v>
      </c>
    </row>
    <row r="273" spans="1:55" s="167" customFormat="1" ht="14.45" hidden="1" customHeight="1" thickBot="1" x14ac:dyDescent="0.3">
      <c r="A273" s="500"/>
      <c r="B273" s="500"/>
      <c r="C273" s="501"/>
      <c r="D273" s="513"/>
      <c r="E273" s="503"/>
      <c r="F273" s="503"/>
      <c r="G273" s="503"/>
      <c r="H273" s="504"/>
      <c r="I273" s="499"/>
      <c r="J273" s="197" t="s">
        <v>104</v>
      </c>
      <c r="K273" s="198">
        <f>SUM(N273:O273)</f>
        <v>1097752</v>
      </c>
      <c r="L273" s="199">
        <v>62577</v>
      </c>
      <c r="M273" s="200">
        <f>1267095-231920</f>
        <v>1035175</v>
      </c>
      <c r="N273" s="371">
        <f>SUM(L273:M273)</f>
        <v>1097752</v>
      </c>
      <c r="O273" s="198">
        <f>SUM(P273:Y273)</f>
        <v>0</v>
      </c>
      <c r="P273" s="201"/>
      <c r="Q273" s="200"/>
      <c r="R273" s="202"/>
      <c r="S273" s="203"/>
      <c r="T273" s="200"/>
      <c r="U273" s="200"/>
      <c r="V273" s="200"/>
      <c r="W273" s="200"/>
      <c r="X273" s="200"/>
      <c r="Y273" s="202"/>
      <c r="Z273" s="149" t="str">
        <f t="shared" ca="1" si="440"/>
        <v>nie</v>
      </c>
      <c r="AA273" s="384"/>
      <c r="AB273" s="150" t="str">
        <f t="shared" ca="1" si="449"/>
        <v>-</v>
      </c>
      <c r="AC273" s="151" t="str">
        <f t="shared" ca="1" si="408"/>
        <v>PO ZMIANIE</v>
      </c>
      <c r="AD273" s="152" t="str">
        <f t="shared" ca="1" si="441"/>
        <v>PO ZMIANIE</v>
      </c>
      <c r="AE273" s="153" t="str">
        <f t="shared" ca="1" si="409"/>
        <v>C/USN/III/P3/41</v>
      </c>
      <c r="AF273" s="154" t="str">
        <f t="shared" ca="1" si="410"/>
        <v>Zielona Oś Ursynowa - Nowy Park i fontanna w otoczeniu pięknych kwiatów i ziół - obok Ratusza</v>
      </c>
      <c r="AG273" s="155">
        <f t="shared" ca="1" si="411"/>
        <v>90004</v>
      </c>
      <c r="AH273" s="155" t="str">
        <f t="shared" ca="1" si="412"/>
        <v>6050</v>
      </c>
      <c r="AI273" s="156" t="str">
        <f t="shared" ca="1" si="413"/>
        <v>BO/22/12/0232</v>
      </c>
      <c r="AJ273" s="157" t="str">
        <f t="shared" ca="1" si="414"/>
        <v>WPF/UM</v>
      </c>
      <c r="AK273" s="158" t="str">
        <f t="shared" ca="1" si="442"/>
        <v>C/USN/III/P3/41 90004 6050 BO/22/12/0232</v>
      </c>
      <c r="AL273" s="158" t="str">
        <f t="shared" ca="1" si="443"/>
        <v>C/USN/III/P3/41 90004 6050 WPF/UM</v>
      </c>
      <c r="AM273" s="159" t="str">
        <f t="shared" ca="1" si="444"/>
        <v>C/USN/III/P3/41 90004 6050 BO/22/12/0232 WPF/UM</v>
      </c>
      <c r="AN273" s="160">
        <f t="shared" ca="1" si="415"/>
        <v>1097752</v>
      </c>
      <c r="AO273" s="161">
        <f t="shared" ca="1" si="416"/>
        <v>62577</v>
      </c>
      <c r="AP273" s="162">
        <f t="shared" ca="1" si="417"/>
        <v>1035175</v>
      </c>
      <c r="AQ273" s="163">
        <f t="shared" ca="1" si="418"/>
        <v>0</v>
      </c>
      <c r="AR273" s="164">
        <f t="shared" ca="1" si="419"/>
        <v>0</v>
      </c>
      <c r="AS273" s="164">
        <f t="shared" ca="1" si="420"/>
        <v>0</v>
      </c>
      <c r="AT273" s="164">
        <f t="shared" ca="1" si="421"/>
        <v>0</v>
      </c>
      <c r="AU273" s="164">
        <f t="shared" ca="1" si="422"/>
        <v>0</v>
      </c>
      <c r="AV273" s="164">
        <f t="shared" ca="1" si="423"/>
        <v>0</v>
      </c>
      <c r="AW273" s="164">
        <f t="shared" ca="1" si="424"/>
        <v>0</v>
      </c>
      <c r="AX273" s="164">
        <f t="shared" ca="1" si="425"/>
        <v>0</v>
      </c>
      <c r="AY273" s="164">
        <f t="shared" ca="1" si="426"/>
        <v>0</v>
      </c>
      <c r="AZ273" s="164">
        <f t="shared" ca="1" si="427"/>
        <v>0</v>
      </c>
      <c r="BA273" s="165" t="str">
        <f t="shared" ca="1" si="428"/>
        <v>nie</v>
      </c>
      <c r="BB273" s="166" t="str">
        <f t="shared" ca="1" si="450"/>
        <v>-</v>
      </c>
      <c r="BC273" s="165" t="str">
        <f t="shared" ca="1" si="445"/>
        <v>nie</v>
      </c>
    </row>
    <row r="274" spans="1:55" ht="14.45" hidden="1" customHeight="1" x14ac:dyDescent="0.25">
      <c r="A274" s="143" t="s">
        <v>91</v>
      </c>
      <c r="B274" s="144"/>
      <c r="C274" s="145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6"/>
      <c r="S274" s="147"/>
      <c r="T274" s="147"/>
      <c r="U274" s="147"/>
      <c r="V274" s="147"/>
      <c r="W274" s="147"/>
      <c r="X274" s="147"/>
      <c r="Y274" s="148"/>
      <c r="Z274" s="149" t="str">
        <f t="shared" ca="1" si="440"/>
        <v>nie</v>
      </c>
      <c r="AA274" s="366"/>
      <c r="AB274" s="150" t="str">
        <f t="shared" ca="1" si="449"/>
        <v>-</v>
      </c>
      <c r="AC274" s="151" t="str">
        <f t="shared" ca="1" si="408"/>
        <v>PRZED ZMIANĄ</v>
      </c>
      <c r="AD274" s="152" t="str">
        <f t="shared" ca="1" si="441"/>
        <v/>
      </c>
      <c r="AE274" s="153" t="str">
        <f t="shared" ca="1" si="409"/>
        <v/>
      </c>
      <c r="AF274" s="154" t="str">
        <f t="shared" ca="1" si="410"/>
        <v/>
      </c>
      <c r="AG274" s="155" t="str">
        <f t="shared" ca="1" si="411"/>
        <v/>
      </c>
      <c r="AH274" s="155" t="str">
        <f t="shared" ca="1" si="412"/>
        <v/>
      </c>
      <c r="AI274" s="156" t="str">
        <f t="shared" ca="1" si="413"/>
        <v/>
      </c>
      <c r="AJ274" s="157" t="str">
        <f t="shared" ca="1" si="414"/>
        <v/>
      </c>
      <c r="AK274" s="158" t="str">
        <f t="shared" ca="1" si="442"/>
        <v/>
      </c>
      <c r="AL274" s="158" t="str">
        <f t="shared" ca="1" si="443"/>
        <v/>
      </c>
      <c r="AM274" s="159" t="str">
        <f t="shared" ca="1" si="444"/>
        <v/>
      </c>
      <c r="AN274" s="160" t="str">
        <f t="shared" ca="1" si="415"/>
        <v/>
      </c>
      <c r="AO274" s="161" t="str">
        <f t="shared" ca="1" si="416"/>
        <v/>
      </c>
      <c r="AP274" s="162" t="str">
        <f t="shared" ca="1" si="417"/>
        <v/>
      </c>
      <c r="AQ274" s="163" t="str">
        <f t="shared" ca="1" si="418"/>
        <v/>
      </c>
      <c r="AR274" s="164" t="str">
        <f t="shared" ca="1" si="419"/>
        <v/>
      </c>
      <c r="AS274" s="164" t="str">
        <f t="shared" ca="1" si="420"/>
        <v/>
      </c>
      <c r="AT274" s="164" t="str">
        <f t="shared" ca="1" si="421"/>
        <v/>
      </c>
      <c r="AU274" s="164" t="str">
        <f t="shared" ca="1" si="422"/>
        <v/>
      </c>
      <c r="AV274" s="164" t="str">
        <f t="shared" ca="1" si="423"/>
        <v/>
      </c>
      <c r="AW274" s="164" t="str">
        <f t="shared" ca="1" si="424"/>
        <v/>
      </c>
      <c r="AX274" s="164" t="str">
        <f t="shared" ca="1" si="425"/>
        <v/>
      </c>
      <c r="AY274" s="164" t="str">
        <f t="shared" ca="1" si="426"/>
        <v/>
      </c>
      <c r="AZ274" s="164" t="str">
        <f t="shared" ca="1" si="427"/>
        <v/>
      </c>
      <c r="BA274" s="165" t="str">
        <f t="shared" ca="1" si="428"/>
        <v>nie</v>
      </c>
      <c r="BB274" s="166" t="str">
        <f t="shared" ca="1" si="450"/>
        <v>-</v>
      </c>
      <c r="BC274" s="165" t="str">
        <f t="shared" ca="1" si="445"/>
        <v>nie</v>
      </c>
    </row>
    <row r="275" spans="1:55" ht="14.45" hidden="1" customHeight="1" x14ac:dyDescent="0.25">
      <c r="A275" s="493" t="s">
        <v>24</v>
      </c>
      <c r="B275" s="493" t="s">
        <v>26</v>
      </c>
      <c r="C275" s="494" t="s">
        <v>140</v>
      </c>
      <c r="D275" s="505" t="s">
        <v>141</v>
      </c>
      <c r="E275" s="497">
        <v>900</v>
      </c>
      <c r="F275" s="497">
        <v>90004</v>
      </c>
      <c r="G275" s="497">
        <v>6050</v>
      </c>
      <c r="H275" s="507">
        <v>2023</v>
      </c>
      <c r="I275" s="499" t="str">
        <f ca="1">IF(COUNTIF(OFFSET(I275,-1,-8),"*propon*")&gt;0,OFFSET(I275,4,0),IF(Y275&gt;0,"2033",IF(X275&gt;0,"2032",IF(W275&gt;0,"2031",IF(V275&gt;0,"2030",IF(U275&gt;0,"2029",IF(T275&gt;0,"2028",IF(S275&gt;0,"2027",IF(R275&gt;0,"2026",IF(Q275&gt;0,"2025",IF(P275&gt;0,"2024",IF(M275&gt;0,"2023",IF(L275&gt;0,"2022","")))))))))))))</f>
        <v>2024</v>
      </c>
      <c r="J275" s="168" t="s">
        <v>94</v>
      </c>
      <c r="K275" s="169">
        <f>SUM(N275:O275)</f>
        <v>989797</v>
      </c>
      <c r="L275" s="170">
        <f t="shared" ref="L275:M275" si="459">SUM(L276:L277)</f>
        <v>0</v>
      </c>
      <c r="M275" s="171">
        <f t="shared" si="459"/>
        <v>24475</v>
      </c>
      <c r="N275" s="172">
        <f>SUM(L275:M275)</f>
        <v>24475</v>
      </c>
      <c r="O275" s="169">
        <f>SUM(P275:Y275)</f>
        <v>965322</v>
      </c>
      <c r="P275" s="173">
        <f t="shared" ref="P275:R275" si="460">SUM(P276:P277)</f>
        <v>965322</v>
      </c>
      <c r="Q275" s="171">
        <f t="shared" si="460"/>
        <v>0</v>
      </c>
      <c r="R275" s="174">
        <f t="shared" si="460"/>
        <v>0</v>
      </c>
      <c r="S275" s="175">
        <f t="shared" ref="S275:Y275" si="461">SUM(S276:S277)</f>
        <v>0</v>
      </c>
      <c r="T275" s="171">
        <f t="shared" si="461"/>
        <v>0</v>
      </c>
      <c r="U275" s="171">
        <f t="shared" si="461"/>
        <v>0</v>
      </c>
      <c r="V275" s="171">
        <f t="shared" si="461"/>
        <v>0</v>
      </c>
      <c r="W275" s="171">
        <f t="shared" si="461"/>
        <v>0</v>
      </c>
      <c r="X275" s="171">
        <f t="shared" si="461"/>
        <v>0</v>
      </c>
      <c r="Y275" s="174">
        <f t="shared" si="461"/>
        <v>0</v>
      </c>
      <c r="Z275" s="149" t="str">
        <f t="shared" ca="1" si="440"/>
        <v>nie</v>
      </c>
      <c r="AA275" s="366"/>
      <c r="AB275" s="150" t="str">
        <f t="shared" ca="1" si="449"/>
        <v>-</v>
      </c>
      <c r="AC275" s="151" t="str">
        <f t="shared" ca="1" si="408"/>
        <v>PRZED ZMIANĄ</v>
      </c>
      <c r="AD275" s="152" t="str">
        <f t="shared" ca="1" si="441"/>
        <v>PRZED ZMIANĄ</v>
      </c>
      <c r="AE275" s="153" t="str">
        <f t="shared" ca="1" si="409"/>
        <v>C/USN/III/P3/42</v>
      </c>
      <c r="AF275" s="154" t="str">
        <f t="shared" ca="1" si="410"/>
        <v>Budowa Parku przy ul. Cynamonowej</v>
      </c>
      <c r="AG275" s="155">
        <f t="shared" ca="1" si="411"/>
        <v>90004</v>
      </c>
      <c r="AH275" s="155" t="str">
        <f t="shared" ca="1" si="412"/>
        <v>6050</v>
      </c>
      <c r="AI275" s="156" t="str">
        <f t="shared" ca="1" si="413"/>
        <v>GMMW</v>
      </c>
      <c r="AJ275" s="157" t="str">
        <f t="shared" ca="1" si="414"/>
        <v>WPF, w tym</v>
      </c>
      <c r="AK275" s="158" t="str">
        <f t="shared" ca="1" si="442"/>
        <v>C/USN/III/P3/42 90004 6050 GMMW</v>
      </c>
      <c r="AL275" s="158" t="str">
        <f t="shared" ca="1" si="443"/>
        <v>C/USN/III/P3/42 90004 6050 WPF, w tym</v>
      </c>
      <c r="AM275" s="159" t="str">
        <f t="shared" ca="1" si="444"/>
        <v>C/USN/III/P3/42 90004 6050 GMMW WPF, w tym</v>
      </c>
      <c r="AN275" s="160">
        <f t="shared" ca="1" si="415"/>
        <v>989797</v>
      </c>
      <c r="AO275" s="161">
        <f t="shared" ca="1" si="416"/>
        <v>0</v>
      </c>
      <c r="AP275" s="162">
        <f t="shared" ca="1" si="417"/>
        <v>24475</v>
      </c>
      <c r="AQ275" s="163">
        <f t="shared" ca="1" si="418"/>
        <v>965322</v>
      </c>
      <c r="AR275" s="164">
        <f t="shared" ca="1" si="419"/>
        <v>0</v>
      </c>
      <c r="AS275" s="164">
        <f t="shared" ca="1" si="420"/>
        <v>0</v>
      </c>
      <c r="AT275" s="164">
        <f t="shared" ca="1" si="421"/>
        <v>0</v>
      </c>
      <c r="AU275" s="164">
        <f t="shared" ca="1" si="422"/>
        <v>0</v>
      </c>
      <c r="AV275" s="164">
        <f t="shared" ca="1" si="423"/>
        <v>0</v>
      </c>
      <c r="AW275" s="164">
        <f t="shared" ca="1" si="424"/>
        <v>0</v>
      </c>
      <c r="AX275" s="164">
        <f t="shared" ca="1" si="425"/>
        <v>0</v>
      </c>
      <c r="AY275" s="164">
        <f t="shared" ca="1" si="426"/>
        <v>0</v>
      </c>
      <c r="AZ275" s="164">
        <f t="shared" ca="1" si="427"/>
        <v>0</v>
      </c>
      <c r="BA275" s="165" t="str">
        <f t="shared" ca="1" si="428"/>
        <v>nie</v>
      </c>
      <c r="BB275" s="166" t="str">
        <f t="shared" ca="1" si="450"/>
        <v>-</v>
      </c>
      <c r="BC275" s="165" t="str">
        <f t="shared" ca="1" si="445"/>
        <v>nie</v>
      </c>
    </row>
    <row r="276" spans="1:55" ht="14.45" hidden="1" customHeight="1" x14ac:dyDescent="0.25">
      <c r="A276" s="493"/>
      <c r="B276" s="493"/>
      <c r="C276" s="494"/>
      <c r="D276" s="506"/>
      <c r="E276" s="497"/>
      <c r="F276" s="497"/>
      <c r="G276" s="497"/>
      <c r="H276" s="498"/>
      <c r="I276" s="499"/>
      <c r="J276" s="177" t="s">
        <v>95</v>
      </c>
      <c r="K276" s="178">
        <f>SUM(N276:O276)</f>
        <v>219737</v>
      </c>
      <c r="L276" s="179"/>
      <c r="M276" s="180"/>
      <c r="N276" s="172">
        <f>SUM(L276:M276)</f>
        <v>0</v>
      </c>
      <c r="O276" s="178">
        <f>SUM(P276:Y276)</f>
        <v>219737</v>
      </c>
      <c r="P276" s="181">
        <v>219737</v>
      </c>
      <c r="Q276" s="180"/>
      <c r="R276" s="182"/>
      <c r="S276" s="183"/>
      <c r="T276" s="180"/>
      <c r="U276" s="180"/>
      <c r="V276" s="180"/>
      <c r="W276" s="180"/>
      <c r="X276" s="180"/>
      <c r="Y276" s="182"/>
      <c r="Z276" s="149" t="str">
        <f t="shared" ca="1" si="440"/>
        <v>nie</v>
      </c>
      <c r="AA276" s="366"/>
      <c r="AB276" s="150" t="str">
        <f t="shared" ca="1" si="449"/>
        <v>-</v>
      </c>
      <c r="AC276" s="151" t="str">
        <f t="shared" ca="1" si="408"/>
        <v>PRZED ZMIANĄ</v>
      </c>
      <c r="AD276" s="152" t="str">
        <f t="shared" ca="1" si="441"/>
        <v>PRZED ZMIANĄ</v>
      </c>
      <c r="AE276" s="153" t="str">
        <f t="shared" ca="1" si="409"/>
        <v>C/USN/III/P3/42</v>
      </c>
      <c r="AF276" s="154" t="str">
        <f t="shared" ca="1" si="410"/>
        <v>Budowa Parku przy ul. Cynamonowej</v>
      </c>
      <c r="AG276" s="155">
        <f t="shared" ca="1" si="411"/>
        <v>90004</v>
      </c>
      <c r="AH276" s="155" t="str">
        <f t="shared" ca="1" si="412"/>
        <v>6050</v>
      </c>
      <c r="AI276" s="156" t="str">
        <f t="shared" ca="1" si="413"/>
        <v>GMMW</v>
      </c>
      <c r="AJ276" s="157" t="str">
        <f t="shared" ca="1" si="414"/>
        <v>WPF/PM</v>
      </c>
      <c r="AK276" s="158" t="str">
        <f t="shared" ca="1" si="442"/>
        <v>C/USN/III/P3/42 90004 6050 GMMW</v>
      </c>
      <c r="AL276" s="158" t="str">
        <f t="shared" ca="1" si="443"/>
        <v>C/USN/III/P3/42 90004 6050 WPF/PM</v>
      </c>
      <c r="AM276" s="159" t="str">
        <f t="shared" ca="1" si="444"/>
        <v>C/USN/III/P3/42 90004 6050 GMMW WPF/PM</v>
      </c>
      <c r="AN276" s="160">
        <f t="shared" ca="1" si="415"/>
        <v>219737</v>
      </c>
      <c r="AO276" s="161">
        <f t="shared" ca="1" si="416"/>
        <v>0</v>
      </c>
      <c r="AP276" s="162">
        <f t="shared" ca="1" si="417"/>
        <v>0</v>
      </c>
      <c r="AQ276" s="163">
        <f t="shared" ca="1" si="418"/>
        <v>219737</v>
      </c>
      <c r="AR276" s="164">
        <f t="shared" ca="1" si="419"/>
        <v>0</v>
      </c>
      <c r="AS276" s="164">
        <f t="shared" ca="1" si="420"/>
        <v>0</v>
      </c>
      <c r="AT276" s="164">
        <f t="shared" ca="1" si="421"/>
        <v>0</v>
      </c>
      <c r="AU276" s="164">
        <f t="shared" ca="1" si="422"/>
        <v>0</v>
      </c>
      <c r="AV276" s="164">
        <f t="shared" ca="1" si="423"/>
        <v>0</v>
      </c>
      <c r="AW276" s="164">
        <f t="shared" ca="1" si="424"/>
        <v>0</v>
      </c>
      <c r="AX276" s="164">
        <f t="shared" ca="1" si="425"/>
        <v>0</v>
      </c>
      <c r="AY276" s="164">
        <f t="shared" ca="1" si="426"/>
        <v>0</v>
      </c>
      <c r="AZ276" s="164">
        <f t="shared" ca="1" si="427"/>
        <v>0</v>
      </c>
      <c r="BA276" s="165" t="str">
        <f t="shared" ca="1" si="428"/>
        <v>nie</v>
      </c>
      <c r="BB276" s="166" t="str">
        <f t="shared" ca="1" si="450"/>
        <v>-</v>
      </c>
      <c r="BC276" s="165" t="str">
        <f t="shared" ca="1" si="445"/>
        <v>nie</v>
      </c>
    </row>
    <row r="277" spans="1:55" ht="14.45" hidden="1" customHeight="1" x14ac:dyDescent="0.25">
      <c r="A277" s="493"/>
      <c r="B277" s="493"/>
      <c r="C277" s="494"/>
      <c r="D277" s="506"/>
      <c r="E277" s="497"/>
      <c r="F277" s="497"/>
      <c r="G277" s="497"/>
      <c r="H277" s="498"/>
      <c r="I277" s="499"/>
      <c r="J277" s="177" t="s">
        <v>96</v>
      </c>
      <c r="K277" s="178">
        <f>SUM(N277:O277)</f>
        <v>770060</v>
      </c>
      <c r="L277" s="179"/>
      <c r="M277" s="180">
        <v>24475</v>
      </c>
      <c r="N277" s="172">
        <f>SUM(L277:M277)</f>
        <v>24475</v>
      </c>
      <c r="O277" s="178">
        <f>SUM(P277:Y277)</f>
        <v>745585</v>
      </c>
      <c r="P277" s="181">
        <v>745585</v>
      </c>
      <c r="Q277" s="180"/>
      <c r="R277" s="182"/>
      <c r="S277" s="183"/>
      <c r="T277" s="180"/>
      <c r="U277" s="180"/>
      <c r="V277" s="180"/>
      <c r="W277" s="180"/>
      <c r="X277" s="180"/>
      <c r="Y277" s="182"/>
      <c r="Z277" s="149" t="str">
        <f t="shared" ca="1" si="440"/>
        <v>nie</v>
      </c>
      <c r="AA277" s="366"/>
      <c r="AB277" s="150" t="str">
        <f t="shared" ca="1" si="449"/>
        <v>-</v>
      </c>
      <c r="AC277" s="151" t="str">
        <f t="shared" ca="1" si="408"/>
        <v>PRZED ZMIANĄ</v>
      </c>
      <c r="AD277" s="152" t="str">
        <f t="shared" ca="1" si="441"/>
        <v>PRZED ZMIANĄ</v>
      </c>
      <c r="AE277" s="153" t="str">
        <f t="shared" ca="1" si="409"/>
        <v>C/USN/III/P3/42</v>
      </c>
      <c r="AF277" s="154" t="str">
        <f t="shared" ca="1" si="410"/>
        <v>Budowa Parku przy ul. Cynamonowej</v>
      </c>
      <c r="AG277" s="155">
        <f t="shared" ca="1" si="411"/>
        <v>90004</v>
      </c>
      <c r="AH277" s="155" t="str">
        <f t="shared" ca="1" si="412"/>
        <v>6050</v>
      </c>
      <c r="AI277" s="156" t="str">
        <f t="shared" ca="1" si="413"/>
        <v>GMMW</v>
      </c>
      <c r="AJ277" s="157" t="str">
        <f t="shared" ca="1" si="414"/>
        <v>WPF/UM</v>
      </c>
      <c r="AK277" s="158" t="str">
        <f t="shared" ca="1" si="442"/>
        <v>C/USN/III/P3/42 90004 6050 GMMW</v>
      </c>
      <c r="AL277" s="158" t="str">
        <f t="shared" ca="1" si="443"/>
        <v>C/USN/III/P3/42 90004 6050 WPF/UM</v>
      </c>
      <c r="AM277" s="159" t="str">
        <f t="shared" ca="1" si="444"/>
        <v>C/USN/III/P3/42 90004 6050 GMMW WPF/UM</v>
      </c>
      <c r="AN277" s="160">
        <f t="shared" ca="1" si="415"/>
        <v>770060</v>
      </c>
      <c r="AO277" s="161">
        <f t="shared" ca="1" si="416"/>
        <v>0</v>
      </c>
      <c r="AP277" s="162">
        <f t="shared" ca="1" si="417"/>
        <v>24475</v>
      </c>
      <c r="AQ277" s="163">
        <f t="shared" ca="1" si="418"/>
        <v>745585</v>
      </c>
      <c r="AR277" s="164">
        <f t="shared" ca="1" si="419"/>
        <v>0</v>
      </c>
      <c r="AS277" s="164">
        <f t="shared" ca="1" si="420"/>
        <v>0</v>
      </c>
      <c r="AT277" s="164">
        <f t="shared" ca="1" si="421"/>
        <v>0</v>
      </c>
      <c r="AU277" s="164">
        <f t="shared" ca="1" si="422"/>
        <v>0</v>
      </c>
      <c r="AV277" s="164">
        <f t="shared" ca="1" si="423"/>
        <v>0</v>
      </c>
      <c r="AW277" s="164">
        <f t="shared" ca="1" si="424"/>
        <v>0</v>
      </c>
      <c r="AX277" s="164">
        <f t="shared" ca="1" si="425"/>
        <v>0</v>
      </c>
      <c r="AY277" s="164">
        <f t="shared" ca="1" si="426"/>
        <v>0</v>
      </c>
      <c r="AZ277" s="164">
        <f t="shared" ca="1" si="427"/>
        <v>0</v>
      </c>
      <c r="BA277" s="165" t="str">
        <f t="shared" ca="1" si="428"/>
        <v>nie</v>
      </c>
      <c r="BB277" s="166" t="str">
        <f t="shared" ca="1" si="450"/>
        <v>-</v>
      </c>
      <c r="BC277" s="165" t="str">
        <f t="shared" ca="1" si="445"/>
        <v>nie</v>
      </c>
    </row>
    <row r="278" spans="1:55" ht="14.45" hidden="1" customHeight="1" x14ac:dyDescent="0.25">
      <c r="A278" s="185" t="s">
        <v>97</v>
      </c>
      <c r="B278" s="186"/>
      <c r="C278" s="187"/>
      <c r="D278" s="186"/>
      <c r="E278" s="186"/>
      <c r="F278" s="186"/>
      <c r="G278" s="186"/>
      <c r="H278" s="186"/>
      <c r="I278" s="186"/>
      <c r="J278" s="186"/>
      <c r="K278" s="186"/>
      <c r="L278" s="186"/>
      <c r="M278" s="186"/>
      <c r="N278" s="186"/>
      <c r="O278" s="186"/>
      <c r="P278" s="186"/>
      <c r="Q278" s="186"/>
      <c r="R278" s="188"/>
      <c r="S278" s="189"/>
      <c r="T278" s="189"/>
      <c r="U278" s="189"/>
      <c r="V278" s="189"/>
      <c r="W278" s="189"/>
      <c r="X278" s="189"/>
      <c r="Y278" s="190"/>
      <c r="Z278" s="149" t="str">
        <f t="shared" ca="1" si="440"/>
        <v>nie</v>
      </c>
      <c r="AA278" s="366"/>
      <c r="AB278" s="150" t="str">
        <f t="shared" ca="1" si="449"/>
        <v>-</v>
      </c>
      <c r="AC278" s="151" t="str">
        <f t="shared" ca="1" si="408"/>
        <v>PROPONOWANA ZMIANA</v>
      </c>
      <c r="AD278" s="152" t="str">
        <f t="shared" ca="1" si="441"/>
        <v/>
      </c>
      <c r="AE278" s="153" t="str">
        <f t="shared" ca="1" si="409"/>
        <v/>
      </c>
      <c r="AF278" s="154" t="str">
        <f t="shared" ca="1" si="410"/>
        <v/>
      </c>
      <c r="AG278" s="155" t="str">
        <f t="shared" ca="1" si="411"/>
        <v/>
      </c>
      <c r="AH278" s="155" t="str">
        <f t="shared" ca="1" si="412"/>
        <v/>
      </c>
      <c r="AI278" s="156" t="str">
        <f t="shared" ca="1" si="413"/>
        <v/>
      </c>
      <c r="AJ278" s="157" t="str">
        <f t="shared" ca="1" si="414"/>
        <v/>
      </c>
      <c r="AK278" s="158" t="str">
        <f t="shared" ca="1" si="442"/>
        <v/>
      </c>
      <c r="AL278" s="158" t="str">
        <f t="shared" ca="1" si="443"/>
        <v/>
      </c>
      <c r="AM278" s="159" t="str">
        <f t="shared" ca="1" si="444"/>
        <v/>
      </c>
      <c r="AN278" s="160" t="str">
        <f t="shared" ca="1" si="415"/>
        <v/>
      </c>
      <c r="AO278" s="161" t="str">
        <f t="shared" ca="1" si="416"/>
        <v/>
      </c>
      <c r="AP278" s="162" t="str">
        <f t="shared" ca="1" si="417"/>
        <v/>
      </c>
      <c r="AQ278" s="163" t="str">
        <f t="shared" ca="1" si="418"/>
        <v/>
      </c>
      <c r="AR278" s="164" t="str">
        <f t="shared" ca="1" si="419"/>
        <v/>
      </c>
      <c r="AS278" s="164" t="str">
        <f t="shared" ca="1" si="420"/>
        <v/>
      </c>
      <c r="AT278" s="164" t="str">
        <f t="shared" ca="1" si="421"/>
        <v/>
      </c>
      <c r="AU278" s="164" t="str">
        <f t="shared" ca="1" si="422"/>
        <v/>
      </c>
      <c r="AV278" s="164" t="str">
        <f t="shared" ca="1" si="423"/>
        <v/>
      </c>
      <c r="AW278" s="164" t="str">
        <f t="shared" ca="1" si="424"/>
        <v/>
      </c>
      <c r="AX278" s="164" t="str">
        <f t="shared" ca="1" si="425"/>
        <v/>
      </c>
      <c r="AY278" s="164" t="str">
        <f t="shared" ca="1" si="426"/>
        <v/>
      </c>
      <c r="AZ278" s="164" t="str">
        <f t="shared" ca="1" si="427"/>
        <v/>
      </c>
      <c r="BA278" s="165" t="str">
        <f t="shared" ca="1" si="428"/>
        <v>nie</v>
      </c>
      <c r="BB278" s="166" t="str">
        <f t="shared" ca="1" si="450"/>
        <v>-</v>
      </c>
      <c r="BC278" s="165" t="str">
        <f t="shared" ca="1" si="445"/>
        <v>nie</v>
      </c>
    </row>
    <row r="279" spans="1:55" ht="14.45" hidden="1" customHeight="1" x14ac:dyDescent="0.25">
      <c r="A279" s="493" t="s">
        <v>24</v>
      </c>
      <c r="B279" s="493" t="s">
        <v>26</v>
      </c>
      <c r="C279" s="494" t="s">
        <v>140</v>
      </c>
      <c r="D279" s="505" t="s">
        <v>141</v>
      </c>
      <c r="E279" s="497">
        <v>900</v>
      </c>
      <c r="F279" s="497">
        <v>90004</v>
      </c>
      <c r="G279" s="497">
        <v>6050</v>
      </c>
      <c r="H279" s="507">
        <v>2023</v>
      </c>
      <c r="I279" s="499" t="str">
        <f ca="1">IF(COUNTIF(OFFSET(I279,-1,-8),"*propon*")&gt;0,OFFSET(I279,4,0),IF(Y279&gt;0,"2033",IF(X279&gt;0,"2032",IF(W279&gt;0,"2031",IF(V279&gt;0,"2030",IF(U279&gt;0,"2029",IF(T279&gt;0,"2028",IF(S279&gt;0,"2027",IF(R279&gt;0,"2026",IF(Q279&gt;0,"2025",IF(P279&gt;0,"2024",IF(M279&gt;0,"2023",IF(L279&gt;0,"2022","")))))))))))))</f>
        <v>2024</v>
      </c>
      <c r="J279" s="168" t="s">
        <v>98</v>
      </c>
      <c r="K279" s="169">
        <f>SUM(N279:O279)</f>
        <v>0</v>
      </c>
      <c r="L279" s="170">
        <f t="shared" ref="L279:M279" si="462">SUM(L280:L281)</f>
        <v>0</v>
      </c>
      <c r="M279" s="171">
        <f t="shared" si="462"/>
        <v>0</v>
      </c>
      <c r="N279" s="172">
        <f>SUM(L279:M279)</f>
        <v>0</v>
      </c>
      <c r="O279" s="169">
        <f>SUM(P279:Y279)</f>
        <v>0</v>
      </c>
      <c r="P279" s="173">
        <f t="shared" ref="P279:R279" si="463">SUM(P280:P281)</f>
        <v>0</v>
      </c>
      <c r="Q279" s="171">
        <f t="shared" si="463"/>
        <v>0</v>
      </c>
      <c r="R279" s="174">
        <f t="shared" si="463"/>
        <v>0</v>
      </c>
      <c r="S279" s="175">
        <f t="shared" ref="S279:Y279" si="464">SUM(S280:S281)</f>
        <v>0</v>
      </c>
      <c r="T279" s="171">
        <f t="shared" si="464"/>
        <v>0</v>
      </c>
      <c r="U279" s="171">
        <f t="shared" si="464"/>
        <v>0</v>
      </c>
      <c r="V279" s="171">
        <f t="shared" si="464"/>
        <v>0</v>
      </c>
      <c r="W279" s="171">
        <f t="shared" si="464"/>
        <v>0</v>
      </c>
      <c r="X279" s="171">
        <f t="shared" si="464"/>
        <v>0</v>
      </c>
      <c r="Y279" s="174">
        <f t="shared" si="464"/>
        <v>0</v>
      </c>
      <c r="Z279" s="149" t="str">
        <f t="shared" ca="1" si="440"/>
        <v>nie</v>
      </c>
      <c r="AA279" s="366"/>
      <c r="AB279" s="150" t="str">
        <f t="shared" ca="1" si="449"/>
        <v>-</v>
      </c>
      <c r="AC279" s="151" t="str">
        <f t="shared" ca="1" si="408"/>
        <v>PROPONOWANA ZMIANA</v>
      </c>
      <c r="AD279" s="152" t="str">
        <f t="shared" ca="1" si="441"/>
        <v>PROPONOWANA ZMIANA</v>
      </c>
      <c r="AE279" s="153" t="str">
        <f t="shared" ca="1" si="409"/>
        <v>C/USN/III/P3/42</v>
      </c>
      <c r="AF279" s="154" t="str">
        <f t="shared" ca="1" si="410"/>
        <v>Budowa Parku przy ul. Cynamonowej</v>
      </c>
      <c r="AG279" s="155">
        <f t="shared" ca="1" si="411"/>
        <v>90004</v>
      </c>
      <c r="AH279" s="155" t="str">
        <f t="shared" ca="1" si="412"/>
        <v>6050</v>
      </c>
      <c r="AI279" s="156" t="str">
        <f t="shared" ca="1" si="413"/>
        <v>GMMW</v>
      </c>
      <c r="AJ279" s="157" t="str">
        <f t="shared" ca="1" si="414"/>
        <v>WPF, w tym</v>
      </c>
      <c r="AK279" s="158" t="str">
        <f t="shared" ca="1" si="442"/>
        <v>C/USN/III/P3/42 90004 6050 GMMW</v>
      </c>
      <c r="AL279" s="158" t="str">
        <f t="shared" ca="1" si="443"/>
        <v>C/USN/III/P3/42 90004 6050 WPF, w tym</v>
      </c>
      <c r="AM279" s="159" t="str">
        <f t="shared" ca="1" si="444"/>
        <v>C/USN/III/P3/42 90004 6050 GMMW WPF, w tym</v>
      </c>
      <c r="AN279" s="160">
        <f t="shared" ca="1" si="415"/>
        <v>0</v>
      </c>
      <c r="AO279" s="161">
        <f t="shared" ca="1" si="416"/>
        <v>0</v>
      </c>
      <c r="AP279" s="162">
        <f t="shared" ca="1" si="417"/>
        <v>0</v>
      </c>
      <c r="AQ279" s="163">
        <f t="shared" ca="1" si="418"/>
        <v>0</v>
      </c>
      <c r="AR279" s="164">
        <f t="shared" ca="1" si="419"/>
        <v>0</v>
      </c>
      <c r="AS279" s="164">
        <f t="shared" ca="1" si="420"/>
        <v>0</v>
      </c>
      <c r="AT279" s="164">
        <f t="shared" ca="1" si="421"/>
        <v>0</v>
      </c>
      <c r="AU279" s="164">
        <f t="shared" ca="1" si="422"/>
        <v>0</v>
      </c>
      <c r="AV279" s="164">
        <f t="shared" ca="1" si="423"/>
        <v>0</v>
      </c>
      <c r="AW279" s="164">
        <f t="shared" ca="1" si="424"/>
        <v>0</v>
      </c>
      <c r="AX279" s="164">
        <f t="shared" ca="1" si="425"/>
        <v>0</v>
      </c>
      <c r="AY279" s="164">
        <f t="shared" ca="1" si="426"/>
        <v>0</v>
      </c>
      <c r="AZ279" s="164">
        <f t="shared" ca="1" si="427"/>
        <v>0</v>
      </c>
      <c r="BA279" s="165" t="str">
        <f t="shared" ca="1" si="428"/>
        <v>nie</v>
      </c>
      <c r="BB279" s="166" t="str">
        <f t="shared" ca="1" si="450"/>
        <v>-</v>
      </c>
      <c r="BC279" s="165" t="str">
        <f t="shared" ca="1" si="445"/>
        <v>nie</v>
      </c>
    </row>
    <row r="280" spans="1:55" ht="14.45" hidden="1" customHeight="1" x14ac:dyDescent="0.25">
      <c r="A280" s="493"/>
      <c r="B280" s="493"/>
      <c r="C280" s="494"/>
      <c r="D280" s="506"/>
      <c r="E280" s="497"/>
      <c r="F280" s="497"/>
      <c r="G280" s="497"/>
      <c r="H280" s="498"/>
      <c r="I280" s="499"/>
      <c r="J280" s="177" t="s">
        <v>99</v>
      </c>
      <c r="K280" s="178">
        <f>SUM(N280:O280)</f>
        <v>0</v>
      </c>
      <c r="L280" s="179">
        <f t="shared" ref="L280:M280" si="465">L284-L276</f>
        <v>0</v>
      </c>
      <c r="M280" s="180">
        <f t="shared" si="465"/>
        <v>0</v>
      </c>
      <c r="N280" s="172">
        <f>SUM(L280:M280)</f>
        <v>0</v>
      </c>
      <c r="O280" s="178">
        <f>SUM(P280:Y280)</f>
        <v>0</v>
      </c>
      <c r="P280" s="181">
        <f t="shared" ref="P280:R280" si="466">P284-P276</f>
        <v>0</v>
      </c>
      <c r="Q280" s="180">
        <f t="shared" si="466"/>
        <v>0</v>
      </c>
      <c r="R280" s="182">
        <f t="shared" si="466"/>
        <v>0</v>
      </c>
      <c r="S280" s="183">
        <f t="shared" ref="S280:Y281" si="467">S284-S276</f>
        <v>0</v>
      </c>
      <c r="T280" s="180">
        <f t="shared" si="467"/>
        <v>0</v>
      </c>
      <c r="U280" s="180">
        <f t="shared" si="467"/>
        <v>0</v>
      </c>
      <c r="V280" s="180">
        <f t="shared" si="467"/>
        <v>0</v>
      </c>
      <c r="W280" s="180">
        <f t="shared" si="467"/>
        <v>0</v>
      </c>
      <c r="X280" s="180">
        <f t="shared" si="467"/>
        <v>0</v>
      </c>
      <c r="Y280" s="182">
        <f t="shared" si="467"/>
        <v>0</v>
      </c>
      <c r="Z280" s="149" t="str">
        <f t="shared" ca="1" si="440"/>
        <v>nie</v>
      </c>
      <c r="AA280" s="366"/>
      <c r="AB280" s="150" t="str">
        <f t="shared" ca="1" si="449"/>
        <v>-</v>
      </c>
      <c r="AC280" s="151" t="str">
        <f t="shared" ca="1" si="408"/>
        <v>PROPONOWANA ZMIANA</v>
      </c>
      <c r="AD280" s="152" t="str">
        <f t="shared" ca="1" si="441"/>
        <v>PROPONOWANA ZMIANA</v>
      </c>
      <c r="AE280" s="153" t="str">
        <f t="shared" ca="1" si="409"/>
        <v>C/USN/III/P3/42</v>
      </c>
      <c r="AF280" s="154" t="str">
        <f t="shared" ca="1" si="410"/>
        <v>Budowa Parku przy ul. Cynamonowej</v>
      </c>
      <c r="AG280" s="155">
        <f t="shared" ca="1" si="411"/>
        <v>90004</v>
      </c>
      <c r="AH280" s="155" t="str">
        <f t="shared" ca="1" si="412"/>
        <v>6050</v>
      </c>
      <c r="AI280" s="156" t="str">
        <f t="shared" ca="1" si="413"/>
        <v>GMMW</v>
      </c>
      <c r="AJ280" s="157" t="str">
        <f t="shared" ca="1" si="414"/>
        <v>WPF/PM</v>
      </c>
      <c r="AK280" s="158" t="str">
        <f t="shared" ca="1" si="442"/>
        <v>C/USN/III/P3/42 90004 6050 GMMW</v>
      </c>
      <c r="AL280" s="158" t="str">
        <f t="shared" ca="1" si="443"/>
        <v>C/USN/III/P3/42 90004 6050 WPF/PM</v>
      </c>
      <c r="AM280" s="159" t="str">
        <f t="shared" ca="1" si="444"/>
        <v>C/USN/III/P3/42 90004 6050 GMMW WPF/PM</v>
      </c>
      <c r="AN280" s="160">
        <f t="shared" ca="1" si="415"/>
        <v>0</v>
      </c>
      <c r="AO280" s="161">
        <f t="shared" ca="1" si="416"/>
        <v>0</v>
      </c>
      <c r="AP280" s="162">
        <f t="shared" ca="1" si="417"/>
        <v>0</v>
      </c>
      <c r="AQ280" s="163">
        <f t="shared" ca="1" si="418"/>
        <v>0</v>
      </c>
      <c r="AR280" s="164">
        <f t="shared" ca="1" si="419"/>
        <v>0</v>
      </c>
      <c r="AS280" s="164">
        <f t="shared" ca="1" si="420"/>
        <v>0</v>
      </c>
      <c r="AT280" s="164">
        <f t="shared" ca="1" si="421"/>
        <v>0</v>
      </c>
      <c r="AU280" s="164">
        <f t="shared" ca="1" si="422"/>
        <v>0</v>
      </c>
      <c r="AV280" s="164">
        <f t="shared" ca="1" si="423"/>
        <v>0</v>
      </c>
      <c r="AW280" s="164">
        <f t="shared" ca="1" si="424"/>
        <v>0</v>
      </c>
      <c r="AX280" s="164">
        <f t="shared" ca="1" si="425"/>
        <v>0</v>
      </c>
      <c r="AY280" s="164">
        <f t="shared" ca="1" si="426"/>
        <v>0</v>
      </c>
      <c r="AZ280" s="164">
        <f t="shared" ca="1" si="427"/>
        <v>0</v>
      </c>
      <c r="BA280" s="165" t="str">
        <f t="shared" ca="1" si="428"/>
        <v>nie</v>
      </c>
      <c r="BB280" s="166" t="str">
        <f t="shared" ca="1" si="450"/>
        <v>-</v>
      </c>
      <c r="BC280" s="165" t="str">
        <f t="shared" ca="1" si="445"/>
        <v>nie</v>
      </c>
    </row>
    <row r="281" spans="1:55" ht="14.45" hidden="1" customHeight="1" x14ac:dyDescent="0.25">
      <c r="A281" s="493"/>
      <c r="B281" s="493"/>
      <c r="C281" s="494"/>
      <c r="D281" s="506"/>
      <c r="E281" s="497"/>
      <c r="F281" s="497"/>
      <c r="G281" s="497"/>
      <c r="H281" s="498"/>
      <c r="I281" s="499"/>
      <c r="J281" s="177" t="s">
        <v>100</v>
      </c>
      <c r="K281" s="178">
        <f>SUM(N281:O281)</f>
        <v>0</v>
      </c>
      <c r="L281" s="179">
        <f t="shared" ref="L281:M281" si="468">L285-L277</f>
        <v>0</v>
      </c>
      <c r="M281" s="180">
        <f t="shared" si="468"/>
        <v>0</v>
      </c>
      <c r="N281" s="172">
        <f>SUM(L281:M281)</f>
        <v>0</v>
      </c>
      <c r="O281" s="178">
        <f>SUM(P281:Y281)</f>
        <v>0</v>
      </c>
      <c r="P281" s="181">
        <f t="shared" ref="P281:R281" si="469">P285-P277</f>
        <v>0</v>
      </c>
      <c r="Q281" s="180">
        <f t="shared" si="469"/>
        <v>0</v>
      </c>
      <c r="R281" s="182">
        <f t="shared" si="469"/>
        <v>0</v>
      </c>
      <c r="S281" s="183">
        <f t="shared" si="467"/>
        <v>0</v>
      </c>
      <c r="T281" s="180">
        <f t="shared" si="467"/>
        <v>0</v>
      </c>
      <c r="U281" s="180">
        <f t="shared" si="467"/>
        <v>0</v>
      </c>
      <c r="V281" s="180">
        <f t="shared" si="467"/>
        <v>0</v>
      </c>
      <c r="W281" s="180">
        <f t="shared" si="467"/>
        <v>0</v>
      </c>
      <c r="X281" s="180">
        <f t="shared" si="467"/>
        <v>0</v>
      </c>
      <c r="Y281" s="182">
        <f t="shared" si="467"/>
        <v>0</v>
      </c>
      <c r="Z281" s="149" t="str">
        <f t="shared" ca="1" si="440"/>
        <v>nie</v>
      </c>
      <c r="AA281" s="366"/>
      <c r="AB281" s="150" t="str">
        <f t="shared" ca="1" si="449"/>
        <v>-</v>
      </c>
      <c r="AC281" s="151" t="str">
        <f t="shared" ca="1" si="408"/>
        <v>PROPONOWANA ZMIANA</v>
      </c>
      <c r="AD281" s="152" t="str">
        <f t="shared" ca="1" si="441"/>
        <v>PROPONOWANA ZMIANA</v>
      </c>
      <c r="AE281" s="153" t="str">
        <f t="shared" ca="1" si="409"/>
        <v>C/USN/III/P3/42</v>
      </c>
      <c r="AF281" s="154" t="str">
        <f t="shared" ca="1" si="410"/>
        <v>Budowa Parku przy ul. Cynamonowej</v>
      </c>
      <c r="AG281" s="155">
        <f t="shared" ca="1" si="411"/>
        <v>90004</v>
      </c>
      <c r="AH281" s="155" t="str">
        <f t="shared" ca="1" si="412"/>
        <v>6050</v>
      </c>
      <c r="AI281" s="156" t="str">
        <f t="shared" ca="1" si="413"/>
        <v>GMMW</v>
      </c>
      <c r="AJ281" s="157" t="str">
        <f t="shared" ca="1" si="414"/>
        <v>WPF/UM</v>
      </c>
      <c r="AK281" s="158" t="str">
        <f t="shared" ca="1" si="442"/>
        <v>C/USN/III/P3/42 90004 6050 GMMW</v>
      </c>
      <c r="AL281" s="158" t="str">
        <f t="shared" ca="1" si="443"/>
        <v>C/USN/III/P3/42 90004 6050 WPF/UM</v>
      </c>
      <c r="AM281" s="159" t="str">
        <f t="shared" ca="1" si="444"/>
        <v>C/USN/III/P3/42 90004 6050 GMMW WPF/UM</v>
      </c>
      <c r="AN281" s="160">
        <f t="shared" ca="1" si="415"/>
        <v>0</v>
      </c>
      <c r="AO281" s="161">
        <f t="shared" ca="1" si="416"/>
        <v>0</v>
      </c>
      <c r="AP281" s="162">
        <f t="shared" ca="1" si="417"/>
        <v>0</v>
      </c>
      <c r="AQ281" s="163">
        <f t="shared" ca="1" si="418"/>
        <v>0</v>
      </c>
      <c r="AR281" s="164">
        <f t="shared" ca="1" si="419"/>
        <v>0</v>
      </c>
      <c r="AS281" s="164">
        <f t="shared" ca="1" si="420"/>
        <v>0</v>
      </c>
      <c r="AT281" s="164">
        <f t="shared" ca="1" si="421"/>
        <v>0</v>
      </c>
      <c r="AU281" s="164">
        <f t="shared" ca="1" si="422"/>
        <v>0</v>
      </c>
      <c r="AV281" s="164">
        <f t="shared" ca="1" si="423"/>
        <v>0</v>
      </c>
      <c r="AW281" s="164">
        <f t="shared" ca="1" si="424"/>
        <v>0</v>
      </c>
      <c r="AX281" s="164">
        <f t="shared" ca="1" si="425"/>
        <v>0</v>
      </c>
      <c r="AY281" s="164">
        <f t="shared" ca="1" si="426"/>
        <v>0</v>
      </c>
      <c r="AZ281" s="164">
        <f t="shared" ca="1" si="427"/>
        <v>0</v>
      </c>
      <c r="BA281" s="165" t="str">
        <f t="shared" ca="1" si="428"/>
        <v>nie</v>
      </c>
      <c r="BB281" s="166" t="str">
        <f t="shared" ca="1" si="450"/>
        <v>-</v>
      </c>
      <c r="BC281" s="165" t="str">
        <f t="shared" ca="1" si="445"/>
        <v>nie</v>
      </c>
    </row>
    <row r="282" spans="1:55" ht="14.45" hidden="1" customHeight="1" x14ac:dyDescent="0.25">
      <c r="A282" s="191" t="s">
        <v>101</v>
      </c>
      <c r="B282" s="192"/>
      <c r="C282" s="193"/>
      <c r="D282" s="192"/>
      <c r="E282" s="192"/>
      <c r="F282" s="192"/>
      <c r="G282" s="192"/>
      <c r="H282" s="192"/>
      <c r="I282" s="192"/>
      <c r="J282" s="192"/>
      <c r="K282" s="192"/>
      <c r="L282" s="192"/>
      <c r="M282" s="192"/>
      <c r="N282" s="192"/>
      <c r="O282" s="192"/>
      <c r="P282" s="192"/>
      <c r="Q282" s="192"/>
      <c r="R282" s="194"/>
      <c r="S282" s="195"/>
      <c r="T282" s="195"/>
      <c r="U282" s="195"/>
      <c r="V282" s="195"/>
      <c r="W282" s="195"/>
      <c r="X282" s="195"/>
      <c r="Y282" s="196"/>
      <c r="Z282" s="149" t="str">
        <f t="shared" ca="1" si="440"/>
        <v>nie</v>
      </c>
      <c r="AA282" s="366"/>
      <c r="AB282" s="150" t="str">
        <f t="shared" ca="1" si="449"/>
        <v>-</v>
      </c>
      <c r="AC282" s="151" t="str">
        <f t="shared" ca="1" si="408"/>
        <v>PO ZMIANIE</v>
      </c>
      <c r="AD282" s="152" t="str">
        <f t="shared" ca="1" si="441"/>
        <v/>
      </c>
      <c r="AE282" s="153" t="str">
        <f t="shared" ca="1" si="409"/>
        <v/>
      </c>
      <c r="AF282" s="154" t="str">
        <f t="shared" ca="1" si="410"/>
        <v/>
      </c>
      <c r="AG282" s="155" t="str">
        <f t="shared" ca="1" si="411"/>
        <v/>
      </c>
      <c r="AH282" s="155" t="str">
        <f t="shared" ca="1" si="412"/>
        <v/>
      </c>
      <c r="AI282" s="156" t="str">
        <f t="shared" ca="1" si="413"/>
        <v/>
      </c>
      <c r="AJ282" s="157" t="str">
        <f t="shared" ca="1" si="414"/>
        <v/>
      </c>
      <c r="AK282" s="158" t="str">
        <f t="shared" ca="1" si="442"/>
        <v/>
      </c>
      <c r="AL282" s="158" t="str">
        <f t="shared" ca="1" si="443"/>
        <v/>
      </c>
      <c r="AM282" s="159" t="str">
        <f t="shared" ca="1" si="444"/>
        <v/>
      </c>
      <c r="AN282" s="160" t="str">
        <f t="shared" ca="1" si="415"/>
        <v/>
      </c>
      <c r="AO282" s="161" t="str">
        <f t="shared" ca="1" si="416"/>
        <v/>
      </c>
      <c r="AP282" s="162" t="str">
        <f t="shared" ca="1" si="417"/>
        <v/>
      </c>
      <c r="AQ282" s="163" t="str">
        <f t="shared" ca="1" si="418"/>
        <v/>
      </c>
      <c r="AR282" s="164" t="str">
        <f t="shared" ca="1" si="419"/>
        <v/>
      </c>
      <c r="AS282" s="164" t="str">
        <f t="shared" ca="1" si="420"/>
        <v/>
      </c>
      <c r="AT282" s="164" t="str">
        <f t="shared" ca="1" si="421"/>
        <v/>
      </c>
      <c r="AU282" s="164" t="str">
        <f t="shared" ca="1" si="422"/>
        <v/>
      </c>
      <c r="AV282" s="164" t="str">
        <f t="shared" ca="1" si="423"/>
        <v/>
      </c>
      <c r="AW282" s="164" t="str">
        <f t="shared" ca="1" si="424"/>
        <v/>
      </c>
      <c r="AX282" s="164" t="str">
        <f t="shared" ca="1" si="425"/>
        <v/>
      </c>
      <c r="AY282" s="164" t="str">
        <f t="shared" ca="1" si="426"/>
        <v/>
      </c>
      <c r="AZ282" s="164" t="str">
        <f t="shared" ca="1" si="427"/>
        <v/>
      </c>
      <c r="BA282" s="165" t="str">
        <f t="shared" ca="1" si="428"/>
        <v>nie</v>
      </c>
      <c r="BB282" s="166" t="str">
        <f t="shared" ca="1" si="450"/>
        <v>-</v>
      </c>
      <c r="BC282" s="165" t="str">
        <f t="shared" ca="1" si="445"/>
        <v>nie</v>
      </c>
    </row>
    <row r="283" spans="1:55" ht="14.45" hidden="1" customHeight="1" x14ac:dyDescent="0.25">
      <c r="A283" s="493" t="s">
        <v>24</v>
      </c>
      <c r="B283" s="493" t="s">
        <v>26</v>
      </c>
      <c r="C283" s="494" t="s">
        <v>140</v>
      </c>
      <c r="D283" s="505" t="s">
        <v>141</v>
      </c>
      <c r="E283" s="497">
        <v>900</v>
      </c>
      <c r="F283" s="497">
        <v>90004</v>
      </c>
      <c r="G283" s="497">
        <v>6050</v>
      </c>
      <c r="H283" s="507">
        <v>2023</v>
      </c>
      <c r="I283" s="499" t="str">
        <f ca="1">IF(COUNTIF(OFFSET(I283,-1,-8),"*propon*")&gt;0,OFFSET(I283,4,0),IF(Y283&gt;0,"2033",IF(X283&gt;0,"2032",IF(W283&gt;0,"2031",IF(V283&gt;0,"2030",IF(U283&gt;0,"2029",IF(T283&gt;0,"2028",IF(S283&gt;0,"2027",IF(R283&gt;0,"2026",IF(Q283&gt;0,"2025",IF(P283&gt;0,"2024",IF(M283&gt;0,"2023",IF(L283&gt;0,"2022","")))))))))))))</f>
        <v>2024</v>
      </c>
      <c r="J283" s="168" t="s">
        <v>102</v>
      </c>
      <c r="K283" s="169">
        <f>SUM(N283:O283)</f>
        <v>989797</v>
      </c>
      <c r="L283" s="170">
        <f t="shared" ref="L283:M283" si="470">SUM(L284:L285)</f>
        <v>0</v>
      </c>
      <c r="M283" s="171">
        <f t="shared" si="470"/>
        <v>24475</v>
      </c>
      <c r="N283" s="172">
        <f>SUM(L283:M283)</f>
        <v>24475</v>
      </c>
      <c r="O283" s="169">
        <f>SUM(P283:Y283)</f>
        <v>965322</v>
      </c>
      <c r="P283" s="173">
        <f t="shared" ref="P283:R283" si="471">SUM(P284:P285)</f>
        <v>965322</v>
      </c>
      <c r="Q283" s="171">
        <f t="shared" si="471"/>
        <v>0</v>
      </c>
      <c r="R283" s="174">
        <f t="shared" si="471"/>
        <v>0</v>
      </c>
      <c r="S283" s="175">
        <f t="shared" ref="S283:Y283" si="472">SUM(S284:S285)</f>
        <v>0</v>
      </c>
      <c r="T283" s="171">
        <f t="shared" si="472"/>
        <v>0</v>
      </c>
      <c r="U283" s="171">
        <f t="shared" si="472"/>
        <v>0</v>
      </c>
      <c r="V283" s="171">
        <f t="shared" si="472"/>
        <v>0</v>
      </c>
      <c r="W283" s="171">
        <f t="shared" si="472"/>
        <v>0</v>
      </c>
      <c r="X283" s="171">
        <f t="shared" si="472"/>
        <v>0</v>
      </c>
      <c r="Y283" s="174">
        <f t="shared" si="472"/>
        <v>0</v>
      </c>
      <c r="Z283" s="149" t="str">
        <f t="shared" ca="1" si="440"/>
        <v>nie</v>
      </c>
      <c r="AA283" s="366"/>
      <c r="AB283" s="150" t="str">
        <f t="shared" ca="1" si="449"/>
        <v>-</v>
      </c>
      <c r="AC283" s="151" t="str">
        <f t="shared" ca="1" si="408"/>
        <v>PO ZMIANIE</v>
      </c>
      <c r="AD283" s="152" t="str">
        <f t="shared" ca="1" si="441"/>
        <v>PO ZMIANIE</v>
      </c>
      <c r="AE283" s="153" t="str">
        <f t="shared" ca="1" si="409"/>
        <v>C/USN/III/P3/42</v>
      </c>
      <c r="AF283" s="154" t="str">
        <f t="shared" ca="1" si="410"/>
        <v>Budowa Parku przy ul. Cynamonowej</v>
      </c>
      <c r="AG283" s="155">
        <f t="shared" ca="1" si="411"/>
        <v>90004</v>
      </c>
      <c r="AH283" s="155" t="str">
        <f t="shared" ca="1" si="412"/>
        <v>6050</v>
      </c>
      <c r="AI283" s="156" t="str">
        <f t="shared" ca="1" si="413"/>
        <v>GMMW</v>
      </c>
      <c r="AJ283" s="157" t="str">
        <f t="shared" ca="1" si="414"/>
        <v>WPF, w tym</v>
      </c>
      <c r="AK283" s="158" t="str">
        <f t="shared" ca="1" si="442"/>
        <v>C/USN/III/P3/42 90004 6050 GMMW</v>
      </c>
      <c r="AL283" s="158" t="str">
        <f t="shared" ca="1" si="443"/>
        <v>C/USN/III/P3/42 90004 6050 WPF, w tym</v>
      </c>
      <c r="AM283" s="159" t="str">
        <f t="shared" ca="1" si="444"/>
        <v>C/USN/III/P3/42 90004 6050 GMMW WPF, w tym</v>
      </c>
      <c r="AN283" s="160">
        <f t="shared" ca="1" si="415"/>
        <v>989797</v>
      </c>
      <c r="AO283" s="161">
        <f t="shared" ca="1" si="416"/>
        <v>0</v>
      </c>
      <c r="AP283" s="162">
        <f t="shared" ca="1" si="417"/>
        <v>24475</v>
      </c>
      <c r="AQ283" s="163">
        <f t="shared" ca="1" si="418"/>
        <v>965322</v>
      </c>
      <c r="AR283" s="164">
        <f t="shared" ca="1" si="419"/>
        <v>0</v>
      </c>
      <c r="AS283" s="164">
        <f t="shared" ca="1" si="420"/>
        <v>0</v>
      </c>
      <c r="AT283" s="164">
        <f t="shared" ca="1" si="421"/>
        <v>0</v>
      </c>
      <c r="AU283" s="164">
        <f t="shared" ca="1" si="422"/>
        <v>0</v>
      </c>
      <c r="AV283" s="164">
        <f t="shared" ca="1" si="423"/>
        <v>0</v>
      </c>
      <c r="AW283" s="164">
        <f t="shared" ca="1" si="424"/>
        <v>0</v>
      </c>
      <c r="AX283" s="164">
        <f t="shared" ca="1" si="425"/>
        <v>0</v>
      </c>
      <c r="AY283" s="164">
        <f t="shared" ca="1" si="426"/>
        <v>0</v>
      </c>
      <c r="AZ283" s="164">
        <f t="shared" ca="1" si="427"/>
        <v>0</v>
      </c>
      <c r="BA283" s="165" t="str">
        <f t="shared" ca="1" si="428"/>
        <v>nie</v>
      </c>
      <c r="BB283" s="166" t="str">
        <f t="shared" ca="1" si="450"/>
        <v>-</v>
      </c>
      <c r="BC283" s="165" t="str">
        <f t="shared" ca="1" si="445"/>
        <v>nie</v>
      </c>
    </row>
    <row r="284" spans="1:55" ht="14.45" hidden="1" customHeight="1" x14ac:dyDescent="0.25">
      <c r="A284" s="493"/>
      <c r="B284" s="493"/>
      <c r="C284" s="494"/>
      <c r="D284" s="506"/>
      <c r="E284" s="497"/>
      <c r="F284" s="497"/>
      <c r="G284" s="497"/>
      <c r="H284" s="498"/>
      <c r="I284" s="499"/>
      <c r="J284" s="177" t="s">
        <v>103</v>
      </c>
      <c r="K284" s="178">
        <f>SUM(N284:O284)</f>
        <v>219737</v>
      </c>
      <c r="L284" s="179"/>
      <c r="M284" s="180"/>
      <c r="N284" s="172">
        <f>SUM(L284:M284)</f>
        <v>0</v>
      </c>
      <c r="O284" s="178">
        <f>SUM(P284:Y284)</f>
        <v>219737</v>
      </c>
      <c r="P284" s="181">
        <f>204415+15322</f>
        <v>219737</v>
      </c>
      <c r="Q284" s="180"/>
      <c r="R284" s="182"/>
      <c r="S284" s="183"/>
      <c r="T284" s="180"/>
      <c r="U284" s="180"/>
      <c r="V284" s="180"/>
      <c r="W284" s="180"/>
      <c r="X284" s="180"/>
      <c r="Y284" s="182"/>
      <c r="Z284" s="149" t="str">
        <f t="shared" ca="1" si="440"/>
        <v>nie</v>
      </c>
      <c r="AA284" s="384"/>
      <c r="AB284" s="150" t="str">
        <f t="shared" ca="1" si="449"/>
        <v>-</v>
      </c>
      <c r="AC284" s="151" t="str">
        <f t="shared" ca="1" si="408"/>
        <v>PO ZMIANIE</v>
      </c>
      <c r="AD284" s="152" t="str">
        <f t="shared" ca="1" si="441"/>
        <v>PO ZMIANIE</v>
      </c>
      <c r="AE284" s="153" t="str">
        <f t="shared" ca="1" si="409"/>
        <v>C/USN/III/P3/42</v>
      </c>
      <c r="AF284" s="154" t="str">
        <f t="shared" ca="1" si="410"/>
        <v>Budowa Parku przy ul. Cynamonowej</v>
      </c>
      <c r="AG284" s="155">
        <f t="shared" ca="1" si="411"/>
        <v>90004</v>
      </c>
      <c r="AH284" s="155" t="str">
        <f t="shared" ca="1" si="412"/>
        <v>6050</v>
      </c>
      <c r="AI284" s="156" t="str">
        <f t="shared" ca="1" si="413"/>
        <v>GMMW</v>
      </c>
      <c r="AJ284" s="157" t="str">
        <f t="shared" ca="1" si="414"/>
        <v>WPF/PM</v>
      </c>
      <c r="AK284" s="158" t="str">
        <f t="shared" ca="1" si="442"/>
        <v>C/USN/III/P3/42 90004 6050 GMMW</v>
      </c>
      <c r="AL284" s="158" t="str">
        <f t="shared" ca="1" si="443"/>
        <v>C/USN/III/P3/42 90004 6050 WPF/PM</v>
      </c>
      <c r="AM284" s="159" t="str">
        <f t="shared" ca="1" si="444"/>
        <v>C/USN/III/P3/42 90004 6050 GMMW WPF/PM</v>
      </c>
      <c r="AN284" s="160">
        <f t="shared" ca="1" si="415"/>
        <v>219737</v>
      </c>
      <c r="AO284" s="161">
        <f t="shared" ca="1" si="416"/>
        <v>0</v>
      </c>
      <c r="AP284" s="162">
        <f t="shared" ca="1" si="417"/>
        <v>0</v>
      </c>
      <c r="AQ284" s="163">
        <f t="shared" ca="1" si="418"/>
        <v>219737</v>
      </c>
      <c r="AR284" s="164">
        <f t="shared" ca="1" si="419"/>
        <v>0</v>
      </c>
      <c r="AS284" s="164">
        <f t="shared" ca="1" si="420"/>
        <v>0</v>
      </c>
      <c r="AT284" s="164">
        <f t="shared" ca="1" si="421"/>
        <v>0</v>
      </c>
      <c r="AU284" s="164">
        <f t="shared" ca="1" si="422"/>
        <v>0</v>
      </c>
      <c r="AV284" s="164">
        <f t="shared" ca="1" si="423"/>
        <v>0</v>
      </c>
      <c r="AW284" s="164">
        <f t="shared" ca="1" si="424"/>
        <v>0</v>
      </c>
      <c r="AX284" s="164">
        <f t="shared" ca="1" si="425"/>
        <v>0</v>
      </c>
      <c r="AY284" s="164">
        <f t="shared" ca="1" si="426"/>
        <v>0</v>
      </c>
      <c r="AZ284" s="164">
        <f t="shared" ca="1" si="427"/>
        <v>0</v>
      </c>
      <c r="BA284" s="165" t="str">
        <f t="shared" ca="1" si="428"/>
        <v>nie</v>
      </c>
      <c r="BB284" s="166" t="str">
        <f t="shared" ca="1" si="450"/>
        <v>-</v>
      </c>
      <c r="BC284" s="165" t="str">
        <f t="shared" ca="1" si="445"/>
        <v>nie</v>
      </c>
    </row>
    <row r="285" spans="1:55" ht="14.45" hidden="1" customHeight="1" thickBot="1" x14ac:dyDescent="0.3">
      <c r="A285" s="500"/>
      <c r="B285" s="500"/>
      <c r="C285" s="501"/>
      <c r="D285" s="513"/>
      <c r="E285" s="503"/>
      <c r="F285" s="503"/>
      <c r="G285" s="503"/>
      <c r="H285" s="504"/>
      <c r="I285" s="499"/>
      <c r="J285" s="197" t="s">
        <v>104</v>
      </c>
      <c r="K285" s="198">
        <f>SUM(N285:O285)</f>
        <v>770060</v>
      </c>
      <c r="L285" s="204"/>
      <c r="M285" s="200">
        <f>39797-15322</f>
        <v>24475</v>
      </c>
      <c r="N285" s="371">
        <f>SUM(L285:M285)</f>
        <v>24475</v>
      </c>
      <c r="O285" s="198">
        <f>SUM(P285:Y285)</f>
        <v>745585</v>
      </c>
      <c r="P285" s="201">
        <v>745585</v>
      </c>
      <c r="Q285" s="200"/>
      <c r="R285" s="202"/>
      <c r="S285" s="203"/>
      <c r="T285" s="200"/>
      <c r="U285" s="200"/>
      <c r="V285" s="200"/>
      <c r="W285" s="200"/>
      <c r="X285" s="200"/>
      <c r="Y285" s="202"/>
      <c r="Z285" s="149" t="str">
        <f t="shared" ca="1" si="440"/>
        <v>nie</v>
      </c>
      <c r="AA285" s="384"/>
      <c r="AB285" s="150" t="str">
        <f t="shared" ca="1" si="449"/>
        <v>-</v>
      </c>
      <c r="AC285" s="151" t="str">
        <f t="shared" ca="1" si="408"/>
        <v>PO ZMIANIE</v>
      </c>
      <c r="AD285" s="152" t="str">
        <f t="shared" ca="1" si="441"/>
        <v>PO ZMIANIE</v>
      </c>
      <c r="AE285" s="153" t="str">
        <f t="shared" ca="1" si="409"/>
        <v>C/USN/III/P3/42</v>
      </c>
      <c r="AF285" s="154" t="str">
        <f t="shared" ca="1" si="410"/>
        <v>Budowa Parku przy ul. Cynamonowej</v>
      </c>
      <c r="AG285" s="155">
        <f t="shared" ca="1" si="411"/>
        <v>90004</v>
      </c>
      <c r="AH285" s="155" t="str">
        <f t="shared" ca="1" si="412"/>
        <v>6050</v>
      </c>
      <c r="AI285" s="156" t="str">
        <f t="shared" ca="1" si="413"/>
        <v>GMMW</v>
      </c>
      <c r="AJ285" s="157" t="str">
        <f t="shared" ca="1" si="414"/>
        <v>WPF/UM</v>
      </c>
      <c r="AK285" s="158" t="str">
        <f t="shared" ca="1" si="442"/>
        <v>C/USN/III/P3/42 90004 6050 GMMW</v>
      </c>
      <c r="AL285" s="158" t="str">
        <f t="shared" ca="1" si="443"/>
        <v>C/USN/III/P3/42 90004 6050 WPF/UM</v>
      </c>
      <c r="AM285" s="159" t="str">
        <f t="shared" ca="1" si="444"/>
        <v>C/USN/III/P3/42 90004 6050 GMMW WPF/UM</v>
      </c>
      <c r="AN285" s="160">
        <f t="shared" ca="1" si="415"/>
        <v>770060</v>
      </c>
      <c r="AO285" s="161">
        <f t="shared" ca="1" si="416"/>
        <v>0</v>
      </c>
      <c r="AP285" s="162">
        <f t="shared" ca="1" si="417"/>
        <v>24475</v>
      </c>
      <c r="AQ285" s="163">
        <f t="shared" ca="1" si="418"/>
        <v>745585</v>
      </c>
      <c r="AR285" s="164">
        <f t="shared" ca="1" si="419"/>
        <v>0</v>
      </c>
      <c r="AS285" s="164">
        <f t="shared" ca="1" si="420"/>
        <v>0</v>
      </c>
      <c r="AT285" s="164">
        <f t="shared" ca="1" si="421"/>
        <v>0</v>
      </c>
      <c r="AU285" s="164">
        <f t="shared" ca="1" si="422"/>
        <v>0</v>
      </c>
      <c r="AV285" s="164">
        <f t="shared" ca="1" si="423"/>
        <v>0</v>
      </c>
      <c r="AW285" s="164">
        <f t="shared" ca="1" si="424"/>
        <v>0</v>
      </c>
      <c r="AX285" s="164">
        <f t="shared" ca="1" si="425"/>
        <v>0</v>
      </c>
      <c r="AY285" s="164">
        <f t="shared" ca="1" si="426"/>
        <v>0</v>
      </c>
      <c r="AZ285" s="164">
        <f t="shared" ca="1" si="427"/>
        <v>0</v>
      </c>
      <c r="BA285" s="165" t="str">
        <f t="shared" ca="1" si="428"/>
        <v>nie</v>
      </c>
      <c r="BB285" s="166" t="str">
        <f t="shared" ca="1" si="450"/>
        <v>-</v>
      </c>
      <c r="BC285" s="165" t="str">
        <f t="shared" ca="1" si="445"/>
        <v>nie</v>
      </c>
    </row>
    <row r="286" spans="1:55" ht="14.45" hidden="1" customHeight="1" x14ac:dyDescent="0.25">
      <c r="A286" s="143" t="s">
        <v>91</v>
      </c>
      <c r="B286" s="144"/>
      <c r="C286" s="145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6"/>
      <c r="S286" s="147"/>
      <c r="T286" s="147"/>
      <c r="U286" s="147"/>
      <c r="V286" s="147"/>
      <c r="W286" s="147"/>
      <c r="X286" s="147"/>
      <c r="Y286" s="148"/>
      <c r="Z286" s="149" t="str">
        <f t="shared" ca="1" si="440"/>
        <v>nie</v>
      </c>
      <c r="AA286" s="366"/>
      <c r="AB286" s="150" t="str">
        <f t="shared" ca="1" si="449"/>
        <v>-</v>
      </c>
      <c r="AC286" s="151" t="str">
        <f t="shared" ca="1" si="408"/>
        <v>PRZED ZMIANĄ</v>
      </c>
      <c r="AD286" s="152" t="str">
        <f t="shared" ca="1" si="441"/>
        <v/>
      </c>
      <c r="AE286" s="153" t="str">
        <f t="shared" ca="1" si="409"/>
        <v/>
      </c>
      <c r="AF286" s="154" t="str">
        <f t="shared" ca="1" si="410"/>
        <v/>
      </c>
      <c r="AG286" s="155" t="str">
        <f t="shared" ca="1" si="411"/>
        <v/>
      </c>
      <c r="AH286" s="155" t="str">
        <f t="shared" ca="1" si="412"/>
        <v/>
      </c>
      <c r="AI286" s="156" t="str">
        <f t="shared" ca="1" si="413"/>
        <v/>
      </c>
      <c r="AJ286" s="157" t="str">
        <f t="shared" ca="1" si="414"/>
        <v/>
      </c>
      <c r="AK286" s="158" t="str">
        <f t="shared" ca="1" si="442"/>
        <v/>
      </c>
      <c r="AL286" s="158" t="str">
        <f t="shared" ca="1" si="443"/>
        <v/>
      </c>
      <c r="AM286" s="159" t="str">
        <f t="shared" ca="1" si="444"/>
        <v/>
      </c>
      <c r="AN286" s="160" t="str">
        <f t="shared" ca="1" si="415"/>
        <v/>
      </c>
      <c r="AO286" s="161" t="str">
        <f t="shared" ca="1" si="416"/>
        <v/>
      </c>
      <c r="AP286" s="162" t="str">
        <f t="shared" ca="1" si="417"/>
        <v/>
      </c>
      <c r="AQ286" s="163" t="str">
        <f t="shared" ca="1" si="418"/>
        <v/>
      </c>
      <c r="AR286" s="164" t="str">
        <f t="shared" ca="1" si="419"/>
        <v/>
      </c>
      <c r="AS286" s="164" t="str">
        <f t="shared" ca="1" si="420"/>
        <v/>
      </c>
      <c r="AT286" s="164" t="str">
        <f t="shared" ca="1" si="421"/>
        <v/>
      </c>
      <c r="AU286" s="164" t="str">
        <f t="shared" ca="1" si="422"/>
        <v/>
      </c>
      <c r="AV286" s="164" t="str">
        <f t="shared" ca="1" si="423"/>
        <v/>
      </c>
      <c r="AW286" s="164" t="str">
        <f t="shared" ca="1" si="424"/>
        <v/>
      </c>
      <c r="AX286" s="164" t="str">
        <f t="shared" ca="1" si="425"/>
        <v/>
      </c>
      <c r="AY286" s="164" t="str">
        <f t="shared" ca="1" si="426"/>
        <v/>
      </c>
      <c r="AZ286" s="164" t="str">
        <f t="shared" ca="1" si="427"/>
        <v/>
      </c>
      <c r="BA286" s="165" t="str">
        <f t="shared" ca="1" si="428"/>
        <v>nie</v>
      </c>
      <c r="BB286" s="166" t="str">
        <f t="shared" ca="1" si="450"/>
        <v>-</v>
      </c>
      <c r="BC286" s="165" t="str">
        <f t="shared" ca="1" si="445"/>
        <v>nie</v>
      </c>
    </row>
    <row r="287" spans="1:55" ht="14.45" hidden="1" customHeight="1" x14ac:dyDescent="0.25">
      <c r="A287" s="493" t="s">
        <v>24</v>
      </c>
      <c r="B287" s="493" t="s">
        <v>133</v>
      </c>
      <c r="C287" s="494" t="s">
        <v>140</v>
      </c>
      <c r="D287" s="505" t="s">
        <v>141</v>
      </c>
      <c r="E287" s="497">
        <v>900</v>
      </c>
      <c r="F287" s="497">
        <v>90004</v>
      </c>
      <c r="G287" s="497">
        <v>6050</v>
      </c>
      <c r="H287" s="507">
        <v>2023</v>
      </c>
      <c r="I287" s="499" t="str">
        <f ca="1">IF(COUNTIF(OFFSET(I287,-1,-8),"*propon*")&gt;0,OFFSET(I287,4,0),IF(Y287&gt;0,"2033",IF(X287&gt;0,"2032",IF(W287&gt;0,"2031",IF(V287&gt;0,"2030",IF(U287&gt;0,"2029",IF(T287&gt;0,"2028",IF(S287&gt;0,"2027",IF(R287&gt;0,"2026",IF(Q287&gt;0,"2025",IF(P287&gt;0,"2024",IF(M287&gt;0,"2023",IF(L287&gt;0,"2022","")))))))))))))</f>
        <v>2024</v>
      </c>
      <c r="J287" s="168" t="s">
        <v>94</v>
      </c>
      <c r="K287" s="169">
        <f>SUM(N287:O287)</f>
        <v>588370</v>
      </c>
      <c r="L287" s="170">
        <f t="shared" ref="L287:M287" si="473">SUM(L288:L289)</f>
        <v>0</v>
      </c>
      <c r="M287" s="171">
        <f t="shared" si="473"/>
        <v>173688</v>
      </c>
      <c r="N287" s="172">
        <f>SUM(L287:M287)</f>
        <v>173688</v>
      </c>
      <c r="O287" s="169">
        <f>SUM(P287:Y287)</f>
        <v>414682</v>
      </c>
      <c r="P287" s="173">
        <f t="shared" ref="P287:R287" si="474">SUM(P288:P289)</f>
        <v>414682</v>
      </c>
      <c r="Q287" s="171">
        <f t="shared" si="474"/>
        <v>0</v>
      </c>
      <c r="R287" s="174">
        <f t="shared" si="474"/>
        <v>0</v>
      </c>
      <c r="S287" s="175">
        <f t="shared" ref="S287:Y287" si="475">SUM(S288:S289)</f>
        <v>0</v>
      </c>
      <c r="T287" s="171">
        <f t="shared" si="475"/>
        <v>0</v>
      </c>
      <c r="U287" s="171">
        <f t="shared" si="475"/>
        <v>0</v>
      </c>
      <c r="V287" s="171">
        <f t="shared" si="475"/>
        <v>0</v>
      </c>
      <c r="W287" s="171">
        <f t="shared" si="475"/>
        <v>0</v>
      </c>
      <c r="X287" s="171">
        <f t="shared" si="475"/>
        <v>0</v>
      </c>
      <c r="Y287" s="174">
        <f t="shared" si="475"/>
        <v>0</v>
      </c>
      <c r="Z287" s="149" t="str">
        <f t="shared" ca="1" si="440"/>
        <v>nie</v>
      </c>
      <c r="AA287" s="366"/>
      <c r="AB287" s="150" t="str">
        <f t="shared" ca="1" si="449"/>
        <v>-</v>
      </c>
      <c r="AC287" s="151" t="str">
        <f t="shared" ca="1" si="408"/>
        <v>PRZED ZMIANĄ</v>
      </c>
      <c r="AD287" s="152" t="str">
        <f t="shared" ca="1" si="441"/>
        <v>PRZED ZMIANĄ</v>
      </c>
      <c r="AE287" s="153" t="str">
        <f t="shared" ca="1" si="409"/>
        <v>C/USN/III/P3/42</v>
      </c>
      <c r="AF287" s="154" t="str">
        <f t="shared" ca="1" si="410"/>
        <v>Budowa Parku przy ul. Cynamonowej</v>
      </c>
      <c r="AG287" s="155">
        <f t="shared" ca="1" si="411"/>
        <v>90004</v>
      </c>
      <c r="AH287" s="155" t="str">
        <f t="shared" ca="1" si="412"/>
        <v>6050</v>
      </c>
      <c r="AI287" s="156" t="str">
        <f t="shared" ca="1" si="413"/>
        <v>GPOS</v>
      </c>
      <c r="AJ287" s="157" t="str">
        <f t="shared" ca="1" si="414"/>
        <v>WPF, w tym</v>
      </c>
      <c r="AK287" s="158" t="str">
        <f t="shared" ca="1" si="442"/>
        <v>C/USN/III/P3/42 90004 6050 GPOS</v>
      </c>
      <c r="AL287" s="158" t="str">
        <f t="shared" ca="1" si="443"/>
        <v>C/USN/III/P3/42 90004 6050 WPF, w tym</v>
      </c>
      <c r="AM287" s="159" t="str">
        <f t="shared" ca="1" si="444"/>
        <v>C/USN/III/P3/42 90004 6050 GPOS WPF, w tym</v>
      </c>
      <c r="AN287" s="160">
        <f t="shared" ca="1" si="415"/>
        <v>588370</v>
      </c>
      <c r="AO287" s="161">
        <f t="shared" ca="1" si="416"/>
        <v>0</v>
      </c>
      <c r="AP287" s="162">
        <f t="shared" ca="1" si="417"/>
        <v>173688</v>
      </c>
      <c r="AQ287" s="163">
        <f t="shared" ca="1" si="418"/>
        <v>414682</v>
      </c>
      <c r="AR287" s="164">
        <f t="shared" ca="1" si="419"/>
        <v>0</v>
      </c>
      <c r="AS287" s="164">
        <f t="shared" ca="1" si="420"/>
        <v>0</v>
      </c>
      <c r="AT287" s="164">
        <f t="shared" ca="1" si="421"/>
        <v>0</v>
      </c>
      <c r="AU287" s="164">
        <f t="shared" ca="1" si="422"/>
        <v>0</v>
      </c>
      <c r="AV287" s="164">
        <f t="shared" ca="1" si="423"/>
        <v>0</v>
      </c>
      <c r="AW287" s="164">
        <f t="shared" ca="1" si="424"/>
        <v>0</v>
      </c>
      <c r="AX287" s="164">
        <f t="shared" ca="1" si="425"/>
        <v>0</v>
      </c>
      <c r="AY287" s="164">
        <f t="shared" ca="1" si="426"/>
        <v>0</v>
      </c>
      <c r="AZ287" s="164">
        <f t="shared" ca="1" si="427"/>
        <v>0</v>
      </c>
      <c r="BA287" s="165" t="str">
        <f t="shared" ca="1" si="428"/>
        <v>nie</v>
      </c>
      <c r="BB287" s="166" t="str">
        <f t="shared" ca="1" si="450"/>
        <v>-</v>
      </c>
      <c r="BC287" s="165" t="str">
        <f t="shared" ca="1" si="445"/>
        <v>nie</v>
      </c>
    </row>
    <row r="288" spans="1:55" ht="14.45" hidden="1" customHeight="1" x14ac:dyDescent="0.25">
      <c r="A288" s="493"/>
      <c r="B288" s="493"/>
      <c r="C288" s="494"/>
      <c r="D288" s="506"/>
      <c r="E288" s="497"/>
      <c r="F288" s="497"/>
      <c r="G288" s="497"/>
      <c r="H288" s="498"/>
      <c r="I288" s="499"/>
      <c r="J288" s="177" t="s">
        <v>95</v>
      </c>
      <c r="K288" s="178">
        <f>SUM(N288:O288)</f>
        <v>0</v>
      </c>
      <c r="L288" s="179"/>
      <c r="M288" s="180"/>
      <c r="N288" s="172">
        <f>SUM(L288:M288)</f>
        <v>0</v>
      </c>
      <c r="O288" s="178">
        <f>SUM(P288:Y288)</f>
        <v>0</v>
      </c>
      <c r="P288" s="181"/>
      <c r="Q288" s="180"/>
      <c r="R288" s="182"/>
      <c r="S288" s="183"/>
      <c r="T288" s="180"/>
      <c r="U288" s="180"/>
      <c r="V288" s="180"/>
      <c r="W288" s="180"/>
      <c r="X288" s="180"/>
      <c r="Y288" s="182"/>
      <c r="Z288" s="149" t="str">
        <f t="shared" ca="1" si="440"/>
        <v>nie</v>
      </c>
      <c r="AA288" s="366"/>
      <c r="AB288" s="150" t="str">
        <f t="shared" ca="1" si="449"/>
        <v>-</v>
      </c>
      <c r="AC288" s="151" t="str">
        <f t="shared" ca="1" si="408"/>
        <v>PRZED ZMIANĄ</v>
      </c>
      <c r="AD288" s="152" t="str">
        <f t="shared" ca="1" si="441"/>
        <v>PRZED ZMIANĄ</v>
      </c>
      <c r="AE288" s="153" t="str">
        <f t="shared" ca="1" si="409"/>
        <v>C/USN/III/P3/42</v>
      </c>
      <c r="AF288" s="154" t="str">
        <f t="shared" ca="1" si="410"/>
        <v>Budowa Parku przy ul. Cynamonowej</v>
      </c>
      <c r="AG288" s="155">
        <f t="shared" ca="1" si="411"/>
        <v>90004</v>
      </c>
      <c r="AH288" s="155" t="str">
        <f t="shared" ca="1" si="412"/>
        <v>6050</v>
      </c>
      <c r="AI288" s="156" t="str">
        <f t="shared" ca="1" si="413"/>
        <v>GPOS</v>
      </c>
      <c r="AJ288" s="157" t="str">
        <f t="shared" ca="1" si="414"/>
        <v>WPF/PM</v>
      </c>
      <c r="AK288" s="158" t="str">
        <f t="shared" ca="1" si="442"/>
        <v>C/USN/III/P3/42 90004 6050 GPOS</v>
      </c>
      <c r="AL288" s="158" t="str">
        <f t="shared" ca="1" si="443"/>
        <v>C/USN/III/P3/42 90004 6050 WPF/PM</v>
      </c>
      <c r="AM288" s="159" t="str">
        <f t="shared" ca="1" si="444"/>
        <v>C/USN/III/P3/42 90004 6050 GPOS WPF/PM</v>
      </c>
      <c r="AN288" s="160">
        <f t="shared" ca="1" si="415"/>
        <v>0</v>
      </c>
      <c r="AO288" s="161">
        <f t="shared" ca="1" si="416"/>
        <v>0</v>
      </c>
      <c r="AP288" s="162">
        <f t="shared" ca="1" si="417"/>
        <v>0</v>
      </c>
      <c r="AQ288" s="163">
        <f t="shared" ca="1" si="418"/>
        <v>0</v>
      </c>
      <c r="AR288" s="164">
        <f t="shared" ca="1" si="419"/>
        <v>0</v>
      </c>
      <c r="AS288" s="164">
        <f t="shared" ca="1" si="420"/>
        <v>0</v>
      </c>
      <c r="AT288" s="164">
        <f t="shared" ca="1" si="421"/>
        <v>0</v>
      </c>
      <c r="AU288" s="164">
        <f t="shared" ca="1" si="422"/>
        <v>0</v>
      </c>
      <c r="AV288" s="164">
        <f t="shared" ca="1" si="423"/>
        <v>0</v>
      </c>
      <c r="AW288" s="164">
        <f t="shared" ca="1" si="424"/>
        <v>0</v>
      </c>
      <c r="AX288" s="164">
        <f t="shared" ca="1" si="425"/>
        <v>0</v>
      </c>
      <c r="AY288" s="164">
        <f t="shared" ca="1" si="426"/>
        <v>0</v>
      </c>
      <c r="AZ288" s="164">
        <f t="shared" ca="1" si="427"/>
        <v>0</v>
      </c>
      <c r="BA288" s="165" t="str">
        <f t="shared" ca="1" si="428"/>
        <v>nie</v>
      </c>
      <c r="BB288" s="166" t="str">
        <f t="shared" ca="1" si="450"/>
        <v>-</v>
      </c>
      <c r="BC288" s="165" t="str">
        <f t="shared" ca="1" si="445"/>
        <v>nie</v>
      </c>
    </row>
    <row r="289" spans="1:55" ht="14.45" hidden="1" customHeight="1" x14ac:dyDescent="0.25">
      <c r="A289" s="493"/>
      <c r="B289" s="493"/>
      <c r="C289" s="494"/>
      <c r="D289" s="506"/>
      <c r="E289" s="497"/>
      <c r="F289" s="497"/>
      <c r="G289" s="497"/>
      <c r="H289" s="498"/>
      <c r="I289" s="499"/>
      <c r="J289" s="177" t="s">
        <v>96</v>
      </c>
      <c r="K289" s="178">
        <f>SUM(N289:O289)</f>
        <v>588370</v>
      </c>
      <c r="L289" s="179"/>
      <c r="M289" s="180">
        <v>173688</v>
      </c>
      <c r="N289" s="172">
        <f>SUM(L289:M289)</f>
        <v>173688</v>
      </c>
      <c r="O289" s="178">
        <f>SUM(P289:Y289)</f>
        <v>414682</v>
      </c>
      <c r="P289" s="181">
        <v>414682</v>
      </c>
      <c r="Q289" s="180"/>
      <c r="R289" s="182"/>
      <c r="S289" s="183"/>
      <c r="T289" s="180"/>
      <c r="U289" s="180"/>
      <c r="V289" s="180"/>
      <c r="W289" s="180"/>
      <c r="X289" s="180"/>
      <c r="Y289" s="182"/>
      <c r="Z289" s="149" t="str">
        <f t="shared" ca="1" si="440"/>
        <v>nie</v>
      </c>
      <c r="AA289" s="366"/>
      <c r="AB289" s="150" t="str">
        <f t="shared" ca="1" si="449"/>
        <v>-</v>
      </c>
      <c r="AC289" s="151" t="str">
        <f t="shared" ca="1" si="408"/>
        <v>PRZED ZMIANĄ</v>
      </c>
      <c r="AD289" s="152" t="str">
        <f t="shared" ca="1" si="441"/>
        <v>PRZED ZMIANĄ</v>
      </c>
      <c r="AE289" s="153" t="str">
        <f t="shared" ca="1" si="409"/>
        <v>C/USN/III/P3/42</v>
      </c>
      <c r="AF289" s="154" t="str">
        <f t="shared" ca="1" si="410"/>
        <v>Budowa Parku przy ul. Cynamonowej</v>
      </c>
      <c r="AG289" s="155">
        <f t="shared" ca="1" si="411"/>
        <v>90004</v>
      </c>
      <c r="AH289" s="155" t="str">
        <f t="shared" ca="1" si="412"/>
        <v>6050</v>
      </c>
      <c r="AI289" s="156" t="str">
        <f t="shared" ca="1" si="413"/>
        <v>GPOS</v>
      </c>
      <c r="AJ289" s="157" t="str">
        <f t="shared" ca="1" si="414"/>
        <v>WPF/UM</v>
      </c>
      <c r="AK289" s="158" t="str">
        <f t="shared" ca="1" si="442"/>
        <v>C/USN/III/P3/42 90004 6050 GPOS</v>
      </c>
      <c r="AL289" s="158" t="str">
        <f t="shared" ca="1" si="443"/>
        <v>C/USN/III/P3/42 90004 6050 WPF/UM</v>
      </c>
      <c r="AM289" s="159" t="str">
        <f t="shared" ca="1" si="444"/>
        <v>C/USN/III/P3/42 90004 6050 GPOS WPF/UM</v>
      </c>
      <c r="AN289" s="160">
        <f t="shared" ca="1" si="415"/>
        <v>588370</v>
      </c>
      <c r="AO289" s="161">
        <f t="shared" ca="1" si="416"/>
        <v>0</v>
      </c>
      <c r="AP289" s="162">
        <f t="shared" ca="1" si="417"/>
        <v>173688</v>
      </c>
      <c r="AQ289" s="163">
        <f t="shared" ca="1" si="418"/>
        <v>414682</v>
      </c>
      <c r="AR289" s="164">
        <f t="shared" ca="1" si="419"/>
        <v>0</v>
      </c>
      <c r="AS289" s="164">
        <f t="shared" ca="1" si="420"/>
        <v>0</v>
      </c>
      <c r="AT289" s="164">
        <f t="shared" ca="1" si="421"/>
        <v>0</v>
      </c>
      <c r="AU289" s="164">
        <f t="shared" ca="1" si="422"/>
        <v>0</v>
      </c>
      <c r="AV289" s="164">
        <f t="shared" ca="1" si="423"/>
        <v>0</v>
      </c>
      <c r="AW289" s="164">
        <f t="shared" ca="1" si="424"/>
        <v>0</v>
      </c>
      <c r="AX289" s="164">
        <f t="shared" ca="1" si="425"/>
        <v>0</v>
      </c>
      <c r="AY289" s="164">
        <f t="shared" ca="1" si="426"/>
        <v>0</v>
      </c>
      <c r="AZ289" s="164">
        <f t="shared" ca="1" si="427"/>
        <v>0</v>
      </c>
      <c r="BA289" s="165" t="str">
        <f t="shared" ca="1" si="428"/>
        <v>nie</v>
      </c>
      <c r="BB289" s="166" t="str">
        <f t="shared" ca="1" si="450"/>
        <v>-</v>
      </c>
      <c r="BC289" s="165" t="str">
        <f t="shared" ca="1" si="445"/>
        <v>nie</v>
      </c>
    </row>
    <row r="290" spans="1:55" ht="14.45" hidden="1" customHeight="1" x14ac:dyDescent="0.25">
      <c r="A290" s="185" t="s">
        <v>97</v>
      </c>
      <c r="B290" s="186"/>
      <c r="C290" s="187"/>
      <c r="D290" s="186"/>
      <c r="E290" s="186"/>
      <c r="F290" s="186"/>
      <c r="G290" s="186"/>
      <c r="H290" s="186"/>
      <c r="I290" s="186"/>
      <c r="J290" s="186"/>
      <c r="K290" s="186"/>
      <c r="L290" s="186"/>
      <c r="M290" s="186"/>
      <c r="N290" s="186"/>
      <c r="O290" s="186"/>
      <c r="P290" s="186"/>
      <c r="Q290" s="186"/>
      <c r="R290" s="188"/>
      <c r="S290" s="189"/>
      <c r="T290" s="189"/>
      <c r="U290" s="189"/>
      <c r="V290" s="189"/>
      <c r="W290" s="189"/>
      <c r="X290" s="189"/>
      <c r="Y290" s="190"/>
      <c r="Z290" s="149" t="str">
        <f t="shared" ca="1" si="440"/>
        <v>nie</v>
      </c>
      <c r="AA290" s="366"/>
      <c r="AB290" s="150" t="str">
        <f t="shared" ca="1" si="449"/>
        <v>-</v>
      </c>
      <c r="AC290" s="151" t="str">
        <f t="shared" ca="1" si="408"/>
        <v>PROPONOWANA ZMIANA</v>
      </c>
      <c r="AD290" s="152" t="str">
        <f t="shared" ca="1" si="441"/>
        <v/>
      </c>
      <c r="AE290" s="153" t="str">
        <f t="shared" ca="1" si="409"/>
        <v/>
      </c>
      <c r="AF290" s="154" t="str">
        <f t="shared" ca="1" si="410"/>
        <v/>
      </c>
      <c r="AG290" s="155" t="str">
        <f t="shared" ca="1" si="411"/>
        <v/>
      </c>
      <c r="AH290" s="155" t="str">
        <f t="shared" ca="1" si="412"/>
        <v/>
      </c>
      <c r="AI290" s="156" t="str">
        <f t="shared" ca="1" si="413"/>
        <v/>
      </c>
      <c r="AJ290" s="157" t="str">
        <f t="shared" ca="1" si="414"/>
        <v/>
      </c>
      <c r="AK290" s="158" t="str">
        <f t="shared" ca="1" si="442"/>
        <v/>
      </c>
      <c r="AL290" s="158" t="str">
        <f t="shared" ca="1" si="443"/>
        <v/>
      </c>
      <c r="AM290" s="159" t="str">
        <f t="shared" ca="1" si="444"/>
        <v/>
      </c>
      <c r="AN290" s="160" t="str">
        <f t="shared" ca="1" si="415"/>
        <v/>
      </c>
      <c r="AO290" s="161" t="str">
        <f t="shared" ca="1" si="416"/>
        <v/>
      </c>
      <c r="AP290" s="162" t="str">
        <f t="shared" ca="1" si="417"/>
        <v/>
      </c>
      <c r="AQ290" s="163" t="str">
        <f t="shared" ca="1" si="418"/>
        <v/>
      </c>
      <c r="AR290" s="164" t="str">
        <f t="shared" ca="1" si="419"/>
        <v/>
      </c>
      <c r="AS290" s="164" t="str">
        <f t="shared" ca="1" si="420"/>
        <v/>
      </c>
      <c r="AT290" s="164" t="str">
        <f t="shared" ca="1" si="421"/>
        <v/>
      </c>
      <c r="AU290" s="164" t="str">
        <f t="shared" ca="1" si="422"/>
        <v/>
      </c>
      <c r="AV290" s="164" t="str">
        <f t="shared" ca="1" si="423"/>
        <v/>
      </c>
      <c r="AW290" s="164" t="str">
        <f t="shared" ca="1" si="424"/>
        <v/>
      </c>
      <c r="AX290" s="164" t="str">
        <f t="shared" ca="1" si="425"/>
        <v/>
      </c>
      <c r="AY290" s="164" t="str">
        <f t="shared" ca="1" si="426"/>
        <v/>
      </c>
      <c r="AZ290" s="164" t="str">
        <f t="shared" ca="1" si="427"/>
        <v/>
      </c>
      <c r="BA290" s="165" t="str">
        <f t="shared" ca="1" si="428"/>
        <v>nie</v>
      </c>
      <c r="BB290" s="166" t="str">
        <f t="shared" ca="1" si="450"/>
        <v>-</v>
      </c>
      <c r="BC290" s="165" t="str">
        <f t="shared" ca="1" si="445"/>
        <v>nie</v>
      </c>
    </row>
    <row r="291" spans="1:55" ht="14.45" hidden="1" customHeight="1" x14ac:dyDescent="0.25">
      <c r="A291" s="493" t="s">
        <v>24</v>
      </c>
      <c r="B291" s="493" t="s">
        <v>133</v>
      </c>
      <c r="C291" s="494" t="s">
        <v>140</v>
      </c>
      <c r="D291" s="505" t="s">
        <v>141</v>
      </c>
      <c r="E291" s="497">
        <v>900</v>
      </c>
      <c r="F291" s="497">
        <v>90004</v>
      </c>
      <c r="G291" s="497">
        <v>6050</v>
      </c>
      <c r="H291" s="507">
        <v>2023</v>
      </c>
      <c r="I291" s="499" t="str">
        <f ca="1">IF(COUNTIF(OFFSET(I291,-1,-8),"*propon*")&gt;0,OFFSET(I291,4,0),IF(Y291&gt;0,"2033",IF(X291&gt;0,"2032",IF(W291&gt;0,"2031",IF(V291&gt;0,"2030",IF(U291&gt;0,"2029",IF(T291&gt;0,"2028",IF(S291&gt;0,"2027",IF(R291&gt;0,"2026",IF(Q291&gt;0,"2025",IF(P291&gt;0,"2024",IF(M291&gt;0,"2023",IF(L291&gt;0,"2022","")))))))))))))</f>
        <v>2024</v>
      </c>
      <c r="J291" s="168" t="s">
        <v>98</v>
      </c>
      <c r="K291" s="169">
        <f>SUM(N291:O291)</f>
        <v>0</v>
      </c>
      <c r="L291" s="170">
        <f t="shared" ref="L291:M291" si="476">SUM(L292:L293)</f>
        <v>0</v>
      </c>
      <c r="M291" s="171">
        <f t="shared" si="476"/>
        <v>0</v>
      </c>
      <c r="N291" s="172">
        <f>SUM(L291:M291)</f>
        <v>0</v>
      </c>
      <c r="O291" s="169">
        <f>SUM(P291:Y291)</f>
        <v>0</v>
      </c>
      <c r="P291" s="173">
        <f t="shared" ref="P291:R291" si="477">SUM(P292:P293)</f>
        <v>0</v>
      </c>
      <c r="Q291" s="171">
        <f t="shared" si="477"/>
        <v>0</v>
      </c>
      <c r="R291" s="174">
        <f t="shared" si="477"/>
        <v>0</v>
      </c>
      <c r="S291" s="175">
        <f t="shared" ref="S291:Y291" si="478">SUM(S292:S293)</f>
        <v>0</v>
      </c>
      <c r="T291" s="171">
        <f t="shared" si="478"/>
        <v>0</v>
      </c>
      <c r="U291" s="171">
        <f t="shared" si="478"/>
        <v>0</v>
      </c>
      <c r="V291" s="171">
        <f t="shared" si="478"/>
        <v>0</v>
      </c>
      <c r="W291" s="171">
        <f t="shared" si="478"/>
        <v>0</v>
      </c>
      <c r="X291" s="171">
        <f t="shared" si="478"/>
        <v>0</v>
      </c>
      <c r="Y291" s="174">
        <f t="shared" si="478"/>
        <v>0</v>
      </c>
      <c r="Z291" s="149" t="str">
        <f t="shared" ca="1" si="440"/>
        <v>nie</v>
      </c>
      <c r="AA291" s="366"/>
      <c r="AB291" s="150" t="str">
        <f t="shared" ca="1" si="449"/>
        <v>-</v>
      </c>
      <c r="AC291" s="151" t="str">
        <f t="shared" ca="1" si="408"/>
        <v>PROPONOWANA ZMIANA</v>
      </c>
      <c r="AD291" s="152" t="str">
        <f t="shared" ca="1" si="441"/>
        <v>PROPONOWANA ZMIANA</v>
      </c>
      <c r="AE291" s="153" t="str">
        <f t="shared" ca="1" si="409"/>
        <v>C/USN/III/P3/42</v>
      </c>
      <c r="AF291" s="154" t="str">
        <f t="shared" ca="1" si="410"/>
        <v>Budowa Parku przy ul. Cynamonowej</v>
      </c>
      <c r="AG291" s="155">
        <f t="shared" ca="1" si="411"/>
        <v>90004</v>
      </c>
      <c r="AH291" s="155" t="str">
        <f t="shared" ca="1" si="412"/>
        <v>6050</v>
      </c>
      <c r="AI291" s="156" t="str">
        <f t="shared" ca="1" si="413"/>
        <v>GPOS</v>
      </c>
      <c r="AJ291" s="157" t="str">
        <f t="shared" ca="1" si="414"/>
        <v>WPF, w tym</v>
      </c>
      <c r="AK291" s="158" t="str">
        <f t="shared" ca="1" si="442"/>
        <v>C/USN/III/P3/42 90004 6050 GPOS</v>
      </c>
      <c r="AL291" s="158" t="str">
        <f t="shared" ca="1" si="443"/>
        <v>C/USN/III/P3/42 90004 6050 WPF, w tym</v>
      </c>
      <c r="AM291" s="159" t="str">
        <f t="shared" ca="1" si="444"/>
        <v>C/USN/III/P3/42 90004 6050 GPOS WPF, w tym</v>
      </c>
      <c r="AN291" s="160">
        <f t="shared" ca="1" si="415"/>
        <v>0</v>
      </c>
      <c r="AO291" s="161">
        <f t="shared" ca="1" si="416"/>
        <v>0</v>
      </c>
      <c r="AP291" s="162">
        <f t="shared" ca="1" si="417"/>
        <v>0</v>
      </c>
      <c r="AQ291" s="163">
        <f t="shared" ca="1" si="418"/>
        <v>0</v>
      </c>
      <c r="AR291" s="164">
        <f t="shared" ca="1" si="419"/>
        <v>0</v>
      </c>
      <c r="AS291" s="164">
        <f t="shared" ca="1" si="420"/>
        <v>0</v>
      </c>
      <c r="AT291" s="164">
        <f t="shared" ca="1" si="421"/>
        <v>0</v>
      </c>
      <c r="AU291" s="164">
        <f t="shared" ca="1" si="422"/>
        <v>0</v>
      </c>
      <c r="AV291" s="164">
        <f t="shared" ca="1" si="423"/>
        <v>0</v>
      </c>
      <c r="AW291" s="164">
        <f t="shared" ca="1" si="424"/>
        <v>0</v>
      </c>
      <c r="AX291" s="164">
        <f t="shared" ca="1" si="425"/>
        <v>0</v>
      </c>
      <c r="AY291" s="164">
        <f t="shared" ca="1" si="426"/>
        <v>0</v>
      </c>
      <c r="AZ291" s="164">
        <f t="shared" ca="1" si="427"/>
        <v>0</v>
      </c>
      <c r="BA291" s="165" t="str">
        <f t="shared" ca="1" si="428"/>
        <v>nie</v>
      </c>
      <c r="BB291" s="166" t="str">
        <f t="shared" ca="1" si="450"/>
        <v>-</v>
      </c>
      <c r="BC291" s="165" t="str">
        <f t="shared" ca="1" si="445"/>
        <v>nie</v>
      </c>
    </row>
    <row r="292" spans="1:55" ht="14.45" hidden="1" customHeight="1" x14ac:dyDescent="0.25">
      <c r="A292" s="493"/>
      <c r="B292" s="493"/>
      <c r="C292" s="494"/>
      <c r="D292" s="506"/>
      <c r="E292" s="497"/>
      <c r="F292" s="497"/>
      <c r="G292" s="497"/>
      <c r="H292" s="498"/>
      <c r="I292" s="499"/>
      <c r="J292" s="177" t="s">
        <v>99</v>
      </c>
      <c r="K292" s="178">
        <f>SUM(N292:O292)</f>
        <v>0</v>
      </c>
      <c r="L292" s="179">
        <f t="shared" ref="L292:M292" si="479">L296-L288</f>
        <v>0</v>
      </c>
      <c r="M292" s="180">
        <f t="shared" si="479"/>
        <v>0</v>
      </c>
      <c r="N292" s="172">
        <f>SUM(L292:M292)</f>
        <v>0</v>
      </c>
      <c r="O292" s="178">
        <f>SUM(P292:Y292)</f>
        <v>0</v>
      </c>
      <c r="P292" s="181">
        <f t="shared" ref="P292:R292" si="480">P296-P288</f>
        <v>0</v>
      </c>
      <c r="Q292" s="180">
        <f t="shared" si="480"/>
        <v>0</v>
      </c>
      <c r="R292" s="182">
        <f t="shared" si="480"/>
        <v>0</v>
      </c>
      <c r="S292" s="183">
        <f t="shared" ref="S292:Y293" si="481">S296-S288</f>
        <v>0</v>
      </c>
      <c r="T292" s="180">
        <f t="shared" si="481"/>
        <v>0</v>
      </c>
      <c r="U292" s="180">
        <f t="shared" si="481"/>
        <v>0</v>
      </c>
      <c r="V292" s="180">
        <f t="shared" si="481"/>
        <v>0</v>
      </c>
      <c r="W292" s="180">
        <f t="shared" si="481"/>
        <v>0</v>
      </c>
      <c r="X292" s="180">
        <f t="shared" si="481"/>
        <v>0</v>
      </c>
      <c r="Y292" s="182">
        <f t="shared" si="481"/>
        <v>0</v>
      </c>
      <c r="Z292" s="149" t="str">
        <f t="shared" ca="1" si="440"/>
        <v>nie</v>
      </c>
      <c r="AA292" s="366"/>
      <c r="AB292" s="150" t="str">
        <f t="shared" ca="1" si="449"/>
        <v>-</v>
      </c>
      <c r="AC292" s="151" t="str">
        <f t="shared" ca="1" si="408"/>
        <v>PROPONOWANA ZMIANA</v>
      </c>
      <c r="AD292" s="152" t="str">
        <f t="shared" ca="1" si="441"/>
        <v>PROPONOWANA ZMIANA</v>
      </c>
      <c r="AE292" s="153" t="str">
        <f t="shared" ca="1" si="409"/>
        <v>C/USN/III/P3/42</v>
      </c>
      <c r="AF292" s="154" t="str">
        <f t="shared" ca="1" si="410"/>
        <v>Budowa Parku przy ul. Cynamonowej</v>
      </c>
      <c r="AG292" s="155">
        <f t="shared" ca="1" si="411"/>
        <v>90004</v>
      </c>
      <c r="AH292" s="155" t="str">
        <f t="shared" ca="1" si="412"/>
        <v>6050</v>
      </c>
      <c r="AI292" s="156" t="str">
        <f t="shared" ca="1" si="413"/>
        <v>GPOS</v>
      </c>
      <c r="AJ292" s="157" t="str">
        <f t="shared" ca="1" si="414"/>
        <v>WPF/PM</v>
      </c>
      <c r="AK292" s="158" t="str">
        <f t="shared" ca="1" si="442"/>
        <v>C/USN/III/P3/42 90004 6050 GPOS</v>
      </c>
      <c r="AL292" s="158" t="str">
        <f t="shared" ca="1" si="443"/>
        <v>C/USN/III/P3/42 90004 6050 WPF/PM</v>
      </c>
      <c r="AM292" s="159" t="str">
        <f t="shared" ca="1" si="444"/>
        <v>C/USN/III/P3/42 90004 6050 GPOS WPF/PM</v>
      </c>
      <c r="AN292" s="160">
        <f t="shared" ca="1" si="415"/>
        <v>0</v>
      </c>
      <c r="AO292" s="161">
        <f t="shared" ca="1" si="416"/>
        <v>0</v>
      </c>
      <c r="AP292" s="162">
        <f t="shared" ca="1" si="417"/>
        <v>0</v>
      </c>
      <c r="AQ292" s="163">
        <f t="shared" ca="1" si="418"/>
        <v>0</v>
      </c>
      <c r="AR292" s="164">
        <f t="shared" ca="1" si="419"/>
        <v>0</v>
      </c>
      <c r="AS292" s="164">
        <f t="shared" ca="1" si="420"/>
        <v>0</v>
      </c>
      <c r="AT292" s="164">
        <f t="shared" ca="1" si="421"/>
        <v>0</v>
      </c>
      <c r="AU292" s="164">
        <f t="shared" ca="1" si="422"/>
        <v>0</v>
      </c>
      <c r="AV292" s="164">
        <f t="shared" ca="1" si="423"/>
        <v>0</v>
      </c>
      <c r="AW292" s="164">
        <f t="shared" ca="1" si="424"/>
        <v>0</v>
      </c>
      <c r="AX292" s="164">
        <f t="shared" ca="1" si="425"/>
        <v>0</v>
      </c>
      <c r="AY292" s="164">
        <f t="shared" ca="1" si="426"/>
        <v>0</v>
      </c>
      <c r="AZ292" s="164">
        <f t="shared" ca="1" si="427"/>
        <v>0</v>
      </c>
      <c r="BA292" s="165" t="str">
        <f t="shared" ca="1" si="428"/>
        <v>nie</v>
      </c>
      <c r="BB292" s="166" t="str">
        <f t="shared" ca="1" si="450"/>
        <v>-</v>
      </c>
      <c r="BC292" s="165" t="str">
        <f t="shared" ca="1" si="445"/>
        <v>nie</v>
      </c>
    </row>
    <row r="293" spans="1:55" ht="14.45" hidden="1" customHeight="1" x14ac:dyDescent="0.25">
      <c r="A293" s="493"/>
      <c r="B293" s="493"/>
      <c r="C293" s="494"/>
      <c r="D293" s="506"/>
      <c r="E293" s="497"/>
      <c r="F293" s="497"/>
      <c r="G293" s="497"/>
      <c r="H293" s="498"/>
      <c r="I293" s="499"/>
      <c r="J293" s="177" t="s">
        <v>100</v>
      </c>
      <c r="K293" s="178">
        <f>SUM(N293:O293)</f>
        <v>0</v>
      </c>
      <c r="L293" s="179">
        <f t="shared" ref="L293:M293" si="482">L297-L289</f>
        <v>0</v>
      </c>
      <c r="M293" s="180">
        <f t="shared" si="482"/>
        <v>0</v>
      </c>
      <c r="N293" s="172">
        <f>SUM(L293:M293)</f>
        <v>0</v>
      </c>
      <c r="O293" s="178">
        <f>SUM(P293:Y293)</f>
        <v>0</v>
      </c>
      <c r="P293" s="181">
        <f t="shared" ref="P293:R293" si="483">P297-P289</f>
        <v>0</v>
      </c>
      <c r="Q293" s="180">
        <f t="shared" si="483"/>
        <v>0</v>
      </c>
      <c r="R293" s="182">
        <f t="shared" si="483"/>
        <v>0</v>
      </c>
      <c r="S293" s="183">
        <f t="shared" si="481"/>
        <v>0</v>
      </c>
      <c r="T293" s="180">
        <f t="shared" si="481"/>
        <v>0</v>
      </c>
      <c r="U293" s="180">
        <f t="shared" si="481"/>
        <v>0</v>
      </c>
      <c r="V293" s="180">
        <f t="shared" si="481"/>
        <v>0</v>
      </c>
      <c r="W293" s="180">
        <f t="shared" si="481"/>
        <v>0</v>
      </c>
      <c r="X293" s="180">
        <f t="shared" si="481"/>
        <v>0</v>
      </c>
      <c r="Y293" s="182">
        <f t="shared" si="481"/>
        <v>0</v>
      </c>
      <c r="Z293" s="149" t="str">
        <f t="shared" ca="1" si="440"/>
        <v>nie</v>
      </c>
      <c r="AA293" s="366"/>
      <c r="AB293" s="150" t="str">
        <f t="shared" ca="1" si="449"/>
        <v>-</v>
      </c>
      <c r="AC293" s="151" t="str">
        <f t="shared" ca="1" si="408"/>
        <v>PROPONOWANA ZMIANA</v>
      </c>
      <c r="AD293" s="152" t="str">
        <f t="shared" ca="1" si="441"/>
        <v>PROPONOWANA ZMIANA</v>
      </c>
      <c r="AE293" s="153" t="str">
        <f t="shared" ca="1" si="409"/>
        <v>C/USN/III/P3/42</v>
      </c>
      <c r="AF293" s="154" t="str">
        <f t="shared" ca="1" si="410"/>
        <v>Budowa Parku przy ul. Cynamonowej</v>
      </c>
      <c r="AG293" s="155">
        <f t="shared" ca="1" si="411"/>
        <v>90004</v>
      </c>
      <c r="AH293" s="155" t="str">
        <f t="shared" ca="1" si="412"/>
        <v>6050</v>
      </c>
      <c r="AI293" s="156" t="str">
        <f t="shared" ca="1" si="413"/>
        <v>GPOS</v>
      </c>
      <c r="AJ293" s="157" t="str">
        <f t="shared" ca="1" si="414"/>
        <v>WPF/UM</v>
      </c>
      <c r="AK293" s="158" t="str">
        <f t="shared" ca="1" si="442"/>
        <v>C/USN/III/P3/42 90004 6050 GPOS</v>
      </c>
      <c r="AL293" s="158" t="str">
        <f t="shared" ca="1" si="443"/>
        <v>C/USN/III/P3/42 90004 6050 WPF/UM</v>
      </c>
      <c r="AM293" s="159" t="str">
        <f t="shared" ca="1" si="444"/>
        <v>C/USN/III/P3/42 90004 6050 GPOS WPF/UM</v>
      </c>
      <c r="AN293" s="160">
        <f t="shared" ca="1" si="415"/>
        <v>0</v>
      </c>
      <c r="AO293" s="161">
        <f t="shared" ca="1" si="416"/>
        <v>0</v>
      </c>
      <c r="AP293" s="162">
        <f t="shared" ca="1" si="417"/>
        <v>0</v>
      </c>
      <c r="AQ293" s="163">
        <f t="shared" ca="1" si="418"/>
        <v>0</v>
      </c>
      <c r="AR293" s="164">
        <f t="shared" ca="1" si="419"/>
        <v>0</v>
      </c>
      <c r="AS293" s="164">
        <f t="shared" ca="1" si="420"/>
        <v>0</v>
      </c>
      <c r="AT293" s="164">
        <f t="shared" ca="1" si="421"/>
        <v>0</v>
      </c>
      <c r="AU293" s="164">
        <f t="shared" ca="1" si="422"/>
        <v>0</v>
      </c>
      <c r="AV293" s="164">
        <f t="shared" ca="1" si="423"/>
        <v>0</v>
      </c>
      <c r="AW293" s="164">
        <f t="shared" ca="1" si="424"/>
        <v>0</v>
      </c>
      <c r="AX293" s="164">
        <f t="shared" ca="1" si="425"/>
        <v>0</v>
      </c>
      <c r="AY293" s="164">
        <f t="shared" ca="1" si="426"/>
        <v>0</v>
      </c>
      <c r="AZ293" s="164">
        <f t="shared" ca="1" si="427"/>
        <v>0</v>
      </c>
      <c r="BA293" s="165" t="str">
        <f t="shared" ca="1" si="428"/>
        <v>nie</v>
      </c>
      <c r="BB293" s="166" t="str">
        <f t="shared" ca="1" si="450"/>
        <v>-</v>
      </c>
      <c r="BC293" s="165" t="str">
        <f t="shared" ca="1" si="445"/>
        <v>nie</v>
      </c>
    </row>
    <row r="294" spans="1:55" ht="14.45" hidden="1" customHeight="1" x14ac:dyDescent="0.25">
      <c r="A294" s="191" t="s">
        <v>101</v>
      </c>
      <c r="B294" s="192"/>
      <c r="C294" s="193"/>
      <c r="D294" s="192"/>
      <c r="E294" s="192"/>
      <c r="F294" s="192"/>
      <c r="G294" s="192"/>
      <c r="H294" s="192"/>
      <c r="I294" s="192"/>
      <c r="J294" s="192"/>
      <c r="K294" s="192"/>
      <c r="L294" s="192"/>
      <c r="M294" s="192"/>
      <c r="N294" s="192"/>
      <c r="O294" s="192"/>
      <c r="P294" s="192"/>
      <c r="Q294" s="192"/>
      <c r="R294" s="194"/>
      <c r="S294" s="195"/>
      <c r="T294" s="195"/>
      <c r="U294" s="195"/>
      <c r="V294" s="195"/>
      <c r="W294" s="195"/>
      <c r="X294" s="195"/>
      <c r="Y294" s="196"/>
      <c r="Z294" s="149" t="str">
        <f t="shared" ca="1" si="440"/>
        <v>nie</v>
      </c>
      <c r="AA294" s="366"/>
      <c r="AB294" s="150" t="str">
        <f t="shared" ca="1" si="449"/>
        <v>-</v>
      </c>
      <c r="AC294" s="151" t="str">
        <f t="shared" ca="1" si="408"/>
        <v>PO ZMIANIE</v>
      </c>
      <c r="AD294" s="152" t="str">
        <f t="shared" ca="1" si="441"/>
        <v/>
      </c>
      <c r="AE294" s="153" t="str">
        <f t="shared" ca="1" si="409"/>
        <v/>
      </c>
      <c r="AF294" s="154" t="str">
        <f t="shared" ca="1" si="410"/>
        <v/>
      </c>
      <c r="AG294" s="155" t="str">
        <f t="shared" ca="1" si="411"/>
        <v/>
      </c>
      <c r="AH294" s="155" t="str">
        <f t="shared" ca="1" si="412"/>
        <v/>
      </c>
      <c r="AI294" s="156" t="str">
        <f t="shared" ca="1" si="413"/>
        <v/>
      </c>
      <c r="AJ294" s="157" t="str">
        <f t="shared" ca="1" si="414"/>
        <v/>
      </c>
      <c r="AK294" s="158" t="str">
        <f t="shared" ca="1" si="442"/>
        <v/>
      </c>
      <c r="AL294" s="158" t="str">
        <f t="shared" ca="1" si="443"/>
        <v/>
      </c>
      <c r="AM294" s="159" t="str">
        <f t="shared" ca="1" si="444"/>
        <v/>
      </c>
      <c r="AN294" s="160" t="str">
        <f t="shared" ca="1" si="415"/>
        <v/>
      </c>
      <c r="AO294" s="161" t="str">
        <f t="shared" ca="1" si="416"/>
        <v/>
      </c>
      <c r="AP294" s="162" t="str">
        <f t="shared" ca="1" si="417"/>
        <v/>
      </c>
      <c r="AQ294" s="163" t="str">
        <f t="shared" ca="1" si="418"/>
        <v/>
      </c>
      <c r="AR294" s="164" t="str">
        <f t="shared" ca="1" si="419"/>
        <v/>
      </c>
      <c r="AS294" s="164" t="str">
        <f t="shared" ca="1" si="420"/>
        <v/>
      </c>
      <c r="AT294" s="164" t="str">
        <f t="shared" ca="1" si="421"/>
        <v/>
      </c>
      <c r="AU294" s="164" t="str">
        <f t="shared" ca="1" si="422"/>
        <v/>
      </c>
      <c r="AV294" s="164" t="str">
        <f t="shared" ca="1" si="423"/>
        <v/>
      </c>
      <c r="AW294" s="164" t="str">
        <f t="shared" ca="1" si="424"/>
        <v/>
      </c>
      <c r="AX294" s="164" t="str">
        <f t="shared" ca="1" si="425"/>
        <v/>
      </c>
      <c r="AY294" s="164" t="str">
        <f t="shared" ca="1" si="426"/>
        <v/>
      </c>
      <c r="AZ294" s="164" t="str">
        <f t="shared" ca="1" si="427"/>
        <v/>
      </c>
      <c r="BA294" s="165" t="str">
        <f t="shared" ca="1" si="428"/>
        <v>nie</v>
      </c>
      <c r="BB294" s="166" t="str">
        <f t="shared" ca="1" si="450"/>
        <v>-</v>
      </c>
      <c r="BC294" s="165" t="str">
        <f t="shared" ca="1" si="445"/>
        <v>nie</v>
      </c>
    </row>
    <row r="295" spans="1:55" ht="14.45" hidden="1" customHeight="1" x14ac:dyDescent="0.25">
      <c r="A295" s="493" t="s">
        <v>24</v>
      </c>
      <c r="B295" s="493" t="s">
        <v>133</v>
      </c>
      <c r="C295" s="494" t="s">
        <v>140</v>
      </c>
      <c r="D295" s="505" t="s">
        <v>141</v>
      </c>
      <c r="E295" s="497">
        <v>900</v>
      </c>
      <c r="F295" s="497">
        <v>90004</v>
      </c>
      <c r="G295" s="497">
        <v>6050</v>
      </c>
      <c r="H295" s="507">
        <v>2023</v>
      </c>
      <c r="I295" s="499" t="str">
        <f ca="1">IF(COUNTIF(OFFSET(I295,-1,-8),"*propon*")&gt;0,OFFSET(I295,4,0),IF(Y295&gt;0,"2033",IF(X295&gt;0,"2032",IF(W295&gt;0,"2031",IF(V295&gt;0,"2030",IF(U295&gt;0,"2029",IF(T295&gt;0,"2028",IF(S295&gt;0,"2027",IF(R295&gt;0,"2026",IF(Q295&gt;0,"2025",IF(P295&gt;0,"2024",IF(M295&gt;0,"2023",IF(L295&gt;0,"2022","")))))))))))))</f>
        <v>2024</v>
      </c>
      <c r="J295" s="168" t="s">
        <v>102</v>
      </c>
      <c r="K295" s="169">
        <f>SUM(N295:O295)</f>
        <v>588370</v>
      </c>
      <c r="L295" s="170">
        <f t="shared" ref="L295:M295" si="484">SUM(L296:L297)</f>
        <v>0</v>
      </c>
      <c r="M295" s="171">
        <f t="shared" si="484"/>
        <v>173688</v>
      </c>
      <c r="N295" s="172">
        <f>SUM(L295:M295)</f>
        <v>173688</v>
      </c>
      <c r="O295" s="169">
        <f>SUM(P295:Y295)</f>
        <v>414682</v>
      </c>
      <c r="P295" s="173">
        <f t="shared" ref="P295:R295" si="485">SUM(P296:P297)</f>
        <v>414682</v>
      </c>
      <c r="Q295" s="171">
        <f t="shared" si="485"/>
        <v>0</v>
      </c>
      <c r="R295" s="174">
        <f t="shared" si="485"/>
        <v>0</v>
      </c>
      <c r="S295" s="175">
        <f t="shared" ref="S295:Y295" si="486">SUM(S296:S297)</f>
        <v>0</v>
      </c>
      <c r="T295" s="171">
        <f t="shared" si="486"/>
        <v>0</v>
      </c>
      <c r="U295" s="171">
        <f t="shared" si="486"/>
        <v>0</v>
      </c>
      <c r="V295" s="171">
        <f t="shared" si="486"/>
        <v>0</v>
      </c>
      <c r="W295" s="171">
        <f t="shared" si="486"/>
        <v>0</v>
      </c>
      <c r="X295" s="171">
        <f t="shared" si="486"/>
        <v>0</v>
      </c>
      <c r="Y295" s="174">
        <f t="shared" si="486"/>
        <v>0</v>
      </c>
      <c r="Z295" s="149" t="str">
        <f t="shared" ca="1" si="440"/>
        <v>nie</v>
      </c>
      <c r="AA295" s="366"/>
      <c r="AB295" s="150" t="str">
        <f t="shared" ca="1" si="449"/>
        <v>-</v>
      </c>
      <c r="AC295" s="151" t="str">
        <f t="shared" ca="1" si="408"/>
        <v>PO ZMIANIE</v>
      </c>
      <c r="AD295" s="152" t="str">
        <f t="shared" ca="1" si="441"/>
        <v>PO ZMIANIE</v>
      </c>
      <c r="AE295" s="153" t="str">
        <f t="shared" ca="1" si="409"/>
        <v>C/USN/III/P3/42</v>
      </c>
      <c r="AF295" s="154" t="str">
        <f t="shared" ca="1" si="410"/>
        <v>Budowa Parku przy ul. Cynamonowej</v>
      </c>
      <c r="AG295" s="155">
        <f t="shared" ca="1" si="411"/>
        <v>90004</v>
      </c>
      <c r="AH295" s="155" t="str">
        <f t="shared" ca="1" si="412"/>
        <v>6050</v>
      </c>
      <c r="AI295" s="156" t="str">
        <f t="shared" ca="1" si="413"/>
        <v>GPOS</v>
      </c>
      <c r="AJ295" s="157" t="str">
        <f t="shared" ca="1" si="414"/>
        <v>WPF, w tym</v>
      </c>
      <c r="AK295" s="158" t="str">
        <f t="shared" ca="1" si="442"/>
        <v>C/USN/III/P3/42 90004 6050 GPOS</v>
      </c>
      <c r="AL295" s="158" t="str">
        <f t="shared" ca="1" si="443"/>
        <v>C/USN/III/P3/42 90004 6050 WPF, w tym</v>
      </c>
      <c r="AM295" s="159" t="str">
        <f t="shared" ca="1" si="444"/>
        <v>C/USN/III/P3/42 90004 6050 GPOS WPF, w tym</v>
      </c>
      <c r="AN295" s="160">
        <f t="shared" ca="1" si="415"/>
        <v>588370</v>
      </c>
      <c r="AO295" s="161">
        <f t="shared" ca="1" si="416"/>
        <v>0</v>
      </c>
      <c r="AP295" s="162">
        <f t="shared" ca="1" si="417"/>
        <v>173688</v>
      </c>
      <c r="AQ295" s="163">
        <f t="shared" ca="1" si="418"/>
        <v>414682</v>
      </c>
      <c r="AR295" s="164">
        <f t="shared" ca="1" si="419"/>
        <v>0</v>
      </c>
      <c r="AS295" s="164">
        <f t="shared" ca="1" si="420"/>
        <v>0</v>
      </c>
      <c r="AT295" s="164">
        <f t="shared" ca="1" si="421"/>
        <v>0</v>
      </c>
      <c r="AU295" s="164">
        <f t="shared" ca="1" si="422"/>
        <v>0</v>
      </c>
      <c r="AV295" s="164">
        <f t="shared" ca="1" si="423"/>
        <v>0</v>
      </c>
      <c r="AW295" s="164">
        <f t="shared" ca="1" si="424"/>
        <v>0</v>
      </c>
      <c r="AX295" s="164">
        <f t="shared" ca="1" si="425"/>
        <v>0</v>
      </c>
      <c r="AY295" s="164">
        <f t="shared" ca="1" si="426"/>
        <v>0</v>
      </c>
      <c r="AZ295" s="164">
        <f t="shared" ca="1" si="427"/>
        <v>0</v>
      </c>
      <c r="BA295" s="165" t="str">
        <f t="shared" ca="1" si="428"/>
        <v>nie</v>
      </c>
      <c r="BB295" s="166" t="str">
        <f t="shared" ca="1" si="450"/>
        <v>-</v>
      </c>
      <c r="BC295" s="165" t="str">
        <f t="shared" ca="1" si="445"/>
        <v>nie</v>
      </c>
    </row>
    <row r="296" spans="1:55" ht="14.45" hidden="1" customHeight="1" x14ac:dyDescent="0.25">
      <c r="A296" s="493"/>
      <c r="B296" s="493"/>
      <c r="C296" s="494"/>
      <c r="D296" s="506"/>
      <c r="E296" s="497"/>
      <c r="F296" s="497"/>
      <c r="G296" s="497"/>
      <c r="H296" s="498"/>
      <c r="I296" s="499"/>
      <c r="J296" s="177" t="s">
        <v>103</v>
      </c>
      <c r="K296" s="178">
        <f>SUM(N296:O296)</f>
        <v>0</v>
      </c>
      <c r="L296" s="179"/>
      <c r="M296" s="180"/>
      <c r="N296" s="172">
        <f>SUM(L296:M296)</f>
        <v>0</v>
      </c>
      <c r="O296" s="178">
        <f>SUM(P296:Y296)</f>
        <v>0</v>
      </c>
      <c r="P296" s="181"/>
      <c r="Q296" s="180"/>
      <c r="R296" s="182"/>
      <c r="S296" s="183"/>
      <c r="T296" s="180"/>
      <c r="U296" s="180"/>
      <c r="V296" s="180"/>
      <c r="W296" s="180"/>
      <c r="X296" s="180"/>
      <c r="Y296" s="182"/>
      <c r="Z296" s="149" t="str">
        <f t="shared" ca="1" si="440"/>
        <v>nie</v>
      </c>
      <c r="AA296" s="384"/>
      <c r="AB296" s="150" t="str">
        <f t="shared" ca="1" si="449"/>
        <v>-</v>
      </c>
      <c r="AC296" s="151" t="str">
        <f t="shared" ca="1" si="408"/>
        <v>PO ZMIANIE</v>
      </c>
      <c r="AD296" s="152" t="str">
        <f t="shared" ca="1" si="441"/>
        <v>PO ZMIANIE</v>
      </c>
      <c r="AE296" s="153" t="str">
        <f t="shared" ca="1" si="409"/>
        <v>C/USN/III/P3/42</v>
      </c>
      <c r="AF296" s="154" t="str">
        <f t="shared" ca="1" si="410"/>
        <v>Budowa Parku przy ul. Cynamonowej</v>
      </c>
      <c r="AG296" s="155">
        <f t="shared" ca="1" si="411"/>
        <v>90004</v>
      </c>
      <c r="AH296" s="155" t="str">
        <f t="shared" ca="1" si="412"/>
        <v>6050</v>
      </c>
      <c r="AI296" s="156" t="str">
        <f t="shared" ca="1" si="413"/>
        <v>GPOS</v>
      </c>
      <c r="AJ296" s="157" t="str">
        <f t="shared" ca="1" si="414"/>
        <v>WPF/PM</v>
      </c>
      <c r="AK296" s="158" t="str">
        <f t="shared" ca="1" si="442"/>
        <v>C/USN/III/P3/42 90004 6050 GPOS</v>
      </c>
      <c r="AL296" s="158" t="str">
        <f t="shared" ca="1" si="443"/>
        <v>C/USN/III/P3/42 90004 6050 WPF/PM</v>
      </c>
      <c r="AM296" s="159" t="str">
        <f t="shared" ca="1" si="444"/>
        <v>C/USN/III/P3/42 90004 6050 GPOS WPF/PM</v>
      </c>
      <c r="AN296" s="160">
        <f t="shared" ca="1" si="415"/>
        <v>0</v>
      </c>
      <c r="AO296" s="161">
        <f t="shared" ca="1" si="416"/>
        <v>0</v>
      </c>
      <c r="AP296" s="162">
        <f t="shared" ca="1" si="417"/>
        <v>0</v>
      </c>
      <c r="AQ296" s="163">
        <f t="shared" ca="1" si="418"/>
        <v>0</v>
      </c>
      <c r="AR296" s="164">
        <f t="shared" ca="1" si="419"/>
        <v>0</v>
      </c>
      <c r="AS296" s="164">
        <f t="shared" ca="1" si="420"/>
        <v>0</v>
      </c>
      <c r="AT296" s="164">
        <f t="shared" ca="1" si="421"/>
        <v>0</v>
      </c>
      <c r="AU296" s="164">
        <f t="shared" ca="1" si="422"/>
        <v>0</v>
      </c>
      <c r="AV296" s="164">
        <f t="shared" ca="1" si="423"/>
        <v>0</v>
      </c>
      <c r="AW296" s="164">
        <f t="shared" ca="1" si="424"/>
        <v>0</v>
      </c>
      <c r="AX296" s="164">
        <f t="shared" ca="1" si="425"/>
        <v>0</v>
      </c>
      <c r="AY296" s="164">
        <f t="shared" ca="1" si="426"/>
        <v>0</v>
      </c>
      <c r="AZ296" s="164">
        <f t="shared" ca="1" si="427"/>
        <v>0</v>
      </c>
      <c r="BA296" s="165" t="str">
        <f t="shared" ca="1" si="428"/>
        <v>nie</v>
      </c>
      <c r="BB296" s="166" t="str">
        <f t="shared" ca="1" si="450"/>
        <v>-</v>
      </c>
      <c r="BC296" s="165" t="str">
        <f t="shared" ca="1" si="445"/>
        <v>nie</v>
      </c>
    </row>
    <row r="297" spans="1:55" ht="14.45" hidden="1" customHeight="1" thickBot="1" x14ac:dyDescent="0.3">
      <c r="A297" s="500"/>
      <c r="B297" s="500"/>
      <c r="C297" s="501"/>
      <c r="D297" s="513"/>
      <c r="E297" s="503"/>
      <c r="F297" s="503"/>
      <c r="G297" s="503"/>
      <c r="H297" s="504"/>
      <c r="I297" s="499"/>
      <c r="J297" s="197" t="s">
        <v>104</v>
      </c>
      <c r="K297" s="198">
        <f>SUM(N297:O297)</f>
        <v>588370</v>
      </c>
      <c r="L297" s="204"/>
      <c r="M297" s="200">
        <f>345306-171618</f>
        <v>173688</v>
      </c>
      <c r="N297" s="371">
        <f>SUM(L297:M297)</f>
        <v>173688</v>
      </c>
      <c r="O297" s="198">
        <f>SUM(P297:Y297)</f>
        <v>414682</v>
      </c>
      <c r="P297" s="201">
        <f>243064+171618</f>
        <v>414682</v>
      </c>
      <c r="Q297" s="200"/>
      <c r="R297" s="202"/>
      <c r="S297" s="203"/>
      <c r="T297" s="200"/>
      <c r="U297" s="200"/>
      <c r="V297" s="200"/>
      <c r="W297" s="200"/>
      <c r="X297" s="200"/>
      <c r="Y297" s="202"/>
      <c r="Z297" s="149" t="str">
        <f t="shared" ca="1" si="440"/>
        <v>nie</v>
      </c>
      <c r="AA297" s="396"/>
      <c r="AB297" s="150" t="str">
        <f t="shared" ca="1" si="449"/>
        <v>-</v>
      </c>
      <c r="AC297" s="151" t="str">
        <f t="shared" ca="1" si="408"/>
        <v>PO ZMIANIE</v>
      </c>
      <c r="AD297" s="152" t="str">
        <f t="shared" ca="1" si="441"/>
        <v>PO ZMIANIE</v>
      </c>
      <c r="AE297" s="153" t="str">
        <f t="shared" ca="1" si="409"/>
        <v>C/USN/III/P3/42</v>
      </c>
      <c r="AF297" s="154" t="str">
        <f t="shared" ca="1" si="410"/>
        <v>Budowa Parku przy ul. Cynamonowej</v>
      </c>
      <c r="AG297" s="155">
        <f t="shared" ca="1" si="411"/>
        <v>90004</v>
      </c>
      <c r="AH297" s="155" t="str">
        <f t="shared" ca="1" si="412"/>
        <v>6050</v>
      </c>
      <c r="AI297" s="156" t="str">
        <f t="shared" ca="1" si="413"/>
        <v>GPOS</v>
      </c>
      <c r="AJ297" s="157" t="str">
        <f t="shared" ca="1" si="414"/>
        <v>WPF/UM</v>
      </c>
      <c r="AK297" s="158" t="str">
        <f t="shared" ca="1" si="442"/>
        <v>C/USN/III/P3/42 90004 6050 GPOS</v>
      </c>
      <c r="AL297" s="158" t="str">
        <f t="shared" ca="1" si="443"/>
        <v>C/USN/III/P3/42 90004 6050 WPF/UM</v>
      </c>
      <c r="AM297" s="159" t="str">
        <f t="shared" ca="1" si="444"/>
        <v>C/USN/III/P3/42 90004 6050 GPOS WPF/UM</v>
      </c>
      <c r="AN297" s="160">
        <f t="shared" ca="1" si="415"/>
        <v>588370</v>
      </c>
      <c r="AO297" s="161">
        <f t="shared" ca="1" si="416"/>
        <v>0</v>
      </c>
      <c r="AP297" s="162">
        <f t="shared" ca="1" si="417"/>
        <v>173688</v>
      </c>
      <c r="AQ297" s="163">
        <f t="shared" ca="1" si="418"/>
        <v>414682</v>
      </c>
      <c r="AR297" s="164">
        <f t="shared" ca="1" si="419"/>
        <v>0</v>
      </c>
      <c r="AS297" s="164">
        <f t="shared" ca="1" si="420"/>
        <v>0</v>
      </c>
      <c r="AT297" s="164">
        <f t="shared" ca="1" si="421"/>
        <v>0</v>
      </c>
      <c r="AU297" s="164">
        <f t="shared" ca="1" si="422"/>
        <v>0</v>
      </c>
      <c r="AV297" s="164">
        <f t="shared" ca="1" si="423"/>
        <v>0</v>
      </c>
      <c r="AW297" s="164">
        <f t="shared" ca="1" si="424"/>
        <v>0</v>
      </c>
      <c r="AX297" s="164">
        <f t="shared" ca="1" si="425"/>
        <v>0</v>
      </c>
      <c r="AY297" s="164">
        <f t="shared" ca="1" si="426"/>
        <v>0</v>
      </c>
      <c r="AZ297" s="164">
        <f t="shared" ca="1" si="427"/>
        <v>0</v>
      </c>
      <c r="BA297" s="165" t="str">
        <f t="shared" ca="1" si="428"/>
        <v>nie</v>
      </c>
      <c r="BB297" s="166" t="str">
        <f t="shared" ca="1" si="450"/>
        <v>-</v>
      </c>
      <c r="BC297" s="165" t="str">
        <f t="shared" ca="1" si="445"/>
        <v>nie</v>
      </c>
    </row>
    <row r="298" spans="1:55" s="167" customFormat="1" ht="14.45" hidden="1" customHeight="1" x14ac:dyDescent="0.25">
      <c r="A298" s="143" t="s">
        <v>91</v>
      </c>
      <c r="B298" s="144"/>
      <c r="C298" s="145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6"/>
      <c r="S298" s="147"/>
      <c r="T298" s="147"/>
      <c r="U298" s="147"/>
      <c r="V298" s="147"/>
      <c r="W298" s="147"/>
      <c r="X298" s="147"/>
      <c r="Y298" s="148"/>
      <c r="Z298" s="149" t="str">
        <f t="shared" ca="1" si="440"/>
        <v>nie</v>
      </c>
      <c r="AA298" s="366"/>
      <c r="AB298" s="150" t="str">
        <f t="shared" ref="AB298:AB309" ca="1" si="487">IF(IF(OR(COUNTIF(AD298,"*bilans*")&gt;0,COUNTIF(AD298,"*prop*")&gt;0),COUNTIF(AO298:AZ298,"")+COUNTIF(AO298:AZ298,"0"),"")&lt;12,AE298,"-")</f>
        <v>-</v>
      </c>
      <c r="AC298" s="151" t="str">
        <f t="shared" ca="1" si="408"/>
        <v>PRZED ZMIANĄ</v>
      </c>
      <c r="AD298" s="152" t="str">
        <f t="shared" ref="AD298:AD309" ca="1" si="488">IF(AE298="","",AC298)</f>
        <v/>
      </c>
      <c r="AE298" s="153" t="str">
        <f t="shared" ca="1" si="409"/>
        <v/>
      </c>
      <c r="AF298" s="154" t="str">
        <f t="shared" ca="1" si="410"/>
        <v/>
      </c>
      <c r="AG298" s="155" t="str">
        <f t="shared" ca="1" si="411"/>
        <v/>
      </c>
      <c r="AH298" s="155" t="str">
        <f t="shared" ca="1" si="412"/>
        <v/>
      </c>
      <c r="AI298" s="156" t="str">
        <f t="shared" ca="1" si="413"/>
        <v/>
      </c>
      <c r="AJ298" s="157" t="str">
        <f t="shared" ca="1" si="414"/>
        <v/>
      </c>
      <c r="AK298" s="158" t="str">
        <f t="shared" ref="AK298:AK309" ca="1" si="489">IF(AH298="","",AE298&amp;" "&amp;AG298&amp;" "&amp;AH298&amp;" "&amp;AI298)</f>
        <v/>
      </c>
      <c r="AL298" s="158" t="str">
        <f t="shared" ref="AL298:AL309" ca="1" si="490">IF(AH298="","",AE298&amp;" "&amp;AG298&amp;" "&amp;AH298&amp;" "&amp;AJ298)</f>
        <v/>
      </c>
      <c r="AM298" s="159" t="str">
        <f t="shared" ref="AM298:AM309" ca="1" si="491">IF(AH298="","",AE298&amp;" "&amp;AG298&amp;" "&amp;AH298&amp;" "&amp;AI298&amp;" "&amp;AJ298)</f>
        <v/>
      </c>
      <c r="AN298" s="160" t="str">
        <f t="shared" ca="1" si="415"/>
        <v/>
      </c>
      <c r="AO298" s="161" t="str">
        <f t="shared" ca="1" si="416"/>
        <v/>
      </c>
      <c r="AP298" s="162" t="str">
        <f t="shared" ca="1" si="417"/>
        <v/>
      </c>
      <c r="AQ298" s="163" t="str">
        <f t="shared" ca="1" si="418"/>
        <v/>
      </c>
      <c r="AR298" s="164" t="str">
        <f t="shared" ca="1" si="419"/>
        <v/>
      </c>
      <c r="AS298" s="164" t="str">
        <f t="shared" ca="1" si="420"/>
        <v/>
      </c>
      <c r="AT298" s="164" t="str">
        <f t="shared" ca="1" si="421"/>
        <v/>
      </c>
      <c r="AU298" s="164" t="str">
        <f t="shared" ca="1" si="422"/>
        <v/>
      </c>
      <c r="AV298" s="164" t="str">
        <f t="shared" ca="1" si="423"/>
        <v/>
      </c>
      <c r="AW298" s="164" t="str">
        <f t="shared" ca="1" si="424"/>
        <v/>
      </c>
      <c r="AX298" s="164" t="str">
        <f t="shared" ca="1" si="425"/>
        <v/>
      </c>
      <c r="AY298" s="164" t="str">
        <f t="shared" ca="1" si="426"/>
        <v/>
      </c>
      <c r="AZ298" s="164" t="str">
        <f t="shared" ca="1" si="427"/>
        <v/>
      </c>
      <c r="BA298" s="165" t="str">
        <f t="shared" ca="1" si="428"/>
        <v>nie</v>
      </c>
      <c r="BB298" s="166" t="str">
        <f t="shared" ref="BB298:BB309" ca="1" si="492">IF(COUNTIF(AD298,"*bilans*")&gt;0,"-",IF(IF(COUNTIF(AD298,"*prop*")&gt;0,COUNTIF(AO298:AZ298,"")+COUNTIF(AO298:AZ298,"0"),"")&lt;12,AK298,"-"))</f>
        <v>-</v>
      </c>
      <c r="BC298" s="165" t="str">
        <f t="shared" ca="1" si="445"/>
        <v>nie</v>
      </c>
    </row>
    <row r="299" spans="1:55" s="176" customFormat="1" ht="14.45" hidden="1" customHeight="1" x14ac:dyDescent="0.25">
      <c r="A299" s="493" t="s">
        <v>24</v>
      </c>
      <c r="B299" s="493" t="s">
        <v>26</v>
      </c>
      <c r="C299" s="494" t="s">
        <v>398</v>
      </c>
      <c r="D299" s="505" t="s">
        <v>399</v>
      </c>
      <c r="E299" s="497">
        <v>900</v>
      </c>
      <c r="F299" s="535">
        <v>90004</v>
      </c>
      <c r="G299" s="497">
        <v>6050</v>
      </c>
      <c r="H299" s="507">
        <v>2024</v>
      </c>
      <c r="I299" s="499" t="str">
        <f ca="1">IF(COUNTIF(OFFSET(I299,-1,-8),"*propon*")&gt;0,OFFSET(I299,4,0),IF(Y299&gt;0,"2033",IF(X299&gt;0,"2032",IF(W299&gt;0,"2031",IF(V299&gt;0,"2030",IF(U299&gt;0,"2029",IF(T299&gt;0,"2028",IF(S299&gt;0,"2027",IF(R299&gt;0,"2026",IF(Q299&gt;0,"2025",IF(P299&gt;0,"2024",IF(M299&gt;0,"2023",IF(L299&gt;0,"2022","")))))))))))))</f>
        <v>2025</v>
      </c>
      <c r="J299" s="168" t="s">
        <v>94</v>
      </c>
      <c r="K299" s="169">
        <f>SUM(N299:O299)</f>
        <v>744200</v>
      </c>
      <c r="L299" s="170">
        <f t="shared" ref="L299:M299" si="493">SUM(L300:L301)</f>
        <v>0</v>
      </c>
      <c r="M299" s="171">
        <f t="shared" si="493"/>
        <v>0</v>
      </c>
      <c r="N299" s="172">
        <f>SUM(L299:M299)</f>
        <v>0</v>
      </c>
      <c r="O299" s="169">
        <f>SUM(P299:Y299)</f>
        <v>744200</v>
      </c>
      <c r="P299" s="173">
        <f t="shared" ref="P299:Y299" si="494">SUM(P300:P301)</f>
        <v>598200</v>
      </c>
      <c r="Q299" s="171">
        <f t="shared" si="494"/>
        <v>146000</v>
      </c>
      <c r="R299" s="174">
        <f t="shared" si="494"/>
        <v>0</v>
      </c>
      <c r="S299" s="175">
        <f t="shared" si="494"/>
        <v>0</v>
      </c>
      <c r="T299" s="171">
        <f t="shared" si="494"/>
        <v>0</v>
      </c>
      <c r="U299" s="171">
        <f t="shared" si="494"/>
        <v>0</v>
      </c>
      <c r="V299" s="171">
        <f t="shared" si="494"/>
        <v>0</v>
      </c>
      <c r="W299" s="171">
        <f t="shared" si="494"/>
        <v>0</v>
      </c>
      <c r="X299" s="171">
        <f t="shared" si="494"/>
        <v>0</v>
      </c>
      <c r="Y299" s="174">
        <f t="shared" si="494"/>
        <v>0</v>
      </c>
      <c r="Z299" s="149" t="str">
        <f t="shared" ca="1" si="440"/>
        <v>nie</v>
      </c>
      <c r="AA299" s="366"/>
      <c r="AB299" s="150" t="str">
        <f t="shared" ca="1" si="487"/>
        <v>-</v>
      </c>
      <c r="AC299" s="151" t="str">
        <f t="shared" ca="1" si="408"/>
        <v>PRZED ZMIANĄ</v>
      </c>
      <c r="AD299" s="152" t="str">
        <f t="shared" ca="1" si="488"/>
        <v>PRZED ZMIANĄ</v>
      </c>
      <c r="AE299" s="153" t="str">
        <f t="shared" ca="1" si="409"/>
        <v>C/USN/III/P3/43</v>
      </c>
      <c r="AF299" s="154" t="str">
        <f t="shared" ca="1" si="410"/>
        <v>Zagospodarowanie zachodniej części terenu Parku Moczydełko wraz z renaturalizacją zbiornika wodnego "Moczydło nr 3" przy ul. Wełnianej</v>
      </c>
      <c r="AG299" s="155">
        <f t="shared" ca="1" si="411"/>
        <v>90004</v>
      </c>
      <c r="AH299" s="155" t="str">
        <f t="shared" ca="1" si="412"/>
        <v>6050</v>
      </c>
      <c r="AI299" s="156" t="str">
        <f t="shared" ca="1" si="413"/>
        <v>GMMW</v>
      </c>
      <c r="AJ299" s="157" t="str">
        <f t="shared" ca="1" si="414"/>
        <v>WPF, w tym</v>
      </c>
      <c r="AK299" s="158" t="str">
        <f t="shared" ca="1" si="489"/>
        <v>C/USN/III/P3/43 90004 6050 GMMW</v>
      </c>
      <c r="AL299" s="158" t="str">
        <f t="shared" ca="1" si="490"/>
        <v>C/USN/III/P3/43 90004 6050 WPF, w tym</v>
      </c>
      <c r="AM299" s="159" t="str">
        <f t="shared" ca="1" si="491"/>
        <v>C/USN/III/P3/43 90004 6050 GMMW WPF, w tym</v>
      </c>
      <c r="AN299" s="160">
        <f t="shared" ca="1" si="415"/>
        <v>744200</v>
      </c>
      <c r="AO299" s="161">
        <f t="shared" ca="1" si="416"/>
        <v>0</v>
      </c>
      <c r="AP299" s="162">
        <f t="shared" ca="1" si="417"/>
        <v>0</v>
      </c>
      <c r="AQ299" s="163">
        <f t="shared" ca="1" si="418"/>
        <v>598200</v>
      </c>
      <c r="AR299" s="164">
        <f t="shared" ca="1" si="419"/>
        <v>146000</v>
      </c>
      <c r="AS299" s="164">
        <f t="shared" ca="1" si="420"/>
        <v>0</v>
      </c>
      <c r="AT299" s="164">
        <f t="shared" ca="1" si="421"/>
        <v>0</v>
      </c>
      <c r="AU299" s="164">
        <f t="shared" ca="1" si="422"/>
        <v>0</v>
      </c>
      <c r="AV299" s="164">
        <f t="shared" ca="1" si="423"/>
        <v>0</v>
      </c>
      <c r="AW299" s="164">
        <f t="shared" ca="1" si="424"/>
        <v>0</v>
      </c>
      <c r="AX299" s="164">
        <f t="shared" ca="1" si="425"/>
        <v>0</v>
      </c>
      <c r="AY299" s="164">
        <f t="shared" ca="1" si="426"/>
        <v>0</v>
      </c>
      <c r="AZ299" s="164">
        <f t="shared" ca="1" si="427"/>
        <v>0</v>
      </c>
      <c r="BA299" s="165" t="str">
        <f t="shared" ca="1" si="428"/>
        <v>nie</v>
      </c>
      <c r="BB299" s="166" t="str">
        <f t="shared" ca="1" si="492"/>
        <v>-</v>
      </c>
      <c r="BC299" s="165" t="str">
        <f t="shared" ca="1" si="445"/>
        <v>nie</v>
      </c>
    </row>
    <row r="300" spans="1:55" s="167" customFormat="1" ht="14.45" hidden="1" customHeight="1" x14ac:dyDescent="0.25">
      <c r="A300" s="493"/>
      <c r="B300" s="493"/>
      <c r="C300" s="494"/>
      <c r="D300" s="506"/>
      <c r="E300" s="497"/>
      <c r="F300" s="536"/>
      <c r="G300" s="497"/>
      <c r="H300" s="498"/>
      <c r="I300" s="499"/>
      <c r="J300" s="177" t="s">
        <v>95</v>
      </c>
      <c r="K300" s="178">
        <f>SUM(N300:O300)</f>
        <v>744200</v>
      </c>
      <c r="L300" s="179"/>
      <c r="M300" s="180"/>
      <c r="N300" s="172">
        <f>SUM(L300:M300)</f>
        <v>0</v>
      </c>
      <c r="O300" s="178">
        <f>SUM(P300:Y300)</f>
        <v>744200</v>
      </c>
      <c r="P300" s="181">
        <v>598200</v>
      </c>
      <c r="Q300" s="180">
        <v>146000</v>
      </c>
      <c r="R300" s="182"/>
      <c r="S300" s="183"/>
      <c r="T300" s="180"/>
      <c r="U300" s="180"/>
      <c r="V300" s="180"/>
      <c r="W300" s="180"/>
      <c r="X300" s="180"/>
      <c r="Y300" s="182"/>
      <c r="Z300" s="149" t="str">
        <f t="shared" ca="1" si="440"/>
        <v>nie</v>
      </c>
      <c r="AA300" s="366"/>
      <c r="AB300" s="150" t="str">
        <f t="shared" ca="1" si="487"/>
        <v>-</v>
      </c>
      <c r="AC300" s="151" t="str">
        <f t="shared" ca="1" si="408"/>
        <v>PRZED ZMIANĄ</v>
      </c>
      <c r="AD300" s="152" t="str">
        <f t="shared" ca="1" si="488"/>
        <v>PRZED ZMIANĄ</v>
      </c>
      <c r="AE300" s="153" t="str">
        <f t="shared" ca="1" si="409"/>
        <v>C/USN/III/P3/43</v>
      </c>
      <c r="AF300" s="154" t="str">
        <f t="shared" ca="1" si="410"/>
        <v>Zagospodarowanie zachodniej części terenu Parku Moczydełko wraz z renaturalizacją zbiornika wodnego "Moczydło nr 3" przy ul. Wełnianej</v>
      </c>
      <c r="AG300" s="155">
        <f t="shared" ca="1" si="411"/>
        <v>90004</v>
      </c>
      <c r="AH300" s="155" t="str">
        <f t="shared" ca="1" si="412"/>
        <v>6050</v>
      </c>
      <c r="AI300" s="156" t="str">
        <f t="shared" ca="1" si="413"/>
        <v>GMMW</v>
      </c>
      <c r="AJ300" s="157" t="str">
        <f t="shared" ca="1" si="414"/>
        <v>WPF/PM</v>
      </c>
      <c r="AK300" s="158" t="str">
        <f t="shared" ca="1" si="489"/>
        <v>C/USN/III/P3/43 90004 6050 GMMW</v>
      </c>
      <c r="AL300" s="158" t="str">
        <f t="shared" ca="1" si="490"/>
        <v>C/USN/III/P3/43 90004 6050 WPF/PM</v>
      </c>
      <c r="AM300" s="159" t="str">
        <f t="shared" ca="1" si="491"/>
        <v>C/USN/III/P3/43 90004 6050 GMMW WPF/PM</v>
      </c>
      <c r="AN300" s="160">
        <f t="shared" ca="1" si="415"/>
        <v>744200</v>
      </c>
      <c r="AO300" s="161">
        <f t="shared" ca="1" si="416"/>
        <v>0</v>
      </c>
      <c r="AP300" s="162">
        <f t="shared" ca="1" si="417"/>
        <v>0</v>
      </c>
      <c r="AQ300" s="163">
        <f t="shared" ca="1" si="418"/>
        <v>598200</v>
      </c>
      <c r="AR300" s="164">
        <f t="shared" ca="1" si="419"/>
        <v>146000</v>
      </c>
      <c r="AS300" s="164">
        <f t="shared" ca="1" si="420"/>
        <v>0</v>
      </c>
      <c r="AT300" s="164">
        <f t="shared" ca="1" si="421"/>
        <v>0</v>
      </c>
      <c r="AU300" s="164">
        <f t="shared" ca="1" si="422"/>
        <v>0</v>
      </c>
      <c r="AV300" s="164">
        <f t="shared" ca="1" si="423"/>
        <v>0</v>
      </c>
      <c r="AW300" s="164">
        <f t="shared" ca="1" si="424"/>
        <v>0</v>
      </c>
      <c r="AX300" s="164">
        <f t="shared" ca="1" si="425"/>
        <v>0</v>
      </c>
      <c r="AY300" s="164">
        <f t="shared" ca="1" si="426"/>
        <v>0</v>
      </c>
      <c r="AZ300" s="164">
        <f t="shared" ca="1" si="427"/>
        <v>0</v>
      </c>
      <c r="BA300" s="165" t="str">
        <f t="shared" ca="1" si="428"/>
        <v>nie</v>
      </c>
      <c r="BB300" s="166" t="str">
        <f t="shared" ca="1" si="492"/>
        <v>-</v>
      </c>
      <c r="BC300" s="165" t="str">
        <f t="shared" ca="1" si="445"/>
        <v>nie</v>
      </c>
    </row>
    <row r="301" spans="1:55" s="167" customFormat="1" ht="14.45" hidden="1" customHeight="1" x14ac:dyDescent="0.25">
      <c r="A301" s="493"/>
      <c r="B301" s="493"/>
      <c r="C301" s="494"/>
      <c r="D301" s="506"/>
      <c r="E301" s="497"/>
      <c r="F301" s="537"/>
      <c r="G301" s="497"/>
      <c r="H301" s="498"/>
      <c r="I301" s="499"/>
      <c r="J301" s="177" t="s">
        <v>96</v>
      </c>
      <c r="K301" s="178">
        <f>SUM(N301:O301)</f>
        <v>0</v>
      </c>
      <c r="L301" s="184"/>
      <c r="M301" s="180"/>
      <c r="N301" s="172">
        <f>SUM(L301:M301)</f>
        <v>0</v>
      </c>
      <c r="O301" s="178">
        <f>SUM(P301:Y301)</f>
        <v>0</v>
      </c>
      <c r="P301" s="181"/>
      <c r="Q301" s="180"/>
      <c r="R301" s="182"/>
      <c r="S301" s="183"/>
      <c r="T301" s="180"/>
      <c r="U301" s="180"/>
      <c r="V301" s="180"/>
      <c r="W301" s="180"/>
      <c r="X301" s="180"/>
      <c r="Y301" s="182"/>
      <c r="Z301" s="149" t="str">
        <f t="shared" ca="1" si="440"/>
        <v>nie</v>
      </c>
      <c r="AA301" s="366"/>
      <c r="AB301" s="150" t="str">
        <f t="shared" ca="1" si="487"/>
        <v>-</v>
      </c>
      <c r="AC301" s="151" t="str">
        <f t="shared" ca="1" si="408"/>
        <v>PRZED ZMIANĄ</v>
      </c>
      <c r="AD301" s="152" t="str">
        <f t="shared" ca="1" si="488"/>
        <v>PRZED ZMIANĄ</v>
      </c>
      <c r="AE301" s="153" t="str">
        <f t="shared" ca="1" si="409"/>
        <v>C/USN/III/P3/43</v>
      </c>
      <c r="AF301" s="154" t="str">
        <f t="shared" ca="1" si="410"/>
        <v>Zagospodarowanie zachodniej części terenu Parku Moczydełko wraz z renaturalizacją zbiornika wodnego "Moczydło nr 3" przy ul. Wełnianej</v>
      </c>
      <c r="AG301" s="155">
        <f t="shared" ca="1" si="411"/>
        <v>90004</v>
      </c>
      <c r="AH301" s="155" t="str">
        <f t="shared" ca="1" si="412"/>
        <v>6050</v>
      </c>
      <c r="AI301" s="156" t="str">
        <f t="shared" ca="1" si="413"/>
        <v>GMMW</v>
      </c>
      <c r="AJ301" s="157" t="str">
        <f t="shared" ca="1" si="414"/>
        <v>WPF/UM</v>
      </c>
      <c r="AK301" s="158" t="str">
        <f t="shared" ca="1" si="489"/>
        <v>C/USN/III/P3/43 90004 6050 GMMW</v>
      </c>
      <c r="AL301" s="158" t="str">
        <f t="shared" ca="1" si="490"/>
        <v>C/USN/III/P3/43 90004 6050 WPF/UM</v>
      </c>
      <c r="AM301" s="159" t="str">
        <f t="shared" ca="1" si="491"/>
        <v>C/USN/III/P3/43 90004 6050 GMMW WPF/UM</v>
      </c>
      <c r="AN301" s="160">
        <f t="shared" ca="1" si="415"/>
        <v>0</v>
      </c>
      <c r="AO301" s="161">
        <f t="shared" ca="1" si="416"/>
        <v>0</v>
      </c>
      <c r="AP301" s="162">
        <f t="shared" ca="1" si="417"/>
        <v>0</v>
      </c>
      <c r="AQ301" s="163">
        <f t="shared" ca="1" si="418"/>
        <v>0</v>
      </c>
      <c r="AR301" s="164">
        <f t="shared" ca="1" si="419"/>
        <v>0</v>
      </c>
      <c r="AS301" s="164">
        <f t="shared" ca="1" si="420"/>
        <v>0</v>
      </c>
      <c r="AT301" s="164">
        <f t="shared" ca="1" si="421"/>
        <v>0</v>
      </c>
      <c r="AU301" s="164">
        <f t="shared" ca="1" si="422"/>
        <v>0</v>
      </c>
      <c r="AV301" s="164">
        <f t="shared" ca="1" si="423"/>
        <v>0</v>
      </c>
      <c r="AW301" s="164">
        <f t="shared" ca="1" si="424"/>
        <v>0</v>
      </c>
      <c r="AX301" s="164">
        <f t="shared" ca="1" si="425"/>
        <v>0</v>
      </c>
      <c r="AY301" s="164">
        <f t="shared" ca="1" si="426"/>
        <v>0</v>
      </c>
      <c r="AZ301" s="164">
        <f t="shared" ca="1" si="427"/>
        <v>0</v>
      </c>
      <c r="BA301" s="165" t="str">
        <f t="shared" ca="1" si="428"/>
        <v>nie</v>
      </c>
      <c r="BB301" s="166" t="str">
        <f t="shared" ca="1" si="492"/>
        <v>-</v>
      </c>
      <c r="BC301" s="165" t="str">
        <f t="shared" ca="1" si="445"/>
        <v>nie</v>
      </c>
    </row>
    <row r="302" spans="1:55" s="167" customFormat="1" ht="14.45" hidden="1" customHeight="1" x14ac:dyDescent="0.25">
      <c r="A302" s="185" t="s">
        <v>97</v>
      </c>
      <c r="B302" s="186"/>
      <c r="C302" s="187"/>
      <c r="D302" s="186"/>
      <c r="E302" s="186"/>
      <c r="F302" s="186"/>
      <c r="G302" s="186"/>
      <c r="H302" s="186"/>
      <c r="I302" s="186"/>
      <c r="J302" s="186"/>
      <c r="K302" s="186"/>
      <c r="L302" s="186"/>
      <c r="M302" s="186"/>
      <c r="N302" s="186"/>
      <c r="O302" s="186"/>
      <c r="P302" s="186"/>
      <c r="Q302" s="186"/>
      <c r="R302" s="188"/>
      <c r="S302" s="189"/>
      <c r="T302" s="189"/>
      <c r="U302" s="189"/>
      <c r="V302" s="189"/>
      <c r="W302" s="189"/>
      <c r="X302" s="189"/>
      <c r="Y302" s="190"/>
      <c r="Z302" s="149" t="str">
        <f t="shared" ca="1" si="440"/>
        <v>nie</v>
      </c>
      <c r="AA302" s="366"/>
      <c r="AB302" s="150" t="str">
        <f t="shared" ca="1" si="487"/>
        <v>-</v>
      </c>
      <c r="AC302" s="151" t="str">
        <f t="shared" ca="1" si="408"/>
        <v>PROPONOWANA ZMIANA</v>
      </c>
      <c r="AD302" s="152" t="str">
        <f t="shared" ca="1" si="488"/>
        <v/>
      </c>
      <c r="AE302" s="153" t="str">
        <f t="shared" ca="1" si="409"/>
        <v/>
      </c>
      <c r="AF302" s="154" t="str">
        <f t="shared" ca="1" si="410"/>
        <v/>
      </c>
      <c r="AG302" s="155" t="str">
        <f t="shared" ca="1" si="411"/>
        <v/>
      </c>
      <c r="AH302" s="155" t="str">
        <f t="shared" ca="1" si="412"/>
        <v/>
      </c>
      <c r="AI302" s="156" t="str">
        <f t="shared" ca="1" si="413"/>
        <v/>
      </c>
      <c r="AJ302" s="157" t="str">
        <f t="shared" ca="1" si="414"/>
        <v/>
      </c>
      <c r="AK302" s="158" t="str">
        <f t="shared" ca="1" si="489"/>
        <v/>
      </c>
      <c r="AL302" s="158" t="str">
        <f t="shared" ca="1" si="490"/>
        <v/>
      </c>
      <c r="AM302" s="159" t="str">
        <f t="shared" ca="1" si="491"/>
        <v/>
      </c>
      <c r="AN302" s="160" t="str">
        <f t="shared" ca="1" si="415"/>
        <v/>
      </c>
      <c r="AO302" s="161" t="str">
        <f t="shared" ca="1" si="416"/>
        <v/>
      </c>
      <c r="AP302" s="162" t="str">
        <f t="shared" ca="1" si="417"/>
        <v/>
      </c>
      <c r="AQ302" s="163" t="str">
        <f t="shared" ca="1" si="418"/>
        <v/>
      </c>
      <c r="AR302" s="164" t="str">
        <f t="shared" ca="1" si="419"/>
        <v/>
      </c>
      <c r="AS302" s="164" t="str">
        <f t="shared" ca="1" si="420"/>
        <v/>
      </c>
      <c r="AT302" s="164" t="str">
        <f t="shared" ca="1" si="421"/>
        <v/>
      </c>
      <c r="AU302" s="164" t="str">
        <f t="shared" ca="1" si="422"/>
        <v/>
      </c>
      <c r="AV302" s="164" t="str">
        <f t="shared" ca="1" si="423"/>
        <v/>
      </c>
      <c r="AW302" s="164" t="str">
        <f t="shared" ca="1" si="424"/>
        <v/>
      </c>
      <c r="AX302" s="164" t="str">
        <f t="shared" ca="1" si="425"/>
        <v/>
      </c>
      <c r="AY302" s="164" t="str">
        <f t="shared" ca="1" si="426"/>
        <v/>
      </c>
      <c r="AZ302" s="164" t="str">
        <f t="shared" ca="1" si="427"/>
        <v/>
      </c>
      <c r="BA302" s="165" t="str">
        <f t="shared" ca="1" si="428"/>
        <v>nie</v>
      </c>
      <c r="BB302" s="166" t="str">
        <f t="shared" ca="1" si="492"/>
        <v>-</v>
      </c>
      <c r="BC302" s="165" t="str">
        <f t="shared" ca="1" si="445"/>
        <v>nie</v>
      </c>
    </row>
    <row r="303" spans="1:55" s="176" customFormat="1" ht="14.45" hidden="1" customHeight="1" x14ac:dyDescent="0.25">
      <c r="A303" s="493" t="s">
        <v>24</v>
      </c>
      <c r="B303" s="493" t="s">
        <v>26</v>
      </c>
      <c r="C303" s="494" t="s">
        <v>398</v>
      </c>
      <c r="D303" s="505" t="s">
        <v>399</v>
      </c>
      <c r="E303" s="497">
        <v>900</v>
      </c>
      <c r="F303" s="535">
        <v>90004</v>
      </c>
      <c r="G303" s="497">
        <v>6050</v>
      </c>
      <c r="H303" s="507">
        <v>2024</v>
      </c>
      <c r="I303" s="499" t="str">
        <f ca="1">IF(COUNTIF(OFFSET(I303,-1,-8),"*propon*")&gt;0,OFFSET(I303,4,0),IF(Y303&gt;0,"2033",IF(X303&gt;0,"2032",IF(W303&gt;0,"2031",IF(V303&gt;0,"2030",IF(U303&gt;0,"2029",IF(T303&gt;0,"2028",IF(S303&gt;0,"2027",IF(R303&gt;0,"2026",IF(Q303&gt;0,"2025",IF(P303&gt;0,"2024",IF(M303&gt;0,"2023",IF(L303&gt;0,"2022","")))))))))))))</f>
        <v>2025</v>
      </c>
      <c r="J303" s="168" t="s">
        <v>98</v>
      </c>
      <c r="K303" s="169">
        <f>SUM(N303:O303)</f>
        <v>0</v>
      </c>
      <c r="L303" s="170">
        <f t="shared" ref="L303:M303" si="495">SUM(L304:L305)</f>
        <v>0</v>
      </c>
      <c r="M303" s="171">
        <f t="shared" si="495"/>
        <v>0</v>
      </c>
      <c r="N303" s="172">
        <f>SUM(L303:M303)</f>
        <v>0</v>
      </c>
      <c r="O303" s="169">
        <f>SUM(P303:Y303)</f>
        <v>0</v>
      </c>
      <c r="P303" s="173">
        <f t="shared" ref="P303:Y303" si="496">SUM(P304:P305)</f>
        <v>0</v>
      </c>
      <c r="Q303" s="171">
        <f t="shared" si="496"/>
        <v>0</v>
      </c>
      <c r="R303" s="174">
        <f t="shared" si="496"/>
        <v>0</v>
      </c>
      <c r="S303" s="175">
        <f t="shared" si="496"/>
        <v>0</v>
      </c>
      <c r="T303" s="171">
        <f t="shared" si="496"/>
        <v>0</v>
      </c>
      <c r="U303" s="171">
        <f t="shared" si="496"/>
        <v>0</v>
      </c>
      <c r="V303" s="171">
        <f t="shared" si="496"/>
        <v>0</v>
      </c>
      <c r="W303" s="171">
        <f t="shared" si="496"/>
        <v>0</v>
      </c>
      <c r="X303" s="171">
        <f t="shared" si="496"/>
        <v>0</v>
      </c>
      <c r="Y303" s="174">
        <f t="shared" si="496"/>
        <v>0</v>
      </c>
      <c r="Z303" s="149" t="str">
        <f t="shared" ca="1" si="440"/>
        <v>nie</v>
      </c>
      <c r="AA303" s="366"/>
      <c r="AB303" s="150" t="str">
        <f t="shared" ca="1" si="487"/>
        <v>-</v>
      </c>
      <c r="AC303" s="151" t="str">
        <f t="shared" ca="1" si="408"/>
        <v>PROPONOWANA ZMIANA</v>
      </c>
      <c r="AD303" s="152" t="str">
        <f t="shared" ca="1" si="488"/>
        <v>PROPONOWANA ZMIANA</v>
      </c>
      <c r="AE303" s="153" t="str">
        <f t="shared" ca="1" si="409"/>
        <v>C/USN/III/P3/43</v>
      </c>
      <c r="AF303" s="154" t="str">
        <f t="shared" ca="1" si="410"/>
        <v>Zagospodarowanie zachodniej części terenu Parku Moczydełko wraz z renaturalizacją zbiornika wodnego "Moczydło nr 3" przy ul. Wełnianej</v>
      </c>
      <c r="AG303" s="155">
        <f t="shared" ca="1" si="411"/>
        <v>90004</v>
      </c>
      <c r="AH303" s="155" t="str">
        <f t="shared" ca="1" si="412"/>
        <v>6050</v>
      </c>
      <c r="AI303" s="156" t="str">
        <f t="shared" ca="1" si="413"/>
        <v>GMMW</v>
      </c>
      <c r="AJ303" s="157" t="str">
        <f t="shared" ca="1" si="414"/>
        <v>WPF, w tym</v>
      </c>
      <c r="AK303" s="158" t="str">
        <f t="shared" ca="1" si="489"/>
        <v>C/USN/III/P3/43 90004 6050 GMMW</v>
      </c>
      <c r="AL303" s="158" t="str">
        <f t="shared" ca="1" si="490"/>
        <v>C/USN/III/P3/43 90004 6050 WPF, w tym</v>
      </c>
      <c r="AM303" s="159" t="str">
        <f t="shared" ca="1" si="491"/>
        <v>C/USN/III/P3/43 90004 6050 GMMW WPF, w tym</v>
      </c>
      <c r="AN303" s="160">
        <f t="shared" ca="1" si="415"/>
        <v>0</v>
      </c>
      <c r="AO303" s="161">
        <f t="shared" ca="1" si="416"/>
        <v>0</v>
      </c>
      <c r="AP303" s="162">
        <f t="shared" ca="1" si="417"/>
        <v>0</v>
      </c>
      <c r="AQ303" s="163">
        <f t="shared" ca="1" si="418"/>
        <v>0</v>
      </c>
      <c r="AR303" s="164">
        <f t="shared" ca="1" si="419"/>
        <v>0</v>
      </c>
      <c r="AS303" s="164">
        <f t="shared" ca="1" si="420"/>
        <v>0</v>
      </c>
      <c r="AT303" s="164">
        <f t="shared" ca="1" si="421"/>
        <v>0</v>
      </c>
      <c r="AU303" s="164">
        <f t="shared" ca="1" si="422"/>
        <v>0</v>
      </c>
      <c r="AV303" s="164">
        <f t="shared" ca="1" si="423"/>
        <v>0</v>
      </c>
      <c r="AW303" s="164">
        <f t="shared" ca="1" si="424"/>
        <v>0</v>
      </c>
      <c r="AX303" s="164">
        <f t="shared" ca="1" si="425"/>
        <v>0</v>
      </c>
      <c r="AY303" s="164">
        <f t="shared" ca="1" si="426"/>
        <v>0</v>
      </c>
      <c r="AZ303" s="164">
        <f t="shared" ca="1" si="427"/>
        <v>0</v>
      </c>
      <c r="BA303" s="165" t="str">
        <f t="shared" ca="1" si="428"/>
        <v>nie</v>
      </c>
      <c r="BB303" s="166" t="str">
        <f t="shared" ca="1" si="492"/>
        <v>-</v>
      </c>
      <c r="BC303" s="165" t="str">
        <f t="shared" ca="1" si="445"/>
        <v>nie</v>
      </c>
    </row>
    <row r="304" spans="1:55" s="167" customFormat="1" ht="14.45" hidden="1" customHeight="1" x14ac:dyDescent="0.25">
      <c r="A304" s="493"/>
      <c r="B304" s="493"/>
      <c r="C304" s="494"/>
      <c r="D304" s="506"/>
      <c r="E304" s="497"/>
      <c r="F304" s="536"/>
      <c r="G304" s="497"/>
      <c r="H304" s="498"/>
      <c r="I304" s="499"/>
      <c r="J304" s="177" t="s">
        <v>99</v>
      </c>
      <c r="K304" s="178">
        <f>SUM(N304:O304)</f>
        <v>0</v>
      </c>
      <c r="L304" s="179">
        <f t="shared" ref="L304:M304" si="497">L308-L300</f>
        <v>0</v>
      </c>
      <c r="M304" s="180">
        <f t="shared" si="497"/>
        <v>0</v>
      </c>
      <c r="N304" s="172">
        <f>SUM(L304:M304)</f>
        <v>0</v>
      </c>
      <c r="O304" s="178">
        <f>SUM(P304:Y304)</f>
        <v>0</v>
      </c>
      <c r="P304" s="181">
        <f t="shared" ref="P304:Y304" si="498">P308-P300</f>
        <v>0</v>
      </c>
      <c r="Q304" s="180">
        <f t="shared" si="498"/>
        <v>0</v>
      </c>
      <c r="R304" s="182">
        <f t="shared" si="498"/>
        <v>0</v>
      </c>
      <c r="S304" s="183">
        <f t="shared" si="498"/>
        <v>0</v>
      </c>
      <c r="T304" s="180">
        <f t="shared" si="498"/>
        <v>0</v>
      </c>
      <c r="U304" s="180">
        <f t="shared" si="498"/>
        <v>0</v>
      </c>
      <c r="V304" s="180">
        <f t="shared" si="498"/>
        <v>0</v>
      </c>
      <c r="W304" s="180">
        <f t="shared" si="498"/>
        <v>0</v>
      </c>
      <c r="X304" s="180">
        <f t="shared" si="498"/>
        <v>0</v>
      </c>
      <c r="Y304" s="182">
        <f t="shared" si="498"/>
        <v>0</v>
      </c>
      <c r="Z304" s="149" t="str">
        <f t="shared" ca="1" si="440"/>
        <v>nie</v>
      </c>
      <c r="AA304" s="366"/>
      <c r="AB304" s="150" t="str">
        <f t="shared" ca="1" si="487"/>
        <v>-</v>
      </c>
      <c r="AC304" s="151" t="str">
        <f t="shared" ca="1" si="408"/>
        <v>PROPONOWANA ZMIANA</v>
      </c>
      <c r="AD304" s="152" t="str">
        <f t="shared" ca="1" si="488"/>
        <v>PROPONOWANA ZMIANA</v>
      </c>
      <c r="AE304" s="153" t="str">
        <f t="shared" ca="1" si="409"/>
        <v>C/USN/III/P3/43</v>
      </c>
      <c r="AF304" s="154" t="str">
        <f t="shared" ca="1" si="410"/>
        <v>Zagospodarowanie zachodniej części terenu Parku Moczydełko wraz z renaturalizacją zbiornika wodnego "Moczydło nr 3" przy ul. Wełnianej</v>
      </c>
      <c r="AG304" s="155">
        <f t="shared" ca="1" si="411"/>
        <v>90004</v>
      </c>
      <c r="AH304" s="155" t="str">
        <f t="shared" ca="1" si="412"/>
        <v>6050</v>
      </c>
      <c r="AI304" s="156" t="str">
        <f t="shared" ca="1" si="413"/>
        <v>GMMW</v>
      </c>
      <c r="AJ304" s="157" t="str">
        <f t="shared" ca="1" si="414"/>
        <v>WPF/PM</v>
      </c>
      <c r="AK304" s="158" t="str">
        <f t="shared" ca="1" si="489"/>
        <v>C/USN/III/P3/43 90004 6050 GMMW</v>
      </c>
      <c r="AL304" s="158" t="str">
        <f t="shared" ca="1" si="490"/>
        <v>C/USN/III/P3/43 90004 6050 WPF/PM</v>
      </c>
      <c r="AM304" s="159" t="str">
        <f t="shared" ca="1" si="491"/>
        <v>C/USN/III/P3/43 90004 6050 GMMW WPF/PM</v>
      </c>
      <c r="AN304" s="160">
        <f t="shared" ca="1" si="415"/>
        <v>0</v>
      </c>
      <c r="AO304" s="161">
        <f t="shared" ca="1" si="416"/>
        <v>0</v>
      </c>
      <c r="AP304" s="162">
        <f t="shared" ca="1" si="417"/>
        <v>0</v>
      </c>
      <c r="AQ304" s="163">
        <f t="shared" ca="1" si="418"/>
        <v>0</v>
      </c>
      <c r="AR304" s="164">
        <f t="shared" ca="1" si="419"/>
        <v>0</v>
      </c>
      <c r="AS304" s="164">
        <f t="shared" ca="1" si="420"/>
        <v>0</v>
      </c>
      <c r="AT304" s="164">
        <f t="shared" ca="1" si="421"/>
        <v>0</v>
      </c>
      <c r="AU304" s="164">
        <f t="shared" ca="1" si="422"/>
        <v>0</v>
      </c>
      <c r="AV304" s="164">
        <f t="shared" ca="1" si="423"/>
        <v>0</v>
      </c>
      <c r="AW304" s="164">
        <f t="shared" ca="1" si="424"/>
        <v>0</v>
      </c>
      <c r="AX304" s="164">
        <f t="shared" ca="1" si="425"/>
        <v>0</v>
      </c>
      <c r="AY304" s="164">
        <f t="shared" ca="1" si="426"/>
        <v>0</v>
      </c>
      <c r="AZ304" s="164">
        <f t="shared" ca="1" si="427"/>
        <v>0</v>
      </c>
      <c r="BA304" s="165" t="str">
        <f t="shared" ca="1" si="428"/>
        <v>nie</v>
      </c>
      <c r="BB304" s="166" t="str">
        <f t="shared" ca="1" si="492"/>
        <v>-</v>
      </c>
      <c r="BC304" s="165" t="str">
        <f t="shared" ca="1" si="445"/>
        <v>nie</v>
      </c>
    </row>
    <row r="305" spans="1:55" s="167" customFormat="1" ht="14.45" hidden="1" customHeight="1" x14ac:dyDescent="0.25">
      <c r="A305" s="493"/>
      <c r="B305" s="493"/>
      <c r="C305" s="494"/>
      <c r="D305" s="506"/>
      <c r="E305" s="497"/>
      <c r="F305" s="537"/>
      <c r="G305" s="497"/>
      <c r="H305" s="498"/>
      <c r="I305" s="499"/>
      <c r="J305" s="177" t="s">
        <v>100</v>
      </c>
      <c r="K305" s="178">
        <f>SUM(N305:O305)</f>
        <v>0</v>
      </c>
      <c r="L305" s="179">
        <f t="shared" ref="L305:M305" si="499">L309-L301</f>
        <v>0</v>
      </c>
      <c r="M305" s="180">
        <f t="shared" si="499"/>
        <v>0</v>
      </c>
      <c r="N305" s="172">
        <f>SUM(L305:M305)</f>
        <v>0</v>
      </c>
      <c r="O305" s="178">
        <f>SUM(P305:Y305)</f>
        <v>0</v>
      </c>
      <c r="P305" s="181">
        <f t="shared" ref="P305:Y305" si="500">P309-P301</f>
        <v>0</v>
      </c>
      <c r="Q305" s="180">
        <f t="shared" si="500"/>
        <v>0</v>
      </c>
      <c r="R305" s="182">
        <f t="shared" si="500"/>
        <v>0</v>
      </c>
      <c r="S305" s="183">
        <f t="shared" si="500"/>
        <v>0</v>
      </c>
      <c r="T305" s="180">
        <f t="shared" si="500"/>
        <v>0</v>
      </c>
      <c r="U305" s="180">
        <f t="shared" si="500"/>
        <v>0</v>
      </c>
      <c r="V305" s="180">
        <f t="shared" si="500"/>
        <v>0</v>
      </c>
      <c r="W305" s="180">
        <f t="shared" si="500"/>
        <v>0</v>
      </c>
      <c r="X305" s="180">
        <f t="shared" si="500"/>
        <v>0</v>
      </c>
      <c r="Y305" s="182">
        <f t="shared" si="500"/>
        <v>0</v>
      </c>
      <c r="Z305" s="149" t="str">
        <f t="shared" ca="1" si="440"/>
        <v>nie</v>
      </c>
      <c r="AA305" s="366"/>
      <c r="AB305" s="150" t="str">
        <f t="shared" ca="1" si="487"/>
        <v>-</v>
      </c>
      <c r="AC305" s="151" t="str">
        <f t="shared" ca="1" si="408"/>
        <v>PROPONOWANA ZMIANA</v>
      </c>
      <c r="AD305" s="152" t="str">
        <f t="shared" ca="1" si="488"/>
        <v>PROPONOWANA ZMIANA</v>
      </c>
      <c r="AE305" s="153" t="str">
        <f t="shared" ca="1" si="409"/>
        <v>C/USN/III/P3/43</v>
      </c>
      <c r="AF305" s="154" t="str">
        <f t="shared" ca="1" si="410"/>
        <v>Zagospodarowanie zachodniej części terenu Parku Moczydełko wraz z renaturalizacją zbiornika wodnego "Moczydło nr 3" przy ul. Wełnianej</v>
      </c>
      <c r="AG305" s="155">
        <f t="shared" ca="1" si="411"/>
        <v>90004</v>
      </c>
      <c r="AH305" s="155" t="str">
        <f t="shared" ca="1" si="412"/>
        <v>6050</v>
      </c>
      <c r="AI305" s="156" t="str">
        <f t="shared" ca="1" si="413"/>
        <v>GMMW</v>
      </c>
      <c r="AJ305" s="157" t="str">
        <f t="shared" ca="1" si="414"/>
        <v>WPF/UM</v>
      </c>
      <c r="AK305" s="158" t="str">
        <f t="shared" ca="1" si="489"/>
        <v>C/USN/III/P3/43 90004 6050 GMMW</v>
      </c>
      <c r="AL305" s="158" t="str">
        <f t="shared" ca="1" si="490"/>
        <v>C/USN/III/P3/43 90004 6050 WPF/UM</v>
      </c>
      <c r="AM305" s="159" t="str">
        <f t="shared" ca="1" si="491"/>
        <v>C/USN/III/P3/43 90004 6050 GMMW WPF/UM</v>
      </c>
      <c r="AN305" s="160">
        <f t="shared" ca="1" si="415"/>
        <v>0</v>
      </c>
      <c r="AO305" s="161">
        <f t="shared" ca="1" si="416"/>
        <v>0</v>
      </c>
      <c r="AP305" s="162">
        <f t="shared" ca="1" si="417"/>
        <v>0</v>
      </c>
      <c r="AQ305" s="163">
        <f t="shared" ca="1" si="418"/>
        <v>0</v>
      </c>
      <c r="AR305" s="164">
        <f t="shared" ca="1" si="419"/>
        <v>0</v>
      </c>
      <c r="AS305" s="164">
        <f t="shared" ca="1" si="420"/>
        <v>0</v>
      </c>
      <c r="AT305" s="164">
        <f t="shared" ca="1" si="421"/>
        <v>0</v>
      </c>
      <c r="AU305" s="164">
        <f t="shared" ca="1" si="422"/>
        <v>0</v>
      </c>
      <c r="AV305" s="164">
        <f t="shared" ca="1" si="423"/>
        <v>0</v>
      </c>
      <c r="AW305" s="164">
        <f t="shared" ca="1" si="424"/>
        <v>0</v>
      </c>
      <c r="AX305" s="164">
        <f t="shared" ca="1" si="425"/>
        <v>0</v>
      </c>
      <c r="AY305" s="164">
        <f t="shared" ca="1" si="426"/>
        <v>0</v>
      </c>
      <c r="AZ305" s="164">
        <f t="shared" ca="1" si="427"/>
        <v>0</v>
      </c>
      <c r="BA305" s="165" t="str">
        <f t="shared" ca="1" si="428"/>
        <v>nie</v>
      </c>
      <c r="BB305" s="166" t="str">
        <f t="shared" ca="1" si="492"/>
        <v>-</v>
      </c>
      <c r="BC305" s="165" t="str">
        <f t="shared" ca="1" si="445"/>
        <v>nie</v>
      </c>
    </row>
    <row r="306" spans="1:55" s="167" customFormat="1" ht="14.45" hidden="1" customHeight="1" x14ac:dyDescent="0.25">
      <c r="A306" s="191" t="s">
        <v>101</v>
      </c>
      <c r="B306" s="192"/>
      <c r="C306" s="193"/>
      <c r="D306" s="192"/>
      <c r="E306" s="192"/>
      <c r="F306" s="192"/>
      <c r="G306" s="192"/>
      <c r="H306" s="192"/>
      <c r="I306" s="192"/>
      <c r="J306" s="192"/>
      <c r="K306" s="192"/>
      <c r="L306" s="192"/>
      <c r="M306" s="192"/>
      <c r="N306" s="192"/>
      <c r="O306" s="192"/>
      <c r="P306" s="192"/>
      <c r="Q306" s="192"/>
      <c r="R306" s="194"/>
      <c r="S306" s="195"/>
      <c r="T306" s="195"/>
      <c r="U306" s="195"/>
      <c r="V306" s="195"/>
      <c r="W306" s="195"/>
      <c r="X306" s="195"/>
      <c r="Y306" s="196"/>
      <c r="Z306" s="149" t="str">
        <f t="shared" ca="1" si="440"/>
        <v>nie</v>
      </c>
      <c r="AA306" s="366"/>
      <c r="AB306" s="150" t="str">
        <f t="shared" ca="1" si="487"/>
        <v>-</v>
      </c>
      <c r="AC306" s="151" t="str">
        <f t="shared" ca="1" si="408"/>
        <v>PO ZMIANIE</v>
      </c>
      <c r="AD306" s="152" t="str">
        <f t="shared" ca="1" si="488"/>
        <v/>
      </c>
      <c r="AE306" s="153" t="str">
        <f t="shared" ca="1" si="409"/>
        <v/>
      </c>
      <c r="AF306" s="154" t="str">
        <f t="shared" ca="1" si="410"/>
        <v/>
      </c>
      <c r="AG306" s="155" t="str">
        <f t="shared" ca="1" si="411"/>
        <v/>
      </c>
      <c r="AH306" s="155" t="str">
        <f t="shared" ca="1" si="412"/>
        <v/>
      </c>
      <c r="AI306" s="156" t="str">
        <f t="shared" ca="1" si="413"/>
        <v/>
      </c>
      <c r="AJ306" s="157" t="str">
        <f t="shared" ca="1" si="414"/>
        <v/>
      </c>
      <c r="AK306" s="158" t="str">
        <f t="shared" ca="1" si="489"/>
        <v/>
      </c>
      <c r="AL306" s="158" t="str">
        <f t="shared" ca="1" si="490"/>
        <v/>
      </c>
      <c r="AM306" s="159" t="str">
        <f t="shared" ca="1" si="491"/>
        <v/>
      </c>
      <c r="AN306" s="160" t="str">
        <f t="shared" ca="1" si="415"/>
        <v/>
      </c>
      <c r="AO306" s="161" t="str">
        <f t="shared" ca="1" si="416"/>
        <v/>
      </c>
      <c r="AP306" s="162" t="str">
        <f t="shared" ca="1" si="417"/>
        <v/>
      </c>
      <c r="AQ306" s="163" t="str">
        <f t="shared" ca="1" si="418"/>
        <v/>
      </c>
      <c r="AR306" s="164" t="str">
        <f t="shared" ca="1" si="419"/>
        <v/>
      </c>
      <c r="AS306" s="164" t="str">
        <f t="shared" ca="1" si="420"/>
        <v/>
      </c>
      <c r="AT306" s="164" t="str">
        <f t="shared" ca="1" si="421"/>
        <v/>
      </c>
      <c r="AU306" s="164" t="str">
        <f t="shared" ca="1" si="422"/>
        <v/>
      </c>
      <c r="AV306" s="164" t="str">
        <f t="shared" ca="1" si="423"/>
        <v/>
      </c>
      <c r="AW306" s="164" t="str">
        <f t="shared" ca="1" si="424"/>
        <v/>
      </c>
      <c r="AX306" s="164" t="str">
        <f t="shared" ca="1" si="425"/>
        <v/>
      </c>
      <c r="AY306" s="164" t="str">
        <f t="shared" ca="1" si="426"/>
        <v/>
      </c>
      <c r="AZ306" s="164" t="str">
        <f t="shared" ca="1" si="427"/>
        <v/>
      </c>
      <c r="BA306" s="165" t="str">
        <f t="shared" ca="1" si="428"/>
        <v>nie</v>
      </c>
      <c r="BB306" s="166" t="str">
        <f t="shared" ca="1" si="492"/>
        <v>-</v>
      </c>
      <c r="BC306" s="165" t="str">
        <f t="shared" ca="1" si="445"/>
        <v>nie</v>
      </c>
    </row>
    <row r="307" spans="1:55" s="176" customFormat="1" ht="14.45" hidden="1" customHeight="1" x14ac:dyDescent="0.25">
      <c r="A307" s="493" t="s">
        <v>24</v>
      </c>
      <c r="B307" s="493" t="s">
        <v>26</v>
      </c>
      <c r="C307" s="494" t="s">
        <v>398</v>
      </c>
      <c r="D307" s="505" t="s">
        <v>399</v>
      </c>
      <c r="E307" s="497">
        <v>900</v>
      </c>
      <c r="F307" s="535">
        <v>90004</v>
      </c>
      <c r="G307" s="497">
        <v>6050</v>
      </c>
      <c r="H307" s="507">
        <v>2024</v>
      </c>
      <c r="I307" s="499" t="str">
        <f ca="1">IF(COUNTIF(OFFSET(I307,-1,-8),"*propon*")&gt;0,OFFSET(I307,4,0),IF(Y307&gt;0,"2033",IF(X307&gt;0,"2032",IF(W307&gt;0,"2031",IF(V307&gt;0,"2030",IF(U307&gt;0,"2029",IF(T307&gt;0,"2028",IF(S307&gt;0,"2027",IF(R307&gt;0,"2026",IF(Q307&gt;0,"2025",IF(P307&gt;0,"2024",IF(M307&gt;0,"2023",IF(L307&gt;0,"2022","")))))))))))))</f>
        <v>2025</v>
      </c>
      <c r="J307" s="168" t="s">
        <v>102</v>
      </c>
      <c r="K307" s="169">
        <f>SUM(N307:O307)</f>
        <v>744200</v>
      </c>
      <c r="L307" s="170">
        <f t="shared" ref="L307:M307" si="501">SUM(L308:L309)</f>
        <v>0</v>
      </c>
      <c r="M307" s="171">
        <f t="shared" si="501"/>
        <v>0</v>
      </c>
      <c r="N307" s="172">
        <f>SUM(L307:M307)</f>
        <v>0</v>
      </c>
      <c r="O307" s="169">
        <f>SUM(P307:Y307)</f>
        <v>744200</v>
      </c>
      <c r="P307" s="173">
        <f t="shared" ref="P307:Y307" si="502">SUM(P308:P309)</f>
        <v>598200</v>
      </c>
      <c r="Q307" s="171">
        <f t="shared" si="502"/>
        <v>146000</v>
      </c>
      <c r="R307" s="174">
        <f t="shared" si="502"/>
        <v>0</v>
      </c>
      <c r="S307" s="175">
        <f t="shared" si="502"/>
        <v>0</v>
      </c>
      <c r="T307" s="171">
        <f t="shared" si="502"/>
        <v>0</v>
      </c>
      <c r="U307" s="171">
        <f t="shared" si="502"/>
        <v>0</v>
      </c>
      <c r="V307" s="171">
        <f t="shared" si="502"/>
        <v>0</v>
      </c>
      <c r="W307" s="171">
        <f t="shared" si="502"/>
        <v>0</v>
      </c>
      <c r="X307" s="171">
        <f t="shared" si="502"/>
        <v>0</v>
      </c>
      <c r="Y307" s="174">
        <f t="shared" si="502"/>
        <v>0</v>
      </c>
      <c r="Z307" s="149" t="str">
        <f t="shared" ca="1" si="440"/>
        <v>nie</v>
      </c>
      <c r="AA307" s="366"/>
      <c r="AB307" s="150" t="str">
        <f t="shared" ca="1" si="487"/>
        <v>-</v>
      </c>
      <c r="AC307" s="151" t="str">
        <f t="shared" ca="1" si="408"/>
        <v>PO ZMIANIE</v>
      </c>
      <c r="AD307" s="152" t="str">
        <f t="shared" ca="1" si="488"/>
        <v>PO ZMIANIE</v>
      </c>
      <c r="AE307" s="153" t="str">
        <f t="shared" ca="1" si="409"/>
        <v>C/USN/III/P3/43</v>
      </c>
      <c r="AF307" s="154" t="str">
        <f t="shared" ca="1" si="410"/>
        <v>Zagospodarowanie zachodniej części terenu Parku Moczydełko wraz z renaturalizacją zbiornika wodnego "Moczydło nr 3" przy ul. Wełnianej</v>
      </c>
      <c r="AG307" s="155">
        <f t="shared" ca="1" si="411"/>
        <v>90004</v>
      </c>
      <c r="AH307" s="155" t="str">
        <f t="shared" ca="1" si="412"/>
        <v>6050</v>
      </c>
      <c r="AI307" s="156" t="str">
        <f t="shared" ca="1" si="413"/>
        <v>GMMW</v>
      </c>
      <c r="AJ307" s="157" t="str">
        <f t="shared" ca="1" si="414"/>
        <v>WPF, w tym</v>
      </c>
      <c r="AK307" s="158" t="str">
        <f t="shared" ca="1" si="489"/>
        <v>C/USN/III/P3/43 90004 6050 GMMW</v>
      </c>
      <c r="AL307" s="158" t="str">
        <f t="shared" ca="1" si="490"/>
        <v>C/USN/III/P3/43 90004 6050 WPF, w tym</v>
      </c>
      <c r="AM307" s="159" t="str">
        <f t="shared" ca="1" si="491"/>
        <v>C/USN/III/P3/43 90004 6050 GMMW WPF, w tym</v>
      </c>
      <c r="AN307" s="160">
        <f t="shared" ca="1" si="415"/>
        <v>744200</v>
      </c>
      <c r="AO307" s="161">
        <f t="shared" ca="1" si="416"/>
        <v>0</v>
      </c>
      <c r="AP307" s="162">
        <f t="shared" ca="1" si="417"/>
        <v>0</v>
      </c>
      <c r="AQ307" s="163">
        <f t="shared" ca="1" si="418"/>
        <v>598200</v>
      </c>
      <c r="AR307" s="164">
        <f t="shared" ca="1" si="419"/>
        <v>146000</v>
      </c>
      <c r="AS307" s="164">
        <f t="shared" ca="1" si="420"/>
        <v>0</v>
      </c>
      <c r="AT307" s="164">
        <f t="shared" ca="1" si="421"/>
        <v>0</v>
      </c>
      <c r="AU307" s="164">
        <f t="shared" ca="1" si="422"/>
        <v>0</v>
      </c>
      <c r="AV307" s="164">
        <f t="shared" ca="1" si="423"/>
        <v>0</v>
      </c>
      <c r="AW307" s="164">
        <f t="shared" ca="1" si="424"/>
        <v>0</v>
      </c>
      <c r="AX307" s="164">
        <f t="shared" ca="1" si="425"/>
        <v>0</v>
      </c>
      <c r="AY307" s="164">
        <f t="shared" ca="1" si="426"/>
        <v>0</v>
      </c>
      <c r="AZ307" s="164">
        <f t="shared" ca="1" si="427"/>
        <v>0</v>
      </c>
      <c r="BA307" s="165" t="str">
        <f t="shared" ca="1" si="428"/>
        <v>nie</v>
      </c>
      <c r="BB307" s="166" t="str">
        <f t="shared" ca="1" si="492"/>
        <v>-</v>
      </c>
      <c r="BC307" s="165" t="str">
        <f t="shared" ca="1" si="445"/>
        <v>nie</v>
      </c>
    </row>
    <row r="308" spans="1:55" s="167" customFormat="1" ht="14.45" hidden="1" customHeight="1" x14ac:dyDescent="0.25">
      <c r="A308" s="493"/>
      <c r="B308" s="493"/>
      <c r="C308" s="494"/>
      <c r="D308" s="506"/>
      <c r="E308" s="497"/>
      <c r="F308" s="536"/>
      <c r="G308" s="497"/>
      <c r="H308" s="498"/>
      <c r="I308" s="499"/>
      <c r="J308" s="177" t="s">
        <v>103</v>
      </c>
      <c r="K308" s="178">
        <f>SUM(N308:O308)</f>
        <v>744200</v>
      </c>
      <c r="L308" s="179"/>
      <c r="M308" s="180"/>
      <c r="N308" s="172">
        <f>SUM(L308:M308)</f>
        <v>0</v>
      </c>
      <c r="O308" s="178">
        <f>SUM(P308:Y308)</f>
        <v>744200</v>
      </c>
      <c r="P308" s="181">
        <f>598200</f>
        <v>598200</v>
      </c>
      <c r="Q308" s="180">
        <f>146000</f>
        <v>146000</v>
      </c>
      <c r="R308" s="182"/>
      <c r="S308" s="183"/>
      <c r="T308" s="180"/>
      <c r="U308" s="180"/>
      <c r="V308" s="180"/>
      <c r="W308" s="180"/>
      <c r="X308" s="180"/>
      <c r="Y308" s="182"/>
      <c r="Z308" s="149" t="str">
        <f t="shared" ca="1" si="440"/>
        <v>nie</v>
      </c>
      <c r="AA308" s="384"/>
      <c r="AB308" s="150" t="str">
        <f t="shared" ca="1" si="487"/>
        <v>-</v>
      </c>
      <c r="AC308" s="151" t="str">
        <f t="shared" ca="1" si="408"/>
        <v>PO ZMIANIE</v>
      </c>
      <c r="AD308" s="152" t="str">
        <f t="shared" ca="1" si="488"/>
        <v>PO ZMIANIE</v>
      </c>
      <c r="AE308" s="153" t="str">
        <f t="shared" ca="1" si="409"/>
        <v>C/USN/III/P3/43</v>
      </c>
      <c r="AF308" s="154" t="str">
        <f t="shared" ca="1" si="410"/>
        <v>Zagospodarowanie zachodniej części terenu Parku Moczydełko wraz z renaturalizacją zbiornika wodnego "Moczydło nr 3" przy ul. Wełnianej</v>
      </c>
      <c r="AG308" s="155">
        <f t="shared" ca="1" si="411"/>
        <v>90004</v>
      </c>
      <c r="AH308" s="155" t="str">
        <f t="shared" ca="1" si="412"/>
        <v>6050</v>
      </c>
      <c r="AI308" s="156" t="str">
        <f t="shared" ca="1" si="413"/>
        <v>GMMW</v>
      </c>
      <c r="AJ308" s="157" t="str">
        <f t="shared" ca="1" si="414"/>
        <v>WPF/PM</v>
      </c>
      <c r="AK308" s="158" t="str">
        <f t="shared" ca="1" si="489"/>
        <v>C/USN/III/P3/43 90004 6050 GMMW</v>
      </c>
      <c r="AL308" s="158" t="str">
        <f t="shared" ca="1" si="490"/>
        <v>C/USN/III/P3/43 90004 6050 WPF/PM</v>
      </c>
      <c r="AM308" s="159" t="str">
        <f t="shared" ca="1" si="491"/>
        <v>C/USN/III/P3/43 90004 6050 GMMW WPF/PM</v>
      </c>
      <c r="AN308" s="160">
        <f t="shared" ca="1" si="415"/>
        <v>744200</v>
      </c>
      <c r="AO308" s="161">
        <f t="shared" ca="1" si="416"/>
        <v>0</v>
      </c>
      <c r="AP308" s="162">
        <f t="shared" ca="1" si="417"/>
        <v>0</v>
      </c>
      <c r="AQ308" s="163">
        <f t="shared" ca="1" si="418"/>
        <v>598200</v>
      </c>
      <c r="AR308" s="164">
        <f t="shared" ca="1" si="419"/>
        <v>146000</v>
      </c>
      <c r="AS308" s="164">
        <f t="shared" ca="1" si="420"/>
        <v>0</v>
      </c>
      <c r="AT308" s="164">
        <f t="shared" ca="1" si="421"/>
        <v>0</v>
      </c>
      <c r="AU308" s="164">
        <f t="shared" ca="1" si="422"/>
        <v>0</v>
      </c>
      <c r="AV308" s="164">
        <f t="shared" ca="1" si="423"/>
        <v>0</v>
      </c>
      <c r="AW308" s="164">
        <f t="shared" ca="1" si="424"/>
        <v>0</v>
      </c>
      <c r="AX308" s="164">
        <f t="shared" ca="1" si="425"/>
        <v>0</v>
      </c>
      <c r="AY308" s="164">
        <f t="shared" ca="1" si="426"/>
        <v>0</v>
      </c>
      <c r="AZ308" s="164">
        <f t="shared" ca="1" si="427"/>
        <v>0</v>
      </c>
      <c r="BA308" s="165" t="str">
        <f t="shared" ca="1" si="428"/>
        <v>nie</v>
      </c>
      <c r="BB308" s="166" t="str">
        <f t="shared" ca="1" si="492"/>
        <v>-</v>
      </c>
      <c r="BC308" s="165" t="str">
        <f t="shared" ca="1" si="445"/>
        <v>nie</v>
      </c>
    </row>
    <row r="309" spans="1:55" s="167" customFormat="1" ht="14.45" hidden="1" customHeight="1" thickBot="1" x14ac:dyDescent="0.3">
      <c r="A309" s="493"/>
      <c r="B309" s="493"/>
      <c r="C309" s="494"/>
      <c r="D309" s="506"/>
      <c r="E309" s="497"/>
      <c r="F309" s="537"/>
      <c r="G309" s="497"/>
      <c r="H309" s="498"/>
      <c r="I309" s="499"/>
      <c r="J309" s="197" t="s">
        <v>104</v>
      </c>
      <c r="K309" s="198">
        <f>SUM(N309:O309)</f>
        <v>0</v>
      </c>
      <c r="L309" s="199"/>
      <c r="M309" s="200"/>
      <c r="N309" s="371">
        <f>SUM(L309:M309)</f>
        <v>0</v>
      </c>
      <c r="O309" s="198">
        <f>SUM(P309:Y309)</f>
        <v>0</v>
      </c>
      <c r="P309" s="201"/>
      <c r="Q309" s="200"/>
      <c r="R309" s="202"/>
      <c r="S309" s="203"/>
      <c r="T309" s="200"/>
      <c r="U309" s="200"/>
      <c r="V309" s="200"/>
      <c r="W309" s="200"/>
      <c r="X309" s="200"/>
      <c r="Y309" s="202"/>
      <c r="Z309" s="149" t="str">
        <f t="shared" ca="1" si="440"/>
        <v>nie</v>
      </c>
      <c r="AA309" s="384"/>
      <c r="AB309" s="150" t="str">
        <f t="shared" ca="1" si="487"/>
        <v>-</v>
      </c>
      <c r="AC309" s="151" t="str">
        <f t="shared" ca="1" si="408"/>
        <v>PO ZMIANIE</v>
      </c>
      <c r="AD309" s="152" t="str">
        <f t="shared" ca="1" si="488"/>
        <v>PO ZMIANIE</v>
      </c>
      <c r="AE309" s="153" t="str">
        <f t="shared" ca="1" si="409"/>
        <v>C/USN/III/P3/43</v>
      </c>
      <c r="AF309" s="154" t="str">
        <f t="shared" ca="1" si="410"/>
        <v>Zagospodarowanie zachodniej części terenu Parku Moczydełko wraz z renaturalizacją zbiornika wodnego "Moczydło nr 3" przy ul. Wełnianej</v>
      </c>
      <c r="AG309" s="155">
        <f t="shared" ca="1" si="411"/>
        <v>90004</v>
      </c>
      <c r="AH309" s="155" t="str">
        <f t="shared" ca="1" si="412"/>
        <v>6050</v>
      </c>
      <c r="AI309" s="156" t="str">
        <f t="shared" ca="1" si="413"/>
        <v>GMMW</v>
      </c>
      <c r="AJ309" s="157" t="str">
        <f t="shared" ca="1" si="414"/>
        <v>WPF/UM</v>
      </c>
      <c r="AK309" s="158" t="str">
        <f t="shared" ca="1" si="489"/>
        <v>C/USN/III/P3/43 90004 6050 GMMW</v>
      </c>
      <c r="AL309" s="158" t="str">
        <f t="shared" ca="1" si="490"/>
        <v>C/USN/III/P3/43 90004 6050 WPF/UM</v>
      </c>
      <c r="AM309" s="159" t="str">
        <f t="shared" ca="1" si="491"/>
        <v>C/USN/III/P3/43 90004 6050 GMMW WPF/UM</v>
      </c>
      <c r="AN309" s="160">
        <f t="shared" ca="1" si="415"/>
        <v>0</v>
      </c>
      <c r="AO309" s="161">
        <f t="shared" ca="1" si="416"/>
        <v>0</v>
      </c>
      <c r="AP309" s="162">
        <f t="shared" ca="1" si="417"/>
        <v>0</v>
      </c>
      <c r="AQ309" s="163">
        <f t="shared" ca="1" si="418"/>
        <v>0</v>
      </c>
      <c r="AR309" s="164">
        <f t="shared" ca="1" si="419"/>
        <v>0</v>
      </c>
      <c r="AS309" s="164">
        <f t="shared" ca="1" si="420"/>
        <v>0</v>
      </c>
      <c r="AT309" s="164">
        <f t="shared" ca="1" si="421"/>
        <v>0</v>
      </c>
      <c r="AU309" s="164">
        <f t="shared" ca="1" si="422"/>
        <v>0</v>
      </c>
      <c r="AV309" s="164">
        <f t="shared" ca="1" si="423"/>
        <v>0</v>
      </c>
      <c r="AW309" s="164">
        <f t="shared" ca="1" si="424"/>
        <v>0</v>
      </c>
      <c r="AX309" s="164">
        <f t="shared" ca="1" si="425"/>
        <v>0</v>
      </c>
      <c r="AY309" s="164">
        <f t="shared" ca="1" si="426"/>
        <v>0</v>
      </c>
      <c r="AZ309" s="164">
        <f t="shared" ca="1" si="427"/>
        <v>0</v>
      </c>
      <c r="BA309" s="165" t="str">
        <f t="shared" ca="1" si="428"/>
        <v>nie</v>
      </c>
      <c r="BB309" s="166" t="str">
        <f t="shared" ca="1" si="492"/>
        <v>-</v>
      </c>
      <c r="BC309" s="165" t="str">
        <f t="shared" ca="1" si="445"/>
        <v>nie</v>
      </c>
    </row>
    <row r="310" spans="1:55" ht="14.45" hidden="1" customHeight="1" x14ac:dyDescent="0.25">
      <c r="A310" s="143" t="s">
        <v>91</v>
      </c>
      <c r="B310" s="144"/>
      <c r="C310" s="145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6"/>
      <c r="S310" s="147"/>
      <c r="T310" s="147"/>
      <c r="U310" s="147"/>
      <c r="V310" s="147"/>
      <c r="W310" s="147"/>
      <c r="X310" s="147"/>
      <c r="Y310" s="148"/>
      <c r="Z310" s="149" t="str">
        <f t="shared" ca="1" si="440"/>
        <v>nie</v>
      </c>
      <c r="AA310" s="366"/>
      <c r="AB310" s="150" t="str">
        <f t="shared" ref="AB310:AB321" ca="1" si="503">IF(IF(OR(COUNTIF(AD310,"*bilans*")&gt;0,COUNTIF(AD310,"*prop*")&gt;0),COUNTIF(AO310:AZ310,"")+COUNTIF(AO310:AZ310,"0"),"")&lt;12,AE310,"-")</f>
        <v>-</v>
      </c>
      <c r="AC310" s="151" t="str">
        <f t="shared" ca="1" si="408"/>
        <v>PRZED ZMIANĄ</v>
      </c>
      <c r="AD310" s="152" t="str">
        <f t="shared" ref="AD310:AD321" ca="1" si="504">IF(AE310="","",AC310)</f>
        <v/>
      </c>
      <c r="AE310" s="153" t="str">
        <f t="shared" ca="1" si="409"/>
        <v/>
      </c>
      <c r="AF310" s="154" t="str">
        <f t="shared" ca="1" si="410"/>
        <v/>
      </c>
      <c r="AG310" s="155" t="str">
        <f t="shared" ca="1" si="411"/>
        <v/>
      </c>
      <c r="AH310" s="155" t="str">
        <f t="shared" ca="1" si="412"/>
        <v/>
      </c>
      <c r="AI310" s="156" t="str">
        <f t="shared" ca="1" si="413"/>
        <v/>
      </c>
      <c r="AJ310" s="157" t="str">
        <f t="shared" ca="1" si="414"/>
        <v/>
      </c>
      <c r="AK310" s="158" t="str">
        <f t="shared" ref="AK310:AK321" ca="1" si="505">IF(AH310="","",AE310&amp;" "&amp;AG310&amp;" "&amp;AH310&amp;" "&amp;AI310)</f>
        <v/>
      </c>
      <c r="AL310" s="158" t="str">
        <f t="shared" ref="AL310:AL321" ca="1" si="506">IF(AH310="","",AE310&amp;" "&amp;AG310&amp;" "&amp;AH310&amp;" "&amp;AJ310)</f>
        <v/>
      </c>
      <c r="AM310" s="159" t="str">
        <f t="shared" ref="AM310:AM321" ca="1" si="507">IF(AH310="","",AE310&amp;" "&amp;AG310&amp;" "&amp;AH310&amp;" "&amp;AI310&amp;" "&amp;AJ310)</f>
        <v/>
      </c>
      <c r="AN310" s="160" t="str">
        <f t="shared" ca="1" si="415"/>
        <v/>
      </c>
      <c r="AO310" s="161" t="str">
        <f t="shared" ca="1" si="416"/>
        <v/>
      </c>
      <c r="AP310" s="162" t="str">
        <f t="shared" ca="1" si="417"/>
        <v/>
      </c>
      <c r="AQ310" s="163" t="str">
        <f t="shared" ca="1" si="418"/>
        <v/>
      </c>
      <c r="AR310" s="164" t="str">
        <f t="shared" ca="1" si="419"/>
        <v/>
      </c>
      <c r="AS310" s="164" t="str">
        <f t="shared" ca="1" si="420"/>
        <v/>
      </c>
      <c r="AT310" s="164" t="str">
        <f t="shared" ca="1" si="421"/>
        <v/>
      </c>
      <c r="AU310" s="164" t="str">
        <f t="shared" ca="1" si="422"/>
        <v/>
      </c>
      <c r="AV310" s="164" t="str">
        <f t="shared" ca="1" si="423"/>
        <v/>
      </c>
      <c r="AW310" s="164" t="str">
        <f t="shared" ca="1" si="424"/>
        <v/>
      </c>
      <c r="AX310" s="164" t="str">
        <f t="shared" ca="1" si="425"/>
        <v/>
      </c>
      <c r="AY310" s="164" t="str">
        <f t="shared" ca="1" si="426"/>
        <v/>
      </c>
      <c r="AZ310" s="164" t="str">
        <f t="shared" ca="1" si="427"/>
        <v/>
      </c>
      <c r="BA310" s="165" t="str">
        <f t="shared" ca="1" si="428"/>
        <v>nie</v>
      </c>
      <c r="BB310" s="166" t="str">
        <f t="shared" ref="BB310:BB321" ca="1" si="508">IF(COUNTIF(AD310,"*bilans*")&gt;0,"-",IF(IF(COUNTIF(AD310,"*prop*")&gt;0,COUNTIF(AO310:AZ310,"")+COUNTIF(AO310:AZ310,"0"),"")&lt;12,AK310,"-"))</f>
        <v>-</v>
      </c>
      <c r="BC310" s="165" t="str">
        <f t="shared" ca="1" si="445"/>
        <v>nie</v>
      </c>
    </row>
    <row r="311" spans="1:55" ht="14.45" hidden="1" customHeight="1" x14ac:dyDescent="0.25">
      <c r="A311" s="493" t="s">
        <v>24</v>
      </c>
      <c r="B311" s="493" t="s">
        <v>133</v>
      </c>
      <c r="C311" s="494" t="s">
        <v>398</v>
      </c>
      <c r="D311" s="505" t="s">
        <v>399</v>
      </c>
      <c r="E311" s="497">
        <v>900</v>
      </c>
      <c r="F311" s="497">
        <v>90004</v>
      </c>
      <c r="G311" s="497">
        <v>6050</v>
      </c>
      <c r="H311" s="507">
        <v>2024</v>
      </c>
      <c r="I311" s="499" t="str">
        <f ca="1">IF(COUNTIF(OFFSET(I311,-1,-8),"*propon*")&gt;0,OFFSET(I311,4,0),IF(Y311&gt;0,"2033",IF(X311&gt;0,"2032",IF(W311&gt;0,"2031",IF(V311&gt;0,"2030",IF(U311&gt;0,"2029",IF(T311&gt;0,"2028",IF(S311&gt;0,"2027",IF(R311&gt;0,"2026",IF(Q311&gt;0,"2025",IF(P311&gt;0,"2024",IF(M311&gt;0,"2023",IF(L311&gt;0,"2022","")))))))))))))</f>
        <v>2024</v>
      </c>
      <c r="J311" s="168" t="s">
        <v>94</v>
      </c>
      <c r="K311" s="169">
        <f>SUM(N311:O311)</f>
        <v>861800</v>
      </c>
      <c r="L311" s="170">
        <f t="shared" ref="L311:M311" si="509">SUM(L312:L313)</f>
        <v>0</v>
      </c>
      <c r="M311" s="171">
        <f t="shared" si="509"/>
        <v>0</v>
      </c>
      <c r="N311" s="172">
        <f>SUM(L311:M311)</f>
        <v>0</v>
      </c>
      <c r="O311" s="169">
        <f>SUM(P311:Y311)</f>
        <v>861800</v>
      </c>
      <c r="P311" s="173">
        <f t="shared" ref="P311:Y311" si="510">SUM(P312:P313)</f>
        <v>861800</v>
      </c>
      <c r="Q311" s="171">
        <f t="shared" si="510"/>
        <v>0</v>
      </c>
      <c r="R311" s="174">
        <f t="shared" si="510"/>
        <v>0</v>
      </c>
      <c r="S311" s="175">
        <f t="shared" si="510"/>
        <v>0</v>
      </c>
      <c r="T311" s="171">
        <f t="shared" si="510"/>
        <v>0</v>
      </c>
      <c r="U311" s="171">
        <f t="shared" si="510"/>
        <v>0</v>
      </c>
      <c r="V311" s="171">
        <f t="shared" si="510"/>
        <v>0</v>
      </c>
      <c r="W311" s="171">
        <f t="shared" si="510"/>
        <v>0</v>
      </c>
      <c r="X311" s="171">
        <f t="shared" si="510"/>
        <v>0</v>
      </c>
      <c r="Y311" s="174">
        <f t="shared" si="510"/>
        <v>0</v>
      </c>
      <c r="Z311" s="149" t="str">
        <f t="shared" ca="1" si="440"/>
        <v>nie</v>
      </c>
      <c r="AA311" s="366"/>
      <c r="AB311" s="150" t="str">
        <f t="shared" ca="1" si="503"/>
        <v>-</v>
      </c>
      <c r="AC311" s="151" t="str">
        <f t="shared" ca="1" si="408"/>
        <v>PRZED ZMIANĄ</v>
      </c>
      <c r="AD311" s="152" t="str">
        <f t="shared" ca="1" si="504"/>
        <v>PRZED ZMIANĄ</v>
      </c>
      <c r="AE311" s="153" t="str">
        <f t="shared" ca="1" si="409"/>
        <v>C/USN/III/P3/43</v>
      </c>
      <c r="AF311" s="154" t="str">
        <f t="shared" ca="1" si="410"/>
        <v>Zagospodarowanie zachodniej części terenu Parku Moczydełko wraz z renaturalizacją zbiornika wodnego "Moczydło nr 3" przy ul. Wełnianej</v>
      </c>
      <c r="AG311" s="155">
        <f t="shared" ca="1" si="411"/>
        <v>90004</v>
      </c>
      <c r="AH311" s="155" t="str">
        <f t="shared" ca="1" si="412"/>
        <v>6050</v>
      </c>
      <c r="AI311" s="156" t="str">
        <f t="shared" ca="1" si="413"/>
        <v>GPOS</v>
      </c>
      <c r="AJ311" s="157" t="str">
        <f t="shared" ca="1" si="414"/>
        <v>WPF, w tym</v>
      </c>
      <c r="AK311" s="158" t="str">
        <f t="shared" ca="1" si="505"/>
        <v>C/USN/III/P3/43 90004 6050 GPOS</v>
      </c>
      <c r="AL311" s="158" t="str">
        <f t="shared" ca="1" si="506"/>
        <v>C/USN/III/P3/43 90004 6050 WPF, w tym</v>
      </c>
      <c r="AM311" s="159" t="str">
        <f t="shared" ca="1" si="507"/>
        <v>C/USN/III/P3/43 90004 6050 GPOS WPF, w tym</v>
      </c>
      <c r="AN311" s="160">
        <f t="shared" ca="1" si="415"/>
        <v>861800</v>
      </c>
      <c r="AO311" s="161">
        <f t="shared" ca="1" si="416"/>
        <v>0</v>
      </c>
      <c r="AP311" s="162">
        <f t="shared" ca="1" si="417"/>
        <v>0</v>
      </c>
      <c r="AQ311" s="163">
        <f t="shared" ca="1" si="418"/>
        <v>861800</v>
      </c>
      <c r="AR311" s="164">
        <f t="shared" ca="1" si="419"/>
        <v>0</v>
      </c>
      <c r="AS311" s="164">
        <f t="shared" ca="1" si="420"/>
        <v>0</v>
      </c>
      <c r="AT311" s="164">
        <f t="shared" ca="1" si="421"/>
        <v>0</v>
      </c>
      <c r="AU311" s="164">
        <f t="shared" ca="1" si="422"/>
        <v>0</v>
      </c>
      <c r="AV311" s="164">
        <f t="shared" ca="1" si="423"/>
        <v>0</v>
      </c>
      <c r="AW311" s="164">
        <f t="shared" ca="1" si="424"/>
        <v>0</v>
      </c>
      <c r="AX311" s="164">
        <f t="shared" ca="1" si="425"/>
        <v>0</v>
      </c>
      <c r="AY311" s="164">
        <f t="shared" ca="1" si="426"/>
        <v>0</v>
      </c>
      <c r="AZ311" s="164">
        <f t="shared" ca="1" si="427"/>
        <v>0</v>
      </c>
      <c r="BA311" s="165" t="str">
        <f t="shared" ca="1" si="428"/>
        <v>nie</v>
      </c>
      <c r="BB311" s="166" t="str">
        <f t="shared" ca="1" si="508"/>
        <v>-</v>
      </c>
      <c r="BC311" s="165" t="str">
        <f t="shared" ca="1" si="445"/>
        <v>nie</v>
      </c>
    </row>
    <row r="312" spans="1:55" ht="14.45" hidden="1" customHeight="1" x14ac:dyDescent="0.25">
      <c r="A312" s="493"/>
      <c r="B312" s="493"/>
      <c r="C312" s="494"/>
      <c r="D312" s="506"/>
      <c r="E312" s="497"/>
      <c r="F312" s="497"/>
      <c r="G312" s="497"/>
      <c r="H312" s="498"/>
      <c r="I312" s="499"/>
      <c r="J312" s="177" t="s">
        <v>95</v>
      </c>
      <c r="K312" s="178">
        <f>SUM(N312:O312)</f>
        <v>861800</v>
      </c>
      <c r="L312" s="179"/>
      <c r="M312" s="180"/>
      <c r="N312" s="172">
        <f>SUM(L312:M312)</f>
        <v>0</v>
      </c>
      <c r="O312" s="178">
        <f>SUM(P312:Y312)</f>
        <v>861800</v>
      </c>
      <c r="P312" s="181">
        <v>861800</v>
      </c>
      <c r="Q312" s="180"/>
      <c r="R312" s="182"/>
      <c r="S312" s="183"/>
      <c r="T312" s="180"/>
      <c r="U312" s="180"/>
      <c r="V312" s="180"/>
      <c r="W312" s="180"/>
      <c r="X312" s="180"/>
      <c r="Y312" s="182"/>
      <c r="Z312" s="149" t="str">
        <f t="shared" ca="1" si="440"/>
        <v>nie</v>
      </c>
      <c r="AA312" s="366"/>
      <c r="AB312" s="150" t="str">
        <f t="shared" ca="1" si="503"/>
        <v>-</v>
      </c>
      <c r="AC312" s="151" t="str">
        <f t="shared" ca="1" si="408"/>
        <v>PRZED ZMIANĄ</v>
      </c>
      <c r="AD312" s="152" t="str">
        <f t="shared" ca="1" si="504"/>
        <v>PRZED ZMIANĄ</v>
      </c>
      <c r="AE312" s="153" t="str">
        <f t="shared" ca="1" si="409"/>
        <v>C/USN/III/P3/43</v>
      </c>
      <c r="AF312" s="154" t="str">
        <f t="shared" ca="1" si="410"/>
        <v>Zagospodarowanie zachodniej części terenu Parku Moczydełko wraz z renaturalizacją zbiornika wodnego "Moczydło nr 3" przy ul. Wełnianej</v>
      </c>
      <c r="AG312" s="155">
        <f t="shared" ca="1" si="411"/>
        <v>90004</v>
      </c>
      <c r="AH312" s="155" t="str">
        <f t="shared" ca="1" si="412"/>
        <v>6050</v>
      </c>
      <c r="AI312" s="156" t="str">
        <f t="shared" ca="1" si="413"/>
        <v>GPOS</v>
      </c>
      <c r="AJ312" s="157" t="str">
        <f t="shared" ca="1" si="414"/>
        <v>WPF/PM</v>
      </c>
      <c r="AK312" s="158" t="str">
        <f t="shared" ca="1" si="505"/>
        <v>C/USN/III/P3/43 90004 6050 GPOS</v>
      </c>
      <c r="AL312" s="158" t="str">
        <f t="shared" ca="1" si="506"/>
        <v>C/USN/III/P3/43 90004 6050 WPF/PM</v>
      </c>
      <c r="AM312" s="159" t="str">
        <f t="shared" ca="1" si="507"/>
        <v>C/USN/III/P3/43 90004 6050 GPOS WPF/PM</v>
      </c>
      <c r="AN312" s="160">
        <f t="shared" ca="1" si="415"/>
        <v>861800</v>
      </c>
      <c r="AO312" s="161">
        <f t="shared" ca="1" si="416"/>
        <v>0</v>
      </c>
      <c r="AP312" s="162">
        <f t="shared" ca="1" si="417"/>
        <v>0</v>
      </c>
      <c r="AQ312" s="163">
        <f t="shared" ca="1" si="418"/>
        <v>861800</v>
      </c>
      <c r="AR312" s="164">
        <f t="shared" ca="1" si="419"/>
        <v>0</v>
      </c>
      <c r="AS312" s="164">
        <f t="shared" ca="1" si="420"/>
        <v>0</v>
      </c>
      <c r="AT312" s="164">
        <f t="shared" ca="1" si="421"/>
        <v>0</v>
      </c>
      <c r="AU312" s="164">
        <f t="shared" ca="1" si="422"/>
        <v>0</v>
      </c>
      <c r="AV312" s="164">
        <f t="shared" ca="1" si="423"/>
        <v>0</v>
      </c>
      <c r="AW312" s="164">
        <f t="shared" ca="1" si="424"/>
        <v>0</v>
      </c>
      <c r="AX312" s="164">
        <f t="shared" ca="1" si="425"/>
        <v>0</v>
      </c>
      <c r="AY312" s="164">
        <f t="shared" ca="1" si="426"/>
        <v>0</v>
      </c>
      <c r="AZ312" s="164">
        <f t="shared" ca="1" si="427"/>
        <v>0</v>
      </c>
      <c r="BA312" s="165" t="str">
        <f t="shared" ca="1" si="428"/>
        <v>nie</v>
      </c>
      <c r="BB312" s="166" t="str">
        <f t="shared" ca="1" si="508"/>
        <v>-</v>
      </c>
      <c r="BC312" s="165" t="str">
        <f t="shared" ca="1" si="445"/>
        <v>nie</v>
      </c>
    </row>
    <row r="313" spans="1:55" ht="14.45" hidden="1" customHeight="1" x14ac:dyDescent="0.25">
      <c r="A313" s="493"/>
      <c r="B313" s="493"/>
      <c r="C313" s="494"/>
      <c r="D313" s="506"/>
      <c r="E313" s="497"/>
      <c r="F313" s="497"/>
      <c r="G313" s="497"/>
      <c r="H313" s="498"/>
      <c r="I313" s="499"/>
      <c r="J313" s="177" t="s">
        <v>96</v>
      </c>
      <c r="K313" s="178">
        <f>SUM(N313:O313)</f>
        <v>0</v>
      </c>
      <c r="L313" s="179"/>
      <c r="M313" s="180"/>
      <c r="N313" s="172">
        <f>SUM(L313:M313)</f>
        <v>0</v>
      </c>
      <c r="O313" s="178">
        <f>SUM(P313:Y313)</f>
        <v>0</v>
      </c>
      <c r="P313" s="181"/>
      <c r="Q313" s="180"/>
      <c r="R313" s="182"/>
      <c r="S313" s="183"/>
      <c r="T313" s="180"/>
      <c r="U313" s="180"/>
      <c r="V313" s="180"/>
      <c r="W313" s="180"/>
      <c r="X313" s="180"/>
      <c r="Y313" s="182"/>
      <c r="Z313" s="149" t="str">
        <f t="shared" ca="1" si="440"/>
        <v>nie</v>
      </c>
      <c r="AA313" s="366"/>
      <c r="AB313" s="150" t="str">
        <f t="shared" ca="1" si="503"/>
        <v>-</v>
      </c>
      <c r="AC313" s="151" t="str">
        <f t="shared" ca="1" si="408"/>
        <v>PRZED ZMIANĄ</v>
      </c>
      <c r="AD313" s="152" t="str">
        <f t="shared" ca="1" si="504"/>
        <v>PRZED ZMIANĄ</v>
      </c>
      <c r="AE313" s="153" t="str">
        <f t="shared" ca="1" si="409"/>
        <v>C/USN/III/P3/43</v>
      </c>
      <c r="AF313" s="154" t="str">
        <f t="shared" ca="1" si="410"/>
        <v>Zagospodarowanie zachodniej części terenu Parku Moczydełko wraz z renaturalizacją zbiornika wodnego "Moczydło nr 3" przy ul. Wełnianej</v>
      </c>
      <c r="AG313" s="155">
        <f t="shared" ca="1" si="411"/>
        <v>90004</v>
      </c>
      <c r="AH313" s="155" t="str">
        <f t="shared" ca="1" si="412"/>
        <v>6050</v>
      </c>
      <c r="AI313" s="156" t="str">
        <f t="shared" ca="1" si="413"/>
        <v>GPOS</v>
      </c>
      <c r="AJ313" s="157" t="str">
        <f t="shared" ca="1" si="414"/>
        <v>WPF/UM</v>
      </c>
      <c r="AK313" s="158" t="str">
        <f t="shared" ca="1" si="505"/>
        <v>C/USN/III/P3/43 90004 6050 GPOS</v>
      </c>
      <c r="AL313" s="158" t="str">
        <f t="shared" ca="1" si="506"/>
        <v>C/USN/III/P3/43 90004 6050 WPF/UM</v>
      </c>
      <c r="AM313" s="159" t="str">
        <f t="shared" ca="1" si="507"/>
        <v>C/USN/III/P3/43 90004 6050 GPOS WPF/UM</v>
      </c>
      <c r="AN313" s="160">
        <f t="shared" ca="1" si="415"/>
        <v>0</v>
      </c>
      <c r="AO313" s="161">
        <f t="shared" ca="1" si="416"/>
        <v>0</v>
      </c>
      <c r="AP313" s="162">
        <f t="shared" ca="1" si="417"/>
        <v>0</v>
      </c>
      <c r="AQ313" s="163">
        <f t="shared" ca="1" si="418"/>
        <v>0</v>
      </c>
      <c r="AR313" s="164">
        <f t="shared" ca="1" si="419"/>
        <v>0</v>
      </c>
      <c r="AS313" s="164">
        <f t="shared" ca="1" si="420"/>
        <v>0</v>
      </c>
      <c r="AT313" s="164">
        <f t="shared" ca="1" si="421"/>
        <v>0</v>
      </c>
      <c r="AU313" s="164">
        <f t="shared" ca="1" si="422"/>
        <v>0</v>
      </c>
      <c r="AV313" s="164">
        <f t="shared" ca="1" si="423"/>
        <v>0</v>
      </c>
      <c r="AW313" s="164">
        <f t="shared" ca="1" si="424"/>
        <v>0</v>
      </c>
      <c r="AX313" s="164">
        <f t="shared" ca="1" si="425"/>
        <v>0</v>
      </c>
      <c r="AY313" s="164">
        <f t="shared" ca="1" si="426"/>
        <v>0</v>
      </c>
      <c r="AZ313" s="164">
        <f t="shared" ca="1" si="427"/>
        <v>0</v>
      </c>
      <c r="BA313" s="165" t="str">
        <f t="shared" ca="1" si="428"/>
        <v>nie</v>
      </c>
      <c r="BB313" s="166" t="str">
        <f t="shared" ca="1" si="508"/>
        <v>-</v>
      </c>
      <c r="BC313" s="165" t="str">
        <f t="shared" ca="1" si="445"/>
        <v>nie</v>
      </c>
    </row>
    <row r="314" spans="1:55" ht="14.45" hidden="1" customHeight="1" x14ac:dyDescent="0.25">
      <c r="A314" s="185" t="s">
        <v>97</v>
      </c>
      <c r="B314" s="186"/>
      <c r="C314" s="187"/>
      <c r="D314" s="186"/>
      <c r="E314" s="186"/>
      <c r="F314" s="186"/>
      <c r="G314" s="186"/>
      <c r="H314" s="186"/>
      <c r="I314" s="186"/>
      <c r="J314" s="186"/>
      <c r="K314" s="186"/>
      <c r="L314" s="186"/>
      <c r="M314" s="186"/>
      <c r="N314" s="186"/>
      <c r="O314" s="186"/>
      <c r="P314" s="186"/>
      <c r="Q314" s="186"/>
      <c r="R314" s="188"/>
      <c r="S314" s="189"/>
      <c r="T314" s="189"/>
      <c r="U314" s="189"/>
      <c r="V314" s="189"/>
      <c r="W314" s="189"/>
      <c r="X314" s="189"/>
      <c r="Y314" s="190"/>
      <c r="Z314" s="149" t="str">
        <f t="shared" ca="1" si="440"/>
        <v>nie</v>
      </c>
      <c r="AA314" s="366"/>
      <c r="AB314" s="150" t="str">
        <f t="shared" ca="1" si="503"/>
        <v>-</v>
      </c>
      <c r="AC314" s="151" t="str">
        <f t="shared" ca="1" si="408"/>
        <v>PROPONOWANA ZMIANA</v>
      </c>
      <c r="AD314" s="152" t="str">
        <f t="shared" ca="1" si="504"/>
        <v/>
      </c>
      <c r="AE314" s="153" t="str">
        <f t="shared" ca="1" si="409"/>
        <v/>
      </c>
      <c r="AF314" s="154" t="str">
        <f t="shared" ca="1" si="410"/>
        <v/>
      </c>
      <c r="AG314" s="155" t="str">
        <f t="shared" ca="1" si="411"/>
        <v/>
      </c>
      <c r="AH314" s="155" t="str">
        <f t="shared" ca="1" si="412"/>
        <v/>
      </c>
      <c r="AI314" s="156" t="str">
        <f t="shared" ca="1" si="413"/>
        <v/>
      </c>
      <c r="AJ314" s="157" t="str">
        <f t="shared" ca="1" si="414"/>
        <v/>
      </c>
      <c r="AK314" s="158" t="str">
        <f t="shared" ca="1" si="505"/>
        <v/>
      </c>
      <c r="AL314" s="158" t="str">
        <f t="shared" ca="1" si="506"/>
        <v/>
      </c>
      <c r="AM314" s="159" t="str">
        <f t="shared" ca="1" si="507"/>
        <v/>
      </c>
      <c r="AN314" s="160" t="str">
        <f t="shared" ca="1" si="415"/>
        <v/>
      </c>
      <c r="AO314" s="161" t="str">
        <f t="shared" ca="1" si="416"/>
        <v/>
      </c>
      <c r="AP314" s="162" t="str">
        <f t="shared" ca="1" si="417"/>
        <v/>
      </c>
      <c r="AQ314" s="163" t="str">
        <f t="shared" ca="1" si="418"/>
        <v/>
      </c>
      <c r="AR314" s="164" t="str">
        <f t="shared" ca="1" si="419"/>
        <v/>
      </c>
      <c r="AS314" s="164" t="str">
        <f t="shared" ca="1" si="420"/>
        <v/>
      </c>
      <c r="AT314" s="164" t="str">
        <f t="shared" ca="1" si="421"/>
        <v/>
      </c>
      <c r="AU314" s="164" t="str">
        <f t="shared" ca="1" si="422"/>
        <v/>
      </c>
      <c r="AV314" s="164" t="str">
        <f t="shared" ca="1" si="423"/>
        <v/>
      </c>
      <c r="AW314" s="164" t="str">
        <f t="shared" ca="1" si="424"/>
        <v/>
      </c>
      <c r="AX314" s="164" t="str">
        <f t="shared" ca="1" si="425"/>
        <v/>
      </c>
      <c r="AY314" s="164" t="str">
        <f t="shared" ca="1" si="426"/>
        <v/>
      </c>
      <c r="AZ314" s="164" t="str">
        <f t="shared" ca="1" si="427"/>
        <v/>
      </c>
      <c r="BA314" s="165" t="str">
        <f t="shared" ca="1" si="428"/>
        <v>nie</v>
      </c>
      <c r="BB314" s="166" t="str">
        <f t="shared" ca="1" si="508"/>
        <v>-</v>
      </c>
      <c r="BC314" s="165" t="str">
        <f t="shared" ca="1" si="445"/>
        <v>nie</v>
      </c>
    </row>
    <row r="315" spans="1:55" ht="14.45" hidden="1" customHeight="1" x14ac:dyDescent="0.25">
      <c r="A315" s="493" t="s">
        <v>24</v>
      </c>
      <c r="B315" s="493" t="s">
        <v>133</v>
      </c>
      <c r="C315" s="494" t="s">
        <v>398</v>
      </c>
      <c r="D315" s="505" t="s">
        <v>399</v>
      </c>
      <c r="E315" s="497">
        <v>900</v>
      </c>
      <c r="F315" s="497">
        <v>90004</v>
      </c>
      <c r="G315" s="497">
        <v>6050</v>
      </c>
      <c r="H315" s="507">
        <v>2024</v>
      </c>
      <c r="I315" s="499" t="str">
        <f ca="1">IF(COUNTIF(OFFSET(I315,-1,-8),"*propon*")&gt;0,OFFSET(I315,4,0),IF(Y315&gt;0,"2033",IF(X315&gt;0,"2032",IF(W315&gt;0,"2031",IF(V315&gt;0,"2030",IF(U315&gt;0,"2029",IF(T315&gt;0,"2028",IF(S315&gt;0,"2027",IF(R315&gt;0,"2026",IF(Q315&gt;0,"2025",IF(P315&gt;0,"2024",IF(M315&gt;0,"2023",IF(L315&gt;0,"2022","")))))))))))))</f>
        <v>2024</v>
      </c>
      <c r="J315" s="168" t="s">
        <v>98</v>
      </c>
      <c r="K315" s="169">
        <f>SUM(N315:O315)</f>
        <v>0</v>
      </c>
      <c r="L315" s="170">
        <f t="shared" ref="L315:M315" si="511">SUM(L316:L317)</f>
        <v>0</v>
      </c>
      <c r="M315" s="171">
        <f t="shared" si="511"/>
        <v>0</v>
      </c>
      <c r="N315" s="172">
        <f>SUM(L315:M315)</f>
        <v>0</v>
      </c>
      <c r="O315" s="169">
        <f>SUM(P315:Y315)</f>
        <v>0</v>
      </c>
      <c r="P315" s="173">
        <f t="shared" ref="P315:Y315" si="512">SUM(P316:P317)</f>
        <v>0</v>
      </c>
      <c r="Q315" s="171">
        <f t="shared" si="512"/>
        <v>0</v>
      </c>
      <c r="R315" s="174">
        <f t="shared" si="512"/>
        <v>0</v>
      </c>
      <c r="S315" s="175">
        <f t="shared" si="512"/>
        <v>0</v>
      </c>
      <c r="T315" s="171">
        <f t="shared" si="512"/>
        <v>0</v>
      </c>
      <c r="U315" s="171">
        <f t="shared" si="512"/>
        <v>0</v>
      </c>
      <c r="V315" s="171">
        <f t="shared" si="512"/>
        <v>0</v>
      </c>
      <c r="W315" s="171">
        <f t="shared" si="512"/>
        <v>0</v>
      </c>
      <c r="X315" s="171">
        <f t="shared" si="512"/>
        <v>0</v>
      </c>
      <c r="Y315" s="174">
        <f t="shared" si="512"/>
        <v>0</v>
      </c>
      <c r="Z315" s="149" t="str">
        <f t="shared" ca="1" si="440"/>
        <v>nie</v>
      </c>
      <c r="AA315" s="366"/>
      <c r="AB315" s="150" t="str">
        <f t="shared" ca="1" si="503"/>
        <v>-</v>
      </c>
      <c r="AC315" s="151" t="str">
        <f t="shared" ca="1" si="408"/>
        <v>PROPONOWANA ZMIANA</v>
      </c>
      <c r="AD315" s="152" t="str">
        <f t="shared" ca="1" si="504"/>
        <v>PROPONOWANA ZMIANA</v>
      </c>
      <c r="AE315" s="153" t="str">
        <f t="shared" ca="1" si="409"/>
        <v>C/USN/III/P3/43</v>
      </c>
      <c r="AF315" s="154" t="str">
        <f t="shared" ca="1" si="410"/>
        <v>Zagospodarowanie zachodniej części terenu Parku Moczydełko wraz z renaturalizacją zbiornika wodnego "Moczydło nr 3" przy ul. Wełnianej</v>
      </c>
      <c r="AG315" s="155">
        <f t="shared" ca="1" si="411"/>
        <v>90004</v>
      </c>
      <c r="AH315" s="155" t="str">
        <f t="shared" ca="1" si="412"/>
        <v>6050</v>
      </c>
      <c r="AI315" s="156" t="str">
        <f t="shared" ca="1" si="413"/>
        <v>GPOS</v>
      </c>
      <c r="AJ315" s="157" t="str">
        <f t="shared" ca="1" si="414"/>
        <v>WPF, w tym</v>
      </c>
      <c r="AK315" s="158" t="str">
        <f t="shared" ca="1" si="505"/>
        <v>C/USN/III/P3/43 90004 6050 GPOS</v>
      </c>
      <c r="AL315" s="158" t="str">
        <f t="shared" ca="1" si="506"/>
        <v>C/USN/III/P3/43 90004 6050 WPF, w tym</v>
      </c>
      <c r="AM315" s="159" t="str">
        <f t="shared" ca="1" si="507"/>
        <v>C/USN/III/P3/43 90004 6050 GPOS WPF, w tym</v>
      </c>
      <c r="AN315" s="160">
        <f t="shared" ca="1" si="415"/>
        <v>0</v>
      </c>
      <c r="AO315" s="161">
        <f t="shared" ca="1" si="416"/>
        <v>0</v>
      </c>
      <c r="AP315" s="162">
        <f t="shared" ca="1" si="417"/>
        <v>0</v>
      </c>
      <c r="AQ315" s="163">
        <f t="shared" ca="1" si="418"/>
        <v>0</v>
      </c>
      <c r="AR315" s="164">
        <f t="shared" ca="1" si="419"/>
        <v>0</v>
      </c>
      <c r="AS315" s="164">
        <f t="shared" ca="1" si="420"/>
        <v>0</v>
      </c>
      <c r="AT315" s="164">
        <f t="shared" ca="1" si="421"/>
        <v>0</v>
      </c>
      <c r="AU315" s="164">
        <f t="shared" ca="1" si="422"/>
        <v>0</v>
      </c>
      <c r="AV315" s="164">
        <f t="shared" ca="1" si="423"/>
        <v>0</v>
      </c>
      <c r="AW315" s="164">
        <f t="shared" ca="1" si="424"/>
        <v>0</v>
      </c>
      <c r="AX315" s="164">
        <f t="shared" ca="1" si="425"/>
        <v>0</v>
      </c>
      <c r="AY315" s="164">
        <f t="shared" ca="1" si="426"/>
        <v>0</v>
      </c>
      <c r="AZ315" s="164">
        <f t="shared" ca="1" si="427"/>
        <v>0</v>
      </c>
      <c r="BA315" s="165" t="str">
        <f t="shared" ca="1" si="428"/>
        <v>nie</v>
      </c>
      <c r="BB315" s="166" t="str">
        <f t="shared" ca="1" si="508"/>
        <v>-</v>
      </c>
      <c r="BC315" s="165" t="str">
        <f t="shared" ca="1" si="445"/>
        <v>nie</v>
      </c>
    </row>
    <row r="316" spans="1:55" ht="14.45" hidden="1" customHeight="1" x14ac:dyDescent="0.25">
      <c r="A316" s="493"/>
      <c r="B316" s="493"/>
      <c r="C316" s="494"/>
      <c r="D316" s="506"/>
      <c r="E316" s="497"/>
      <c r="F316" s="497"/>
      <c r="G316" s="497"/>
      <c r="H316" s="498"/>
      <c r="I316" s="499"/>
      <c r="J316" s="177" t="s">
        <v>99</v>
      </c>
      <c r="K316" s="178">
        <f>SUM(N316:O316)</f>
        <v>0</v>
      </c>
      <c r="L316" s="179">
        <f t="shared" ref="L316:M316" si="513">L320-L312</f>
        <v>0</v>
      </c>
      <c r="M316" s="180">
        <f t="shared" si="513"/>
        <v>0</v>
      </c>
      <c r="N316" s="172">
        <f>SUM(L316:M316)</f>
        <v>0</v>
      </c>
      <c r="O316" s="178">
        <f>SUM(P316:Y316)</f>
        <v>0</v>
      </c>
      <c r="P316" s="181">
        <f t="shared" ref="P316:Y316" si="514">P320-P312</f>
        <v>0</v>
      </c>
      <c r="Q316" s="180">
        <f t="shared" si="514"/>
        <v>0</v>
      </c>
      <c r="R316" s="182">
        <f t="shared" si="514"/>
        <v>0</v>
      </c>
      <c r="S316" s="183">
        <f t="shared" si="514"/>
        <v>0</v>
      </c>
      <c r="T316" s="180">
        <f t="shared" si="514"/>
        <v>0</v>
      </c>
      <c r="U316" s="180">
        <f t="shared" si="514"/>
        <v>0</v>
      </c>
      <c r="V316" s="180">
        <f t="shared" si="514"/>
        <v>0</v>
      </c>
      <c r="W316" s="180">
        <f t="shared" si="514"/>
        <v>0</v>
      </c>
      <c r="X316" s="180">
        <f t="shared" si="514"/>
        <v>0</v>
      </c>
      <c r="Y316" s="182">
        <f t="shared" si="514"/>
        <v>0</v>
      </c>
      <c r="Z316" s="149" t="str">
        <f t="shared" ca="1" si="440"/>
        <v>nie</v>
      </c>
      <c r="AA316" s="366"/>
      <c r="AB316" s="150" t="str">
        <f t="shared" ca="1" si="503"/>
        <v>-</v>
      </c>
      <c r="AC316" s="151" t="str">
        <f t="shared" ca="1" si="408"/>
        <v>PROPONOWANA ZMIANA</v>
      </c>
      <c r="AD316" s="152" t="str">
        <f t="shared" ca="1" si="504"/>
        <v>PROPONOWANA ZMIANA</v>
      </c>
      <c r="AE316" s="153" t="str">
        <f t="shared" ca="1" si="409"/>
        <v>C/USN/III/P3/43</v>
      </c>
      <c r="AF316" s="154" t="str">
        <f t="shared" ca="1" si="410"/>
        <v>Zagospodarowanie zachodniej części terenu Parku Moczydełko wraz z renaturalizacją zbiornika wodnego "Moczydło nr 3" przy ul. Wełnianej</v>
      </c>
      <c r="AG316" s="155">
        <f t="shared" ca="1" si="411"/>
        <v>90004</v>
      </c>
      <c r="AH316" s="155" t="str">
        <f t="shared" ca="1" si="412"/>
        <v>6050</v>
      </c>
      <c r="AI316" s="156" t="str">
        <f t="shared" ca="1" si="413"/>
        <v>GPOS</v>
      </c>
      <c r="AJ316" s="157" t="str">
        <f t="shared" ca="1" si="414"/>
        <v>WPF/PM</v>
      </c>
      <c r="AK316" s="158" t="str">
        <f t="shared" ca="1" si="505"/>
        <v>C/USN/III/P3/43 90004 6050 GPOS</v>
      </c>
      <c r="AL316" s="158" t="str">
        <f t="shared" ca="1" si="506"/>
        <v>C/USN/III/P3/43 90004 6050 WPF/PM</v>
      </c>
      <c r="AM316" s="159" t="str">
        <f t="shared" ca="1" si="507"/>
        <v>C/USN/III/P3/43 90004 6050 GPOS WPF/PM</v>
      </c>
      <c r="AN316" s="160">
        <f t="shared" ca="1" si="415"/>
        <v>0</v>
      </c>
      <c r="AO316" s="161">
        <f t="shared" ca="1" si="416"/>
        <v>0</v>
      </c>
      <c r="AP316" s="162">
        <f t="shared" ca="1" si="417"/>
        <v>0</v>
      </c>
      <c r="AQ316" s="163">
        <f t="shared" ca="1" si="418"/>
        <v>0</v>
      </c>
      <c r="AR316" s="164">
        <f t="shared" ca="1" si="419"/>
        <v>0</v>
      </c>
      <c r="AS316" s="164">
        <f t="shared" ca="1" si="420"/>
        <v>0</v>
      </c>
      <c r="AT316" s="164">
        <f t="shared" ca="1" si="421"/>
        <v>0</v>
      </c>
      <c r="AU316" s="164">
        <f t="shared" ca="1" si="422"/>
        <v>0</v>
      </c>
      <c r="AV316" s="164">
        <f t="shared" ca="1" si="423"/>
        <v>0</v>
      </c>
      <c r="AW316" s="164">
        <f t="shared" ca="1" si="424"/>
        <v>0</v>
      </c>
      <c r="AX316" s="164">
        <f t="shared" ca="1" si="425"/>
        <v>0</v>
      </c>
      <c r="AY316" s="164">
        <f t="shared" ca="1" si="426"/>
        <v>0</v>
      </c>
      <c r="AZ316" s="164">
        <f t="shared" ca="1" si="427"/>
        <v>0</v>
      </c>
      <c r="BA316" s="165" t="str">
        <f t="shared" ca="1" si="428"/>
        <v>nie</v>
      </c>
      <c r="BB316" s="166" t="str">
        <f t="shared" ca="1" si="508"/>
        <v>-</v>
      </c>
      <c r="BC316" s="165" t="str">
        <f t="shared" ca="1" si="445"/>
        <v>nie</v>
      </c>
    </row>
    <row r="317" spans="1:55" ht="14.45" hidden="1" customHeight="1" x14ac:dyDescent="0.25">
      <c r="A317" s="493"/>
      <c r="B317" s="493"/>
      <c r="C317" s="494"/>
      <c r="D317" s="506"/>
      <c r="E317" s="497"/>
      <c r="F317" s="497"/>
      <c r="G317" s="497"/>
      <c r="H317" s="498"/>
      <c r="I317" s="499"/>
      <c r="J317" s="177" t="s">
        <v>100</v>
      </c>
      <c r="K317" s="178">
        <f>SUM(N317:O317)</f>
        <v>0</v>
      </c>
      <c r="L317" s="179">
        <f t="shared" ref="L317:M317" si="515">L321-L313</f>
        <v>0</v>
      </c>
      <c r="M317" s="180">
        <f t="shared" si="515"/>
        <v>0</v>
      </c>
      <c r="N317" s="172">
        <f>SUM(L317:M317)</f>
        <v>0</v>
      </c>
      <c r="O317" s="178">
        <f>SUM(P317:Y317)</f>
        <v>0</v>
      </c>
      <c r="P317" s="181">
        <f t="shared" ref="P317:Y317" si="516">P321-P313</f>
        <v>0</v>
      </c>
      <c r="Q317" s="180">
        <f t="shared" si="516"/>
        <v>0</v>
      </c>
      <c r="R317" s="182">
        <f t="shared" si="516"/>
        <v>0</v>
      </c>
      <c r="S317" s="183">
        <f t="shared" si="516"/>
        <v>0</v>
      </c>
      <c r="T317" s="180">
        <f t="shared" si="516"/>
        <v>0</v>
      </c>
      <c r="U317" s="180">
        <f t="shared" si="516"/>
        <v>0</v>
      </c>
      <c r="V317" s="180">
        <f t="shared" si="516"/>
        <v>0</v>
      </c>
      <c r="W317" s="180">
        <f t="shared" si="516"/>
        <v>0</v>
      </c>
      <c r="X317" s="180">
        <f t="shared" si="516"/>
        <v>0</v>
      </c>
      <c r="Y317" s="182">
        <f t="shared" si="516"/>
        <v>0</v>
      </c>
      <c r="Z317" s="149" t="str">
        <f t="shared" ca="1" si="440"/>
        <v>nie</v>
      </c>
      <c r="AA317" s="366"/>
      <c r="AB317" s="150" t="str">
        <f t="shared" ca="1" si="503"/>
        <v>-</v>
      </c>
      <c r="AC317" s="151" t="str">
        <f t="shared" ca="1" si="408"/>
        <v>PROPONOWANA ZMIANA</v>
      </c>
      <c r="AD317" s="152" t="str">
        <f t="shared" ca="1" si="504"/>
        <v>PROPONOWANA ZMIANA</v>
      </c>
      <c r="AE317" s="153" t="str">
        <f t="shared" ca="1" si="409"/>
        <v>C/USN/III/P3/43</v>
      </c>
      <c r="AF317" s="154" t="str">
        <f t="shared" ca="1" si="410"/>
        <v>Zagospodarowanie zachodniej części terenu Parku Moczydełko wraz z renaturalizacją zbiornika wodnego "Moczydło nr 3" przy ul. Wełnianej</v>
      </c>
      <c r="AG317" s="155">
        <f t="shared" ca="1" si="411"/>
        <v>90004</v>
      </c>
      <c r="AH317" s="155" t="str">
        <f t="shared" ca="1" si="412"/>
        <v>6050</v>
      </c>
      <c r="AI317" s="156" t="str">
        <f t="shared" ca="1" si="413"/>
        <v>GPOS</v>
      </c>
      <c r="AJ317" s="157" t="str">
        <f t="shared" ca="1" si="414"/>
        <v>WPF/UM</v>
      </c>
      <c r="AK317" s="158" t="str">
        <f t="shared" ca="1" si="505"/>
        <v>C/USN/III/P3/43 90004 6050 GPOS</v>
      </c>
      <c r="AL317" s="158" t="str">
        <f t="shared" ca="1" si="506"/>
        <v>C/USN/III/P3/43 90004 6050 WPF/UM</v>
      </c>
      <c r="AM317" s="159" t="str">
        <f t="shared" ca="1" si="507"/>
        <v>C/USN/III/P3/43 90004 6050 GPOS WPF/UM</v>
      </c>
      <c r="AN317" s="160">
        <f t="shared" ca="1" si="415"/>
        <v>0</v>
      </c>
      <c r="AO317" s="161">
        <f t="shared" ca="1" si="416"/>
        <v>0</v>
      </c>
      <c r="AP317" s="162">
        <f t="shared" ca="1" si="417"/>
        <v>0</v>
      </c>
      <c r="AQ317" s="163">
        <f t="shared" ca="1" si="418"/>
        <v>0</v>
      </c>
      <c r="AR317" s="164">
        <f t="shared" ca="1" si="419"/>
        <v>0</v>
      </c>
      <c r="AS317" s="164">
        <f t="shared" ca="1" si="420"/>
        <v>0</v>
      </c>
      <c r="AT317" s="164">
        <f t="shared" ca="1" si="421"/>
        <v>0</v>
      </c>
      <c r="AU317" s="164">
        <f t="shared" ca="1" si="422"/>
        <v>0</v>
      </c>
      <c r="AV317" s="164">
        <f t="shared" ca="1" si="423"/>
        <v>0</v>
      </c>
      <c r="AW317" s="164">
        <f t="shared" ca="1" si="424"/>
        <v>0</v>
      </c>
      <c r="AX317" s="164">
        <f t="shared" ca="1" si="425"/>
        <v>0</v>
      </c>
      <c r="AY317" s="164">
        <f t="shared" ca="1" si="426"/>
        <v>0</v>
      </c>
      <c r="AZ317" s="164">
        <f t="shared" ca="1" si="427"/>
        <v>0</v>
      </c>
      <c r="BA317" s="165" t="str">
        <f t="shared" ca="1" si="428"/>
        <v>nie</v>
      </c>
      <c r="BB317" s="166" t="str">
        <f t="shared" ca="1" si="508"/>
        <v>-</v>
      </c>
      <c r="BC317" s="165" t="str">
        <f t="shared" ca="1" si="445"/>
        <v>nie</v>
      </c>
    </row>
    <row r="318" spans="1:55" ht="14.45" hidden="1" customHeight="1" x14ac:dyDescent="0.25">
      <c r="A318" s="191" t="s">
        <v>101</v>
      </c>
      <c r="B318" s="192"/>
      <c r="C318" s="193"/>
      <c r="D318" s="192"/>
      <c r="E318" s="192"/>
      <c r="F318" s="192"/>
      <c r="G318" s="192"/>
      <c r="H318" s="192"/>
      <c r="I318" s="192"/>
      <c r="J318" s="192"/>
      <c r="K318" s="192"/>
      <c r="L318" s="192"/>
      <c r="M318" s="192"/>
      <c r="N318" s="192"/>
      <c r="O318" s="192"/>
      <c r="P318" s="192"/>
      <c r="Q318" s="192"/>
      <c r="R318" s="194"/>
      <c r="S318" s="195"/>
      <c r="T318" s="195"/>
      <c r="U318" s="195"/>
      <c r="V318" s="195"/>
      <c r="W318" s="195"/>
      <c r="X318" s="195"/>
      <c r="Y318" s="196"/>
      <c r="Z318" s="149" t="str">
        <f t="shared" ca="1" si="440"/>
        <v>nie</v>
      </c>
      <c r="AA318" s="366"/>
      <c r="AB318" s="150" t="str">
        <f t="shared" ca="1" si="503"/>
        <v>-</v>
      </c>
      <c r="AC318" s="151" t="str">
        <f t="shared" ref="AC318:AC381" ca="1" si="517">IF(OR(A318="",COUNTIF(A318,"*12.000*")&gt;0),OFFSET(AC318,-1,0),A318)</f>
        <v>PO ZMIANIE</v>
      </c>
      <c r="AD318" s="152" t="str">
        <f t="shared" ca="1" si="504"/>
        <v/>
      </c>
      <c r="AE318" s="153" t="str">
        <f t="shared" ref="AE318:AE381" ca="1" si="518">IF(COUNTIF(A318,"*bilans*")&gt;0,"Bilans zmian",IF(COUNTIF(A318,"*zmi*")&gt;0,"",IF(COUNTIF(A318:C318,"")=0,C318,IF(AND(COUNTIF(C318,"")=1,COUNTIF(OFFSET(A318,-1,0),"*przed*")=1,COUNTIF(OFFSET(AE318,4,0),"")=0),OFFSET(AE318,4,0),IF(AND(COUNTIF(A318:B318,"")=0,COUNTIF(OFFSET(A318,-1,0),"*zmi*")=1),"nowe:"&amp;" "&amp;AF318,OFFSET(AE318,-1,0))))))</f>
        <v/>
      </c>
      <c r="AF318" s="154" t="str">
        <f t="shared" ref="AF318:AF381" ca="1" si="519">IF(COUNTIF(A318,"*zmi*")&gt;0,"",IF(COUNTIF(A318:C318,"")=0,D318,IF(AND(COUNTIF(C318,"")=1,COUNTIF(OFFSET(A318,-1,0),"*przed*")=1),OFFSET(AF318,4,0),IF(AND(COUNTIF(A318:B318,"")=0,COUNTIF(OFFSET(A318,-1,0),"*zmi*")=1),D318,OFFSET(AF318,-1,0)))))</f>
        <v/>
      </c>
      <c r="AG318" s="155" t="str">
        <f t="shared" ref="AG318:AG381" ca="1" si="520">IF(COUNTIF($A318,"*zmi*")&gt;0,"",IF(COUNTIF($A318:$C318,"")=0,F318,IF(AND(COUNTIF($C318,"")=1,COUNTIF(OFFSET($A318,-1,0),"*przed*")=1),OFFSET(AG318,4,0),IF(AND(COUNTIF($A318:$B318,"")=0,COUNTIF(OFFSET($A318,-1,0),"*zmi*")=1),F318,OFFSET(AG318,-1,0)))))</f>
        <v/>
      </c>
      <c r="AH318" s="155" t="str">
        <f t="shared" ref="AH318:AH381" ca="1" si="521">IF(COUNTIF($A318,"*zmi*")&gt;0,"",IF(COUNTIF($A318:$C318,"")=0,LEFT(G318,4),IF(AND(COUNTIF($C318,"")=1,COUNTIF(OFFSET($A318,-1,0),"*przed*")=1),OFFSET(AH318,4,0),IF(AND(COUNTIF($A318:$B318,"")=0,COUNTIF(OFFSET($A318,-1,0),"*zmi*")=1),LEFT(G318,4),OFFSET(AH318,-1,0)))))</f>
        <v/>
      </c>
      <c r="AI318" s="156" t="str">
        <f t="shared" ref="AI318:AI381" ca="1" si="522">IF(COUNTIF($A318,"*zmi*")&gt;0,"",IF(COUNTIF($A318:$C318,"")=0,B318,IF(AND(COUNTIF($C318,"")=1,COUNTIF(OFFSET($A318,-1,0),"*przed*")=1),OFFSET(AI318,4,0),IF(AND(COUNTIF($A318:$B318,"")=0,COUNTIF(OFFSET($A318,-1,0),"*zmi*")=1),B318,OFFSET(AI318,-1,0)))))</f>
        <v/>
      </c>
      <c r="AJ318" s="157" t="str">
        <f t="shared" ref="AJ318:AJ381" ca="1" si="523">IF(AH318="","",IF(COUNTIF(A318,"*zmi*")&gt;0,"",SUBSTITUTE(SUBSTITUTE(J318,";",""),":","")))</f>
        <v/>
      </c>
      <c r="AK318" s="158" t="str">
        <f t="shared" ca="1" si="505"/>
        <v/>
      </c>
      <c r="AL318" s="158" t="str">
        <f t="shared" ca="1" si="506"/>
        <v/>
      </c>
      <c r="AM318" s="159" t="str">
        <f t="shared" ca="1" si="507"/>
        <v/>
      </c>
      <c r="AN318" s="160" t="str">
        <f t="shared" ref="AN318:AN381" ca="1" si="524">IF(COUNTIF($AE318,"*bilans*")&gt;0,K318,IF(OR(COUNTIF($A318,"*zmi*")&gt;0,$AI318=""),"",K318))</f>
        <v/>
      </c>
      <c r="AO318" s="161" t="str">
        <f t="shared" ref="AO318:AO381" ca="1" si="525">IF(COUNTIF($AE318,"*bilans*")&gt;0,L318,IF(OR(COUNTIF($A318,"*zmi*")&gt;0,$AI318=""),"",L318))</f>
        <v/>
      </c>
      <c r="AP318" s="162" t="str">
        <f t="shared" ref="AP318:AP381" ca="1" si="526">IF(COUNTIF($AE318,"*bilans*")&gt;0,M318,IF(OR(COUNTIF($A318,"*zmi*")&gt;0,$AI318=""),"",M318))</f>
        <v/>
      </c>
      <c r="AQ318" s="163" t="str">
        <f t="shared" ref="AQ318:AQ381" ca="1" si="527">IF(COUNTIF($AE318,"*bilans*")&gt;0,P318,IF(OR(COUNTIF($A318,"*zmi*")&gt;0,$AI318=""),"",P318))</f>
        <v/>
      </c>
      <c r="AR318" s="164" t="str">
        <f t="shared" ref="AR318:AR381" ca="1" si="528">IF(COUNTIF($AE318,"*bilans*")&gt;0,Q318,IF(OR(COUNTIF($A318,"*zmi*")&gt;0,$AI318=""),"",Q318))</f>
        <v/>
      </c>
      <c r="AS318" s="164" t="str">
        <f t="shared" ref="AS318:AS381" ca="1" si="529">IF(COUNTIF($AE318,"*bilans*")&gt;0,R318,IF(OR(COUNTIF($A318,"*zmi*")&gt;0,$AI318=""),"",R318))</f>
        <v/>
      </c>
      <c r="AT318" s="164" t="str">
        <f t="shared" ref="AT318:AT381" ca="1" si="530">IF(COUNTIF($AE318,"*bilans*")&gt;0,S318,IF(OR(COUNTIF($A318,"*zmi*")&gt;0,$AI318=""),"",S318))</f>
        <v/>
      </c>
      <c r="AU318" s="164" t="str">
        <f t="shared" ref="AU318:AU381" ca="1" si="531">IF(COUNTIF($AE318,"*bilans*")&gt;0,T318,IF(OR(COUNTIF($A318,"*zmi*")&gt;0,$AI318=""),"",T318))</f>
        <v/>
      </c>
      <c r="AV318" s="164" t="str">
        <f t="shared" ref="AV318:AV381" ca="1" si="532">IF(COUNTIF($AE318,"*bilans*")&gt;0,U318,IF(OR(COUNTIF($A318,"*zmi*")&gt;0,$AI318=""),"",U318))</f>
        <v/>
      </c>
      <c r="AW318" s="164" t="str">
        <f t="shared" ref="AW318:AW381" ca="1" si="533">IF(COUNTIF($AE318,"*bilans*")&gt;0,V318,IF(OR(COUNTIF($A318,"*zmi*")&gt;0,$AI318=""),"",V318))</f>
        <v/>
      </c>
      <c r="AX318" s="164" t="str">
        <f t="shared" ref="AX318:AX381" ca="1" si="534">IF(COUNTIF($AE318,"*bilans*")&gt;0,W318,IF(OR(COUNTIF($A318,"*zmi*")&gt;0,$AI318=""),"",W318))</f>
        <v/>
      </c>
      <c r="AY318" s="164" t="str">
        <f t="shared" ref="AY318:AY381" ca="1" si="535">IF(COUNTIF($AE318,"*bilans*")&gt;0,X318,IF(OR(COUNTIF($A318,"*zmi*")&gt;0,$AI318=""),"",X318))</f>
        <v/>
      </c>
      <c r="AZ318" s="164" t="str">
        <f t="shared" ref="AZ318:AZ381" ca="1" si="536">IF(COUNTIF($AE318,"*bilans*")&gt;0,Y318,IF(OR(COUNTIF($A318,"*zmi*")&gt;0,$AI318=""),"",Y318))</f>
        <v/>
      </c>
      <c r="BA318" s="165" t="str">
        <f t="shared" ref="BA318:BA381" ca="1" si="537">Z318</f>
        <v>nie</v>
      </c>
      <c r="BB318" s="166" t="str">
        <f t="shared" ca="1" si="508"/>
        <v>-</v>
      </c>
      <c r="BC318" s="165" t="str">
        <f t="shared" ca="1" si="445"/>
        <v>nie</v>
      </c>
    </row>
    <row r="319" spans="1:55" ht="14.45" hidden="1" customHeight="1" x14ac:dyDescent="0.25">
      <c r="A319" s="493" t="s">
        <v>24</v>
      </c>
      <c r="B319" s="493" t="s">
        <v>133</v>
      </c>
      <c r="C319" s="494" t="s">
        <v>398</v>
      </c>
      <c r="D319" s="505" t="s">
        <v>399</v>
      </c>
      <c r="E319" s="497">
        <v>900</v>
      </c>
      <c r="F319" s="497">
        <v>90004</v>
      </c>
      <c r="G319" s="497">
        <v>6050</v>
      </c>
      <c r="H319" s="507">
        <v>2024</v>
      </c>
      <c r="I319" s="499" t="str">
        <f ca="1">IF(COUNTIF(OFFSET(I319,-1,-8),"*propon*")&gt;0,OFFSET(I319,4,0),IF(Y319&gt;0,"2033",IF(X319&gt;0,"2032",IF(W319&gt;0,"2031",IF(V319&gt;0,"2030",IF(U319&gt;0,"2029",IF(T319&gt;0,"2028",IF(S319&gt;0,"2027",IF(R319&gt;0,"2026",IF(Q319&gt;0,"2025",IF(P319&gt;0,"2024",IF(M319&gt;0,"2023",IF(L319&gt;0,"2022","")))))))))))))</f>
        <v>2024</v>
      </c>
      <c r="J319" s="168" t="s">
        <v>102</v>
      </c>
      <c r="K319" s="169">
        <f>SUM(N319:O319)</f>
        <v>861800</v>
      </c>
      <c r="L319" s="170">
        <f t="shared" ref="L319:M319" si="538">SUM(L320:L321)</f>
        <v>0</v>
      </c>
      <c r="M319" s="171">
        <f t="shared" si="538"/>
        <v>0</v>
      </c>
      <c r="N319" s="172">
        <f>SUM(L319:M319)</f>
        <v>0</v>
      </c>
      <c r="O319" s="169">
        <f>SUM(P319:Y319)</f>
        <v>861800</v>
      </c>
      <c r="P319" s="173">
        <f t="shared" ref="P319:Y319" si="539">SUM(P320:P321)</f>
        <v>861800</v>
      </c>
      <c r="Q319" s="171">
        <f t="shared" si="539"/>
        <v>0</v>
      </c>
      <c r="R319" s="174">
        <f t="shared" si="539"/>
        <v>0</v>
      </c>
      <c r="S319" s="175">
        <f t="shared" si="539"/>
        <v>0</v>
      </c>
      <c r="T319" s="171">
        <f t="shared" si="539"/>
        <v>0</v>
      </c>
      <c r="U319" s="171">
        <f t="shared" si="539"/>
        <v>0</v>
      </c>
      <c r="V319" s="171">
        <f t="shared" si="539"/>
        <v>0</v>
      </c>
      <c r="W319" s="171">
        <f t="shared" si="539"/>
        <v>0</v>
      </c>
      <c r="X319" s="171">
        <f t="shared" si="539"/>
        <v>0</v>
      </c>
      <c r="Y319" s="174">
        <f t="shared" si="539"/>
        <v>0</v>
      </c>
      <c r="Z319" s="149" t="str">
        <f t="shared" ca="1" si="440"/>
        <v>nie</v>
      </c>
      <c r="AA319" s="366"/>
      <c r="AB319" s="150" t="str">
        <f t="shared" ca="1" si="503"/>
        <v>-</v>
      </c>
      <c r="AC319" s="151" t="str">
        <f t="shared" ca="1" si="517"/>
        <v>PO ZMIANIE</v>
      </c>
      <c r="AD319" s="152" t="str">
        <f t="shared" ca="1" si="504"/>
        <v>PO ZMIANIE</v>
      </c>
      <c r="AE319" s="153" t="str">
        <f t="shared" ca="1" si="518"/>
        <v>C/USN/III/P3/43</v>
      </c>
      <c r="AF319" s="154" t="str">
        <f t="shared" ca="1" si="519"/>
        <v>Zagospodarowanie zachodniej części terenu Parku Moczydełko wraz z renaturalizacją zbiornika wodnego "Moczydło nr 3" przy ul. Wełnianej</v>
      </c>
      <c r="AG319" s="155">
        <f t="shared" ca="1" si="520"/>
        <v>90004</v>
      </c>
      <c r="AH319" s="155" t="str">
        <f t="shared" ca="1" si="521"/>
        <v>6050</v>
      </c>
      <c r="AI319" s="156" t="str">
        <f t="shared" ca="1" si="522"/>
        <v>GPOS</v>
      </c>
      <c r="AJ319" s="157" t="str">
        <f t="shared" ca="1" si="523"/>
        <v>WPF, w tym</v>
      </c>
      <c r="AK319" s="158" t="str">
        <f t="shared" ca="1" si="505"/>
        <v>C/USN/III/P3/43 90004 6050 GPOS</v>
      </c>
      <c r="AL319" s="158" t="str">
        <f t="shared" ca="1" si="506"/>
        <v>C/USN/III/P3/43 90004 6050 WPF, w tym</v>
      </c>
      <c r="AM319" s="159" t="str">
        <f t="shared" ca="1" si="507"/>
        <v>C/USN/III/P3/43 90004 6050 GPOS WPF, w tym</v>
      </c>
      <c r="AN319" s="160">
        <f t="shared" ca="1" si="524"/>
        <v>861800</v>
      </c>
      <c r="AO319" s="161">
        <f t="shared" ca="1" si="525"/>
        <v>0</v>
      </c>
      <c r="AP319" s="162">
        <f t="shared" ca="1" si="526"/>
        <v>0</v>
      </c>
      <c r="AQ319" s="163">
        <f t="shared" ca="1" si="527"/>
        <v>861800</v>
      </c>
      <c r="AR319" s="164">
        <f t="shared" ca="1" si="528"/>
        <v>0</v>
      </c>
      <c r="AS319" s="164">
        <f t="shared" ca="1" si="529"/>
        <v>0</v>
      </c>
      <c r="AT319" s="164">
        <f t="shared" ca="1" si="530"/>
        <v>0</v>
      </c>
      <c r="AU319" s="164">
        <f t="shared" ca="1" si="531"/>
        <v>0</v>
      </c>
      <c r="AV319" s="164">
        <f t="shared" ca="1" si="532"/>
        <v>0</v>
      </c>
      <c r="AW319" s="164">
        <f t="shared" ca="1" si="533"/>
        <v>0</v>
      </c>
      <c r="AX319" s="164">
        <f t="shared" ca="1" si="534"/>
        <v>0</v>
      </c>
      <c r="AY319" s="164">
        <f t="shared" ca="1" si="535"/>
        <v>0</v>
      </c>
      <c r="AZ319" s="164">
        <f t="shared" ca="1" si="536"/>
        <v>0</v>
      </c>
      <c r="BA319" s="165" t="str">
        <f t="shared" ca="1" si="537"/>
        <v>nie</v>
      </c>
      <c r="BB319" s="166" t="str">
        <f t="shared" ca="1" si="508"/>
        <v>-</v>
      </c>
      <c r="BC319" s="165" t="str">
        <f t="shared" ca="1" si="445"/>
        <v>nie</v>
      </c>
    </row>
    <row r="320" spans="1:55" ht="14.45" hidden="1" customHeight="1" x14ac:dyDescent="0.25">
      <c r="A320" s="493"/>
      <c r="B320" s="493"/>
      <c r="C320" s="494"/>
      <c r="D320" s="506"/>
      <c r="E320" s="497"/>
      <c r="F320" s="497"/>
      <c r="G320" s="497"/>
      <c r="H320" s="498"/>
      <c r="I320" s="499"/>
      <c r="J320" s="177" t="s">
        <v>103</v>
      </c>
      <c r="K320" s="178">
        <f>SUM(N320:O320)</f>
        <v>861800</v>
      </c>
      <c r="L320" s="179"/>
      <c r="M320" s="180"/>
      <c r="N320" s="172">
        <f>SUM(L320:M320)</f>
        <v>0</v>
      </c>
      <c r="O320" s="178">
        <f>SUM(P320:Y320)</f>
        <v>861800</v>
      </c>
      <c r="P320" s="181">
        <f>861800</f>
        <v>861800</v>
      </c>
      <c r="Q320" s="180"/>
      <c r="R320" s="182"/>
      <c r="S320" s="183"/>
      <c r="T320" s="180"/>
      <c r="U320" s="180"/>
      <c r="V320" s="180"/>
      <c r="W320" s="180"/>
      <c r="X320" s="180"/>
      <c r="Y320" s="182"/>
      <c r="Z320" s="149" t="str">
        <f t="shared" ca="1" si="440"/>
        <v>nie</v>
      </c>
      <c r="AA320" s="384"/>
      <c r="AB320" s="150" t="str">
        <f t="shared" ca="1" si="503"/>
        <v>-</v>
      </c>
      <c r="AC320" s="151" t="str">
        <f t="shared" ca="1" si="517"/>
        <v>PO ZMIANIE</v>
      </c>
      <c r="AD320" s="152" t="str">
        <f t="shared" ca="1" si="504"/>
        <v>PO ZMIANIE</v>
      </c>
      <c r="AE320" s="153" t="str">
        <f t="shared" ca="1" si="518"/>
        <v>C/USN/III/P3/43</v>
      </c>
      <c r="AF320" s="154" t="str">
        <f t="shared" ca="1" si="519"/>
        <v>Zagospodarowanie zachodniej części terenu Parku Moczydełko wraz z renaturalizacją zbiornika wodnego "Moczydło nr 3" przy ul. Wełnianej</v>
      </c>
      <c r="AG320" s="155">
        <f t="shared" ca="1" si="520"/>
        <v>90004</v>
      </c>
      <c r="AH320" s="155" t="str">
        <f t="shared" ca="1" si="521"/>
        <v>6050</v>
      </c>
      <c r="AI320" s="156" t="str">
        <f t="shared" ca="1" si="522"/>
        <v>GPOS</v>
      </c>
      <c r="AJ320" s="157" t="str">
        <f t="shared" ca="1" si="523"/>
        <v>WPF/PM</v>
      </c>
      <c r="AK320" s="158" t="str">
        <f t="shared" ca="1" si="505"/>
        <v>C/USN/III/P3/43 90004 6050 GPOS</v>
      </c>
      <c r="AL320" s="158" t="str">
        <f t="shared" ca="1" si="506"/>
        <v>C/USN/III/P3/43 90004 6050 WPF/PM</v>
      </c>
      <c r="AM320" s="159" t="str">
        <f t="shared" ca="1" si="507"/>
        <v>C/USN/III/P3/43 90004 6050 GPOS WPF/PM</v>
      </c>
      <c r="AN320" s="160">
        <f t="shared" ca="1" si="524"/>
        <v>861800</v>
      </c>
      <c r="AO320" s="161">
        <f t="shared" ca="1" si="525"/>
        <v>0</v>
      </c>
      <c r="AP320" s="162">
        <f t="shared" ca="1" si="526"/>
        <v>0</v>
      </c>
      <c r="AQ320" s="163">
        <f t="shared" ca="1" si="527"/>
        <v>861800</v>
      </c>
      <c r="AR320" s="164">
        <f t="shared" ca="1" si="528"/>
        <v>0</v>
      </c>
      <c r="AS320" s="164">
        <f t="shared" ca="1" si="529"/>
        <v>0</v>
      </c>
      <c r="AT320" s="164">
        <f t="shared" ca="1" si="530"/>
        <v>0</v>
      </c>
      <c r="AU320" s="164">
        <f t="shared" ca="1" si="531"/>
        <v>0</v>
      </c>
      <c r="AV320" s="164">
        <f t="shared" ca="1" si="532"/>
        <v>0</v>
      </c>
      <c r="AW320" s="164">
        <f t="shared" ca="1" si="533"/>
        <v>0</v>
      </c>
      <c r="AX320" s="164">
        <f t="shared" ca="1" si="534"/>
        <v>0</v>
      </c>
      <c r="AY320" s="164">
        <f t="shared" ca="1" si="535"/>
        <v>0</v>
      </c>
      <c r="AZ320" s="164">
        <f t="shared" ca="1" si="536"/>
        <v>0</v>
      </c>
      <c r="BA320" s="165" t="str">
        <f t="shared" ca="1" si="537"/>
        <v>nie</v>
      </c>
      <c r="BB320" s="166" t="str">
        <f t="shared" ca="1" si="508"/>
        <v>-</v>
      </c>
      <c r="BC320" s="165" t="str">
        <f t="shared" ca="1" si="445"/>
        <v>nie</v>
      </c>
    </row>
    <row r="321" spans="1:55" ht="14.45" hidden="1" customHeight="1" thickBot="1" x14ac:dyDescent="0.3">
      <c r="A321" s="500"/>
      <c r="B321" s="500"/>
      <c r="C321" s="501"/>
      <c r="D321" s="513"/>
      <c r="E321" s="503"/>
      <c r="F321" s="503"/>
      <c r="G321" s="503"/>
      <c r="H321" s="504"/>
      <c r="I321" s="499"/>
      <c r="J321" s="197" t="s">
        <v>104</v>
      </c>
      <c r="K321" s="198">
        <f>SUM(N321:O321)</f>
        <v>0</v>
      </c>
      <c r="L321" s="204"/>
      <c r="M321" s="200"/>
      <c r="N321" s="371">
        <f>SUM(L321:M321)</f>
        <v>0</v>
      </c>
      <c r="O321" s="198">
        <f>SUM(P321:Y321)</f>
        <v>0</v>
      </c>
      <c r="P321" s="201"/>
      <c r="Q321" s="200"/>
      <c r="R321" s="202"/>
      <c r="S321" s="203"/>
      <c r="T321" s="200"/>
      <c r="U321" s="200"/>
      <c r="V321" s="200"/>
      <c r="W321" s="200"/>
      <c r="X321" s="200"/>
      <c r="Y321" s="202"/>
      <c r="Z321" s="149" t="str">
        <f t="shared" ca="1" si="440"/>
        <v>nie</v>
      </c>
      <c r="AA321" s="384"/>
      <c r="AB321" s="150" t="str">
        <f t="shared" ca="1" si="503"/>
        <v>-</v>
      </c>
      <c r="AC321" s="151" t="str">
        <f t="shared" ca="1" si="517"/>
        <v>PO ZMIANIE</v>
      </c>
      <c r="AD321" s="152" t="str">
        <f t="shared" ca="1" si="504"/>
        <v>PO ZMIANIE</v>
      </c>
      <c r="AE321" s="153" t="str">
        <f t="shared" ca="1" si="518"/>
        <v>C/USN/III/P3/43</v>
      </c>
      <c r="AF321" s="154" t="str">
        <f t="shared" ca="1" si="519"/>
        <v>Zagospodarowanie zachodniej części terenu Parku Moczydełko wraz z renaturalizacją zbiornika wodnego "Moczydło nr 3" przy ul. Wełnianej</v>
      </c>
      <c r="AG321" s="155">
        <f t="shared" ca="1" si="520"/>
        <v>90004</v>
      </c>
      <c r="AH321" s="155" t="str">
        <f t="shared" ca="1" si="521"/>
        <v>6050</v>
      </c>
      <c r="AI321" s="156" t="str">
        <f t="shared" ca="1" si="522"/>
        <v>GPOS</v>
      </c>
      <c r="AJ321" s="157" t="str">
        <f t="shared" ca="1" si="523"/>
        <v>WPF/UM</v>
      </c>
      <c r="AK321" s="158" t="str">
        <f t="shared" ca="1" si="505"/>
        <v>C/USN/III/P3/43 90004 6050 GPOS</v>
      </c>
      <c r="AL321" s="158" t="str">
        <f t="shared" ca="1" si="506"/>
        <v>C/USN/III/P3/43 90004 6050 WPF/UM</v>
      </c>
      <c r="AM321" s="159" t="str">
        <f t="shared" ca="1" si="507"/>
        <v>C/USN/III/P3/43 90004 6050 GPOS WPF/UM</v>
      </c>
      <c r="AN321" s="160">
        <f t="shared" ca="1" si="524"/>
        <v>0</v>
      </c>
      <c r="AO321" s="161">
        <f t="shared" ca="1" si="525"/>
        <v>0</v>
      </c>
      <c r="AP321" s="162">
        <f t="shared" ca="1" si="526"/>
        <v>0</v>
      </c>
      <c r="AQ321" s="163">
        <f t="shared" ca="1" si="527"/>
        <v>0</v>
      </c>
      <c r="AR321" s="164">
        <f t="shared" ca="1" si="528"/>
        <v>0</v>
      </c>
      <c r="AS321" s="164">
        <f t="shared" ca="1" si="529"/>
        <v>0</v>
      </c>
      <c r="AT321" s="164">
        <f t="shared" ca="1" si="530"/>
        <v>0</v>
      </c>
      <c r="AU321" s="164">
        <f t="shared" ca="1" si="531"/>
        <v>0</v>
      </c>
      <c r="AV321" s="164">
        <f t="shared" ca="1" si="532"/>
        <v>0</v>
      </c>
      <c r="AW321" s="164">
        <f t="shared" ca="1" si="533"/>
        <v>0</v>
      </c>
      <c r="AX321" s="164">
        <f t="shared" ca="1" si="534"/>
        <v>0</v>
      </c>
      <c r="AY321" s="164">
        <f t="shared" ca="1" si="535"/>
        <v>0</v>
      </c>
      <c r="AZ321" s="164">
        <f t="shared" ca="1" si="536"/>
        <v>0</v>
      </c>
      <c r="BA321" s="165" t="str">
        <f t="shared" ca="1" si="537"/>
        <v>nie</v>
      </c>
      <c r="BB321" s="166" t="str">
        <f t="shared" ca="1" si="508"/>
        <v>-</v>
      </c>
      <c r="BC321" s="165" t="str">
        <f t="shared" ca="1" si="445"/>
        <v>nie</v>
      </c>
    </row>
    <row r="322" spans="1:55" s="167" customFormat="1" ht="14.45" hidden="1" customHeight="1" x14ac:dyDescent="0.25">
      <c r="A322" s="143" t="s">
        <v>91</v>
      </c>
      <c r="B322" s="144"/>
      <c r="C322" s="145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6"/>
      <c r="S322" s="147"/>
      <c r="T322" s="147"/>
      <c r="U322" s="147"/>
      <c r="V322" s="147"/>
      <c r="W322" s="147"/>
      <c r="X322" s="147"/>
      <c r="Y322" s="148"/>
      <c r="Z322" s="149" t="str">
        <f t="shared" ca="1" si="440"/>
        <v>nie</v>
      </c>
      <c r="AA322" s="366"/>
      <c r="AB322" s="150" t="str">
        <f t="shared" ca="1" si="449"/>
        <v>-</v>
      </c>
      <c r="AC322" s="151" t="str">
        <f t="shared" ca="1" si="517"/>
        <v>PRZED ZMIANĄ</v>
      </c>
      <c r="AD322" s="152" t="str">
        <f t="shared" ca="1" si="441"/>
        <v/>
      </c>
      <c r="AE322" s="153" t="str">
        <f t="shared" ca="1" si="518"/>
        <v/>
      </c>
      <c r="AF322" s="154" t="str">
        <f t="shared" ca="1" si="519"/>
        <v/>
      </c>
      <c r="AG322" s="155" t="str">
        <f t="shared" ca="1" si="520"/>
        <v/>
      </c>
      <c r="AH322" s="155" t="str">
        <f t="shared" ca="1" si="521"/>
        <v/>
      </c>
      <c r="AI322" s="156" t="str">
        <f t="shared" ca="1" si="522"/>
        <v/>
      </c>
      <c r="AJ322" s="157" t="str">
        <f t="shared" ca="1" si="523"/>
        <v/>
      </c>
      <c r="AK322" s="158" t="str">
        <f t="shared" ca="1" si="442"/>
        <v/>
      </c>
      <c r="AL322" s="158" t="str">
        <f t="shared" ca="1" si="443"/>
        <v/>
      </c>
      <c r="AM322" s="159" t="str">
        <f t="shared" ca="1" si="444"/>
        <v/>
      </c>
      <c r="AN322" s="160" t="str">
        <f t="shared" ca="1" si="524"/>
        <v/>
      </c>
      <c r="AO322" s="161" t="str">
        <f t="shared" ca="1" si="525"/>
        <v/>
      </c>
      <c r="AP322" s="162" t="str">
        <f t="shared" ca="1" si="526"/>
        <v/>
      </c>
      <c r="AQ322" s="163" t="str">
        <f t="shared" ca="1" si="527"/>
        <v/>
      </c>
      <c r="AR322" s="164" t="str">
        <f t="shared" ca="1" si="528"/>
        <v/>
      </c>
      <c r="AS322" s="164" t="str">
        <f t="shared" ca="1" si="529"/>
        <v/>
      </c>
      <c r="AT322" s="164" t="str">
        <f t="shared" ca="1" si="530"/>
        <v/>
      </c>
      <c r="AU322" s="164" t="str">
        <f t="shared" ca="1" si="531"/>
        <v/>
      </c>
      <c r="AV322" s="164" t="str">
        <f t="shared" ca="1" si="532"/>
        <v/>
      </c>
      <c r="AW322" s="164" t="str">
        <f t="shared" ca="1" si="533"/>
        <v/>
      </c>
      <c r="AX322" s="164" t="str">
        <f t="shared" ca="1" si="534"/>
        <v/>
      </c>
      <c r="AY322" s="164" t="str">
        <f t="shared" ca="1" si="535"/>
        <v/>
      </c>
      <c r="AZ322" s="164" t="str">
        <f t="shared" ca="1" si="536"/>
        <v/>
      </c>
      <c r="BA322" s="165" t="str">
        <f t="shared" ca="1" si="537"/>
        <v>nie</v>
      </c>
      <c r="BB322" s="166" t="str">
        <f t="shared" ca="1" si="450"/>
        <v>-</v>
      </c>
      <c r="BC322" s="165" t="str">
        <f t="shared" ca="1" si="445"/>
        <v>nie</v>
      </c>
    </row>
    <row r="323" spans="1:55" s="176" customFormat="1" ht="14.45" hidden="1" customHeight="1" x14ac:dyDescent="0.25">
      <c r="A323" s="493" t="s">
        <v>24</v>
      </c>
      <c r="B323" s="493" t="s">
        <v>142</v>
      </c>
      <c r="C323" s="494" t="s">
        <v>143</v>
      </c>
      <c r="D323" s="505" t="s">
        <v>144</v>
      </c>
      <c r="E323" s="497">
        <v>900</v>
      </c>
      <c r="F323" s="497">
        <v>90026</v>
      </c>
      <c r="G323" s="497">
        <v>6050</v>
      </c>
      <c r="H323" s="507">
        <v>2021</v>
      </c>
      <c r="I323" s="499" t="str">
        <f ca="1">IF(COUNTIF(OFFSET(I323,-1,-8),"*propon*")&gt;0,OFFSET(I323,4,0),IF(Y323&gt;0,"2033",IF(X323&gt;0,"2032",IF(W323&gt;0,"2031",IF(V323&gt;0,"2030",IF(U323&gt;0,"2029",IF(T323&gt;0,"2028",IF(S323&gt;0,"2027",IF(R323&gt;0,"2026",IF(Q323&gt;0,"2025",IF(P323&gt;0,"2024",IF(M323&gt;0,"2023",IF(L323&gt;0,"2022","")))))))))))))</f>
        <v>2025</v>
      </c>
      <c r="J323" s="168" t="s">
        <v>94</v>
      </c>
      <c r="K323" s="169">
        <f>SUM(N323:O323)</f>
        <v>880000</v>
      </c>
      <c r="L323" s="170">
        <f t="shared" ref="L323:M323" si="540">SUM(L324:L325)</f>
        <v>17428</v>
      </c>
      <c r="M323" s="171">
        <f t="shared" si="540"/>
        <v>0</v>
      </c>
      <c r="N323" s="172">
        <f>SUM(L323:M323)</f>
        <v>17428</v>
      </c>
      <c r="O323" s="169">
        <f>SUM(P323:Y323)</f>
        <v>862572</v>
      </c>
      <c r="P323" s="173">
        <f t="shared" ref="P323:R323" si="541">SUM(P324:P325)</f>
        <v>0</v>
      </c>
      <c r="Q323" s="171">
        <f t="shared" si="541"/>
        <v>862572</v>
      </c>
      <c r="R323" s="174">
        <f t="shared" si="541"/>
        <v>0</v>
      </c>
      <c r="S323" s="175">
        <f t="shared" ref="S323:Y323" si="542">SUM(S324:S325)</f>
        <v>0</v>
      </c>
      <c r="T323" s="171">
        <f t="shared" si="542"/>
        <v>0</v>
      </c>
      <c r="U323" s="171">
        <f t="shared" si="542"/>
        <v>0</v>
      </c>
      <c r="V323" s="171">
        <f t="shared" si="542"/>
        <v>0</v>
      </c>
      <c r="W323" s="171">
        <f t="shared" si="542"/>
        <v>0</v>
      </c>
      <c r="X323" s="171">
        <f t="shared" si="542"/>
        <v>0</v>
      </c>
      <c r="Y323" s="174">
        <f t="shared" si="542"/>
        <v>0</v>
      </c>
      <c r="Z323" s="149" t="str">
        <f t="shared" ca="1" si="440"/>
        <v>nie</v>
      </c>
      <c r="AA323" s="366"/>
      <c r="AB323" s="150" t="str">
        <f t="shared" ca="1" si="449"/>
        <v>-</v>
      </c>
      <c r="AC323" s="151" t="str">
        <f t="shared" ca="1" si="517"/>
        <v>PRZED ZMIANĄ</v>
      </c>
      <c r="AD323" s="152" t="str">
        <f t="shared" ca="1" si="441"/>
        <v>PRZED ZMIANĄ</v>
      </c>
      <c r="AE323" s="153" t="str">
        <f t="shared" ca="1" si="518"/>
        <v>C/USN/III/P4/31</v>
      </c>
      <c r="AF323" s="154" t="str">
        <f t="shared" ca="1" si="519"/>
        <v>Ursynowska ekologia - butelkomaty</v>
      </c>
      <c r="AG323" s="155">
        <f t="shared" ca="1" si="520"/>
        <v>90026</v>
      </c>
      <c r="AH323" s="155" t="str">
        <f t="shared" ca="1" si="521"/>
        <v>6050</v>
      </c>
      <c r="AI323" s="156" t="str">
        <f t="shared" ca="1" si="522"/>
        <v>BO/21/12/0246</v>
      </c>
      <c r="AJ323" s="157" t="str">
        <f t="shared" ca="1" si="523"/>
        <v>WPF, w tym</v>
      </c>
      <c r="AK323" s="158" t="str">
        <f t="shared" ca="1" si="442"/>
        <v>C/USN/III/P4/31 90026 6050 BO/21/12/0246</v>
      </c>
      <c r="AL323" s="158" t="str">
        <f t="shared" ca="1" si="443"/>
        <v>C/USN/III/P4/31 90026 6050 WPF, w tym</v>
      </c>
      <c r="AM323" s="159" t="str">
        <f t="shared" ca="1" si="444"/>
        <v>C/USN/III/P4/31 90026 6050 BO/21/12/0246 WPF, w tym</v>
      </c>
      <c r="AN323" s="160">
        <f t="shared" ca="1" si="524"/>
        <v>880000</v>
      </c>
      <c r="AO323" s="161">
        <f t="shared" ca="1" si="525"/>
        <v>17428</v>
      </c>
      <c r="AP323" s="162">
        <f t="shared" ca="1" si="526"/>
        <v>0</v>
      </c>
      <c r="AQ323" s="163">
        <f t="shared" ca="1" si="527"/>
        <v>0</v>
      </c>
      <c r="AR323" s="164">
        <f t="shared" ca="1" si="528"/>
        <v>862572</v>
      </c>
      <c r="AS323" s="164">
        <f t="shared" ca="1" si="529"/>
        <v>0</v>
      </c>
      <c r="AT323" s="164">
        <f t="shared" ca="1" si="530"/>
        <v>0</v>
      </c>
      <c r="AU323" s="164">
        <f t="shared" ca="1" si="531"/>
        <v>0</v>
      </c>
      <c r="AV323" s="164">
        <f t="shared" ca="1" si="532"/>
        <v>0</v>
      </c>
      <c r="AW323" s="164">
        <f t="shared" ca="1" si="533"/>
        <v>0</v>
      </c>
      <c r="AX323" s="164">
        <f t="shared" ca="1" si="534"/>
        <v>0</v>
      </c>
      <c r="AY323" s="164">
        <f t="shared" ca="1" si="535"/>
        <v>0</v>
      </c>
      <c r="AZ323" s="164">
        <f t="shared" ca="1" si="536"/>
        <v>0</v>
      </c>
      <c r="BA323" s="165" t="str">
        <f t="shared" ca="1" si="537"/>
        <v>nie</v>
      </c>
      <c r="BB323" s="166" t="str">
        <f t="shared" ca="1" si="450"/>
        <v>-</v>
      </c>
      <c r="BC323" s="165" t="str">
        <f t="shared" ca="1" si="445"/>
        <v>nie</v>
      </c>
    </row>
    <row r="324" spans="1:55" s="167" customFormat="1" ht="14.45" hidden="1" customHeight="1" x14ac:dyDescent="0.25">
      <c r="A324" s="493"/>
      <c r="B324" s="493"/>
      <c r="C324" s="494"/>
      <c r="D324" s="506"/>
      <c r="E324" s="497"/>
      <c r="F324" s="497"/>
      <c r="G324" s="497"/>
      <c r="H324" s="498"/>
      <c r="I324" s="499"/>
      <c r="J324" s="177" t="s">
        <v>95</v>
      </c>
      <c r="K324" s="178">
        <f>SUM(N324:O324)</f>
        <v>862572</v>
      </c>
      <c r="L324" s="179"/>
      <c r="M324" s="180"/>
      <c r="N324" s="172">
        <f>SUM(L324:M324)</f>
        <v>0</v>
      </c>
      <c r="O324" s="178">
        <f>SUM(P324:Y324)</f>
        <v>862572</v>
      </c>
      <c r="P324" s="181"/>
      <c r="Q324" s="180">
        <v>862572</v>
      </c>
      <c r="R324" s="182"/>
      <c r="S324" s="183"/>
      <c r="T324" s="180"/>
      <c r="U324" s="180"/>
      <c r="V324" s="180"/>
      <c r="W324" s="180"/>
      <c r="X324" s="180"/>
      <c r="Y324" s="182"/>
      <c r="Z324" s="149" t="str">
        <f t="shared" ca="1" si="440"/>
        <v>nie</v>
      </c>
      <c r="AA324" s="366"/>
      <c r="AB324" s="150" t="str">
        <f t="shared" ca="1" si="449"/>
        <v>-</v>
      </c>
      <c r="AC324" s="151" t="str">
        <f t="shared" ca="1" si="517"/>
        <v>PRZED ZMIANĄ</v>
      </c>
      <c r="AD324" s="152" t="str">
        <f t="shared" ca="1" si="441"/>
        <v>PRZED ZMIANĄ</v>
      </c>
      <c r="AE324" s="153" t="str">
        <f t="shared" ca="1" si="518"/>
        <v>C/USN/III/P4/31</v>
      </c>
      <c r="AF324" s="154" t="str">
        <f t="shared" ca="1" si="519"/>
        <v>Ursynowska ekologia - butelkomaty</v>
      </c>
      <c r="AG324" s="155">
        <f t="shared" ca="1" si="520"/>
        <v>90026</v>
      </c>
      <c r="AH324" s="155" t="str">
        <f t="shared" ca="1" si="521"/>
        <v>6050</v>
      </c>
      <c r="AI324" s="156" t="str">
        <f t="shared" ca="1" si="522"/>
        <v>BO/21/12/0246</v>
      </c>
      <c r="AJ324" s="157" t="str">
        <f t="shared" ca="1" si="523"/>
        <v>WPF/PM</v>
      </c>
      <c r="AK324" s="158" t="str">
        <f t="shared" ca="1" si="442"/>
        <v>C/USN/III/P4/31 90026 6050 BO/21/12/0246</v>
      </c>
      <c r="AL324" s="158" t="str">
        <f t="shared" ca="1" si="443"/>
        <v>C/USN/III/P4/31 90026 6050 WPF/PM</v>
      </c>
      <c r="AM324" s="159" t="str">
        <f t="shared" ca="1" si="444"/>
        <v>C/USN/III/P4/31 90026 6050 BO/21/12/0246 WPF/PM</v>
      </c>
      <c r="AN324" s="160">
        <f t="shared" ca="1" si="524"/>
        <v>862572</v>
      </c>
      <c r="AO324" s="161">
        <f t="shared" ca="1" si="525"/>
        <v>0</v>
      </c>
      <c r="AP324" s="162">
        <f t="shared" ca="1" si="526"/>
        <v>0</v>
      </c>
      <c r="AQ324" s="163">
        <f t="shared" ca="1" si="527"/>
        <v>0</v>
      </c>
      <c r="AR324" s="164">
        <f t="shared" ca="1" si="528"/>
        <v>862572</v>
      </c>
      <c r="AS324" s="164">
        <f t="shared" ca="1" si="529"/>
        <v>0</v>
      </c>
      <c r="AT324" s="164">
        <f t="shared" ca="1" si="530"/>
        <v>0</v>
      </c>
      <c r="AU324" s="164">
        <f t="shared" ca="1" si="531"/>
        <v>0</v>
      </c>
      <c r="AV324" s="164">
        <f t="shared" ca="1" si="532"/>
        <v>0</v>
      </c>
      <c r="AW324" s="164">
        <f t="shared" ca="1" si="533"/>
        <v>0</v>
      </c>
      <c r="AX324" s="164">
        <f t="shared" ca="1" si="534"/>
        <v>0</v>
      </c>
      <c r="AY324" s="164">
        <f t="shared" ca="1" si="535"/>
        <v>0</v>
      </c>
      <c r="AZ324" s="164">
        <f t="shared" ca="1" si="536"/>
        <v>0</v>
      </c>
      <c r="BA324" s="165" t="str">
        <f t="shared" ca="1" si="537"/>
        <v>nie</v>
      </c>
      <c r="BB324" s="166" t="str">
        <f t="shared" ca="1" si="450"/>
        <v>-</v>
      </c>
      <c r="BC324" s="165" t="str">
        <f t="shared" ca="1" si="445"/>
        <v>nie</v>
      </c>
    </row>
    <row r="325" spans="1:55" s="167" customFormat="1" ht="14.45" hidden="1" customHeight="1" x14ac:dyDescent="0.25">
      <c r="A325" s="493"/>
      <c r="B325" s="493"/>
      <c r="C325" s="494"/>
      <c r="D325" s="506"/>
      <c r="E325" s="497"/>
      <c r="F325" s="497"/>
      <c r="G325" s="497"/>
      <c r="H325" s="498"/>
      <c r="I325" s="499"/>
      <c r="J325" s="177" t="s">
        <v>96</v>
      </c>
      <c r="K325" s="178">
        <f>SUM(N325:O325)</f>
        <v>17428</v>
      </c>
      <c r="L325" s="184">
        <v>17428</v>
      </c>
      <c r="M325" s="180"/>
      <c r="N325" s="172">
        <f>SUM(L325:M325)</f>
        <v>17428</v>
      </c>
      <c r="O325" s="178">
        <f>SUM(P325:Y325)</f>
        <v>0</v>
      </c>
      <c r="P325" s="181"/>
      <c r="Q325" s="180"/>
      <c r="R325" s="182"/>
      <c r="S325" s="183"/>
      <c r="T325" s="180"/>
      <c r="U325" s="180"/>
      <c r="V325" s="180"/>
      <c r="W325" s="180"/>
      <c r="X325" s="180"/>
      <c r="Y325" s="182"/>
      <c r="Z325" s="149" t="str">
        <f t="shared" ca="1" si="440"/>
        <v>nie</v>
      </c>
      <c r="AA325" s="366"/>
      <c r="AB325" s="150" t="str">
        <f t="shared" ca="1" si="449"/>
        <v>-</v>
      </c>
      <c r="AC325" s="151" t="str">
        <f t="shared" ca="1" si="517"/>
        <v>PRZED ZMIANĄ</v>
      </c>
      <c r="AD325" s="152" t="str">
        <f t="shared" ca="1" si="441"/>
        <v>PRZED ZMIANĄ</v>
      </c>
      <c r="AE325" s="153" t="str">
        <f t="shared" ca="1" si="518"/>
        <v>C/USN/III/P4/31</v>
      </c>
      <c r="AF325" s="154" t="str">
        <f t="shared" ca="1" si="519"/>
        <v>Ursynowska ekologia - butelkomaty</v>
      </c>
      <c r="AG325" s="155">
        <f t="shared" ca="1" si="520"/>
        <v>90026</v>
      </c>
      <c r="AH325" s="155" t="str">
        <f t="shared" ca="1" si="521"/>
        <v>6050</v>
      </c>
      <c r="AI325" s="156" t="str">
        <f t="shared" ca="1" si="522"/>
        <v>BO/21/12/0246</v>
      </c>
      <c r="AJ325" s="157" t="str">
        <f t="shared" ca="1" si="523"/>
        <v>WPF/UM</v>
      </c>
      <c r="AK325" s="158" t="str">
        <f t="shared" ca="1" si="442"/>
        <v>C/USN/III/P4/31 90026 6050 BO/21/12/0246</v>
      </c>
      <c r="AL325" s="158" t="str">
        <f t="shared" ca="1" si="443"/>
        <v>C/USN/III/P4/31 90026 6050 WPF/UM</v>
      </c>
      <c r="AM325" s="159" t="str">
        <f t="shared" ca="1" si="444"/>
        <v>C/USN/III/P4/31 90026 6050 BO/21/12/0246 WPF/UM</v>
      </c>
      <c r="AN325" s="160">
        <f t="shared" ca="1" si="524"/>
        <v>17428</v>
      </c>
      <c r="AO325" s="161">
        <f t="shared" ca="1" si="525"/>
        <v>17428</v>
      </c>
      <c r="AP325" s="162">
        <f t="shared" ca="1" si="526"/>
        <v>0</v>
      </c>
      <c r="AQ325" s="163">
        <f t="shared" ca="1" si="527"/>
        <v>0</v>
      </c>
      <c r="AR325" s="164">
        <f t="shared" ca="1" si="528"/>
        <v>0</v>
      </c>
      <c r="AS325" s="164">
        <f t="shared" ca="1" si="529"/>
        <v>0</v>
      </c>
      <c r="AT325" s="164">
        <f t="shared" ca="1" si="530"/>
        <v>0</v>
      </c>
      <c r="AU325" s="164">
        <f t="shared" ca="1" si="531"/>
        <v>0</v>
      </c>
      <c r="AV325" s="164">
        <f t="shared" ca="1" si="532"/>
        <v>0</v>
      </c>
      <c r="AW325" s="164">
        <f t="shared" ca="1" si="533"/>
        <v>0</v>
      </c>
      <c r="AX325" s="164">
        <f t="shared" ca="1" si="534"/>
        <v>0</v>
      </c>
      <c r="AY325" s="164">
        <f t="shared" ca="1" si="535"/>
        <v>0</v>
      </c>
      <c r="AZ325" s="164">
        <f t="shared" ca="1" si="536"/>
        <v>0</v>
      </c>
      <c r="BA325" s="165" t="str">
        <f t="shared" ca="1" si="537"/>
        <v>nie</v>
      </c>
      <c r="BB325" s="166" t="str">
        <f t="shared" ca="1" si="450"/>
        <v>-</v>
      </c>
      <c r="BC325" s="165" t="str">
        <f t="shared" ca="1" si="445"/>
        <v>nie</v>
      </c>
    </row>
    <row r="326" spans="1:55" s="167" customFormat="1" ht="14.45" hidden="1" customHeight="1" x14ac:dyDescent="0.25">
      <c r="A326" s="185" t="s">
        <v>97</v>
      </c>
      <c r="B326" s="186"/>
      <c r="C326" s="187"/>
      <c r="D326" s="186"/>
      <c r="E326" s="186"/>
      <c r="F326" s="186"/>
      <c r="G326" s="186"/>
      <c r="H326" s="186"/>
      <c r="I326" s="186"/>
      <c r="J326" s="186"/>
      <c r="K326" s="186"/>
      <c r="L326" s="186"/>
      <c r="M326" s="186"/>
      <c r="N326" s="186"/>
      <c r="O326" s="186"/>
      <c r="P326" s="186"/>
      <c r="Q326" s="186"/>
      <c r="R326" s="188"/>
      <c r="S326" s="189"/>
      <c r="T326" s="189"/>
      <c r="U326" s="189"/>
      <c r="V326" s="189"/>
      <c r="W326" s="189"/>
      <c r="X326" s="189"/>
      <c r="Y326" s="190"/>
      <c r="Z326" s="149" t="str">
        <f t="shared" ca="1" si="440"/>
        <v>nie</v>
      </c>
      <c r="AA326" s="366"/>
      <c r="AB326" s="150" t="str">
        <f t="shared" ca="1" si="449"/>
        <v>-</v>
      </c>
      <c r="AC326" s="151" t="str">
        <f t="shared" ca="1" si="517"/>
        <v>PROPONOWANA ZMIANA</v>
      </c>
      <c r="AD326" s="152" t="str">
        <f t="shared" ca="1" si="441"/>
        <v/>
      </c>
      <c r="AE326" s="153" t="str">
        <f t="shared" ca="1" si="518"/>
        <v/>
      </c>
      <c r="AF326" s="154" t="str">
        <f t="shared" ca="1" si="519"/>
        <v/>
      </c>
      <c r="AG326" s="155" t="str">
        <f t="shared" ca="1" si="520"/>
        <v/>
      </c>
      <c r="AH326" s="155" t="str">
        <f t="shared" ca="1" si="521"/>
        <v/>
      </c>
      <c r="AI326" s="156" t="str">
        <f t="shared" ca="1" si="522"/>
        <v/>
      </c>
      <c r="AJ326" s="157" t="str">
        <f t="shared" ca="1" si="523"/>
        <v/>
      </c>
      <c r="AK326" s="158" t="str">
        <f t="shared" ca="1" si="442"/>
        <v/>
      </c>
      <c r="AL326" s="158" t="str">
        <f t="shared" ca="1" si="443"/>
        <v/>
      </c>
      <c r="AM326" s="159" t="str">
        <f t="shared" ca="1" si="444"/>
        <v/>
      </c>
      <c r="AN326" s="160" t="str">
        <f t="shared" ca="1" si="524"/>
        <v/>
      </c>
      <c r="AO326" s="161" t="str">
        <f t="shared" ca="1" si="525"/>
        <v/>
      </c>
      <c r="AP326" s="162" t="str">
        <f t="shared" ca="1" si="526"/>
        <v/>
      </c>
      <c r="AQ326" s="163" t="str">
        <f t="shared" ca="1" si="527"/>
        <v/>
      </c>
      <c r="AR326" s="164" t="str">
        <f t="shared" ca="1" si="528"/>
        <v/>
      </c>
      <c r="AS326" s="164" t="str">
        <f t="shared" ca="1" si="529"/>
        <v/>
      </c>
      <c r="AT326" s="164" t="str">
        <f t="shared" ca="1" si="530"/>
        <v/>
      </c>
      <c r="AU326" s="164" t="str">
        <f t="shared" ca="1" si="531"/>
        <v/>
      </c>
      <c r="AV326" s="164" t="str">
        <f t="shared" ca="1" si="532"/>
        <v/>
      </c>
      <c r="AW326" s="164" t="str">
        <f t="shared" ca="1" si="533"/>
        <v/>
      </c>
      <c r="AX326" s="164" t="str">
        <f t="shared" ca="1" si="534"/>
        <v/>
      </c>
      <c r="AY326" s="164" t="str">
        <f t="shared" ca="1" si="535"/>
        <v/>
      </c>
      <c r="AZ326" s="164" t="str">
        <f t="shared" ca="1" si="536"/>
        <v/>
      </c>
      <c r="BA326" s="165" t="str">
        <f t="shared" ca="1" si="537"/>
        <v>nie</v>
      </c>
      <c r="BB326" s="166" t="str">
        <f t="shared" ca="1" si="450"/>
        <v>-</v>
      </c>
      <c r="BC326" s="165" t="str">
        <f t="shared" ca="1" si="445"/>
        <v>nie</v>
      </c>
    </row>
    <row r="327" spans="1:55" s="176" customFormat="1" ht="14.45" hidden="1" customHeight="1" x14ac:dyDescent="0.25">
      <c r="A327" s="493" t="s">
        <v>24</v>
      </c>
      <c r="B327" s="493" t="s">
        <v>142</v>
      </c>
      <c r="C327" s="494" t="s">
        <v>143</v>
      </c>
      <c r="D327" s="505" t="s">
        <v>144</v>
      </c>
      <c r="E327" s="497">
        <v>900</v>
      </c>
      <c r="F327" s="497">
        <v>90026</v>
      </c>
      <c r="G327" s="497">
        <v>6050</v>
      </c>
      <c r="H327" s="507">
        <v>2021</v>
      </c>
      <c r="I327" s="499" t="str">
        <f ca="1">IF(COUNTIF(OFFSET(I327,-1,-8),"*propon*")&gt;0,OFFSET(I327,4,0),IF(Y327&gt;0,"2033",IF(X327&gt;0,"2032",IF(W327&gt;0,"2031",IF(V327&gt;0,"2030",IF(U327&gt;0,"2029",IF(T327&gt;0,"2028",IF(S327&gt;0,"2027",IF(R327&gt;0,"2026",IF(Q327&gt;0,"2025",IF(P327&gt;0,"2024",IF(M327&gt;0,"2023",IF(L327&gt;0,"2022","")))))))))))))</f>
        <v>2025</v>
      </c>
      <c r="J327" s="168" t="s">
        <v>98</v>
      </c>
      <c r="K327" s="169">
        <f>SUM(N327:O327)</f>
        <v>0</v>
      </c>
      <c r="L327" s="170">
        <f t="shared" ref="L327:M327" si="543">SUM(L328:L329)</f>
        <v>0</v>
      </c>
      <c r="M327" s="171">
        <f t="shared" si="543"/>
        <v>0</v>
      </c>
      <c r="N327" s="172">
        <f>SUM(L327:M327)</f>
        <v>0</v>
      </c>
      <c r="O327" s="169">
        <f>SUM(P327:Y327)</f>
        <v>0</v>
      </c>
      <c r="P327" s="173">
        <f t="shared" ref="P327:R327" si="544">SUM(P328:P329)</f>
        <v>0</v>
      </c>
      <c r="Q327" s="171">
        <f t="shared" si="544"/>
        <v>0</v>
      </c>
      <c r="R327" s="174">
        <f t="shared" si="544"/>
        <v>0</v>
      </c>
      <c r="S327" s="175">
        <f t="shared" ref="S327:Y327" si="545">SUM(S328:S329)</f>
        <v>0</v>
      </c>
      <c r="T327" s="171">
        <f t="shared" si="545"/>
        <v>0</v>
      </c>
      <c r="U327" s="171">
        <f t="shared" si="545"/>
        <v>0</v>
      </c>
      <c r="V327" s="171">
        <f t="shared" si="545"/>
        <v>0</v>
      </c>
      <c r="W327" s="171">
        <f t="shared" si="545"/>
        <v>0</v>
      </c>
      <c r="X327" s="171">
        <f t="shared" si="545"/>
        <v>0</v>
      </c>
      <c r="Y327" s="174">
        <f t="shared" si="545"/>
        <v>0</v>
      </c>
      <c r="Z327" s="149" t="str">
        <f t="shared" ca="1" si="440"/>
        <v>nie</v>
      </c>
      <c r="AA327" s="366"/>
      <c r="AB327" s="150" t="str">
        <f t="shared" ca="1" si="449"/>
        <v>-</v>
      </c>
      <c r="AC327" s="151" t="str">
        <f t="shared" ca="1" si="517"/>
        <v>PROPONOWANA ZMIANA</v>
      </c>
      <c r="AD327" s="152" t="str">
        <f t="shared" ca="1" si="441"/>
        <v>PROPONOWANA ZMIANA</v>
      </c>
      <c r="AE327" s="153" t="str">
        <f t="shared" ca="1" si="518"/>
        <v>C/USN/III/P4/31</v>
      </c>
      <c r="AF327" s="154" t="str">
        <f t="shared" ca="1" si="519"/>
        <v>Ursynowska ekologia - butelkomaty</v>
      </c>
      <c r="AG327" s="155">
        <f t="shared" ca="1" si="520"/>
        <v>90026</v>
      </c>
      <c r="AH327" s="155" t="str">
        <f t="shared" ca="1" si="521"/>
        <v>6050</v>
      </c>
      <c r="AI327" s="156" t="str">
        <f t="shared" ca="1" si="522"/>
        <v>BO/21/12/0246</v>
      </c>
      <c r="AJ327" s="157" t="str">
        <f t="shared" ca="1" si="523"/>
        <v>WPF, w tym</v>
      </c>
      <c r="AK327" s="158" t="str">
        <f t="shared" ca="1" si="442"/>
        <v>C/USN/III/P4/31 90026 6050 BO/21/12/0246</v>
      </c>
      <c r="AL327" s="158" t="str">
        <f t="shared" ca="1" si="443"/>
        <v>C/USN/III/P4/31 90026 6050 WPF, w tym</v>
      </c>
      <c r="AM327" s="159" t="str">
        <f t="shared" ca="1" si="444"/>
        <v>C/USN/III/P4/31 90026 6050 BO/21/12/0246 WPF, w tym</v>
      </c>
      <c r="AN327" s="160">
        <f t="shared" ca="1" si="524"/>
        <v>0</v>
      </c>
      <c r="AO327" s="161">
        <f t="shared" ca="1" si="525"/>
        <v>0</v>
      </c>
      <c r="AP327" s="162">
        <f t="shared" ca="1" si="526"/>
        <v>0</v>
      </c>
      <c r="AQ327" s="163">
        <f t="shared" ca="1" si="527"/>
        <v>0</v>
      </c>
      <c r="AR327" s="164">
        <f t="shared" ca="1" si="528"/>
        <v>0</v>
      </c>
      <c r="AS327" s="164">
        <f t="shared" ca="1" si="529"/>
        <v>0</v>
      </c>
      <c r="AT327" s="164">
        <f t="shared" ca="1" si="530"/>
        <v>0</v>
      </c>
      <c r="AU327" s="164">
        <f t="shared" ca="1" si="531"/>
        <v>0</v>
      </c>
      <c r="AV327" s="164">
        <f t="shared" ca="1" si="532"/>
        <v>0</v>
      </c>
      <c r="AW327" s="164">
        <f t="shared" ca="1" si="533"/>
        <v>0</v>
      </c>
      <c r="AX327" s="164">
        <f t="shared" ca="1" si="534"/>
        <v>0</v>
      </c>
      <c r="AY327" s="164">
        <f t="shared" ca="1" si="535"/>
        <v>0</v>
      </c>
      <c r="AZ327" s="164">
        <f t="shared" ca="1" si="536"/>
        <v>0</v>
      </c>
      <c r="BA327" s="165" t="str">
        <f t="shared" ca="1" si="537"/>
        <v>nie</v>
      </c>
      <c r="BB327" s="166" t="str">
        <f t="shared" ca="1" si="450"/>
        <v>-</v>
      </c>
      <c r="BC327" s="165" t="str">
        <f t="shared" ca="1" si="445"/>
        <v>nie</v>
      </c>
    </row>
    <row r="328" spans="1:55" s="167" customFormat="1" ht="14.45" hidden="1" customHeight="1" x14ac:dyDescent="0.25">
      <c r="A328" s="493"/>
      <c r="B328" s="493"/>
      <c r="C328" s="494"/>
      <c r="D328" s="506"/>
      <c r="E328" s="497"/>
      <c r="F328" s="497"/>
      <c r="G328" s="497"/>
      <c r="H328" s="498"/>
      <c r="I328" s="499"/>
      <c r="J328" s="177" t="s">
        <v>99</v>
      </c>
      <c r="K328" s="178">
        <f>SUM(N328:O328)</f>
        <v>0</v>
      </c>
      <c r="L328" s="179">
        <f t="shared" ref="L328:M328" si="546">L332-L324</f>
        <v>0</v>
      </c>
      <c r="M328" s="180">
        <f t="shared" si="546"/>
        <v>0</v>
      </c>
      <c r="N328" s="172">
        <f>SUM(L328:M328)</f>
        <v>0</v>
      </c>
      <c r="O328" s="178">
        <f>SUM(P328:Y328)</f>
        <v>0</v>
      </c>
      <c r="P328" s="181">
        <f t="shared" ref="P328:R328" si="547">P332-P324</f>
        <v>0</v>
      </c>
      <c r="Q328" s="180">
        <f t="shared" si="547"/>
        <v>0</v>
      </c>
      <c r="R328" s="182">
        <f t="shared" si="547"/>
        <v>0</v>
      </c>
      <c r="S328" s="183">
        <f t="shared" ref="S328:Y329" si="548">S332-S324</f>
        <v>0</v>
      </c>
      <c r="T328" s="180">
        <f t="shared" si="548"/>
        <v>0</v>
      </c>
      <c r="U328" s="180">
        <f t="shared" si="548"/>
        <v>0</v>
      </c>
      <c r="V328" s="180">
        <f t="shared" si="548"/>
        <v>0</v>
      </c>
      <c r="W328" s="180">
        <f t="shared" si="548"/>
        <v>0</v>
      </c>
      <c r="X328" s="180">
        <f t="shared" si="548"/>
        <v>0</v>
      </c>
      <c r="Y328" s="182">
        <f t="shared" si="548"/>
        <v>0</v>
      </c>
      <c r="Z328" s="149" t="str">
        <f t="shared" ca="1" si="440"/>
        <v>nie</v>
      </c>
      <c r="AA328" s="366"/>
      <c r="AB328" s="150" t="str">
        <f t="shared" ca="1" si="449"/>
        <v>-</v>
      </c>
      <c r="AC328" s="151" t="str">
        <f t="shared" ca="1" si="517"/>
        <v>PROPONOWANA ZMIANA</v>
      </c>
      <c r="AD328" s="152" t="str">
        <f t="shared" ca="1" si="441"/>
        <v>PROPONOWANA ZMIANA</v>
      </c>
      <c r="AE328" s="153" t="str">
        <f t="shared" ca="1" si="518"/>
        <v>C/USN/III/P4/31</v>
      </c>
      <c r="AF328" s="154" t="str">
        <f t="shared" ca="1" si="519"/>
        <v>Ursynowska ekologia - butelkomaty</v>
      </c>
      <c r="AG328" s="155">
        <f t="shared" ca="1" si="520"/>
        <v>90026</v>
      </c>
      <c r="AH328" s="155" t="str">
        <f t="shared" ca="1" si="521"/>
        <v>6050</v>
      </c>
      <c r="AI328" s="156" t="str">
        <f t="shared" ca="1" si="522"/>
        <v>BO/21/12/0246</v>
      </c>
      <c r="AJ328" s="157" t="str">
        <f t="shared" ca="1" si="523"/>
        <v>WPF/PM</v>
      </c>
      <c r="AK328" s="158" t="str">
        <f t="shared" ca="1" si="442"/>
        <v>C/USN/III/P4/31 90026 6050 BO/21/12/0246</v>
      </c>
      <c r="AL328" s="158" t="str">
        <f t="shared" ca="1" si="443"/>
        <v>C/USN/III/P4/31 90026 6050 WPF/PM</v>
      </c>
      <c r="AM328" s="159" t="str">
        <f t="shared" ca="1" si="444"/>
        <v>C/USN/III/P4/31 90026 6050 BO/21/12/0246 WPF/PM</v>
      </c>
      <c r="AN328" s="160">
        <f t="shared" ca="1" si="524"/>
        <v>0</v>
      </c>
      <c r="AO328" s="161">
        <f t="shared" ca="1" si="525"/>
        <v>0</v>
      </c>
      <c r="AP328" s="162">
        <f t="shared" ca="1" si="526"/>
        <v>0</v>
      </c>
      <c r="AQ328" s="163">
        <f t="shared" ca="1" si="527"/>
        <v>0</v>
      </c>
      <c r="AR328" s="164">
        <f t="shared" ca="1" si="528"/>
        <v>0</v>
      </c>
      <c r="AS328" s="164">
        <f t="shared" ca="1" si="529"/>
        <v>0</v>
      </c>
      <c r="AT328" s="164">
        <f t="shared" ca="1" si="530"/>
        <v>0</v>
      </c>
      <c r="AU328" s="164">
        <f t="shared" ca="1" si="531"/>
        <v>0</v>
      </c>
      <c r="AV328" s="164">
        <f t="shared" ca="1" si="532"/>
        <v>0</v>
      </c>
      <c r="AW328" s="164">
        <f t="shared" ca="1" si="533"/>
        <v>0</v>
      </c>
      <c r="AX328" s="164">
        <f t="shared" ca="1" si="534"/>
        <v>0</v>
      </c>
      <c r="AY328" s="164">
        <f t="shared" ca="1" si="535"/>
        <v>0</v>
      </c>
      <c r="AZ328" s="164">
        <f t="shared" ca="1" si="536"/>
        <v>0</v>
      </c>
      <c r="BA328" s="165" t="str">
        <f t="shared" ca="1" si="537"/>
        <v>nie</v>
      </c>
      <c r="BB328" s="166" t="str">
        <f t="shared" ca="1" si="450"/>
        <v>-</v>
      </c>
      <c r="BC328" s="165" t="str">
        <f t="shared" ca="1" si="445"/>
        <v>nie</v>
      </c>
    </row>
    <row r="329" spans="1:55" s="167" customFormat="1" ht="14.45" hidden="1" customHeight="1" x14ac:dyDescent="0.25">
      <c r="A329" s="493"/>
      <c r="B329" s="493"/>
      <c r="C329" s="494"/>
      <c r="D329" s="506"/>
      <c r="E329" s="497"/>
      <c r="F329" s="497"/>
      <c r="G329" s="497"/>
      <c r="H329" s="498"/>
      <c r="I329" s="499"/>
      <c r="J329" s="177" t="s">
        <v>100</v>
      </c>
      <c r="K329" s="178">
        <f>SUM(N329:O329)</f>
        <v>0</v>
      </c>
      <c r="L329" s="179">
        <f t="shared" ref="L329:M329" si="549">L333-L325</f>
        <v>0</v>
      </c>
      <c r="M329" s="180">
        <f t="shared" si="549"/>
        <v>0</v>
      </c>
      <c r="N329" s="172">
        <f>SUM(L329:M329)</f>
        <v>0</v>
      </c>
      <c r="O329" s="178">
        <f>SUM(P329:Y329)</f>
        <v>0</v>
      </c>
      <c r="P329" s="181">
        <f t="shared" ref="P329:R329" si="550">P333-P325</f>
        <v>0</v>
      </c>
      <c r="Q329" s="180">
        <f t="shared" si="550"/>
        <v>0</v>
      </c>
      <c r="R329" s="182">
        <f t="shared" si="550"/>
        <v>0</v>
      </c>
      <c r="S329" s="183">
        <f t="shared" si="548"/>
        <v>0</v>
      </c>
      <c r="T329" s="180">
        <f t="shared" si="548"/>
        <v>0</v>
      </c>
      <c r="U329" s="180">
        <f t="shared" si="548"/>
        <v>0</v>
      </c>
      <c r="V329" s="180">
        <f t="shared" si="548"/>
        <v>0</v>
      </c>
      <c r="W329" s="180">
        <f t="shared" si="548"/>
        <v>0</v>
      </c>
      <c r="X329" s="180">
        <f t="shared" si="548"/>
        <v>0</v>
      </c>
      <c r="Y329" s="182">
        <f t="shared" si="548"/>
        <v>0</v>
      </c>
      <c r="Z329" s="149" t="str">
        <f t="shared" ca="1" si="440"/>
        <v>nie</v>
      </c>
      <c r="AA329" s="366"/>
      <c r="AB329" s="150" t="str">
        <f t="shared" ca="1" si="449"/>
        <v>-</v>
      </c>
      <c r="AC329" s="151" t="str">
        <f t="shared" ca="1" si="517"/>
        <v>PROPONOWANA ZMIANA</v>
      </c>
      <c r="AD329" s="152" t="str">
        <f t="shared" ca="1" si="441"/>
        <v>PROPONOWANA ZMIANA</v>
      </c>
      <c r="AE329" s="153" t="str">
        <f t="shared" ca="1" si="518"/>
        <v>C/USN/III/P4/31</v>
      </c>
      <c r="AF329" s="154" t="str">
        <f t="shared" ca="1" si="519"/>
        <v>Ursynowska ekologia - butelkomaty</v>
      </c>
      <c r="AG329" s="155">
        <f t="shared" ca="1" si="520"/>
        <v>90026</v>
      </c>
      <c r="AH329" s="155" t="str">
        <f t="shared" ca="1" si="521"/>
        <v>6050</v>
      </c>
      <c r="AI329" s="156" t="str">
        <f t="shared" ca="1" si="522"/>
        <v>BO/21/12/0246</v>
      </c>
      <c r="AJ329" s="157" t="str">
        <f t="shared" ca="1" si="523"/>
        <v>WPF/UM</v>
      </c>
      <c r="AK329" s="158" t="str">
        <f t="shared" ca="1" si="442"/>
        <v>C/USN/III/P4/31 90026 6050 BO/21/12/0246</v>
      </c>
      <c r="AL329" s="158" t="str">
        <f t="shared" ca="1" si="443"/>
        <v>C/USN/III/P4/31 90026 6050 WPF/UM</v>
      </c>
      <c r="AM329" s="159" t="str">
        <f t="shared" ca="1" si="444"/>
        <v>C/USN/III/P4/31 90026 6050 BO/21/12/0246 WPF/UM</v>
      </c>
      <c r="AN329" s="160">
        <f t="shared" ca="1" si="524"/>
        <v>0</v>
      </c>
      <c r="AO329" s="161">
        <f t="shared" ca="1" si="525"/>
        <v>0</v>
      </c>
      <c r="AP329" s="162">
        <f t="shared" ca="1" si="526"/>
        <v>0</v>
      </c>
      <c r="AQ329" s="163">
        <f t="shared" ca="1" si="527"/>
        <v>0</v>
      </c>
      <c r="AR329" s="164">
        <f t="shared" ca="1" si="528"/>
        <v>0</v>
      </c>
      <c r="AS329" s="164">
        <f t="shared" ca="1" si="529"/>
        <v>0</v>
      </c>
      <c r="AT329" s="164">
        <f t="shared" ca="1" si="530"/>
        <v>0</v>
      </c>
      <c r="AU329" s="164">
        <f t="shared" ca="1" si="531"/>
        <v>0</v>
      </c>
      <c r="AV329" s="164">
        <f t="shared" ca="1" si="532"/>
        <v>0</v>
      </c>
      <c r="AW329" s="164">
        <f t="shared" ca="1" si="533"/>
        <v>0</v>
      </c>
      <c r="AX329" s="164">
        <f t="shared" ca="1" si="534"/>
        <v>0</v>
      </c>
      <c r="AY329" s="164">
        <f t="shared" ca="1" si="535"/>
        <v>0</v>
      </c>
      <c r="AZ329" s="164">
        <f t="shared" ca="1" si="536"/>
        <v>0</v>
      </c>
      <c r="BA329" s="165" t="str">
        <f t="shared" ca="1" si="537"/>
        <v>nie</v>
      </c>
      <c r="BB329" s="166" t="str">
        <f t="shared" ca="1" si="450"/>
        <v>-</v>
      </c>
      <c r="BC329" s="165" t="str">
        <f t="shared" ca="1" si="445"/>
        <v>nie</v>
      </c>
    </row>
    <row r="330" spans="1:55" s="167" customFormat="1" ht="14.45" hidden="1" customHeight="1" x14ac:dyDescent="0.25">
      <c r="A330" s="191" t="s">
        <v>101</v>
      </c>
      <c r="B330" s="192"/>
      <c r="C330" s="193"/>
      <c r="D330" s="192"/>
      <c r="E330" s="192"/>
      <c r="F330" s="192"/>
      <c r="G330" s="192"/>
      <c r="H330" s="192"/>
      <c r="I330" s="192"/>
      <c r="J330" s="192"/>
      <c r="K330" s="192"/>
      <c r="L330" s="192"/>
      <c r="M330" s="192"/>
      <c r="N330" s="192"/>
      <c r="O330" s="192"/>
      <c r="P330" s="192"/>
      <c r="Q330" s="192"/>
      <c r="R330" s="194"/>
      <c r="S330" s="195"/>
      <c r="T330" s="195"/>
      <c r="U330" s="195"/>
      <c r="V330" s="195"/>
      <c r="W330" s="195"/>
      <c r="X330" s="195"/>
      <c r="Y330" s="196"/>
      <c r="Z330" s="149" t="str">
        <f t="shared" ref="Z330:Z393" ca="1" si="551">IF(COUNTIF(A330,"*zmia*")&gt;0,OFFSET(Z330,1,0),IF(COUNTIF($AB$10:$AB$888,AE330)&gt;0,"tak","nie"))</f>
        <v>nie</v>
      </c>
      <c r="AA330" s="366"/>
      <c r="AB330" s="150" t="str">
        <f t="shared" ca="1" si="449"/>
        <v>-</v>
      </c>
      <c r="AC330" s="151" t="str">
        <f t="shared" ca="1" si="517"/>
        <v>PO ZMIANIE</v>
      </c>
      <c r="AD330" s="152" t="str">
        <f t="shared" ca="1" si="441"/>
        <v/>
      </c>
      <c r="AE330" s="153" t="str">
        <f t="shared" ca="1" si="518"/>
        <v/>
      </c>
      <c r="AF330" s="154" t="str">
        <f t="shared" ca="1" si="519"/>
        <v/>
      </c>
      <c r="AG330" s="155" t="str">
        <f t="shared" ca="1" si="520"/>
        <v/>
      </c>
      <c r="AH330" s="155" t="str">
        <f t="shared" ca="1" si="521"/>
        <v/>
      </c>
      <c r="AI330" s="156" t="str">
        <f t="shared" ca="1" si="522"/>
        <v/>
      </c>
      <c r="AJ330" s="157" t="str">
        <f t="shared" ca="1" si="523"/>
        <v/>
      </c>
      <c r="AK330" s="158" t="str">
        <f t="shared" ca="1" si="442"/>
        <v/>
      </c>
      <c r="AL330" s="158" t="str">
        <f t="shared" ca="1" si="443"/>
        <v/>
      </c>
      <c r="AM330" s="159" t="str">
        <f t="shared" ca="1" si="444"/>
        <v/>
      </c>
      <c r="AN330" s="160" t="str">
        <f t="shared" ca="1" si="524"/>
        <v/>
      </c>
      <c r="AO330" s="161" t="str">
        <f t="shared" ca="1" si="525"/>
        <v/>
      </c>
      <c r="AP330" s="162" t="str">
        <f t="shared" ca="1" si="526"/>
        <v/>
      </c>
      <c r="AQ330" s="163" t="str">
        <f t="shared" ca="1" si="527"/>
        <v/>
      </c>
      <c r="AR330" s="164" t="str">
        <f t="shared" ca="1" si="528"/>
        <v/>
      </c>
      <c r="AS330" s="164" t="str">
        <f t="shared" ca="1" si="529"/>
        <v/>
      </c>
      <c r="AT330" s="164" t="str">
        <f t="shared" ca="1" si="530"/>
        <v/>
      </c>
      <c r="AU330" s="164" t="str">
        <f t="shared" ca="1" si="531"/>
        <v/>
      </c>
      <c r="AV330" s="164" t="str">
        <f t="shared" ca="1" si="532"/>
        <v/>
      </c>
      <c r="AW330" s="164" t="str">
        <f t="shared" ca="1" si="533"/>
        <v/>
      </c>
      <c r="AX330" s="164" t="str">
        <f t="shared" ca="1" si="534"/>
        <v/>
      </c>
      <c r="AY330" s="164" t="str">
        <f t="shared" ca="1" si="535"/>
        <v/>
      </c>
      <c r="AZ330" s="164" t="str">
        <f t="shared" ca="1" si="536"/>
        <v/>
      </c>
      <c r="BA330" s="165" t="str">
        <f t="shared" ca="1" si="537"/>
        <v>nie</v>
      </c>
      <c r="BB330" s="166" t="str">
        <f t="shared" ca="1" si="450"/>
        <v>-</v>
      </c>
      <c r="BC330" s="165" t="str">
        <f t="shared" ref="BC330:BC393" ca="1" si="552">IF(AND(COUNTIF(AD330,"*zmi*")&gt;0,COUNTIF($BB$10:$BB$888,AK330)&gt;0),"tak","nie")</f>
        <v>nie</v>
      </c>
    </row>
    <row r="331" spans="1:55" s="176" customFormat="1" ht="14.45" hidden="1" customHeight="1" x14ac:dyDescent="0.25">
      <c r="A331" s="493" t="s">
        <v>24</v>
      </c>
      <c r="B331" s="493" t="s">
        <v>142</v>
      </c>
      <c r="C331" s="494" t="s">
        <v>143</v>
      </c>
      <c r="D331" s="505" t="s">
        <v>144</v>
      </c>
      <c r="E331" s="497">
        <v>900</v>
      </c>
      <c r="F331" s="497">
        <v>90026</v>
      </c>
      <c r="G331" s="497">
        <v>6050</v>
      </c>
      <c r="H331" s="507">
        <v>2021</v>
      </c>
      <c r="I331" s="499" t="str">
        <f ca="1">IF(COUNTIF(OFFSET(I331,-1,-8),"*propon*")&gt;0,OFFSET(I331,4,0),IF(Y331&gt;0,"2033",IF(X331&gt;0,"2032",IF(W331&gt;0,"2031",IF(V331&gt;0,"2030",IF(U331&gt;0,"2029",IF(T331&gt;0,"2028",IF(S331&gt;0,"2027",IF(R331&gt;0,"2026",IF(Q331&gt;0,"2025",IF(P331&gt;0,"2024",IF(M331&gt;0,"2023",IF(L331&gt;0,"2022","")))))))))))))</f>
        <v>2025</v>
      </c>
      <c r="J331" s="168" t="s">
        <v>102</v>
      </c>
      <c r="K331" s="169">
        <f>SUM(N331:O331)</f>
        <v>880000</v>
      </c>
      <c r="L331" s="170">
        <f t="shared" ref="L331:M331" si="553">SUM(L332:L333)</f>
        <v>17428</v>
      </c>
      <c r="M331" s="171">
        <f t="shared" si="553"/>
        <v>0</v>
      </c>
      <c r="N331" s="172">
        <f>SUM(L331:M331)</f>
        <v>17428</v>
      </c>
      <c r="O331" s="169">
        <f>SUM(P331:Y331)</f>
        <v>862572</v>
      </c>
      <c r="P331" s="173">
        <f t="shared" ref="P331:R331" si="554">SUM(P332:P333)</f>
        <v>0</v>
      </c>
      <c r="Q331" s="171">
        <f t="shared" si="554"/>
        <v>862572</v>
      </c>
      <c r="R331" s="174">
        <f t="shared" si="554"/>
        <v>0</v>
      </c>
      <c r="S331" s="175">
        <f t="shared" ref="S331:Y331" si="555">SUM(S332:S333)</f>
        <v>0</v>
      </c>
      <c r="T331" s="171">
        <f t="shared" si="555"/>
        <v>0</v>
      </c>
      <c r="U331" s="171">
        <f t="shared" si="555"/>
        <v>0</v>
      </c>
      <c r="V331" s="171">
        <f t="shared" si="555"/>
        <v>0</v>
      </c>
      <c r="W331" s="171">
        <f t="shared" si="555"/>
        <v>0</v>
      </c>
      <c r="X331" s="171">
        <f t="shared" si="555"/>
        <v>0</v>
      </c>
      <c r="Y331" s="174">
        <f t="shared" si="555"/>
        <v>0</v>
      </c>
      <c r="Z331" s="149" t="str">
        <f t="shared" ca="1" si="551"/>
        <v>nie</v>
      </c>
      <c r="AA331" s="366"/>
      <c r="AB331" s="150" t="str">
        <f t="shared" ca="1" si="449"/>
        <v>-</v>
      </c>
      <c r="AC331" s="151" t="str">
        <f t="shared" ca="1" si="517"/>
        <v>PO ZMIANIE</v>
      </c>
      <c r="AD331" s="152" t="str">
        <f t="shared" ca="1" si="441"/>
        <v>PO ZMIANIE</v>
      </c>
      <c r="AE331" s="153" t="str">
        <f t="shared" ca="1" si="518"/>
        <v>C/USN/III/P4/31</v>
      </c>
      <c r="AF331" s="154" t="str">
        <f t="shared" ca="1" si="519"/>
        <v>Ursynowska ekologia - butelkomaty</v>
      </c>
      <c r="AG331" s="155">
        <f t="shared" ca="1" si="520"/>
        <v>90026</v>
      </c>
      <c r="AH331" s="155" t="str">
        <f t="shared" ca="1" si="521"/>
        <v>6050</v>
      </c>
      <c r="AI331" s="156" t="str">
        <f t="shared" ca="1" si="522"/>
        <v>BO/21/12/0246</v>
      </c>
      <c r="AJ331" s="157" t="str">
        <f t="shared" ca="1" si="523"/>
        <v>WPF, w tym</v>
      </c>
      <c r="AK331" s="158" t="str">
        <f t="shared" ca="1" si="442"/>
        <v>C/USN/III/P4/31 90026 6050 BO/21/12/0246</v>
      </c>
      <c r="AL331" s="158" t="str">
        <f t="shared" ca="1" si="443"/>
        <v>C/USN/III/P4/31 90026 6050 WPF, w tym</v>
      </c>
      <c r="AM331" s="159" t="str">
        <f t="shared" ca="1" si="444"/>
        <v>C/USN/III/P4/31 90026 6050 BO/21/12/0246 WPF, w tym</v>
      </c>
      <c r="AN331" s="160">
        <f t="shared" ca="1" si="524"/>
        <v>880000</v>
      </c>
      <c r="AO331" s="161">
        <f t="shared" ca="1" si="525"/>
        <v>17428</v>
      </c>
      <c r="AP331" s="162">
        <f t="shared" ca="1" si="526"/>
        <v>0</v>
      </c>
      <c r="AQ331" s="163">
        <f t="shared" ca="1" si="527"/>
        <v>0</v>
      </c>
      <c r="AR331" s="164">
        <f t="shared" ca="1" si="528"/>
        <v>862572</v>
      </c>
      <c r="AS331" s="164">
        <f t="shared" ca="1" si="529"/>
        <v>0</v>
      </c>
      <c r="AT331" s="164">
        <f t="shared" ca="1" si="530"/>
        <v>0</v>
      </c>
      <c r="AU331" s="164">
        <f t="shared" ca="1" si="531"/>
        <v>0</v>
      </c>
      <c r="AV331" s="164">
        <f t="shared" ca="1" si="532"/>
        <v>0</v>
      </c>
      <c r="AW331" s="164">
        <f t="shared" ca="1" si="533"/>
        <v>0</v>
      </c>
      <c r="AX331" s="164">
        <f t="shared" ca="1" si="534"/>
        <v>0</v>
      </c>
      <c r="AY331" s="164">
        <f t="shared" ca="1" si="535"/>
        <v>0</v>
      </c>
      <c r="AZ331" s="164">
        <f t="shared" ca="1" si="536"/>
        <v>0</v>
      </c>
      <c r="BA331" s="165" t="str">
        <f t="shared" ca="1" si="537"/>
        <v>nie</v>
      </c>
      <c r="BB331" s="166" t="str">
        <f t="shared" ca="1" si="450"/>
        <v>-</v>
      </c>
      <c r="BC331" s="165" t="str">
        <f t="shared" ca="1" si="552"/>
        <v>nie</v>
      </c>
    </row>
    <row r="332" spans="1:55" s="167" customFormat="1" ht="14.45" hidden="1" customHeight="1" x14ac:dyDescent="0.25">
      <c r="A332" s="493"/>
      <c r="B332" s="493"/>
      <c r="C332" s="494"/>
      <c r="D332" s="506"/>
      <c r="E332" s="497"/>
      <c r="F332" s="497"/>
      <c r="G332" s="497"/>
      <c r="H332" s="498"/>
      <c r="I332" s="499"/>
      <c r="J332" s="177" t="s">
        <v>103</v>
      </c>
      <c r="K332" s="178">
        <f>SUM(N332:O332)</f>
        <v>862572</v>
      </c>
      <c r="L332" s="179"/>
      <c r="M332" s="180"/>
      <c r="N332" s="172">
        <f>SUM(L332:M332)</f>
        <v>0</v>
      </c>
      <c r="O332" s="178">
        <f>SUM(P332:Y332)</f>
        <v>862572</v>
      </c>
      <c r="P332" s="181"/>
      <c r="Q332" s="180">
        <v>862572</v>
      </c>
      <c r="R332" s="182"/>
      <c r="S332" s="183"/>
      <c r="T332" s="180"/>
      <c r="U332" s="180"/>
      <c r="V332" s="180"/>
      <c r="W332" s="180"/>
      <c r="X332" s="180"/>
      <c r="Y332" s="182"/>
      <c r="Z332" s="149" t="str">
        <f t="shared" ca="1" si="551"/>
        <v>nie</v>
      </c>
      <c r="AA332" s="384"/>
      <c r="AB332" s="150" t="str">
        <f t="shared" ca="1" si="449"/>
        <v>-</v>
      </c>
      <c r="AC332" s="151" t="str">
        <f t="shared" ca="1" si="517"/>
        <v>PO ZMIANIE</v>
      </c>
      <c r="AD332" s="152" t="str">
        <f t="shared" ca="1" si="441"/>
        <v>PO ZMIANIE</v>
      </c>
      <c r="AE332" s="153" t="str">
        <f t="shared" ca="1" si="518"/>
        <v>C/USN/III/P4/31</v>
      </c>
      <c r="AF332" s="154" t="str">
        <f t="shared" ca="1" si="519"/>
        <v>Ursynowska ekologia - butelkomaty</v>
      </c>
      <c r="AG332" s="155">
        <f t="shared" ca="1" si="520"/>
        <v>90026</v>
      </c>
      <c r="AH332" s="155" t="str">
        <f t="shared" ca="1" si="521"/>
        <v>6050</v>
      </c>
      <c r="AI332" s="156" t="str">
        <f t="shared" ca="1" si="522"/>
        <v>BO/21/12/0246</v>
      </c>
      <c r="AJ332" s="157" t="str">
        <f t="shared" ca="1" si="523"/>
        <v>WPF/PM</v>
      </c>
      <c r="AK332" s="158" t="str">
        <f t="shared" ca="1" si="442"/>
        <v>C/USN/III/P4/31 90026 6050 BO/21/12/0246</v>
      </c>
      <c r="AL332" s="158" t="str">
        <f t="shared" ca="1" si="443"/>
        <v>C/USN/III/P4/31 90026 6050 WPF/PM</v>
      </c>
      <c r="AM332" s="159" t="str">
        <f t="shared" ca="1" si="444"/>
        <v>C/USN/III/P4/31 90026 6050 BO/21/12/0246 WPF/PM</v>
      </c>
      <c r="AN332" s="160">
        <f t="shared" ca="1" si="524"/>
        <v>862572</v>
      </c>
      <c r="AO332" s="161">
        <f t="shared" ca="1" si="525"/>
        <v>0</v>
      </c>
      <c r="AP332" s="162">
        <f t="shared" ca="1" si="526"/>
        <v>0</v>
      </c>
      <c r="AQ332" s="163">
        <f t="shared" ca="1" si="527"/>
        <v>0</v>
      </c>
      <c r="AR332" s="164">
        <f t="shared" ca="1" si="528"/>
        <v>862572</v>
      </c>
      <c r="AS332" s="164">
        <f t="shared" ca="1" si="529"/>
        <v>0</v>
      </c>
      <c r="AT332" s="164">
        <f t="shared" ca="1" si="530"/>
        <v>0</v>
      </c>
      <c r="AU332" s="164">
        <f t="shared" ca="1" si="531"/>
        <v>0</v>
      </c>
      <c r="AV332" s="164">
        <f t="shared" ca="1" si="532"/>
        <v>0</v>
      </c>
      <c r="AW332" s="164">
        <f t="shared" ca="1" si="533"/>
        <v>0</v>
      </c>
      <c r="AX332" s="164">
        <f t="shared" ca="1" si="534"/>
        <v>0</v>
      </c>
      <c r="AY332" s="164">
        <f t="shared" ca="1" si="535"/>
        <v>0</v>
      </c>
      <c r="AZ332" s="164">
        <f t="shared" ca="1" si="536"/>
        <v>0</v>
      </c>
      <c r="BA332" s="165" t="str">
        <f t="shared" ca="1" si="537"/>
        <v>nie</v>
      </c>
      <c r="BB332" s="166" t="str">
        <f t="shared" ca="1" si="450"/>
        <v>-</v>
      </c>
      <c r="BC332" s="165" t="str">
        <f t="shared" ca="1" si="552"/>
        <v>nie</v>
      </c>
    </row>
    <row r="333" spans="1:55" s="167" customFormat="1" ht="14.45" hidden="1" customHeight="1" thickBot="1" x14ac:dyDescent="0.3">
      <c r="A333" s="500"/>
      <c r="B333" s="500"/>
      <c r="C333" s="501"/>
      <c r="D333" s="513"/>
      <c r="E333" s="503"/>
      <c r="F333" s="503"/>
      <c r="G333" s="503"/>
      <c r="H333" s="504"/>
      <c r="I333" s="499"/>
      <c r="J333" s="197" t="s">
        <v>104</v>
      </c>
      <c r="K333" s="198">
        <f>SUM(N333:O333)</f>
        <v>17428</v>
      </c>
      <c r="L333" s="199">
        <v>17428</v>
      </c>
      <c r="M333" s="200"/>
      <c r="N333" s="371">
        <f>SUM(L333:M333)</f>
        <v>17428</v>
      </c>
      <c r="O333" s="198">
        <f>SUM(P333:Y333)</f>
        <v>0</v>
      </c>
      <c r="P333" s="201"/>
      <c r="Q333" s="200"/>
      <c r="R333" s="202"/>
      <c r="S333" s="203"/>
      <c r="T333" s="200"/>
      <c r="U333" s="200"/>
      <c r="V333" s="200"/>
      <c r="W333" s="200"/>
      <c r="X333" s="200"/>
      <c r="Y333" s="202"/>
      <c r="Z333" s="149" t="str">
        <f t="shared" ca="1" si="551"/>
        <v>nie</v>
      </c>
      <c r="AA333" s="384"/>
      <c r="AB333" s="150" t="str">
        <f t="shared" ca="1" si="449"/>
        <v>-</v>
      </c>
      <c r="AC333" s="151" t="str">
        <f t="shared" ca="1" si="517"/>
        <v>PO ZMIANIE</v>
      </c>
      <c r="AD333" s="152" t="str">
        <f t="shared" ca="1" si="441"/>
        <v>PO ZMIANIE</v>
      </c>
      <c r="AE333" s="153" t="str">
        <f t="shared" ca="1" si="518"/>
        <v>C/USN/III/P4/31</v>
      </c>
      <c r="AF333" s="154" t="str">
        <f t="shared" ca="1" si="519"/>
        <v>Ursynowska ekologia - butelkomaty</v>
      </c>
      <c r="AG333" s="155">
        <f t="shared" ca="1" si="520"/>
        <v>90026</v>
      </c>
      <c r="AH333" s="155" t="str">
        <f t="shared" ca="1" si="521"/>
        <v>6050</v>
      </c>
      <c r="AI333" s="156" t="str">
        <f t="shared" ca="1" si="522"/>
        <v>BO/21/12/0246</v>
      </c>
      <c r="AJ333" s="157" t="str">
        <f t="shared" ca="1" si="523"/>
        <v>WPF/UM</v>
      </c>
      <c r="AK333" s="158" t="str">
        <f t="shared" ca="1" si="442"/>
        <v>C/USN/III/P4/31 90026 6050 BO/21/12/0246</v>
      </c>
      <c r="AL333" s="158" t="str">
        <f t="shared" ca="1" si="443"/>
        <v>C/USN/III/P4/31 90026 6050 WPF/UM</v>
      </c>
      <c r="AM333" s="159" t="str">
        <f t="shared" ca="1" si="444"/>
        <v>C/USN/III/P4/31 90026 6050 BO/21/12/0246 WPF/UM</v>
      </c>
      <c r="AN333" s="160">
        <f t="shared" ca="1" si="524"/>
        <v>17428</v>
      </c>
      <c r="AO333" s="161">
        <f t="shared" ca="1" si="525"/>
        <v>17428</v>
      </c>
      <c r="AP333" s="162">
        <f t="shared" ca="1" si="526"/>
        <v>0</v>
      </c>
      <c r="AQ333" s="163">
        <f t="shared" ca="1" si="527"/>
        <v>0</v>
      </c>
      <c r="AR333" s="164">
        <f t="shared" ca="1" si="528"/>
        <v>0</v>
      </c>
      <c r="AS333" s="164">
        <f t="shared" ca="1" si="529"/>
        <v>0</v>
      </c>
      <c r="AT333" s="164">
        <f t="shared" ca="1" si="530"/>
        <v>0</v>
      </c>
      <c r="AU333" s="164">
        <f t="shared" ca="1" si="531"/>
        <v>0</v>
      </c>
      <c r="AV333" s="164">
        <f t="shared" ca="1" si="532"/>
        <v>0</v>
      </c>
      <c r="AW333" s="164">
        <f t="shared" ca="1" si="533"/>
        <v>0</v>
      </c>
      <c r="AX333" s="164">
        <f t="shared" ca="1" si="534"/>
        <v>0</v>
      </c>
      <c r="AY333" s="164">
        <f t="shared" ca="1" si="535"/>
        <v>0</v>
      </c>
      <c r="AZ333" s="164">
        <f t="shared" ca="1" si="536"/>
        <v>0</v>
      </c>
      <c r="BA333" s="165" t="str">
        <f t="shared" ca="1" si="537"/>
        <v>nie</v>
      </c>
      <c r="BB333" s="166" t="str">
        <f t="shared" ca="1" si="450"/>
        <v>-</v>
      </c>
      <c r="BC333" s="165" t="str">
        <f t="shared" ca="1" si="552"/>
        <v>nie</v>
      </c>
    </row>
    <row r="334" spans="1:55" s="167" customFormat="1" ht="14.45" hidden="1" customHeight="1" x14ac:dyDescent="0.25">
      <c r="A334" s="143" t="s">
        <v>91</v>
      </c>
      <c r="B334" s="144"/>
      <c r="C334" s="145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6"/>
      <c r="S334" s="147"/>
      <c r="T334" s="147"/>
      <c r="U334" s="147"/>
      <c r="V334" s="147"/>
      <c r="W334" s="147"/>
      <c r="X334" s="147"/>
      <c r="Y334" s="148"/>
      <c r="Z334" s="149" t="str">
        <f t="shared" ca="1" si="551"/>
        <v>nie</v>
      </c>
      <c r="AA334" s="366"/>
      <c r="AB334" s="150" t="str">
        <f t="shared" ca="1" si="449"/>
        <v>-</v>
      </c>
      <c r="AC334" s="151" t="str">
        <f t="shared" ca="1" si="517"/>
        <v>PRZED ZMIANĄ</v>
      </c>
      <c r="AD334" s="152" t="str">
        <f t="shared" ca="1" si="441"/>
        <v/>
      </c>
      <c r="AE334" s="153" t="str">
        <f t="shared" ca="1" si="518"/>
        <v/>
      </c>
      <c r="AF334" s="154" t="str">
        <f t="shared" ca="1" si="519"/>
        <v/>
      </c>
      <c r="AG334" s="155" t="str">
        <f t="shared" ca="1" si="520"/>
        <v/>
      </c>
      <c r="AH334" s="155" t="str">
        <f t="shared" ca="1" si="521"/>
        <v/>
      </c>
      <c r="AI334" s="156" t="str">
        <f t="shared" ca="1" si="522"/>
        <v/>
      </c>
      <c r="AJ334" s="157" t="str">
        <f t="shared" ca="1" si="523"/>
        <v/>
      </c>
      <c r="AK334" s="158" t="str">
        <f t="shared" ca="1" si="442"/>
        <v/>
      </c>
      <c r="AL334" s="158" t="str">
        <f t="shared" ca="1" si="443"/>
        <v/>
      </c>
      <c r="AM334" s="159" t="str">
        <f t="shared" ca="1" si="444"/>
        <v/>
      </c>
      <c r="AN334" s="160" t="str">
        <f t="shared" ca="1" si="524"/>
        <v/>
      </c>
      <c r="AO334" s="161" t="str">
        <f t="shared" ca="1" si="525"/>
        <v/>
      </c>
      <c r="AP334" s="162" t="str">
        <f t="shared" ca="1" si="526"/>
        <v/>
      </c>
      <c r="AQ334" s="163" t="str">
        <f t="shared" ca="1" si="527"/>
        <v/>
      </c>
      <c r="AR334" s="164" t="str">
        <f t="shared" ca="1" si="528"/>
        <v/>
      </c>
      <c r="AS334" s="164" t="str">
        <f t="shared" ca="1" si="529"/>
        <v/>
      </c>
      <c r="AT334" s="164" t="str">
        <f t="shared" ca="1" si="530"/>
        <v/>
      </c>
      <c r="AU334" s="164" t="str">
        <f t="shared" ca="1" si="531"/>
        <v/>
      </c>
      <c r="AV334" s="164" t="str">
        <f t="shared" ca="1" si="532"/>
        <v/>
      </c>
      <c r="AW334" s="164" t="str">
        <f t="shared" ca="1" si="533"/>
        <v/>
      </c>
      <c r="AX334" s="164" t="str">
        <f t="shared" ca="1" si="534"/>
        <v/>
      </c>
      <c r="AY334" s="164" t="str">
        <f t="shared" ca="1" si="535"/>
        <v/>
      </c>
      <c r="AZ334" s="164" t="str">
        <f t="shared" ca="1" si="536"/>
        <v/>
      </c>
      <c r="BA334" s="165" t="str">
        <f t="shared" ca="1" si="537"/>
        <v>nie</v>
      </c>
      <c r="BB334" s="166" t="str">
        <f t="shared" ca="1" si="450"/>
        <v>-</v>
      </c>
      <c r="BC334" s="165" t="str">
        <f t="shared" ca="1" si="552"/>
        <v>nie</v>
      </c>
    </row>
    <row r="335" spans="1:55" s="176" customFormat="1" ht="14.45" hidden="1" customHeight="1" x14ac:dyDescent="0.25">
      <c r="A335" s="493" t="s">
        <v>24</v>
      </c>
      <c r="B335" s="538" t="s">
        <v>145</v>
      </c>
      <c r="C335" s="530" t="s">
        <v>146</v>
      </c>
      <c r="D335" s="511" t="s">
        <v>147</v>
      </c>
      <c r="E335" s="497">
        <v>900</v>
      </c>
      <c r="F335" s="497">
        <v>90095</v>
      </c>
      <c r="G335" s="497">
        <v>6050</v>
      </c>
      <c r="H335" s="507">
        <v>2021</v>
      </c>
      <c r="I335" s="499" t="str">
        <f ca="1">IF(COUNTIF(OFFSET(I335,-1,-8),"*propon*")&gt;0,OFFSET(I335,4,0),IF(Y335&gt;0,"2033",IF(X335&gt;0,"2032",IF(W335&gt;0,"2031",IF(V335&gt;0,"2030",IF(U335&gt;0,"2029",IF(T335&gt;0,"2028",IF(S335&gt;0,"2027",IF(R335&gt;0,"2026",IF(Q335&gt;0,"2025",IF(P335&gt;0,"2024",IF(M335&gt;0,"2023",IF(L335&gt;0,"2022","")))))))))))))</f>
        <v>2024</v>
      </c>
      <c r="J335" s="168" t="s">
        <v>94</v>
      </c>
      <c r="K335" s="169">
        <f>SUM(N335:O335)</f>
        <v>594300</v>
      </c>
      <c r="L335" s="170">
        <f t="shared" ref="L335:M335" si="556">SUM(L336:L337)</f>
        <v>402100</v>
      </c>
      <c r="M335" s="171">
        <f t="shared" si="556"/>
        <v>159378</v>
      </c>
      <c r="N335" s="172">
        <f>SUM(L335:M335)</f>
        <v>561478</v>
      </c>
      <c r="O335" s="169">
        <f>SUM(P335:Y335)</f>
        <v>32822</v>
      </c>
      <c r="P335" s="173">
        <f t="shared" ref="P335:R335" si="557">SUM(P336:P337)</f>
        <v>32822</v>
      </c>
      <c r="Q335" s="171">
        <f t="shared" si="557"/>
        <v>0</v>
      </c>
      <c r="R335" s="174">
        <f t="shared" si="557"/>
        <v>0</v>
      </c>
      <c r="S335" s="175">
        <f t="shared" ref="S335:Y335" si="558">SUM(S336:S337)</f>
        <v>0</v>
      </c>
      <c r="T335" s="171">
        <f t="shared" si="558"/>
        <v>0</v>
      </c>
      <c r="U335" s="171">
        <f t="shared" si="558"/>
        <v>0</v>
      </c>
      <c r="V335" s="171">
        <f t="shared" si="558"/>
        <v>0</v>
      </c>
      <c r="W335" s="171">
        <f t="shared" si="558"/>
        <v>0</v>
      </c>
      <c r="X335" s="171">
        <f t="shared" si="558"/>
        <v>0</v>
      </c>
      <c r="Y335" s="174">
        <f t="shared" si="558"/>
        <v>0</v>
      </c>
      <c r="Z335" s="149" t="str">
        <f t="shared" ca="1" si="551"/>
        <v>nie</v>
      </c>
      <c r="AA335" s="366"/>
      <c r="AB335" s="150" t="str">
        <f t="shared" ca="1" si="449"/>
        <v>-</v>
      </c>
      <c r="AC335" s="151" t="str">
        <f t="shared" ca="1" si="517"/>
        <v>PRZED ZMIANĄ</v>
      </c>
      <c r="AD335" s="152" t="str">
        <f t="shared" ca="1" si="441"/>
        <v>PRZED ZMIANĄ</v>
      </c>
      <c r="AE335" s="153" t="str">
        <f t="shared" ca="1" si="518"/>
        <v>C/USN/III/P4/32</v>
      </c>
      <c r="AF335" s="154" t="str">
        <f t="shared" ca="1" si="519"/>
        <v>Zielone skwery na Ursynowie (kontynuacja)</v>
      </c>
      <c r="AG335" s="155">
        <f t="shared" ca="1" si="520"/>
        <v>90095</v>
      </c>
      <c r="AH335" s="155" t="str">
        <f t="shared" ca="1" si="521"/>
        <v>6050</v>
      </c>
      <c r="AI335" s="156" t="str">
        <f t="shared" ca="1" si="522"/>
        <v>BO/21/12/0240</v>
      </c>
      <c r="AJ335" s="157" t="str">
        <f t="shared" ca="1" si="523"/>
        <v>WPF, w tym</v>
      </c>
      <c r="AK335" s="158" t="str">
        <f t="shared" ca="1" si="442"/>
        <v>C/USN/III/P4/32 90095 6050 BO/21/12/0240</v>
      </c>
      <c r="AL335" s="158" t="str">
        <f t="shared" ca="1" si="443"/>
        <v>C/USN/III/P4/32 90095 6050 WPF, w tym</v>
      </c>
      <c r="AM335" s="159" t="str">
        <f t="shared" ca="1" si="444"/>
        <v>C/USN/III/P4/32 90095 6050 BO/21/12/0240 WPF, w tym</v>
      </c>
      <c r="AN335" s="160">
        <f t="shared" ca="1" si="524"/>
        <v>594300</v>
      </c>
      <c r="AO335" s="161">
        <f t="shared" ca="1" si="525"/>
        <v>402100</v>
      </c>
      <c r="AP335" s="162">
        <f t="shared" ca="1" si="526"/>
        <v>159378</v>
      </c>
      <c r="AQ335" s="163">
        <f t="shared" ca="1" si="527"/>
        <v>32822</v>
      </c>
      <c r="AR335" s="164">
        <f t="shared" ca="1" si="528"/>
        <v>0</v>
      </c>
      <c r="AS335" s="164">
        <f t="shared" ca="1" si="529"/>
        <v>0</v>
      </c>
      <c r="AT335" s="164">
        <f t="shared" ca="1" si="530"/>
        <v>0</v>
      </c>
      <c r="AU335" s="164">
        <f t="shared" ca="1" si="531"/>
        <v>0</v>
      </c>
      <c r="AV335" s="164">
        <f t="shared" ca="1" si="532"/>
        <v>0</v>
      </c>
      <c r="AW335" s="164">
        <f t="shared" ca="1" si="533"/>
        <v>0</v>
      </c>
      <c r="AX335" s="164">
        <f t="shared" ca="1" si="534"/>
        <v>0</v>
      </c>
      <c r="AY335" s="164">
        <f t="shared" ca="1" si="535"/>
        <v>0</v>
      </c>
      <c r="AZ335" s="164">
        <f t="shared" ca="1" si="536"/>
        <v>0</v>
      </c>
      <c r="BA335" s="165" t="str">
        <f t="shared" ca="1" si="537"/>
        <v>nie</v>
      </c>
      <c r="BB335" s="166" t="str">
        <f t="shared" ca="1" si="450"/>
        <v>-</v>
      </c>
      <c r="BC335" s="165" t="str">
        <f t="shared" ca="1" si="552"/>
        <v>nie</v>
      </c>
    </row>
    <row r="336" spans="1:55" s="167" customFormat="1" ht="14.45" hidden="1" customHeight="1" x14ac:dyDescent="0.25">
      <c r="A336" s="493"/>
      <c r="B336" s="538"/>
      <c r="C336" s="530"/>
      <c r="D336" s="512"/>
      <c r="E336" s="497"/>
      <c r="F336" s="497"/>
      <c r="G336" s="497"/>
      <c r="H336" s="498"/>
      <c r="I336" s="499"/>
      <c r="J336" s="177" t="s">
        <v>95</v>
      </c>
      <c r="K336" s="178">
        <f>SUM(N336:O336)</f>
        <v>32822</v>
      </c>
      <c r="L336" s="179"/>
      <c r="M336" s="180"/>
      <c r="N336" s="172">
        <f>SUM(L336:M336)</f>
        <v>0</v>
      </c>
      <c r="O336" s="178">
        <f>SUM(P336:Y336)</f>
        <v>32822</v>
      </c>
      <c r="P336" s="181">
        <v>32822</v>
      </c>
      <c r="Q336" s="180"/>
      <c r="R336" s="182"/>
      <c r="S336" s="183"/>
      <c r="T336" s="180"/>
      <c r="U336" s="180"/>
      <c r="V336" s="180"/>
      <c r="W336" s="180"/>
      <c r="X336" s="180"/>
      <c r="Y336" s="182"/>
      <c r="Z336" s="149" t="str">
        <f t="shared" ca="1" si="551"/>
        <v>nie</v>
      </c>
      <c r="AA336" s="366"/>
      <c r="AB336" s="150" t="str">
        <f t="shared" ca="1" si="449"/>
        <v>-</v>
      </c>
      <c r="AC336" s="151" t="str">
        <f t="shared" ca="1" si="517"/>
        <v>PRZED ZMIANĄ</v>
      </c>
      <c r="AD336" s="152" t="str">
        <f t="shared" ca="1" si="441"/>
        <v>PRZED ZMIANĄ</v>
      </c>
      <c r="AE336" s="153" t="str">
        <f t="shared" ca="1" si="518"/>
        <v>C/USN/III/P4/32</v>
      </c>
      <c r="AF336" s="154" t="str">
        <f t="shared" ca="1" si="519"/>
        <v>Zielone skwery na Ursynowie (kontynuacja)</v>
      </c>
      <c r="AG336" s="155">
        <f t="shared" ca="1" si="520"/>
        <v>90095</v>
      </c>
      <c r="AH336" s="155" t="str">
        <f t="shared" ca="1" si="521"/>
        <v>6050</v>
      </c>
      <c r="AI336" s="156" t="str">
        <f t="shared" ca="1" si="522"/>
        <v>BO/21/12/0240</v>
      </c>
      <c r="AJ336" s="157" t="str">
        <f t="shared" ca="1" si="523"/>
        <v>WPF/PM</v>
      </c>
      <c r="AK336" s="158" t="str">
        <f t="shared" ca="1" si="442"/>
        <v>C/USN/III/P4/32 90095 6050 BO/21/12/0240</v>
      </c>
      <c r="AL336" s="158" t="str">
        <f t="shared" ca="1" si="443"/>
        <v>C/USN/III/P4/32 90095 6050 WPF/PM</v>
      </c>
      <c r="AM336" s="159" t="str">
        <f t="shared" ca="1" si="444"/>
        <v>C/USN/III/P4/32 90095 6050 BO/21/12/0240 WPF/PM</v>
      </c>
      <c r="AN336" s="160">
        <f t="shared" ca="1" si="524"/>
        <v>32822</v>
      </c>
      <c r="AO336" s="161">
        <f t="shared" ca="1" si="525"/>
        <v>0</v>
      </c>
      <c r="AP336" s="162">
        <f t="shared" ca="1" si="526"/>
        <v>0</v>
      </c>
      <c r="AQ336" s="163">
        <f t="shared" ca="1" si="527"/>
        <v>32822</v>
      </c>
      <c r="AR336" s="164">
        <f t="shared" ca="1" si="528"/>
        <v>0</v>
      </c>
      <c r="AS336" s="164">
        <f t="shared" ca="1" si="529"/>
        <v>0</v>
      </c>
      <c r="AT336" s="164">
        <f t="shared" ca="1" si="530"/>
        <v>0</v>
      </c>
      <c r="AU336" s="164">
        <f t="shared" ca="1" si="531"/>
        <v>0</v>
      </c>
      <c r="AV336" s="164">
        <f t="shared" ca="1" si="532"/>
        <v>0</v>
      </c>
      <c r="AW336" s="164">
        <f t="shared" ca="1" si="533"/>
        <v>0</v>
      </c>
      <c r="AX336" s="164">
        <f t="shared" ca="1" si="534"/>
        <v>0</v>
      </c>
      <c r="AY336" s="164">
        <f t="shared" ca="1" si="535"/>
        <v>0</v>
      </c>
      <c r="AZ336" s="164">
        <f t="shared" ca="1" si="536"/>
        <v>0</v>
      </c>
      <c r="BA336" s="165" t="str">
        <f t="shared" ca="1" si="537"/>
        <v>nie</v>
      </c>
      <c r="BB336" s="166" t="str">
        <f t="shared" ca="1" si="450"/>
        <v>-</v>
      </c>
      <c r="BC336" s="165" t="str">
        <f t="shared" ca="1" si="552"/>
        <v>nie</v>
      </c>
    </row>
    <row r="337" spans="1:55" s="167" customFormat="1" ht="14.45" hidden="1" customHeight="1" x14ac:dyDescent="0.25">
      <c r="A337" s="493"/>
      <c r="B337" s="538"/>
      <c r="C337" s="530"/>
      <c r="D337" s="512"/>
      <c r="E337" s="497"/>
      <c r="F337" s="497"/>
      <c r="G337" s="497"/>
      <c r="H337" s="498"/>
      <c r="I337" s="499"/>
      <c r="J337" s="177" t="s">
        <v>96</v>
      </c>
      <c r="K337" s="178">
        <f>SUM(N337:O337)</f>
        <v>561478</v>
      </c>
      <c r="L337" s="184">
        <v>402100</v>
      </c>
      <c r="M337" s="180">
        <v>159378</v>
      </c>
      <c r="N337" s="172">
        <f>SUM(L337:M337)</f>
        <v>561478</v>
      </c>
      <c r="O337" s="178">
        <f>SUM(P337:Y337)</f>
        <v>0</v>
      </c>
      <c r="P337" s="181"/>
      <c r="Q337" s="180"/>
      <c r="R337" s="182"/>
      <c r="S337" s="183"/>
      <c r="T337" s="180"/>
      <c r="U337" s="180"/>
      <c r="V337" s="180"/>
      <c r="W337" s="180"/>
      <c r="X337" s="180"/>
      <c r="Y337" s="182"/>
      <c r="Z337" s="149" t="str">
        <f t="shared" ca="1" si="551"/>
        <v>nie</v>
      </c>
      <c r="AA337" s="366"/>
      <c r="AB337" s="150" t="str">
        <f t="shared" ca="1" si="449"/>
        <v>-</v>
      </c>
      <c r="AC337" s="151" t="str">
        <f t="shared" ca="1" si="517"/>
        <v>PRZED ZMIANĄ</v>
      </c>
      <c r="AD337" s="152" t="str">
        <f t="shared" ca="1" si="441"/>
        <v>PRZED ZMIANĄ</v>
      </c>
      <c r="AE337" s="153" t="str">
        <f t="shared" ca="1" si="518"/>
        <v>C/USN/III/P4/32</v>
      </c>
      <c r="AF337" s="154" t="str">
        <f t="shared" ca="1" si="519"/>
        <v>Zielone skwery na Ursynowie (kontynuacja)</v>
      </c>
      <c r="AG337" s="155">
        <f t="shared" ca="1" si="520"/>
        <v>90095</v>
      </c>
      <c r="AH337" s="155" t="str">
        <f t="shared" ca="1" si="521"/>
        <v>6050</v>
      </c>
      <c r="AI337" s="156" t="str">
        <f t="shared" ca="1" si="522"/>
        <v>BO/21/12/0240</v>
      </c>
      <c r="AJ337" s="157" t="str">
        <f t="shared" ca="1" si="523"/>
        <v>WPF/UM</v>
      </c>
      <c r="AK337" s="158" t="str">
        <f t="shared" ca="1" si="442"/>
        <v>C/USN/III/P4/32 90095 6050 BO/21/12/0240</v>
      </c>
      <c r="AL337" s="158" t="str">
        <f t="shared" ca="1" si="443"/>
        <v>C/USN/III/P4/32 90095 6050 WPF/UM</v>
      </c>
      <c r="AM337" s="159" t="str">
        <f t="shared" ca="1" si="444"/>
        <v>C/USN/III/P4/32 90095 6050 BO/21/12/0240 WPF/UM</v>
      </c>
      <c r="AN337" s="160">
        <f t="shared" ca="1" si="524"/>
        <v>561478</v>
      </c>
      <c r="AO337" s="161">
        <f t="shared" ca="1" si="525"/>
        <v>402100</v>
      </c>
      <c r="AP337" s="162">
        <f t="shared" ca="1" si="526"/>
        <v>159378</v>
      </c>
      <c r="AQ337" s="163">
        <f t="shared" ca="1" si="527"/>
        <v>0</v>
      </c>
      <c r="AR337" s="164">
        <f t="shared" ca="1" si="528"/>
        <v>0</v>
      </c>
      <c r="AS337" s="164">
        <f t="shared" ca="1" si="529"/>
        <v>0</v>
      </c>
      <c r="AT337" s="164">
        <f t="shared" ca="1" si="530"/>
        <v>0</v>
      </c>
      <c r="AU337" s="164">
        <f t="shared" ca="1" si="531"/>
        <v>0</v>
      </c>
      <c r="AV337" s="164">
        <f t="shared" ca="1" si="532"/>
        <v>0</v>
      </c>
      <c r="AW337" s="164">
        <f t="shared" ca="1" si="533"/>
        <v>0</v>
      </c>
      <c r="AX337" s="164">
        <f t="shared" ca="1" si="534"/>
        <v>0</v>
      </c>
      <c r="AY337" s="164">
        <f t="shared" ca="1" si="535"/>
        <v>0</v>
      </c>
      <c r="AZ337" s="164">
        <f t="shared" ca="1" si="536"/>
        <v>0</v>
      </c>
      <c r="BA337" s="165" t="str">
        <f t="shared" ca="1" si="537"/>
        <v>nie</v>
      </c>
      <c r="BB337" s="166" t="str">
        <f t="shared" ca="1" si="450"/>
        <v>-</v>
      </c>
      <c r="BC337" s="165" t="str">
        <f t="shared" ca="1" si="552"/>
        <v>nie</v>
      </c>
    </row>
    <row r="338" spans="1:55" s="167" customFormat="1" ht="14.45" hidden="1" customHeight="1" x14ac:dyDescent="0.25">
      <c r="A338" s="185" t="s">
        <v>97</v>
      </c>
      <c r="B338" s="186"/>
      <c r="C338" s="187"/>
      <c r="D338" s="186"/>
      <c r="E338" s="186"/>
      <c r="F338" s="186"/>
      <c r="G338" s="186"/>
      <c r="H338" s="186"/>
      <c r="I338" s="186"/>
      <c r="J338" s="186"/>
      <c r="K338" s="186"/>
      <c r="L338" s="186"/>
      <c r="M338" s="186"/>
      <c r="N338" s="186"/>
      <c r="O338" s="186"/>
      <c r="P338" s="186"/>
      <c r="Q338" s="186"/>
      <c r="R338" s="188"/>
      <c r="S338" s="189"/>
      <c r="T338" s="189"/>
      <c r="U338" s="189"/>
      <c r="V338" s="189"/>
      <c r="W338" s="189"/>
      <c r="X338" s="189"/>
      <c r="Y338" s="190"/>
      <c r="Z338" s="149" t="str">
        <f t="shared" ca="1" si="551"/>
        <v>nie</v>
      </c>
      <c r="AA338" s="366"/>
      <c r="AB338" s="150" t="str">
        <f t="shared" ca="1" si="449"/>
        <v>-</v>
      </c>
      <c r="AC338" s="151" t="str">
        <f t="shared" ca="1" si="517"/>
        <v>PROPONOWANA ZMIANA</v>
      </c>
      <c r="AD338" s="152" t="str">
        <f t="shared" ca="1" si="441"/>
        <v/>
      </c>
      <c r="AE338" s="153" t="str">
        <f t="shared" ca="1" si="518"/>
        <v/>
      </c>
      <c r="AF338" s="154" t="str">
        <f t="shared" ca="1" si="519"/>
        <v/>
      </c>
      <c r="AG338" s="155" t="str">
        <f t="shared" ca="1" si="520"/>
        <v/>
      </c>
      <c r="AH338" s="155" t="str">
        <f t="shared" ca="1" si="521"/>
        <v/>
      </c>
      <c r="AI338" s="156" t="str">
        <f t="shared" ca="1" si="522"/>
        <v/>
      </c>
      <c r="AJ338" s="157" t="str">
        <f t="shared" ca="1" si="523"/>
        <v/>
      </c>
      <c r="AK338" s="158" t="str">
        <f t="shared" ca="1" si="442"/>
        <v/>
      </c>
      <c r="AL338" s="158" t="str">
        <f t="shared" ca="1" si="443"/>
        <v/>
      </c>
      <c r="AM338" s="159" t="str">
        <f t="shared" ca="1" si="444"/>
        <v/>
      </c>
      <c r="AN338" s="160" t="str">
        <f t="shared" ca="1" si="524"/>
        <v/>
      </c>
      <c r="AO338" s="161" t="str">
        <f t="shared" ca="1" si="525"/>
        <v/>
      </c>
      <c r="AP338" s="162" t="str">
        <f t="shared" ca="1" si="526"/>
        <v/>
      </c>
      <c r="AQ338" s="163" t="str">
        <f t="shared" ca="1" si="527"/>
        <v/>
      </c>
      <c r="AR338" s="164" t="str">
        <f t="shared" ca="1" si="528"/>
        <v/>
      </c>
      <c r="AS338" s="164" t="str">
        <f t="shared" ca="1" si="529"/>
        <v/>
      </c>
      <c r="AT338" s="164" t="str">
        <f t="shared" ca="1" si="530"/>
        <v/>
      </c>
      <c r="AU338" s="164" t="str">
        <f t="shared" ca="1" si="531"/>
        <v/>
      </c>
      <c r="AV338" s="164" t="str">
        <f t="shared" ca="1" si="532"/>
        <v/>
      </c>
      <c r="AW338" s="164" t="str">
        <f t="shared" ca="1" si="533"/>
        <v/>
      </c>
      <c r="AX338" s="164" t="str">
        <f t="shared" ca="1" si="534"/>
        <v/>
      </c>
      <c r="AY338" s="164" t="str">
        <f t="shared" ca="1" si="535"/>
        <v/>
      </c>
      <c r="AZ338" s="164" t="str">
        <f t="shared" ca="1" si="536"/>
        <v/>
      </c>
      <c r="BA338" s="165" t="str">
        <f t="shared" ca="1" si="537"/>
        <v>nie</v>
      </c>
      <c r="BB338" s="166" t="str">
        <f t="shared" ca="1" si="450"/>
        <v>-</v>
      </c>
      <c r="BC338" s="165" t="str">
        <f t="shared" ca="1" si="552"/>
        <v>nie</v>
      </c>
    </row>
    <row r="339" spans="1:55" s="176" customFormat="1" ht="14.45" hidden="1" customHeight="1" x14ac:dyDescent="0.25">
      <c r="A339" s="493" t="s">
        <v>24</v>
      </c>
      <c r="B339" s="538" t="s">
        <v>145</v>
      </c>
      <c r="C339" s="530" t="s">
        <v>146</v>
      </c>
      <c r="D339" s="511" t="s">
        <v>147</v>
      </c>
      <c r="E339" s="497">
        <v>900</v>
      </c>
      <c r="F339" s="497">
        <v>90095</v>
      </c>
      <c r="G339" s="497">
        <v>6050</v>
      </c>
      <c r="H339" s="507">
        <v>2021</v>
      </c>
      <c r="I339" s="499" t="str">
        <f ca="1">IF(COUNTIF(OFFSET(I339,-1,-8),"*propon*")&gt;0,OFFSET(I339,4,0),IF(Y339&gt;0,"2033",IF(X339&gt;0,"2032",IF(W339&gt;0,"2031",IF(V339&gt;0,"2030",IF(U339&gt;0,"2029",IF(T339&gt;0,"2028",IF(S339&gt;0,"2027",IF(R339&gt;0,"2026",IF(Q339&gt;0,"2025",IF(P339&gt;0,"2024",IF(M339&gt;0,"2023",IF(L339&gt;0,"2022","")))))))))))))</f>
        <v>2024</v>
      </c>
      <c r="J339" s="168" t="s">
        <v>98</v>
      </c>
      <c r="K339" s="169">
        <f>SUM(N339:O339)</f>
        <v>0</v>
      </c>
      <c r="L339" s="170">
        <f t="shared" ref="L339:M339" si="559">SUM(L340:L341)</f>
        <v>0</v>
      </c>
      <c r="M339" s="171">
        <f t="shared" si="559"/>
        <v>0</v>
      </c>
      <c r="N339" s="172">
        <f>SUM(L339:M339)</f>
        <v>0</v>
      </c>
      <c r="O339" s="169">
        <f>SUM(P339:Y339)</f>
        <v>0</v>
      </c>
      <c r="P339" s="173">
        <f t="shared" ref="P339:R339" si="560">SUM(P340:P341)</f>
        <v>0</v>
      </c>
      <c r="Q339" s="171">
        <f t="shared" si="560"/>
        <v>0</v>
      </c>
      <c r="R339" s="174">
        <f t="shared" si="560"/>
        <v>0</v>
      </c>
      <c r="S339" s="175">
        <f t="shared" ref="S339:Y339" si="561">SUM(S340:S341)</f>
        <v>0</v>
      </c>
      <c r="T339" s="171">
        <f t="shared" si="561"/>
        <v>0</v>
      </c>
      <c r="U339" s="171">
        <f t="shared" si="561"/>
        <v>0</v>
      </c>
      <c r="V339" s="171">
        <f t="shared" si="561"/>
        <v>0</v>
      </c>
      <c r="W339" s="171">
        <f t="shared" si="561"/>
        <v>0</v>
      </c>
      <c r="X339" s="171">
        <f t="shared" si="561"/>
        <v>0</v>
      </c>
      <c r="Y339" s="174">
        <f t="shared" si="561"/>
        <v>0</v>
      </c>
      <c r="Z339" s="149" t="str">
        <f t="shared" ca="1" si="551"/>
        <v>nie</v>
      </c>
      <c r="AA339" s="366"/>
      <c r="AB339" s="150" t="str">
        <f t="shared" ca="1" si="449"/>
        <v>-</v>
      </c>
      <c r="AC339" s="151" t="str">
        <f t="shared" ca="1" si="517"/>
        <v>PROPONOWANA ZMIANA</v>
      </c>
      <c r="AD339" s="152" t="str">
        <f t="shared" ca="1" si="441"/>
        <v>PROPONOWANA ZMIANA</v>
      </c>
      <c r="AE339" s="153" t="str">
        <f t="shared" ca="1" si="518"/>
        <v>C/USN/III/P4/32</v>
      </c>
      <c r="AF339" s="154" t="str">
        <f t="shared" ca="1" si="519"/>
        <v>Zielone skwery na Ursynowie (kontynuacja)</v>
      </c>
      <c r="AG339" s="155">
        <f t="shared" ca="1" si="520"/>
        <v>90095</v>
      </c>
      <c r="AH339" s="155" t="str">
        <f t="shared" ca="1" si="521"/>
        <v>6050</v>
      </c>
      <c r="AI339" s="156" t="str">
        <f t="shared" ca="1" si="522"/>
        <v>BO/21/12/0240</v>
      </c>
      <c r="AJ339" s="157" t="str">
        <f t="shared" ca="1" si="523"/>
        <v>WPF, w tym</v>
      </c>
      <c r="AK339" s="158" t="str">
        <f t="shared" ca="1" si="442"/>
        <v>C/USN/III/P4/32 90095 6050 BO/21/12/0240</v>
      </c>
      <c r="AL339" s="158" t="str">
        <f t="shared" ca="1" si="443"/>
        <v>C/USN/III/P4/32 90095 6050 WPF, w tym</v>
      </c>
      <c r="AM339" s="159" t="str">
        <f t="shared" ca="1" si="444"/>
        <v>C/USN/III/P4/32 90095 6050 BO/21/12/0240 WPF, w tym</v>
      </c>
      <c r="AN339" s="160">
        <f t="shared" ca="1" si="524"/>
        <v>0</v>
      </c>
      <c r="AO339" s="161">
        <f t="shared" ca="1" si="525"/>
        <v>0</v>
      </c>
      <c r="AP339" s="162">
        <f t="shared" ca="1" si="526"/>
        <v>0</v>
      </c>
      <c r="AQ339" s="163">
        <f t="shared" ca="1" si="527"/>
        <v>0</v>
      </c>
      <c r="AR339" s="164">
        <f t="shared" ca="1" si="528"/>
        <v>0</v>
      </c>
      <c r="AS339" s="164">
        <f t="shared" ca="1" si="529"/>
        <v>0</v>
      </c>
      <c r="AT339" s="164">
        <f t="shared" ca="1" si="530"/>
        <v>0</v>
      </c>
      <c r="AU339" s="164">
        <f t="shared" ca="1" si="531"/>
        <v>0</v>
      </c>
      <c r="AV339" s="164">
        <f t="shared" ca="1" si="532"/>
        <v>0</v>
      </c>
      <c r="AW339" s="164">
        <f t="shared" ca="1" si="533"/>
        <v>0</v>
      </c>
      <c r="AX339" s="164">
        <f t="shared" ca="1" si="534"/>
        <v>0</v>
      </c>
      <c r="AY339" s="164">
        <f t="shared" ca="1" si="535"/>
        <v>0</v>
      </c>
      <c r="AZ339" s="164">
        <f t="shared" ca="1" si="536"/>
        <v>0</v>
      </c>
      <c r="BA339" s="165" t="str">
        <f t="shared" ca="1" si="537"/>
        <v>nie</v>
      </c>
      <c r="BB339" s="166" t="str">
        <f t="shared" ca="1" si="450"/>
        <v>-</v>
      </c>
      <c r="BC339" s="165" t="str">
        <f t="shared" ca="1" si="552"/>
        <v>nie</v>
      </c>
    </row>
    <row r="340" spans="1:55" s="167" customFormat="1" ht="14.45" hidden="1" customHeight="1" x14ac:dyDescent="0.25">
      <c r="A340" s="493"/>
      <c r="B340" s="538"/>
      <c r="C340" s="530"/>
      <c r="D340" s="512"/>
      <c r="E340" s="497"/>
      <c r="F340" s="497"/>
      <c r="G340" s="497"/>
      <c r="H340" s="498"/>
      <c r="I340" s="499"/>
      <c r="J340" s="177" t="s">
        <v>99</v>
      </c>
      <c r="K340" s="178">
        <f>SUM(N340:O340)</f>
        <v>0</v>
      </c>
      <c r="L340" s="179">
        <f t="shared" ref="L340:M340" si="562">L344-L336</f>
        <v>0</v>
      </c>
      <c r="M340" s="180">
        <f t="shared" si="562"/>
        <v>0</v>
      </c>
      <c r="N340" s="172">
        <f>SUM(L340:M340)</f>
        <v>0</v>
      </c>
      <c r="O340" s="178">
        <f>SUM(P340:Y340)</f>
        <v>0</v>
      </c>
      <c r="P340" s="181">
        <f t="shared" ref="P340:R340" si="563">P344-P336</f>
        <v>0</v>
      </c>
      <c r="Q340" s="180">
        <f t="shared" si="563"/>
        <v>0</v>
      </c>
      <c r="R340" s="182">
        <f t="shared" si="563"/>
        <v>0</v>
      </c>
      <c r="S340" s="183">
        <f t="shared" ref="S340:Y341" si="564">S344-S336</f>
        <v>0</v>
      </c>
      <c r="T340" s="180">
        <f t="shared" si="564"/>
        <v>0</v>
      </c>
      <c r="U340" s="180">
        <f t="shared" si="564"/>
        <v>0</v>
      </c>
      <c r="V340" s="180">
        <f t="shared" si="564"/>
        <v>0</v>
      </c>
      <c r="W340" s="180">
        <f t="shared" si="564"/>
        <v>0</v>
      </c>
      <c r="X340" s="180">
        <f t="shared" si="564"/>
        <v>0</v>
      </c>
      <c r="Y340" s="182">
        <f t="shared" si="564"/>
        <v>0</v>
      </c>
      <c r="Z340" s="149" t="str">
        <f t="shared" ca="1" si="551"/>
        <v>nie</v>
      </c>
      <c r="AA340" s="366"/>
      <c r="AB340" s="150" t="str">
        <f t="shared" ca="1" si="449"/>
        <v>-</v>
      </c>
      <c r="AC340" s="151" t="str">
        <f t="shared" ca="1" si="517"/>
        <v>PROPONOWANA ZMIANA</v>
      </c>
      <c r="AD340" s="152" t="str">
        <f t="shared" ca="1" si="441"/>
        <v>PROPONOWANA ZMIANA</v>
      </c>
      <c r="AE340" s="153" t="str">
        <f t="shared" ca="1" si="518"/>
        <v>C/USN/III/P4/32</v>
      </c>
      <c r="AF340" s="154" t="str">
        <f t="shared" ca="1" si="519"/>
        <v>Zielone skwery na Ursynowie (kontynuacja)</v>
      </c>
      <c r="AG340" s="155">
        <f t="shared" ca="1" si="520"/>
        <v>90095</v>
      </c>
      <c r="AH340" s="155" t="str">
        <f t="shared" ca="1" si="521"/>
        <v>6050</v>
      </c>
      <c r="AI340" s="156" t="str">
        <f t="shared" ca="1" si="522"/>
        <v>BO/21/12/0240</v>
      </c>
      <c r="AJ340" s="157" t="str">
        <f t="shared" ca="1" si="523"/>
        <v>WPF/PM</v>
      </c>
      <c r="AK340" s="158" t="str">
        <f t="shared" ca="1" si="442"/>
        <v>C/USN/III/P4/32 90095 6050 BO/21/12/0240</v>
      </c>
      <c r="AL340" s="158" t="str">
        <f t="shared" ca="1" si="443"/>
        <v>C/USN/III/P4/32 90095 6050 WPF/PM</v>
      </c>
      <c r="AM340" s="159" t="str">
        <f t="shared" ca="1" si="444"/>
        <v>C/USN/III/P4/32 90095 6050 BO/21/12/0240 WPF/PM</v>
      </c>
      <c r="AN340" s="160">
        <f t="shared" ca="1" si="524"/>
        <v>0</v>
      </c>
      <c r="AO340" s="161">
        <f t="shared" ca="1" si="525"/>
        <v>0</v>
      </c>
      <c r="AP340" s="162">
        <f t="shared" ca="1" si="526"/>
        <v>0</v>
      </c>
      <c r="AQ340" s="163">
        <f t="shared" ca="1" si="527"/>
        <v>0</v>
      </c>
      <c r="AR340" s="164">
        <f t="shared" ca="1" si="528"/>
        <v>0</v>
      </c>
      <c r="AS340" s="164">
        <f t="shared" ca="1" si="529"/>
        <v>0</v>
      </c>
      <c r="AT340" s="164">
        <f t="shared" ca="1" si="530"/>
        <v>0</v>
      </c>
      <c r="AU340" s="164">
        <f t="shared" ca="1" si="531"/>
        <v>0</v>
      </c>
      <c r="AV340" s="164">
        <f t="shared" ca="1" si="532"/>
        <v>0</v>
      </c>
      <c r="AW340" s="164">
        <f t="shared" ca="1" si="533"/>
        <v>0</v>
      </c>
      <c r="AX340" s="164">
        <f t="shared" ca="1" si="534"/>
        <v>0</v>
      </c>
      <c r="AY340" s="164">
        <f t="shared" ca="1" si="535"/>
        <v>0</v>
      </c>
      <c r="AZ340" s="164">
        <f t="shared" ca="1" si="536"/>
        <v>0</v>
      </c>
      <c r="BA340" s="165" t="str">
        <f t="shared" ca="1" si="537"/>
        <v>nie</v>
      </c>
      <c r="BB340" s="166" t="str">
        <f t="shared" ca="1" si="450"/>
        <v>-</v>
      </c>
      <c r="BC340" s="165" t="str">
        <f t="shared" ca="1" si="552"/>
        <v>nie</v>
      </c>
    </row>
    <row r="341" spans="1:55" s="167" customFormat="1" ht="14.45" hidden="1" customHeight="1" x14ac:dyDescent="0.25">
      <c r="A341" s="493"/>
      <c r="B341" s="538"/>
      <c r="C341" s="530"/>
      <c r="D341" s="512"/>
      <c r="E341" s="497"/>
      <c r="F341" s="497"/>
      <c r="G341" s="497"/>
      <c r="H341" s="498"/>
      <c r="I341" s="499"/>
      <c r="J341" s="177" t="s">
        <v>100</v>
      </c>
      <c r="K341" s="178">
        <f>SUM(N341:O341)</f>
        <v>0</v>
      </c>
      <c r="L341" s="179">
        <f t="shared" ref="L341:M341" si="565">L345-L337</f>
        <v>0</v>
      </c>
      <c r="M341" s="180">
        <f t="shared" si="565"/>
        <v>0</v>
      </c>
      <c r="N341" s="172">
        <f>SUM(L341:M341)</f>
        <v>0</v>
      </c>
      <c r="O341" s="178">
        <f>SUM(P341:Y341)</f>
        <v>0</v>
      </c>
      <c r="P341" s="181">
        <f t="shared" ref="P341:R341" si="566">P345-P337</f>
        <v>0</v>
      </c>
      <c r="Q341" s="180">
        <f t="shared" si="566"/>
        <v>0</v>
      </c>
      <c r="R341" s="182">
        <f t="shared" si="566"/>
        <v>0</v>
      </c>
      <c r="S341" s="183">
        <f t="shared" si="564"/>
        <v>0</v>
      </c>
      <c r="T341" s="180">
        <f t="shared" si="564"/>
        <v>0</v>
      </c>
      <c r="U341" s="180">
        <f t="shared" si="564"/>
        <v>0</v>
      </c>
      <c r="V341" s="180">
        <f t="shared" si="564"/>
        <v>0</v>
      </c>
      <c r="W341" s="180">
        <f t="shared" si="564"/>
        <v>0</v>
      </c>
      <c r="X341" s="180">
        <f t="shared" si="564"/>
        <v>0</v>
      </c>
      <c r="Y341" s="182">
        <f t="shared" si="564"/>
        <v>0</v>
      </c>
      <c r="Z341" s="149" t="str">
        <f t="shared" ca="1" si="551"/>
        <v>nie</v>
      </c>
      <c r="AA341" s="366"/>
      <c r="AB341" s="150" t="str">
        <f t="shared" ca="1" si="449"/>
        <v>-</v>
      </c>
      <c r="AC341" s="151" t="str">
        <f t="shared" ca="1" si="517"/>
        <v>PROPONOWANA ZMIANA</v>
      </c>
      <c r="AD341" s="152" t="str">
        <f t="shared" ca="1" si="441"/>
        <v>PROPONOWANA ZMIANA</v>
      </c>
      <c r="AE341" s="153" t="str">
        <f t="shared" ca="1" si="518"/>
        <v>C/USN/III/P4/32</v>
      </c>
      <c r="AF341" s="154" t="str">
        <f t="shared" ca="1" si="519"/>
        <v>Zielone skwery na Ursynowie (kontynuacja)</v>
      </c>
      <c r="AG341" s="155">
        <f t="shared" ca="1" si="520"/>
        <v>90095</v>
      </c>
      <c r="AH341" s="155" t="str">
        <f t="shared" ca="1" si="521"/>
        <v>6050</v>
      </c>
      <c r="AI341" s="156" t="str">
        <f t="shared" ca="1" si="522"/>
        <v>BO/21/12/0240</v>
      </c>
      <c r="AJ341" s="157" t="str">
        <f t="shared" ca="1" si="523"/>
        <v>WPF/UM</v>
      </c>
      <c r="AK341" s="158" t="str">
        <f t="shared" ca="1" si="442"/>
        <v>C/USN/III/P4/32 90095 6050 BO/21/12/0240</v>
      </c>
      <c r="AL341" s="158" t="str">
        <f t="shared" ca="1" si="443"/>
        <v>C/USN/III/P4/32 90095 6050 WPF/UM</v>
      </c>
      <c r="AM341" s="159" t="str">
        <f t="shared" ca="1" si="444"/>
        <v>C/USN/III/P4/32 90095 6050 BO/21/12/0240 WPF/UM</v>
      </c>
      <c r="AN341" s="160">
        <f t="shared" ca="1" si="524"/>
        <v>0</v>
      </c>
      <c r="AO341" s="161">
        <f t="shared" ca="1" si="525"/>
        <v>0</v>
      </c>
      <c r="AP341" s="162">
        <f t="shared" ca="1" si="526"/>
        <v>0</v>
      </c>
      <c r="AQ341" s="163">
        <f t="shared" ca="1" si="527"/>
        <v>0</v>
      </c>
      <c r="AR341" s="164">
        <f t="shared" ca="1" si="528"/>
        <v>0</v>
      </c>
      <c r="AS341" s="164">
        <f t="shared" ca="1" si="529"/>
        <v>0</v>
      </c>
      <c r="AT341" s="164">
        <f t="shared" ca="1" si="530"/>
        <v>0</v>
      </c>
      <c r="AU341" s="164">
        <f t="shared" ca="1" si="531"/>
        <v>0</v>
      </c>
      <c r="AV341" s="164">
        <f t="shared" ca="1" si="532"/>
        <v>0</v>
      </c>
      <c r="AW341" s="164">
        <f t="shared" ca="1" si="533"/>
        <v>0</v>
      </c>
      <c r="AX341" s="164">
        <f t="shared" ca="1" si="534"/>
        <v>0</v>
      </c>
      <c r="AY341" s="164">
        <f t="shared" ca="1" si="535"/>
        <v>0</v>
      </c>
      <c r="AZ341" s="164">
        <f t="shared" ca="1" si="536"/>
        <v>0</v>
      </c>
      <c r="BA341" s="165" t="str">
        <f t="shared" ca="1" si="537"/>
        <v>nie</v>
      </c>
      <c r="BB341" s="166" t="str">
        <f t="shared" ca="1" si="450"/>
        <v>-</v>
      </c>
      <c r="BC341" s="165" t="str">
        <f t="shared" ca="1" si="552"/>
        <v>nie</v>
      </c>
    </row>
    <row r="342" spans="1:55" s="167" customFormat="1" ht="14.45" hidden="1" customHeight="1" x14ac:dyDescent="0.25">
      <c r="A342" s="191" t="s">
        <v>101</v>
      </c>
      <c r="B342" s="192"/>
      <c r="C342" s="193"/>
      <c r="D342" s="192"/>
      <c r="E342" s="192"/>
      <c r="F342" s="192"/>
      <c r="G342" s="192"/>
      <c r="H342" s="192"/>
      <c r="I342" s="192"/>
      <c r="J342" s="192"/>
      <c r="K342" s="192"/>
      <c r="L342" s="192"/>
      <c r="M342" s="192"/>
      <c r="N342" s="192"/>
      <c r="O342" s="192"/>
      <c r="P342" s="192"/>
      <c r="Q342" s="192"/>
      <c r="R342" s="194"/>
      <c r="S342" s="195"/>
      <c r="T342" s="195"/>
      <c r="U342" s="195"/>
      <c r="V342" s="195"/>
      <c r="W342" s="195"/>
      <c r="X342" s="195"/>
      <c r="Y342" s="196"/>
      <c r="Z342" s="149" t="str">
        <f t="shared" ca="1" si="551"/>
        <v>nie</v>
      </c>
      <c r="AA342" s="366"/>
      <c r="AB342" s="150" t="str">
        <f t="shared" ca="1" si="449"/>
        <v>-</v>
      </c>
      <c r="AC342" s="151" t="str">
        <f t="shared" ca="1" si="517"/>
        <v>PO ZMIANIE</v>
      </c>
      <c r="AD342" s="152" t="str">
        <f t="shared" ref="AD342:AD393" ca="1" si="567">IF(AE342="","",AC342)</f>
        <v/>
      </c>
      <c r="AE342" s="153" t="str">
        <f t="shared" ca="1" si="518"/>
        <v/>
      </c>
      <c r="AF342" s="154" t="str">
        <f t="shared" ca="1" si="519"/>
        <v/>
      </c>
      <c r="AG342" s="155" t="str">
        <f t="shared" ca="1" si="520"/>
        <v/>
      </c>
      <c r="AH342" s="155" t="str">
        <f t="shared" ca="1" si="521"/>
        <v/>
      </c>
      <c r="AI342" s="156" t="str">
        <f t="shared" ca="1" si="522"/>
        <v/>
      </c>
      <c r="AJ342" s="157" t="str">
        <f t="shared" ca="1" si="523"/>
        <v/>
      </c>
      <c r="AK342" s="158" t="str">
        <f t="shared" ref="AK342:AK393" ca="1" si="568">IF(AH342="","",AE342&amp;" "&amp;AG342&amp;" "&amp;AH342&amp;" "&amp;AI342)</f>
        <v/>
      </c>
      <c r="AL342" s="158" t="str">
        <f t="shared" ref="AL342:AL393" ca="1" si="569">IF(AH342="","",AE342&amp;" "&amp;AG342&amp;" "&amp;AH342&amp;" "&amp;AJ342)</f>
        <v/>
      </c>
      <c r="AM342" s="159" t="str">
        <f t="shared" ref="AM342:AM393" ca="1" si="570">IF(AH342="","",AE342&amp;" "&amp;AG342&amp;" "&amp;AH342&amp;" "&amp;AI342&amp;" "&amp;AJ342)</f>
        <v/>
      </c>
      <c r="AN342" s="160" t="str">
        <f t="shared" ca="1" si="524"/>
        <v/>
      </c>
      <c r="AO342" s="161" t="str">
        <f t="shared" ca="1" si="525"/>
        <v/>
      </c>
      <c r="AP342" s="162" t="str">
        <f t="shared" ca="1" si="526"/>
        <v/>
      </c>
      <c r="AQ342" s="163" t="str">
        <f t="shared" ca="1" si="527"/>
        <v/>
      </c>
      <c r="AR342" s="164" t="str">
        <f t="shared" ca="1" si="528"/>
        <v/>
      </c>
      <c r="AS342" s="164" t="str">
        <f t="shared" ca="1" si="529"/>
        <v/>
      </c>
      <c r="AT342" s="164" t="str">
        <f t="shared" ca="1" si="530"/>
        <v/>
      </c>
      <c r="AU342" s="164" t="str">
        <f t="shared" ca="1" si="531"/>
        <v/>
      </c>
      <c r="AV342" s="164" t="str">
        <f t="shared" ca="1" si="532"/>
        <v/>
      </c>
      <c r="AW342" s="164" t="str">
        <f t="shared" ca="1" si="533"/>
        <v/>
      </c>
      <c r="AX342" s="164" t="str">
        <f t="shared" ca="1" si="534"/>
        <v/>
      </c>
      <c r="AY342" s="164" t="str">
        <f t="shared" ca="1" si="535"/>
        <v/>
      </c>
      <c r="AZ342" s="164" t="str">
        <f t="shared" ca="1" si="536"/>
        <v/>
      </c>
      <c r="BA342" s="165" t="str">
        <f t="shared" ca="1" si="537"/>
        <v>nie</v>
      </c>
      <c r="BB342" s="166" t="str">
        <f t="shared" ca="1" si="450"/>
        <v>-</v>
      </c>
      <c r="BC342" s="165" t="str">
        <f t="shared" ca="1" si="552"/>
        <v>nie</v>
      </c>
    </row>
    <row r="343" spans="1:55" s="176" customFormat="1" ht="14.45" hidden="1" customHeight="1" x14ac:dyDescent="0.25">
      <c r="A343" s="493" t="s">
        <v>24</v>
      </c>
      <c r="B343" s="538" t="s">
        <v>145</v>
      </c>
      <c r="C343" s="530" t="s">
        <v>146</v>
      </c>
      <c r="D343" s="511" t="s">
        <v>147</v>
      </c>
      <c r="E343" s="497">
        <v>900</v>
      </c>
      <c r="F343" s="497">
        <v>90095</v>
      </c>
      <c r="G343" s="497">
        <v>6050</v>
      </c>
      <c r="H343" s="507">
        <v>2021</v>
      </c>
      <c r="I343" s="499" t="str">
        <f ca="1">IF(COUNTIF(OFFSET(I343,-1,-8),"*propon*")&gt;0,OFFSET(I343,4,0),IF(Y343&gt;0,"2033",IF(X343&gt;0,"2032",IF(W343&gt;0,"2031",IF(V343&gt;0,"2030",IF(U343&gt;0,"2029",IF(T343&gt;0,"2028",IF(S343&gt;0,"2027",IF(R343&gt;0,"2026",IF(Q343&gt;0,"2025",IF(P343&gt;0,"2024",IF(M343&gt;0,"2023",IF(L343&gt;0,"2022","")))))))))))))</f>
        <v>2024</v>
      </c>
      <c r="J343" s="168" t="s">
        <v>102</v>
      </c>
      <c r="K343" s="169">
        <f>SUM(N343:O343)</f>
        <v>594300</v>
      </c>
      <c r="L343" s="170">
        <f t="shared" ref="L343:M343" si="571">SUM(L344:L345)</f>
        <v>402100</v>
      </c>
      <c r="M343" s="171">
        <f t="shared" si="571"/>
        <v>159378</v>
      </c>
      <c r="N343" s="172">
        <f>SUM(L343:M343)</f>
        <v>561478</v>
      </c>
      <c r="O343" s="169">
        <f>SUM(P343:Y343)</f>
        <v>32822</v>
      </c>
      <c r="P343" s="173">
        <f t="shared" ref="P343:R343" si="572">SUM(P344:P345)</f>
        <v>32822</v>
      </c>
      <c r="Q343" s="171">
        <f t="shared" si="572"/>
        <v>0</v>
      </c>
      <c r="R343" s="174">
        <f t="shared" si="572"/>
        <v>0</v>
      </c>
      <c r="S343" s="175">
        <f t="shared" ref="S343:Y343" si="573">SUM(S344:S345)</f>
        <v>0</v>
      </c>
      <c r="T343" s="171">
        <f t="shared" si="573"/>
        <v>0</v>
      </c>
      <c r="U343" s="171">
        <f t="shared" si="573"/>
        <v>0</v>
      </c>
      <c r="V343" s="171">
        <f t="shared" si="573"/>
        <v>0</v>
      </c>
      <c r="W343" s="171">
        <f t="shared" si="573"/>
        <v>0</v>
      </c>
      <c r="X343" s="171">
        <f t="shared" si="573"/>
        <v>0</v>
      </c>
      <c r="Y343" s="174">
        <f t="shared" si="573"/>
        <v>0</v>
      </c>
      <c r="Z343" s="149" t="str">
        <f t="shared" ca="1" si="551"/>
        <v>nie</v>
      </c>
      <c r="AA343" s="366"/>
      <c r="AB343" s="150" t="str">
        <f t="shared" ref="AB343:AB393" ca="1" si="574">IF(IF(OR(COUNTIF(AD343,"*bilans*")&gt;0,COUNTIF(AD343,"*prop*")&gt;0),COUNTIF(AO343:AZ343,"")+COUNTIF(AO343:AZ343,"0"),"")&lt;12,AE343,"-")</f>
        <v>-</v>
      </c>
      <c r="AC343" s="151" t="str">
        <f t="shared" ca="1" si="517"/>
        <v>PO ZMIANIE</v>
      </c>
      <c r="AD343" s="152" t="str">
        <f t="shared" ca="1" si="567"/>
        <v>PO ZMIANIE</v>
      </c>
      <c r="AE343" s="153" t="str">
        <f t="shared" ca="1" si="518"/>
        <v>C/USN/III/P4/32</v>
      </c>
      <c r="AF343" s="154" t="str">
        <f t="shared" ca="1" si="519"/>
        <v>Zielone skwery na Ursynowie (kontynuacja)</v>
      </c>
      <c r="AG343" s="155">
        <f t="shared" ca="1" si="520"/>
        <v>90095</v>
      </c>
      <c r="AH343" s="155" t="str">
        <f t="shared" ca="1" si="521"/>
        <v>6050</v>
      </c>
      <c r="AI343" s="156" t="str">
        <f t="shared" ca="1" si="522"/>
        <v>BO/21/12/0240</v>
      </c>
      <c r="AJ343" s="157" t="str">
        <f t="shared" ca="1" si="523"/>
        <v>WPF, w tym</v>
      </c>
      <c r="AK343" s="158" t="str">
        <f t="shared" ca="1" si="568"/>
        <v>C/USN/III/P4/32 90095 6050 BO/21/12/0240</v>
      </c>
      <c r="AL343" s="158" t="str">
        <f t="shared" ca="1" si="569"/>
        <v>C/USN/III/P4/32 90095 6050 WPF, w tym</v>
      </c>
      <c r="AM343" s="159" t="str">
        <f t="shared" ca="1" si="570"/>
        <v>C/USN/III/P4/32 90095 6050 BO/21/12/0240 WPF, w tym</v>
      </c>
      <c r="AN343" s="160">
        <f t="shared" ca="1" si="524"/>
        <v>594300</v>
      </c>
      <c r="AO343" s="161">
        <f t="shared" ca="1" si="525"/>
        <v>402100</v>
      </c>
      <c r="AP343" s="162">
        <f t="shared" ca="1" si="526"/>
        <v>159378</v>
      </c>
      <c r="AQ343" s="163">
        <f t="shared" ca="1" si="527"/>
        <v>32822</v>
      </c>
      <c r="AR343" s="164">
        <f t="shared" ca="1" si="528"/>
        <v>0</v>
      </c>
      <c r="AS343" s="164">
        <f t="shared" ca="1" si="529"/>
        <v>0</v>
      </c>
      <c r="AT343" s="164">
        <f t="shared" ca="1" si="530"/>
        <v>0</v>
      </c>
      <c r="AU343" s="164">
        <f t="shared" ca="1" si="531"/>
        <v>0</v>
      </c>
      <c r="AV343" s="164">
        <f t="shared" ca="1" si="532"/>
        <v>0</v>
      </c>
      <c r="AW343" s="164">
        <f t="shared" ca="1" si="533"/>
        <v>0</v>
      </c>
      <c r="AX343" s="164">
        <f t="shared" ca="1" si="534"/>
        <v>0</v>
      </c>
      <c r="AY343" s="164">
        <f t="shared" ca="1" si="535"/>
        <v>0</v>
      </c>
      <c r="AZ343" s="164">
        <f t="shared" ca="1" si="536"/>
        <v>0</v>
      </c>
      <c r="BA343" s="165" t="str">
        <f t="shared" ca="1" si="537"/>
        <v>nie</v>
      </c>
      <c r="BB343" s="166" t="str">
        <f t="shared" ref="BB343:BB393" ca="1" si="575">IF(COUNTIF(AD343,"*bilans*")&gt;0,"-",IF(IF(COUNTIF(AD343,"*prop*")&gt;0,COUNTIF(AO343:AZ343,"")+COUNTIF(AO343:AZ343,"0"),"")&lt;12,AK343,"-"))</f>
        <v>-</v>
      </c>
      <c r="BC343" s="165" t="str">
        <f t="shared" ca="1" si="552"/>
        <v>nie</v>
      </c>
    </row>
    <row r="344" spans="1:55" s="167" customFormat="1" ht="14.45" hidden="1" customHeight="1" x14ac:dyDescent="0.25">
      <c r="A344" s="493"/>
      <c r="B344" s="538"/>
      <c r="C344" s="530"/>
      <c r="D344" s="512"/>
      <c r="E344" s="497"/>
      <c r="F344" s="497"/>
      <c r="G344" s="497"/>
      <c r="H344" s="498"/>
      <c r="I344" s="499"/>
      <c r="J344" s="177" t="s">
        <v>103</v>
      </c>
      <c r="K344" s="178">
        <f>SUM(N344:O344)</f>
        <v>32822</v>
      </c>
      <c r="L344" s="179"/>
      <c r="M344" s="180"/>
      <c r="N344" s="172">
        <f>SUM(L344:M344)</f>
        <v>0</v>
      </c>
      <c r="O344" s="178">
        <f>SUM(P344:Y344)</f>
        <v>32822</v>
      </c>
      <c r="P344" s="181">
        <f>115322-82500</f>
        <v>32822</v>
      </c>
      <c r="Q344" s="180"/>
      <c r="R344" s="182"/>
      <c r="S344" s="183"/>
      <c r="T344" s="180"/>
      <c r="U344" s="180"/>
      <c r="V344" s="180"/>
      <c r="W344" s="180"/>
      <c r="X344" s="180"/>
      <c r="Y344" s="182"/>
      <c r="Z344" s="149" t="str">
        <f t="shared" ca="1" si="551"/>
        <v>nie</v>
      </c>
      <c r="AA344" s="384"/>
      <c r="AB344" s="150" t="str">
        <f t="shared" ca="1" si="574"/>
        <v>-</v>
      </c>
      <c r="AC344" s="151" t="str">
        <f t="shared" ca="1" si="517"/>
        <v>PO ZMIANIE</v>
      </c>
      <c r="AD344" s="152" t="str">
        <f t="shared" ca="1" si="567"/>
        <v>PO ZMIANIE</v>
      </c>
      <c r="AE344" s="153" t="str">
        <f t="shared" ca="1" si="518"/>
        <v>C/USN/III/P4/32</v>
      </c>
      <c r="AF344" s="154" t="str">
        <f t="shared" ca="1" si="519"/>
        <v>Zielone skwery na Ursynowie (kontynuacja)</v>
      </c>
      <c r="AG344" s="155">
        <f t="shared" ca="1" si="520"/>
        <v>90095</v>
      </c>
      <c r="AH344" s="155" t="str">
        <f t="shared" ca="1" si="521"/>
        <v>6050</v>
      </c>
      <c r="AI344" s="156" t="str">
        <f t="shared" ca="1" si="522"/>
        <v>BO/21/12/0240</v>
      </c>
      <c r="AJ344" s="157" t="str">
        <f t="shared" ca="1" si="523"/>
        <v>WPF/PM</v>
      </c>
      <c r="AK344" s="158" t="str">
        <f t="shared" ca="1" si="568"/>
        <v>C/USN/III/P4/32 90095 6050 BO/21/12/0240</v>
      </c>
      <c r="AL344" s="158" t="str">
        <f t="shared" ca="1" si="569"/>
        <v>C/USN/III/P4/32 90095 6050 WPF/PM</v>
      </c>
      <c r="AM344" s="159" t="str">
        <f t="shared" ca="1" si="570"/>
        <v>C/USN/III/P4/32 90095 6050 BO/21/12/0240 WPF/PM</v>
      </c>
      <c r="AN344" s="160">
        <f t="shared" ca="1" si="524"/>
        <v>32822</v>
      </c>
      <c r="AO344" s="161">
        <f t="shared" ca="1" si="525"/>
        <v>0</v>
      </c>
      <c r="AP344" s="162">
        <f t="shared" ca="1" si="526"/>
        <v>0</v>
      </c>
      <c r="AQ344" s="163">
        <f t="shared" ca="1" si="527"/>
        <v>32822</v>
      </c>
      <c r="AR344" s="164">
        <f t="shared" ca="1" si="528"/>
        <v>0</v>
      </c>
      <c r="AS344" s="164">
        <f t="shared" ca="1" si="529"/>
        <v>0</v>
      </c>
      <c r="AT344" s="164">
        <f t="shared" ca="1" si="530"/>
        <v>0</v>
      </c>
      <c r="AU344" s="164">
        <f t="shared" ca="1" si="531"/>
        <v>0</v>
      </c>
      <c r="AV344" s="164">
        <f t="shared" ca="1" si="532"/>
        <v>0</v>
      </c>
      <c r="AW344" s="164">
        <f t="shared" ca="1" si="533"/>
        <v>0</v>
      </c>
      <c r="AX344" s="164">
        <f t="shared" ca="1" si="534"/>
        <v>0</v>
      </c>
      <c r="AY344" s="164">
        <f t="shared" ca="1" si="535"/>
        <v>0</v>
      </c>
      <c r="AZ344" s="164">
        <f t="shared" ca="1" si="536"/>
        <v>0</v>
      </c>
      <c r="BA344" s="165" t="str">
        <f t="shared" ca="1" si="537"/>
        <v>nie</v>
      </c>
      <c r="BB344" s="166" t="str">
        <f t="shared" ca="1" si="575"/>
        <v>-</v>
      </c>
      <c r="BC344" s="165" t="str">
        <f t="shared" ca="1" si="552"/>
        <v>nie</v>
      </c>
    </row>
    <row r="345" spans="1:55" s="167" customFormat="1" ht="14.45" hidden="1" customHeight="1" thickBot="1" x14ac:dyDescent="0.3">
      <c r="A345" s="500"/>
      <c r="B345" s="539"/>
      <c r="C345" s="531"/>
      <c r="D345" s="529"/>
      <c r="E345" s="503"/>
      <c r="F345" s="503"/>
      <c r="G345" s="503"/>
      <c r="H345" s="504"/>
      <c r="I345" s="499"/>
      <c r="J345" s="197" t="s">
        <v>104</v>
      </c>
      <c r="K345" s="198">
        <f>SUM(N345:O345)</f>
        <v>561478</v>
      </c>
      <c r="L345" s="199">
        <v>402100</v>
      </c>
      <c r="M345" s="200">
        <v>159378</v>
      </c>
      <c r="N345" s="371">
        <f>SUM(L345:M345)</f>
        <v>561478</v>
      </c>
      <c r="O345" s="198">
        <f>SUM(P345:Y345)</f>
        <v>0</v>
      </c>
      <c r="P345" s="201"/>
      <c r="Q345" s="200"/>
      <c r="R345" s="202"/>
      <c r="S345" s="203"/>
      <c r="T345" s="200"/>
      <c r="U345" s="200"/>
      <c r="V345" s="200"/>
      <c r="W345" s="200"/>
      <c r="X345" s="200"/>
      <c r="Y345" s="202"/>
      <c r="Z345" s="149" t="str">
        <f t="shared" ca="1" si="551"/>
        <v>nie</v>
      </c>
      <c r="AA345" s="384"/>
      <c r="AB345" s="150" t="str">
        <f t="shared" ca="1" si="574"/>
        <v>-</v>
      </c>
      <c r="AC345" s="151" t="str">
        <f t="shared" ca="1" si="517"/>
        <v>PO ZMIANIE</v>
      </c>
      <c r="AD345" s="152" t="str">
        <f t="shared" ca="1" si="567"/>
        <v>PO ZMIANIE</v>
      </c>
      <c r="AE345" s="153" t="str">
        <f t="shared" ca="1" si="518"/>
        <v>C/USN/III/P4/32</v>
      </c>
      <c r="AF345" s="154" t="str">
        <f t="shared" ca="1" si="519"/>
        <v>Zielone skwery na Ursynowie (kontynuacja)</v>
      </c>
      <c r="AG345" s="155">
        <f t="shared" ca="1" si="520"/>
        <v>90095</v>
      </c>
      <c r="AH345" s="155" t="str">
        <f t="shared" ca="1" si="521"/>
        <v>6050</v>
      </c>
      <c r="AI345" s="156" t="str">
        <f t="shared" ca="1" si="522"/>
        <v>BO/21/12/0240</v>
      </c>
      <c r="AJ345" s="157" t="str">
        <f t="shared" ca="1" si="523"/>
        <v>WPF/UM</v>
      </c>
      <c r="AK345" s="158" t="str">
        <f t="shared" ca="1" si="568"/>
        <v>C/USN/III/P4/32 90095 6050 BO/21/12/0240</v>
      </c>
      <c r="AL345" s="158" t="str">
        <f t="shared" ca="1" si="569"/>
        <v>C/USN/III/P4/32 90095 6050 WPF/UM</v>
      </c>
      <c r="AM345" s="159" t="str">
        <f t="shared" ca="1" si="570"/>
        <v>C/USN/III/P4/32 90095 6050 BO/21/12/0240 WPF/UM</v>
      </c>
      <c r="AN345" s="160">
        <f t="shared" ca="1" si="524"/>
        <v>561478</v>
      </c>
      <c r="AO345" s="161">
        <f t="shared" ca="1" si="525"/>
        <v>402100</v>
      </c>
      <c r="AP345" s="162">
        <f t="shared" ca="1" si="526"/>
        <v>159378</v>
      </c>
      <c r="AQ345" s="163">
        <f t="shared" ca="1" si="527"/>
        <v>0</v>
      </c>
      <c r="AR345" s="164">
        <f t="shared" ca="1" si="528"/>
        <v>0</v>
      </c>
      <c r="AS345" s="164">
        <f t="shared" ca="1" si="529"/>
        <v>0</v>
      </c>
      <c r="AT345" s="164">
        <f t="shared" ca="1" si="530"/>
        <v>0</v>
      </c>
      <c r="AU345" s="164">
        <f t="shared" ca="1" si="531"/>
        <v>0</v>
      </c>
      <c r="AV345" s="164">
        <f t="shared" ca="1" si="532"/>
        <v>0</v>
      </c>
      <c r="AW345" s="164">
        <f t="shared" ca="1" si="533"/>
        <v>0</v>
      </c>
      <c r="AX345" s="164">
        <f t="shared" ca="1" si="534"/>
        <v>0</v>
      </c>
      <c r="AY345" s="164">
        <f t="shared" ca="1" si="535"/>
        <v>0</v>
      </c>
      <c r="AZ345" s="164">
        <f t="shared" ca="1" si="536"/>
        <v>0</v>
      </c>
      <c r="BA345" s="165" t="str">
        <f t="shared" ca="1" si="537"/>
        <v>nie</v>
      </c>
      <c r="BB345" s="166" t="str">
        <f t="shared" ca="1" si="575"/>
        <v>-</v>
      </c>
      <c r="BC345" s="165" t="str">
        <f t="shared" ca="1" si="552"/>
        <v>nie</v>
      </c>
    </row>
    <row r="346" spans="1:55" ht="14.45" hidden="1" customHeight="1" x14ac:dyDescent="0.25">
      <c r="A346" s="143" t="s">
        <v>91</v>
      </c>
      <c r="B346" s="144"/>
      <c r="C346" s="145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6"/>
      <c r="S346" s="147"/>
      <c r="T346" s="147"/>
      <c r="U346" s="147"/>
      <c r="V346" s="147"/>
      <c r="W346" s="147"/>
      <c r="X346" s="147"/>
      <c r="Y346" s="148"/>
      <c r="Z346" s="149" t="str">
        <f t="shared" ca="1" si="551"/>
        <v>nie</v>
      </c>
      <c r="AA346" s="366"/>
      <c r="AB346" s="150" t="str">
        <f t="shared" ca="1" si="574"/>
        <v>-</v>
      </c>
      <c r="AC346" s="151" t="str">
        <f t="shared" ca="1" si="517"/>
        <v>PRZED ZMIANĄ</v>
      </c>
      <c r="AD346" s="152" t="str">
        <f t="shared" ca="1" si="567"/>
        <v/>
      </c>
      <c r="AE346" s="153" t="str">
        <f t="shared" ca="1" si="518"/>
        <v/>
      </c>
      <c r="AF346" s="154" t="str">
        <f t="shared" ca="1" si="519"/>
        <v/>
      </c>
      <c r="AG346" s="155" t="str">
        <f t="shared" ca="1" si="520"/>
        <v/>
      </c>
      <c r="AH346" s="155" t="str">
        <f t="shared" ca="1" si="521"/>
        <v/>
      </c>
      <c r="AI346" s="156" t="str">
        <f t="shared" ca="1" si="522"/>
        <v/>
      </c>
      <c r="AJ346" s="157" t="str">
        <f t="shared" ca="1" si="523"/>
        <v/>
      </c>
      <c r="AK346" s="158" t="str">
        <f t="shared" ca="1" si="568"/>
        <v/>
      </c>
      <c r="AL346" s="158" t="str">
        <f t="shared" ca="1" si="569"/>
        <v/>
      </c>
      <c r="AM346" s="159" t="str">
        <f t="shared" ca="1" si="570"/>
        <v/>
      </c>
      <c r="AN346" s="160" t="str">
        <f t="shared" ca="1" si="524"/>
        <v/>
      </c>
      <c r="AO346" s="161" t="str">
        <f t="shared" ca="1" si="525"/>
        <v/>
      </c>
      <c r="AP346" s="162" t="str">
        <f t="shared" ca="1" si="526"/>
        <v/>
      </c>
      <c r="AQ346" s="163" t="str">
        <f t="shared" ca="1" si="527"/>
        <v/>
      </c>
      <c r="AR346" s="164" t="str">
        <f t="shared" ca="1" si="528"/>
        <v/>
      </c>
      <c r="AS346" s="164" t="str">
        <f t="shared" ca="1" si="529"/>
        <v/>
      </c>
      <c r="AT346" s="164" t="str">
        <f t="shared" ca="1" si="530"/>
        <v/>
      </c>
      <c r="AU346" s="164" t="str">
        <f t="shared" ca="1" si="531"/>
        <v/>
      </c>
      <c r="AV346" s="164" t="str">
        <f t="shared" ca="1" si="532"/>
        <v/>
      </c>
      <c r="AW346" s="164" t="str">
        <f t="shared" ca="1" si="533"/>
        <v/>
      </c>
      <c r="AX346" s="164" t="str">
        <f t="shared" ca="1" si="534"/>
        <v/>
      </c>
      <c r="AY346" s="164" t="str">
        <f t="shared" ca="1" si="535"/>
        <v/>
      </c>
      <c r="AZ346" s="164" t="str">
        <f t="shared" ca="1" si="536"/>
        <v/>
      </c>
      <c r="BA346" s="165" t="str">
        <f t="shared" ca="1" si="537"/>
        <v>nie</v>
      </c>
      <c r="BB346" s="166" t="str">
        <f t="shared" ca="1" si="575"/>
        <v>-</v>
      </c>
      <c r="BC346" s="165" t="str">
        <f t="shared" ca="1" si="552"/>
        <v>nie</v>
      </c>
    </row>
    <row r="347" spans="1:55" ht="14.45" hidden="1" customHeight="1" x14ac:dyDescent="0.25">
      <c r="A347" s="493" t="s">
        <v>24</v>
      </c>
      <c r="B347" s="493" t="s">
        <v>26</v>
      </c>
      <c r="C347" s="494" t="s">
        <v>148</v>
      </c>
      <c r="D347" s="505" t="s">
        <v>149</v>
      </c>
      <c r="E347" s="497">
        <v>900</v>
      </c>
      <c r="F347" s="497">
        <v>90001</v>
      </c>
      <c r="G347" s="497">
        <v>6050</v>
      </c>
      <c r="H347" s="507">
        <v>2022</v>
      </c>
      <c r="I347" s="499" t="str">
        <f ca="1">IF(COUNTIF(OFFSET(I347,-1,-8),"*propon*")&gt;0,OFFSET(I347,4,0),IF(Y347&gt;0,"2033",IF(X347&gt;0,"2032",IF(W347&gt;0,"2031",IF(V347&gt;0,"2030",IF(U347&gt;0,"2029",IF(T347&gt;0,"2028",IF(S347&gt;0,"2027",IF(R347&gt;0,"2026",IF(Q347&gt;0,"2025",IF(P347&gt;0,"2024",IF(M347&gt;0,"2023",IF(L347&gt;0,"2022","")))))))))))))</f>
        <v>2025</v>
      </c>
      <c r="J347" s="168" t="s">
        <v>94</v>
      </c>
      <c r="K347" s="169">
        <f>SUM(N347:O347)</f>
        <v>1100000</v>
      </c>
      <c r="L347" s="170">
        <f t="shared" ref="L347:M347" si="576">SUM(L348:L349)</f>
        <v>0</v>
      </c>
      <c r="M347" s="171">
        <f t="shared" si="576"/>
        <v>15626</v>
      </c>
      <c r="N347" s="172">
        <f>SUM(L347:M347)</f>
        <v>15626</v>
      </c>
      <c r="O347" s="169">
        <f>SUM(P347:Y347)</f>
        <v>1084374</v>
      </c>
      <c r="P347" s="173">
        <f t="shared" ref="P347:R347" si="577">SUM(P348:P349)</f>
        <v>1007424</v>
      </c>
      <c r="Q347" s="171">
        <f>SUM(Q348:Q349)</f>
        <v>76950</v>
      </c>
      <c r="R347" s="174">
        <f t="shared" si="577"/>
        <v>0</v>
      </c>
      <c r="S347" s="175">
        <f t="shared" ref="S347:Y347" si="578">SUM(S348:S349)</f>
        <v>0</v>
      </c>
      <c r="T347" s="171">
        <f t="shared" si="578"/>
        <v>0</v>
      </c>
      <c r="U347" s="171">
        <f t="shared" si="578"/>
        <v>0</v>
      </c>
      <c r="V347" s="171">
        <f t="shared" si="578"/>
        <v>0</v>
      </c>
      <c r="W347" s="171">
        <f t="shared" si="578"/>
        <v>0</v>
      </c>
      <c r="X347" s="171">
        <f t="shared" si="578"/>
        <v>0</v>
      </c>
      <c r="Y347" s="174">
        <f t="shared" si="578"/>
        <v>0</v>
      </c>
      <c r="Z347" s="149" t="str">
        <f t="shared" ca="1" si="551"/>
        <v>nie</v>
      </c>
      <c r="AA347" s="366"/>
      <c r="AB347" s="150" t="str">
        <f t="shared" ca="1" si="574"/>
        <v>-</v>
      </c>
      <c r="AC347" s="151" t="str">
        <f t="shared" ca="1" si="517"/>
        <v>PRZED ZMIANĄ</v>
      </c>
      <c r="AD347" s="152" t="str">
        <f t="shared" ca="1" si="567"/>
        <v>PRZED ZMIANĄ</v>
      </c>
      <c r="AE347" s="153" t="str">
        <f t="shared" ca="1" si="518"/>
        <v>C/USN/III/P4/34</v>
      </c>
      <c r="AF347" s="154" t="str">
        <f t="shared" ca="1" si="519"/>
        <v>Modernizacja urządzeń wodnych i zbiorników wodnych</v>
      </c>
      <c r="AG347" s="155">
        <f t="shared" ca="1" si="520"/>
        <v>90001</v>
      </c>
      <c r="AH347" s="155" t="str">
        <f t="shared" ca="1" si="521"/>
        <v>6050</v>
      </c>
      <c r="AI347" s="156" t="str">
        <f t="shared" ca="1" si="522"/>
        <v>GMMW</v>
      </c>
      <c r="AJ347" s="157" t="str">
        <f t="shared" ca="1" si="523"/>
        <v>WPF, w tym</v>
      </c>
      <c r="AK347" s="158" t="str">
        <f t="shared" ca="1" si="568"/>
        <v>C/USN/III/P4/34 90001 6050 GMMW</v>
      </c>
      <c r="AL347" s="158" t="str">
        <f t="shared" ca="1" si="569"/>
        <v>C/USN/III/P4/34 90001 6050 WPF, w tym</v>
      </c>
      <c r="AM347" s="159" t="str">
        <f t="shared" ca="1" si="570"/>
        <v>C/USN/III/P4/34 90001 6050 GMMW WPF, w tym</v>
      </c>
      <c r="AN347" s="160">
        <f t="shared" ca="1" si="524"/>
        <v>1100000</v>
      </c>
      <c r="AO347" s="161">
        <f t="shared" ca="1" si="525"/>
        <v>0</v>
      </c>
      <c r="AP347" s="162">
        <f t="shared" ca="1" si="526"/>
        <v>15626</v>
      </c>
      <c r="AQ347" s="163">
        <f t="shared" ca="1" si="527"/>
        <v>1007424</v>
      </c>
      <c r="AR347" s="164">
        <f t="shared" ca="1" si="528"/>
        <v>76950</v>
      </c>
      <c r="AS347" s="164">
        <f t="shared" ca="1" si="529"/>
        <v>0</v>
      </c>
      <c r="AT347" s="164">
        <f t="shared" ca="1" si="530"/>
        <v>0</v>
      </c>
      <c r="AU347" s="164">
        <f t="shared" ca="1" si="531"/>
        <v>0</v>
      </c>
      <c r="AV347" s="164">
        <f t="shared" ca="1" si="532"/>
        <v>0</v>
      </c>
      <c r="AW347" s="164">
        <f t="shared" ca="1" si="533"/>
        <v>0</v>
      </c>
      <c r="AX347" s="164">
        <f t="shared" ca="1" si="534"/>
        <v>0</v>
      </c>
      <c r="AY347" s="164">
        <f t="shared" ca="1" si="535"/>
        <v>0</v>
      </c>
      <c r="AZ347" s="164">
        <f t="shared" ca="1" si="536"/>
        <v>0</v>
      </c>
      <c r="BA347" s="165" t="str">
        <f t="shared" ca="1" si="537"/>
        <v>nie</v>
      </c>
      <c r="BB347" s="166" t="str">
        <f t="shared" ca="1" si="575"/>
        <v>-</v>
      </c>
      <c r="BC347" s="165" t="str">
        <f t="shared" ca="1" si="552"/>
        <v>nie</v>
      </c>
    </row>
    <row r="348" spans="1:55" ht="14.45" hidden="1" customHeight="1" x14ac:dyDescent="0.25">
      <c r="A348" s="493"/>
      <c r="B348" s="493"/>
      <c r="C348" s="494"/>
      <c r="D348" s="506"/>
      <c r="E348" s="497"/>
      <c r="F348" s="497"/>
      <c r="G348" s="497"/>
      <c r="H348" s="498"/>
      <c r="I348" s="499"/>
      <c r="J348" s="177" t="s">
        <v>95</v>
      </c>
      <c r="K348" s="178">
        <f>SUM(N348:O348)</f>
        <v>1084374</v>
      </c>
      <c r="L348" s="179"/>
      <c r="M348" s="180"/>
      <c r="N348" s="172">
        <f>SUM(L348:M348)</f>
        <v>0</v>
      </c>
      <c r="O348" s="178">
        <f>SUM(P348:Y348)</f>
        <v>1084374</v>
      </c>
      <c r="P348" s="181">
        <v>1007424</v>
      </c>
      <c r="Q348" s="180">
        <v>76950</v>
      </c>
      <c r="R348" s="182"/>
      <c r="S348" s="183"/>
      <c r="T348" s="180"/>
      <c r="U348" s="180"/>
      <c r="V348" s="180"/>
      <c r="W348" s="180"/>
      <c r="X348" s="180"/>
      <c r="Y348" s="182"/>
      <c r="Z348" s="149" t="str">
        <f t="shared" ca="1" si="551"/>
        <v>nie</v>
      </c>
      <c r="AA348" s="366"/>
      <c r="AB348" s="150" t="str">
        <f t="shared" ca="1" si="574"/>
        <v>-</v>
      </c>
      <c r="AC348" s="151" t="str">
        <f t="shared" ca="1" si="517"/>
        <v>PRZED ZMIANĄ</v>
      </c>
      <c r="AD348" s="152" t="str">
        <f t="shared" ca="1" si="567"/>
        <v>PRZED ZMIANĄ</v>
      </c>
      <c r="AE348" s="153" t="str">
        <f t="shared" ca="1" si="518"/>
        <v>C/USN/III/P4/34</v>
      </c>
      <c r="AF348" s="154" t="str">
        <f t="shared" ca="1" si="519"/>
        <v>Modernizacja urządzeń wodnych i zbiorników wodnych</v>
      </c>
      <c r="AG348" s="155">
        <f t="shared" ca="1" si="520"/>
        <v>90001</v>
      </c>
      <c r="AH348" s="155" t="str">
        <f t="shared" ca="1" si="521"/>
        <v>6050</v>
      </c>
      <c r="AI348" s="156" t="str">
        <f t="shared" ca="1" si="522"/>
        <v>GMMW</v>
      </c>
      <c r="AJ348" s="157" t="str">
        <f t="shared" ca="1" si="523"/>
        <v>WPF/PM</v>
      </c>
      <c r="AK348" s="158" t="str">
        <f t="shared" ca="1" si="568"/>
        <v>C/USN/III/P4/34 90001 6050 GMMW</v>
      </c>
      <c r="AL348" s="158" t="str">
        <f t="shared" ca="1" si="569"/>
        <v>C/USN/III/P4/34 90001 6050 WPF/PM</v>
      </c>
      <c r="AM348" s="159" t="str">
        <f t="shared" ca="1" si="570"/>
        <v>C/USN/III/P4/34 90001 6050 GMMW WPF/PM</v>
      </c>
      <c r="AN348" s="160">
        <f t="shared" ca="1" si="524"/>
        <v>1084374</v>
      </c>
      <c r="AO348" s="161">
        <f t="shared" ca="1" si="525"/>
        <v>0</v>
      </c>
      <c r="AP348" s="162">
        <f t="shared" ca="1" si="526"/>
        <v>0</v>
      </c>
      <c r="AQ348" s="163">
        <f t="shared" ca="1" si="527"/>
        <v>1007424</v>
      </c>
      <c r="AR348" s="164">
        <f ca="1">IF(COUNTIF($AE348,"*bilans*")&gt;0,Q348,IF(OR(COUNTIF($A348,"*zmi*")&gt;0,$AI348=""),"",Q348))</f>
        <v>76950</v>
      </c>
      <c r="AS348" s="164">
        <f t="shared" ca="1" si="529"/>
        <v>0</v>
      </c>
      <c r="AT348" s="164">
        <f t="shared" ca="1" si="530"/>
        <v>0</v>
      </c>
      <c r="AU348" s="164">
        <f t="shared" ca="1" si="531"/>
        <v>0</v>
      </c>
      <c r="AV348" s="164">
        <f t="shared" ca="1" si="532"/>
        <v>0</v>
      </c>
      <c r="AW348" s="164">
        <f t="shared" ca="1" si="533"/>
        <v>0</v>
      </c>
      <c r="AX348" s="164">
        <f t="shared" ca="1" si="534"/>
        <v>0</v>
      </c>
      <c r="AY348" s="164">
        <f t="shared" ca="1" si="535"/>
        <v>0</v>
      </c>
      <c r="AZ348" s="164">
        <f t="shared" ca="1" si="536"/>
        <v>0</v>
      </c>
      <c r="BA348" s="165" t="str">
        <f t="shared" ca="1" si="537"/>
        <v>nie</v>
      </c>
      <c r="BB348" s="166" t="str">
        <f t="shared" ca="1" si="575"/>
        <v>-</v>
      </c>
      <c r="BC348" s="165" t="str">
        <f t="shared" ca="1" si="552"/>
        <v>nie</v>
      </c>
    </row>
    <row r="349" spans="1:55" ht="14.45" hidden="1" customHeight="1" x14ac:dyDescent="0.25">
      <c r="A349" s="493"/>
      <c r="B349" s="493"/>
      <c r="C349" s="494"/>
      <c r="D349" s="506"/>
      <c r="E349" s="497"/>
      <c r="F349" s="497"/>
      <c r="G349" s="497"/>
      <c r="H349" s="498"/>
      <c r="I349" s="499"/>
      <c r="J349" s="177" t="s">
        <v>96</v>
      </c>
      <c r="K349" s="178">
        <f>SUM(N349:O349)</f>
        <v>15626</v>
      </c>
      <c r="L349" s="179"/>
      <c r="M349" s="180">
        <v>15626</v>
      </c>
      <c r="N349" s="172">
        <f>SUM(L349:M349)</f>
        <v>15626</v>
      </c>
      <c r="O349" s="178">
        <f>SUM(P349:Y349)</f>
        <v>0</v>
      </c>
      <c r="P349" s="181"/>
      <c r="Q349" s="180"/>
      <c r="R349" s="182"/>
      <c r="S349" s="183"/>
      <c r="T349" s="180"/>
      <c r="U349" s="180"/>
      <c r="V349" s="180"/>
      <c r="W349" s="180"/>
      <c r="X349" s="180"/>
      <c r="Y349" s="182"/>
      <c r="Z349" s="149" t="str">
        <f t="shared" ca="1" si="551"/>
        <v>nie</v>
      </c>
      <c r="AA349" s="366"/>
      <c r="AB349" s="150" t="str">
        <f t="shared" ca="1" si="574"/>
        <v>-</v>
      </c>
      <c r="AC349" s="151" t="str">
        <f t="shared" ca="1" si="517"/>
        <v>PRZED ZMIANĄ</v>
      </c>
      <c r="AD349" s="152" t="str">
        <f t="shared" ca="1" si="567"/>
        <v>PRZED ZMIANĄ</v>
      </c>
      <c r="AE349" s="153" t="str">
        <f t="shared" ca="1" si="518"/>
        <v>C/USN/III/P4/34</v>
      </c>
      <c r="AF349" s="154" t="str">
        <f t="shared" ca="1" si="519"/>
        <v>Modernizacja urządzeń wodnych i zbiorników wodnych</v>
      </c>
      <c r="AG349" s="155">
        <f t="shared" ca="1" si="520"/>
        <v>90001</v>
      </c>
      <c r="AH349" s="155" t="str">
        <f t="shared" ca="1" si="521"/>
        <v>6050</v>
      </c>
      <c r="AI349" s="156" t="str">
        <f t="shared" ca="1" si="522"/>
        <v>GMMW</v>
      </c>
      <c r="AJ349" s="157" t="str">
        <f t="shared" ca="1" si="523"/>
        <v>WPF/UM</v>
      </c>
      <c r="AK349" s="158" t="str">
        <f t="shared" ca="1" si="568"/>
        <v>C/USN/III/P4/34 90001 6050 GMMW</v>
      </c>
      <c r="AL349" s="158" t="str">
        <f t="shared" ca="1" si="569"/>
        <v>C/USN/III/P4/34 90001 6050 WPF/UM</v>
      </c>
      <c r="AM349" s="159" t="str">
        <f t="shared" ca="1" si="570"/>
        <v>C/USN/III/P4/34 90001 6050 GMMW WPF/UM</v>
      </c>
      <c r="AN349" s="160">
        <f t="shared" ca="1" si="524"/>
        <v>15626</v>
      </c>
      <c r="AO349" s="161">
        <f t="shared" ca="1" si="525"/>
        <v>0</v>
      </c>
      <c r="AP349" s="162">
        <f t="shared" ca="1" si="526"/>
        <v>15626</v>
      </c>
      <c r="AQ349" s="163">
        <f t="shared" ca="1" si="527"/>
        <v>0</v>
      </c>
      <c r="AR349" s="164">
        <f t="shared" ca="1" si="528"/>
        <v>0</v>
      </c>
      <c r="AS349" s="164">
        <f t="shared" ca="1" si="529"/>
        <v>0</v>
      </c>
      <c r="AT349" s="164">
        <f t="shared" ca="1" si="530"/>
        <v>0</v>
      </c>
      <c r="AU349" s="164">
        <f t="shared" ca="1" si="531"/>
        <v>0</v>
      </c>
      <c r="AV349" s="164">
        <f t="shared" ca="1" si="532"/>
        <v>0</v>
      </c>
      <c r="AW349" s="164">
        <f t="shared" ca="1" si="533"/>
        <v>0</v>
      </c>
      <c r="AX349" s="164">
        <f t="shared" ca="1" si="534"/>
        <v>0</v>
      </c>
      <c r="AY349" s="164">
        <f t="shared" ca="1" si="535"/>
        <v>0</v>
      </c>
      <c r="AZ349" s="164">
        <f t="shared" ca="1" si="536"/>
        <v>0</v>
      </c>
      <c r="BA349" s="165" t="str">
        <f t="shared" ca="1" si="537"/>
        <v>nie</v>
      </c>
      <c r="BB349" s="166" t="str">
        <f t="shared" ca="1" si="575"/>
        <v>-</v>
      </c>
      <c r="BC349" s="165" t="str">
        <f t="shared" ca="1" si="552"/>
        <v>nie</v>
      </c>
    </row>
    <row r="350" spans="1:55" ht="14.45" hidden="1" customHeight="1" x14ac:dyDescent="0.25">
      <c r="A350" s="185" t="s">
        <v>97</v>
      </c>
      <c r="B350" s="186"/>
      <c r="C350" s="187"/>
      <c r="D350" s="186"/>
      <c r="E350" s="186"/>
      <c r="F350" s="186"/>
      <c r="G350" s="186"/>
      <c r="H350" s="186"/>
      <c r="I350" s="186"/>
      <c r="J350" s="186"/>
      <c r="K350" s="186"/>
      <c r="L350" s="186"/>
      <c r="M350" s="186"/>
      <c r="N350" s="186"/>
      <c r="O350" s="186"/>
      <c r="P350" s="186"/>
      <c r="Q350" s="186"/>
      <c r="R350" s="188"/>
      <c r="S350" s="189"/>
      <c r="T350" s="189"/>
      <c r="U350" s="189"/>
      <c r="V350" s="189"/>
      <c r="W350" s="189"/>
      <c r="X350" s="189"/>
      <c r="Y350" s="190"/>
      <c r="Z350" s="149" t="str">
        <f t="shared" ca="1" si="551"/>
        <v>nie</v>
      </c>
      <c r="AA350" s="366"/>
      <c r="AB350" s="150" t="str">
        <f t="shared" ca="1" si="574"/>
        <v>-</v>
      </c>
      <c r="AC350" s="151" t="str">
        <f t="shared" ca="1" si="517"/>
        <v>PROPONOWANA ZMIANA</v>
      </c>
      <c r="AD350" s="152" t="str">
        <f t="shared" ca="1" si="567"/>
        <v/>
      </c>
      <c r="AE350" s="153" t="str">
        <f t="shared" ca="1" si="518"/>
        <v/>
      </c>
      <c r="AF350" s="154" t="str">
        <f t="shared" ca="1" si="519"/>
        <v/>
      </c>
      <c r="AG350" s="155" t="str">
        <f t="shared" ca="1" si="520"/>
        <v/>
      </c>
      <c r="AH350" s="155" t="str">
        <f t="shared" ca="1" si="521"/>
        <v/>
      </c>
      <c r="AI350" s="156" t="str">
        <f t="shared" ca="1" si="522"/>
        <v/>
      </c>
      <c r="AJ350" s="157" t="str">
        <f t="shared" ca="1" si="523"/>
        <v/>
      </c>
      <c r="AK350" s="158" t="str">
        <f t="shared" ca="1" si="568"/>
        <v/>
      </c>
      <c r="AL350" s="158" t="str">
        <f t="shared" ca="1" si="569"/>
        <v/>
      </c>
      <c r="AM350" s="159" t="str">
        <f t="shared" ca="1" si="570"/>
        <v/>
      </c>
      <c r="AN350" s="160" t="str">
        <f t="shared" ca="1" si="524"/>
        <v/>
      </c>
      <c r="AO350" s="161" t="str">
        <f t="shared" ca="1" si="525"/>
        <v/>
      </c>
      <c r="AP350" s="162" t="str">
        <f t="shared" ca="1" si="526"/>
        <v/>
      </c>
      <c r="AQ350" s="163" t="str">
        <f t="shared" ca="1" si="527"/>
        <v/>
      </c>
      <c r="AR350" s="164" t="str">
        <f t="shared" ca="1" si="528"/>
        <v/>
      </c>
      <c r="AS350" s="164" t="str">
        <f t="shared" ca="1" si="529"/>
        <v/>
      </c>
      <c r="AT350" s="164" t="str">
        <f t="shared" ca="1" si="530"/>
        <v/>
      </c>
      <c r="AU350" s="164" t="str">
        <f t="shared" ca="1" si="531"/>
        <v/>
      </c>
      <c r="AV350" s="164" t="str">
        <f t="shared" ca="1" si="532"/>
        <v/>
      </c>
      <c r="AW350" s="164" t="str">
        <f t="shared" ca="1" si="533"/>
        <v/>
      </c>
      <c r="AX350" s="164" t="str">
        <f t="shared" ca="1" si="534"/>
        <v/>
      </c>
      <c r="AY350" s="164" t="str">
        <f t="shared" ca="1" si="535"/>
        <v/>
      </c>
      <c r="AZ350" s="164" t="str">
        <f t="shared" ca="1" si="536"/>
        <v/>
      </c>
      <c r="BA350" s="165" t="str">
        <f t="shared" ca="1" si="537"/>
        <v>nie</v>
      </c>
      <c r="BB350" s="166" t="str">
        <f t="shared" ca="1" si="575"/>
        <v>-</v>
      </c>
      <c r="BC350" s="165" t="str">
        <f t="shared" ca="1" si="552"/>
        <v>nie</v>
      </c>
    </row>
    <row r="351" spans="1:55" ht="14.45" hidden="1" customHeight="1" x14ac:dyDescent="0.25">
      <c r="A351" s="493" t="s">
        <v>24</v>
      </c>
      <c r="B351" s="493" t="s">
        <v>26</v>
      </c>
      <c r="C351" s="494" t="s">
        <v>148</v>
      </c>
      <c r="D351" s="505" t="s">
        <v>149</v>
      </c>
      <c r="E351" s="497">
        <v>900</v>
      </c>
      <c r="F351" s="497">
        <v>90001</v>
      </c>
      <c r="G351" s="497">
        <v>6050</v>
      </c>
      <c r="H351" s="507">
        <v>2022</v>
      </c>
      <c r="I351" s="499" t="str">
        <f ca="1">IF(COUNTIF(OFFSET(I351,-1,-8),"*propon*")&gt;0,OFFSET(I351,4,0),IF(Y351&gt;0,"2033",IF(X351&gt;0,"2032",IF(W351&gt;0,"2031",IF(V351&gt;0,"2030",IF(U351&gt;0,"2029",IF(T351&gt;0,"2028",IF(S351&gt;0,"2027",IF(R351&gt;0,"2026",IF(Q351&gt;0,"2025",IF(P351&gt;0,"2024",IF(M351&gt;0,"2023",IF(L351&gt;0,"2022","")))))))))))))</f>
        <v>2025</v>
      </c>
      <c r="J351" s="168" t="s">
        <v>98</v>
      </c>
      <c r="K351" s="169">
        <f>SUM(N351:O351)</f>
        <v>0</v>
      </c>
      <c r="L351" s="170">
        <f t="shared" ref="L351:M351" si="579">SUM(L352:L353)</f>
        <v>0</v>
      </c>
      <c r="M351" s="171">
        <f t="shared" si="579"/>
        <v>0</v>
      </c>
      <c r="N351" s="172">
        <f>SUM(L351:M351)</f>
        <v>0</v>
      </c>
      <c r="O351" s="169">
        <f>SUM(P351:Y351)</f>
        <v>0</v>
      </c>
      <c r="P351" s="173">
        <f t="shared" ref="P351:R351" si="580">SUM(P352:P353)</f>
        <v>0</v>
      </c>
      <c r="Q351" s="171">
        <f t="shared" si="580"/>
        <v>0</v>
      </c>
      <c r="R351" s="174">
        <f t="shared" si="580"/>
        <v>0</v>
      </c>
      <c r="S351" s="175">
        <f t="shared" ref="S351:Y351" si="581">SUM(S352:S353)</f>
        <v>0</v>
      </c>
      <c r="T351" s="171">
        <f t="shared" si="581"/>
        <v>0</v>
      </c>
      <c r="U351" s="171">
        <f t="shared" si="581"/>
        <v>0</v>
      </c>
      <c r="V351" s="171">
        <f t="shared" si="581"/>
        <v>0</v>
      </c>
      <c r="W351" s="171">
        <f t="shared" si="581"/>
        <v>0</v>
      </c>
      <c r="X351" s="171">
        <f t="shared" si="581"/>
        <v>0</v>
      </c>
      <c r="Y351" s="174">
        <f t="shared" si="581"/>
        <v>0</v>
      </c>
      <c r="Z351" s="149" t="str">
        <f t="shared" ca="1" si="551"/>
        <v>nie</v>
      </c>
      <c r="AA351" s="366"/>
      <c r="AB351" s="150" t="str">
        <f t="shared" ca="1" si="574"/>
        <v>-</v>
      </c>
      <c r="AC351" s="151" t="str">
        <f t="shared" ca="1" si="517"/>
        <v>PROPONOWANA ZMIANA</v>
      </c>
      <c r="AD351" s="152" t="str">
        <f t="shared" ca="1" si="567"/>
        <v>PROPONOWANA ZMIANA</v>
      </c>
      <c r="AE351" s="153" t="str">
        <f t="shared" ca="1" si="518"/>
        <v>C/USN/III/P4/34</v>
      </c>
      <c r="AF351" s="154" t="str">
        <f t="shared" ca="1" si="519"/>
        <v>Modernizacja urządzeń wodnych i zbiorników wodnych</v>
      </c>
      <c r="AG351" s="155">
        <f t="shared" ca="1" si="520"/>
        <v>90001</v>
      </c>
      <c r="AH351" s="155" t="str">
        <f t="shared" ca="1" si="521"/>
        <v>6050</v>
      </c>
      <c r="AI351" s="156" t="str">
        <f t="shared" ca="1" si="522"/>
        <v>GMMW</v>
      </c>
      <c r="AJ351" s="157" t="str">
        <f t="shared" ca="1" si="523"/>
        <v>WPF, w tym</v>
      </c>
      <c r="AK351" s="158" t="str">
        <f t="shared" ca="1" si="568"/>
        <v>C/USN/III/P4/34 90001 6050 GMMW</v>
      </c>
      <c r="AL351" s="158" t="str">
        <f t="shared" ca="1" si="569"/>
        <v>C/USN/III/P4/34 90001 6050 WPF, w tym</v>
      </c>
      <c r="AM351" s="159" t="str">
        <f t="shared" ca="1" si="570"/>
        <v>C/USN/III/P4/34 90001 6050 GMMW WPF, w tym</v>
      </c>
      <c r="AN351" s="160">
        <f t="shared" ca="1" si="524"/>
        <v>0</v>
      </c>
      <c r="AO351" s="161">
        <f t="shared" ca="1" si="525"/>
        <v>0</v>
      </c>
      <c r="AP351" s="162">
        <f t="shared" ca="1" si="526"/>
        <v>0</v>
      </c>
      <c r="AQ351" s="163">
        <f t="shared" ca="1" si="527"/>
        <v>0</v>
      </c>
      <c r="AR351" s="164">
        <f t="shared" ca="1" si="528"/>
        <v>0</v>
      </c>
      <c r="AS351" s="164">
        <f t="shared" ca="1" si="529"/>
        <v>0</v>
      </c>
      <c r="AT351" s="164">
        <f t="shared" ca="1" si="530"/>
        <v>0</v>
      </c>
      <c r="AU351" s="164">
        <f t="shared" ca="1" si="531"/>
        <v>0</v>
      </c>
      <c r="AV351" s="164">
        <f t="shared" ca="1" si="532"/>
        <v>0</v>
      </c>
      <c r="AW351" s="164">
        <f t="shared" ca="1" si="533"/>
        <v>0</v>
      </c>
      <c r="AX351" s="164">
        <f t="shared" ca="1" si="534"/>
        <v>0</v>
      </c>
      <c r="AY351" s="164">
        <f t="shared" ca="1" si="535"/>
        <v>0</v>
      </c>
      <c r="AZ351" s="164">
        <f t="shared" ca="1" si="536"/>
        <v>0</v>
      </c>
      <c r="BA351" s="165" t="str">
        <f t="shared" ca="1" si="537"/>
        <v>nie</v>
      </c>
      <c r="BB351" s="166" t="str">
        <f t="shared" ca="1" si="575"/>
        <v>-</v>
      </c>
      <c r="BC351" s="165" t="str">
        <f t="shared" ca="1" si="552"/>
        <v>nie</v>
      </c>
    </row>
    <row r="352" spans="1:55" ht="14.45" hidden="1" customHeight="1" x14ac:dyDescent="0.25">
      <c r="A352" s="493"/>
      <c r="B352" s="493"/>
      <c r="C352" s="494"/>
      <c r="D352" s="506"/>
      <c r="E352" s="497"/>
      <c r="F352" s="497"/>
      <c r="G352" s="497"/>
      <c r="H352" s="498"/>
      <c r="I352" s="499"/>
      <c r="J352" s="177" t="s">
        <v>99</v>
      </c>
      <c r="K352" s="178">
        <f>SUM(N352:O352)</f>
        <v>0</v>
      </c>
      <c r="L352" s="179">
        <f t="shared" ref="L352:M352" si="582">L356-L348</f>
        <v>0</v>
      </c>
      <c r="M352" s="180">
        <f t="shared" si="582"/>
        <v>0</v>
      </c>
      <c r="N352" s="172">
        <f>SUM(L352:M352)</f>
        <v>0</v>
      </c>
      <c r="O352" s="178">
        <f>SUM(P352:Y352)</f>
        <v>0</v>
      </c>
      <c r="P352" s="181">
        <f t="shared" ref="P352:R352" si="583">P356-P348</f>
        <v>0</v>
      </c>
      <c r="Q352" s="180">
        <f>Q356-Q348</f>
        <v>0</v>
      </c>
      <c r="R352" s="182">
        <f t="shared" si="583"/>
        <v>0</v>
      </c>
      <c r="S352" s="183">
        <f t="shared" ref="S352:Y353" si="584">S356-S348</f>
        <v>0</v>
      </c>
      <c r="T352" s="180">
        <f t="shared" si="584"/>
        <v>0</v>
      </c>
      <c r="U352" s="180">
        <f t="shared" si="584"/>
        <v>0</v>
      </c>
      <c r="V352" s="180">
        <f t="shared" si="584"/>
        <v>0</v>
      </c>
      <c r="W352" s="180">
        <f t="shared" si="584"/>
        <v>0</v>
      </c>
      <c r="X352" s="180">
        <f t="shared" si="584"/>
        <v>0</v>
      </c>
      <c r="Y352" s="182">
        <f t="shared" si="584"/>
        <v>0</v>
      </c>
      <c r="Z352" s="149" t="str">
        <f t="shared" ca="1" si="551"/>
        <v>nie</v>
      </c>
      <c r="AA352" s="366"/>
      <c r="AB352" s="150" t="str">
        <f t="shared" ca="1" si="574"/>
        <v>-</v>
      </c>
      <c r="AC352" s="151" t="str">
        <f t="shared" ca="1" si="517"/>
        <v>PROPONOWANA ZMIANA</v>
      </c>
      <c r="AD352" s="152" t="str">
        <f t="shared" ca="1" si="567"/>
        <v>PROPONOWANA ZMIANA</v>
      </c>
      <c r="AE352" s="153" t="str">
        <f t="shared" ca="1" si="518"/>
        <v>C/USN/III/P4/34</v>
      </c>
      <c r="AF352" s="154" t="str">
        <f t="shared" ca="1" si="519"/>
        <v>Modernizacja urządzeń wodnych i zbiorników wodnych</v>
      </c>
      <c r="AG352" s="155">
        <f t="shared" ca="1" si="520"/>
        <v>90001</v>
      </c>
      <c r="AH352" s="155" t="str">
        <f t="shared" ca="1" si="521"/>
        <v>6050</v>
      </c>
      <c r="AI352" s="156" t="str">
        <f t="shared" ca="1" si="522"/>
        <v>GMMW</v>
      </c>
      <c r="AJ352" s="157" t="str">
        <f t="shared" ca="1" si="523"/>
        <v>WPF/PM</v>
      </c>
      <c r="AK352" s="158" t="str">
        <f t="shared" ca="1" si="568"/>
        <v>C/USN/III/P4/34 90001 6050 GMMW</v>
      </c>
      <c r="AL352" s="158" t="str">
        <f t="shared" ca="1" si="569"/>
        <v>C/USN/III/P4/34 90001 6050 WPF/PM</v>
      </c>
      <c r="AM352" s="159" t="str">
        <f t="shared" ca="1" si="570"/>
        <v>C/USN/III/P4/34 90001 6050 GMMW WPF/PM</v>
      </c>
      <c r="AN352" s="160">
        <f t="shared" ca="1" si="524"/>
        <v>0</v>
      </c>
      <c r="AO352" s="161">
        <f t="shared" ca="1" si="525"/>
        <v>0</v>
      </c>
      <c r="AP352" s="162">
        <f t="shared" ca="1" si="526"/>
        <v>0</v>
      </c>
      <c r="AQ352" s="163">
        <f t="shared" ca="1" si="527"/>
        <v>0</v>
      </c>
      <c r="AR352" s="164">
        <f t="shared" ca="1" si="528"/>
        <v>0</v>
      </c>
      <c r="AS352" s="164">
        <f t="shared" ca="1" si="529"/>
        <v>0</v>
      </c>
      <c r="AT352" s="164">
        <f t="shared" ca="1" si="530"/>
        <v>0</v>
      </c>
      <c r="AU352" s="164">
        <f t="shared" ca="1" si="531"/>
        <v>0</v>
      </c>
      <c r="AV352" s="164">
        <f t="shared" ca="1" si="532"/>
        <v>0</v>
      </c>
      <c r="AW352" s="164">
        <f t="shared" ca="1" si="533"/>
        <v>0</v>
      </c>
      <c r="AX352" s="164">
        <f t="shared" ca="1" si="534"/>
        <v>0</v>
      </c>
      <c r="AY352" s="164">
        <f t="shared" ca="1" si="535"/>
        <v>0</v>
      </c>
      <c r="AZ352" s="164">
        <f t="shared" ca="1" si="536"/>
        <v>0</v>
      </c>
      <c r="BA352" s="165" t="str">
        <f t="shared" ca="1" si="537"/>
        <v>nie</v>
      </c>
      <c r="BB352" s="166" t="str">
        <f t="shared" ca="1" si="575"/>
        <v>-</v>
      </c>
      <c r="BC352" s="165" t="str">
        <f t="shared" ca="1" si="552"/>
        <v>nie</v>
      </c>
    </row>
    <row r="353" spans="1:55" ht="14.45" hidden="1" customHeight="1" x14ac:dyDescent="0.25">
      <c r="A353" s="493"/>
      <c r="B353" s="493"/>
      <c r="C353" s="494"/>
      <c r="D353" s="506"/>
      <c r="E353" s="497"/>
      <c r="F353" s="497"/>
      <c r="G353" s="497"/>
      <c r="H353" s="498"/>
      <c r="I353" s="499"/>
      <c r="J353" s="177" t="s">
        <v>100</v>
      </c>
      <c r="K353" s="178">
        <f>SUM(N353:O353)</f>
        <v>0</v>
      </c>
      <c r="L353" s="179">
        <f t="shared" ref="L353:M353" si="585">L357-L349</f>
        <v>0</v>
      </c>
      <c r="M353" s="180">
        <f t="shared" si="585"/>
        <v>0</v>
      </c>
      <c r="N353" s="172">
        <f>SUM(L353:M353)</f>
        <v>0</v>
      </c>
      <c r="O353" s="178">
        <f>SUM(P353:Y353)</f>
        <v>0</v>
      </c>
      <c r="P353" s="181">
        <f t="shared" ref="P353:R353" si="586">P357-P349</f>
        <v>0</v>
      </c>
      <c r="Q353" s="180">
        <f t="shared" si="586"/>
        <v>0</v>
      </c>
      <c r="R353" s="182">
        <f t="shared" si="586"/>
        <v>0</v>
      </c>
      <c r="S353" s="183">
        <f t="shared" si="584"/>
        <v>0</v>
      </c>
      <c r="T353" s="180">
        <f t="shared" si="584"/>
        <v>0</v>
      </c>
      <c r="U353" s="180">
        <f t="shared" si="584"/>
        <v>0</v>
      </c>
      <c r="V353" s="180">
        <f t="shared" si="584"/>
        <v>0</v>
      </c>
      <c r="W353" s="180">
        <f t="shared" si="584"/>
        <v>0</v>
      </c>
      <c r="X353" s="180">
        <f t="shared" si="584"/>
        <v>0</v>
      </c>
      <c r="Y353" s="182">
        <f t="shared" si="584"/>
        <v>0</v>
      </c>
      <c r="Z353" s="149" t="str">
        <f t="shared" ca="1" si="551"/>
        <v>nie</v>
      </c>
      <c r="AA353" s="366"/>
      <c r="AB353" s="150" t="str">
        <f t="shared" ca="1" si="574"/>
        <v>-</v>
      </c>
      <c r="AC353" s="151" t="str">
        <f t="shared" ca="1" si="517"/>
        <v>PROPONOWANA ZMIANA</v>
      </c>
      <c r="AD353" s="152" t="str">
        <f t="shared" ca="1" si="567"/>
        <v>PROPONOWANA ZMIANA</v>
      </c>
      <c r="AE353" s="153" t="str">
        <f t="shared" ca="1" si="518"/>
        <v>C/USN/III/P4/34</v>
      </c>
      <c r="AF353" s="154" t="str">
        <f t="shared" ca="1" si="519"/>
        <v>Modernizacja urządzeń wodnych i zbiorników wodnych</v>
      </c>
      <c r="AG353" s="155">
        <f t="shared" ca="1" si="520"/>
        <v>90001</v>
      </c>
      <c r="AH353" s="155" t="str">
        <f t="shared" ca="1" si="521"/>
        <v>6050</v>
      </c>
      <c r="AI353" s="156" t="str">
        <f t="shared" ca="1" si="522"/>
        <v>GMMW</v>
      </c>
      <c r="AJ353" s="157" t="str">
        <f t="shared" ca="1" si="523"/>
        <v>WPF/UM</v>
      </c>
      <c r="AK353" s="158" t="str">
        <f t="shared" ca="1" si="568"/>
        <v>C/USN/III/P4/34 90001 6050 GMMW</v>
      </c>
      <c r="AL353" s="158" t="str">
        <f t="shared" ca="1" si="569"/>
        <v>C/USN/III/P4/34 90001 6050 WPF/UM</v>
      </c>
      <c r="AM353" s="159" t="str">
        <f t="shared" ca="1" si="570"/>
        <v>C/USN/III/P4/34 90001 6050 GMMW WPF/UM</v>
      </c>
      <c r="AN353" s="160">
        <f t="shared" ca="1" si="524"/>
        <v>0</v>
      </c>
      <c r="AO353" s="161">
        <f t="shared" ca="1" si="525"/>
        <v>0</v>
      </c>
      <c r="AP353" s="162">
        <f t="shared" ca="1" si="526"/>
        <v>0</v>
      </c>
      <c r="AQ353" s="163">
        <f t="shared" ca="1" si="527"/>
        <v>0</v>
      </c>
      <c r="AR353" s="164">
        <f t="shared" ca="1" si="528"/>
        <v>0</v>
      </c>
      <c r="AS353" s="164">
        <f t="shared" ca="1" si="529"/>
        <v>0</v>
      </c>
      <c r="AT353" s="164">
        <f t="shared" ca="1" si="530"/>
        <v>0</v>
      </c>
      <c r="AU353" s="164">
        <f t="shared" ca="1" si="531"/>
        <v>0</v>
      </c>
      <c r="AV353" s="164">
        <f t="shared" ca="1" si="532"/>
        <v>0</v>
      </c>
      <c r="AW353" s="164">
        <f t="shared" ca="1" si="533"/>
        <v>0</v>
      </c>
      <c r="AX353" s="164">
        <f t="shared" ca="1" si="534"/>
        <v>0</v>
      </c>
      <c r="AY353" s="164">
        <f t="shared" ca="1" si="535"/>
        <v>0</v>
      </c>
      <c r="AZ353" s="164">
        <f t="shared" ca="1" si="536"/>
        <v>0</v>
      </c>
      <c r="BA353" s="165" t="str">
        <f t="shared" ca="1" si="537"/>
        <v>nie</v>
      </c>
      <c r="BB353" s="166" t="str">
        <f t="shared" ca="1" si="575"/>
        <v>-</v>
      </c>
      <c r="BC353" s="165" t="str">
        <f t="shared" ca="1" si="552"/>
        <v>nie</v>
      </c>
    </row>
    <row r="354" spans="1:55" ht="14.45" hidden="1" customHeight="1" x14ac:dyDescent="0.25">
      <c r="A354" s="191" t="s">
        <v>101</v>
      </c>
      <c r="B354" s="192"/>
      <c r="C354" s="193"/>
      <c r="D354" s="192"/>
      <c r="E354" s="192"/>
      <c r="F354" s="192"/>
      <c r="G354" s="192"/>
      <c r="H354" s="192"/>
      <c r="I354" s="192"/>
      <c r="J354" s="192"/>
      <c r="K354" s="192"/>
      <c r="L354" s="192"/>
      <c r="M354" s="192"/>
      <c r="N354" s="192"/>
      <c r="O354" s="192"/>
      <c r="P354" s="192"/>
      <c r="Q354" s="192"/>
      <c r="R354" s="194"/>
      <c r="S354" s="195"/>
      <c r="T354" s="195"/>
      <c r="U354" s="195"/>
      <c r="V354" s="195"/>
      <c r="W354" s="195"/>
      <c r="X354" s="195"/>
      <c r="Y354" s="196"/>
      <c r="Z354" s="149" t="str">
        <f t="shared" ca="1" si="551"/>
        <v>nie</v>
      </c>
      <c r="AA354" s="366"/>
      <c r="AB354" s="150" t="str">
        <f t="shared" ca="1" si="574"/>
        <v>-</v>
      </c>
      <c r="AC354" s="151" t="str">
        <f t="shared" ca="1" si="517"/>
        <v>PO ZMIANIE</v>
      </c>
      <c r="AD354" s="152" t="str">
        <f t="shared" ca="1" si="567"/>
        <v/>
      </c>
      <c r="AE354" s="153" t="str">
        <f t="shared" ca="1" si="518"/>
        <v/>
      </c>
      <c r="AF354" s="154" t="str">
        <f t="shared" ca="1" si="519"/>
        <v/>
      </c>
      <c r="AG354" s="155" t="str">
        <f t="shared" ca="1" si="520"/>
        <v/>
      </c>
      <c r="AH354" s="155" t="str">
        <f t="shared" ca="1" si="521"/>
        <v/>
      </c>
      <c r="AI354" s="156" t="str">
        <f t="shared" ca="1" si="522"/>
        <v/>
      </c>
      <c r="AJ354" s="157" t="str">
        <f t="shared" ca="1" si="523"/>
        <v/>
      </c>
      <c r="AK354" s="158" t="str">
        <f t="shared" ca="1" si="568"/>
        <v/>
      </c>
      <c r="AL354" s="158" t="str">
        <f t="shared" ca="1" si="569"/>
        <v/>
      </c>
      <c r="AM354" s="159" t="str">
        <f t="shared" ca="1" si="570"/>
        <v/>
      </c>
      <c r="AN354" s="160" t="str">
        <f t="shared" ca="1" si="524"/>
        <v/>
      </c>
      <c r="AO354" s="161" t="str">
        <f t="shared" ca="1" si="525"/>
        <v/>
      </c>
      <c r="AP354" s="162" t="str">
        <f t="shared" ca="1" si="526"/>
        <v/>
      </c>
      <c r="AQ354" s="163" t="str">
        <f t="shared" ca="1" si="527"/>
        <v/>
      </c>
      <c r="AR354" s="164" t="str">
        <f t="shared" ca="1" si="528"/>
        <v/>
      </c>
      <c r="AS354" s="164" t="str">
        <f t="shared" ca="1" si="529"/>
        <v/>
      </c>
      <c r="AT354" s="164" t="str">
        <f t="shared" ca="1" si="530"/>
        <v/>
      </c>
      <c r="AU354" s="164" t="str">
        <f t="shared" ca="1" si="531"/>
        <v/>
      </c>
      <c r="AV354" s="164" t="str">
        <f t="shared" ca="1" si="532"/>
        <v/>
      </c>
      <c r="AW354" s="164" t="str">
        <f t="shared" ca="1" si="533"/>
        <v/>
      </c>
      <c r="AX354" s="164" t="str">
        <f t="shared" ca="1" si="534"/>
        <v/>
      </c>
      <c r="AY354" s="164" t="str">
        <f t="shared" ca="1" si="535"/>
        <v/>
      </c>
      <c r="AZ354" s="164" t="str">
        <f t="shared" ca="1" si="536"/>
        <v/>
      </c>
      <c r="BA354" s="165" t="str">
        <f t="shared" ca="1" si="537"/>
        <v>nie</v>
      </c>
      <c r="BB354" s="166" t="str">
        <f t="shared" ca="1" si="575"/>
        <v>-</v>
      </c>
      <c r="BC354" s="165" t="str">
        <f t="shared" ca="1" si="552"/>
        <v>nie</v>
      </c>
    </row>
    <row r="355" spans="1:55" ht="14.45" hidden="1" customHeight="1" x14ac:dyDescent="0.25">
      <c r="A355" s="493" t="s">
        <v>24</v>
      </c>
      <c r="B355" s="493" t="s">
        <v>26</v>
      </c>
      <c r="C355" s="494" t="s">
        <v>148</v>
      </c>
      <c r="D355" s="505" t="s">
        <v>149</v>
      </c>
      <c r="E355" s="497">
        <v>900</v>
      </c>
      <c r="F355" s="497">
        <v>90001</v>
      </c>
      <c r="G355" s="497">
        <v>6050</v>
      </c>
      <c r="H355" s="507">
        <v>2022</v>
      </c>
      <c r="I355" s="499" t="str">
        <f ca="1">IF(COUNTIF(OFFSET(I355,-1,-8),"*propon*")&gt;0,OFFSET(I355,4,0),IF(Y355&gt;0,"2033",IF(X355&gt;0,"2032",IF(W355&gt;0,"2031",IF(V355&gt;0,"2030",IF(U355&gt;0,"2029",IF(T355&gt;0,"2028",IF(S355&gt;0,"2027",IF(R355&gt;0,"2026",IF(Q355&gt;0,"2025",IF(P355&gt;0,"2024",IF(M355&gt;0,"2023",IF(L355&gt;0,"2022","")))))))))))))</f>
        <v>2025</v>
      </c>
      <c r="J355" s="168" t="s">
        <v>102</v>
      </c>
      <c r="K355" s="169">
        <f>SUM(N355:O355)</f>
        <v>1100000</v>
      </c>
      <c r="L355" s="170">
        <f t="shared" ref="L355:M355" si="587">SUM(L356:L357)</f>
        <v>0</v>
      </c>
      <c r="M355" s="171">
        <f t="shared" si="587"/>
        <v>15626</v>
      </c>
      <c r="N355" s="172">
        <f>SUM(L355:M355)</f>
        <v>15626</v>
      </c>
      <c r="O355" s="169">
        <f>SUM(P355:Y355)</f>
        <v>1084374</v>
      </c>
      <c r="P355" s="173">
        <f t="shared" ref="P355:R355" si="588">SUM(P356:P357)</f>
        <v>1007424</v>
      </c>
      <c r="Q355" s="171">
        <f>SUM(Q356:Q357)</f>
        <v>76950</v>
      </c>
      <c r="R355" s="174">
        <f t="shared" si="588"/>
        <v>0</v>
      </c>
      <c r="S355" s="175">
        <f t="shared" ref="S355:Y355" si="589">SUM(S356:S357)</f>
        <v>0</v>
      </c>
      <c r="T355" s="171">
        <f t="shared" si="589"/>
        <v>0</v>
      </c>
      <c r="U355" s="171">
        <f t="shared" si="589"/>
        <v>0</v>
      </c>
      <c r="V355" s="171">
        <f t="shared" si="589"/>
        <v>0</v>
      </c>
      <c r="W355" s="171">
        <f t="shared" si="589"/>
        <v>0</v>
      </c>
      <c r="X355" s="171">
        <f t="shared" si="589"/>
        <v>0</v>
      </c>
      <c r="Y355" s="174">
        <f t="shared" si="589"/>
        <v>0</v>
      </c>
      <c r="Z355" s="149" t="str">
        <f t="shared" ca="1" si="551"/>
        <v>nie</v>
      </c>
      <c r="AA355" s="366"/>
      <c r="AB355" s="150" t="str">
        <f t="shared" ca="1" si="574"/>
        <v>-</v>
      </c>
      <c r="AC355" s="151" t="str">
        <f t="shared" ca="1" si="517"/>
        <v>PO ZMIANIE</v>
      </c>
      <c r="AD355" s="152" t="str">
        <f t="shared" ca="1" si="567"/>
        <v>PO ZMIANIE</v>
      </c>
      <c r="AE355" s="153" t="str">
        <f t="shared" ca="1" si="518"/>
        <v>C/USN/III/P4/34</v>
      </c>
      <c r="AF355" s="154" t="str">
        <f t="shared" ca="1" si="519"/>
        <v>Modernizacja urządzeń wodnych i zbiorników wodnych</v>
      </c>
      <c r="AG355" s="155">
        <f t="shared" ca="1" si="520"/>
        <v>90001</v>
      </c>
      <c r="AH355" s="155" t="str">
        <f t="shared" ca="1" si="521"/>
        <v>6050</v>
      </c>
      <c r="AI355" s="156" t="str">
        <f t="shared" ca="1" si="522"/>
        <v>GMMW</v>
      </c>
      <c r="AJ355" s="157" t="str">
        <f t="shared" ca="1" si="523"/>
        <v>WPF, w tym</v>
      </c>
      <c r="AK355" s="158" t="str">
        <f t="shared" ca="1" si="568"/>
        <v>C/USN/III/P4/34 90001 6050 GMMW</v>
      </c>
      <c r="AL355" s="158" t="str">
        <f t="shared" ca="1" si="569"/>
        <v>C/USN/III/P4/34 90001 6050 WPF, w tym</v>
      </c>
      <c r="AM355" s="159" t="str">
        <f t="shared" ca="1" si="570"/>
        <v>C/USN/III/P4/34 90001 6050 GMMW WPF, w tym</v>
      </c>
      <c r="AN355" s="160">
        <f t="shared" ca="1" si="524"/>
        <v>1100000</v>
      </c>
      <c r="AO355" s="161">
        <f t="shared" ca="1" si="525"/>
        <v>0</v>
      </c>
      <c r="AP355" s="162">
        <f t="shared" ca="1" si="526"/>
        <v>15626</v>
      </c>
      <c r="AQ355" s="163">
        <f t="shared" ca="1" si="527"/>
        <v>1007424</v>
      </c>
      <c r="AR355" s="164">
        <f t="shared" ca="1" si="528"/>
        <v>76950</v>
      </c>
      <c r="AS355" s="164">
        <f t="shared" ca="1" si="529"/>
        <v>0</v>
      </c>
      <c r="AT355" s="164">
        <f t="shared" ca="1" si="530"/>
        <v>0</v>
      </c>
      <c r="AU355" s="164">
        <f t="shared" ca="1" si="531"/>
        <v>0</v>
      </c>
      <c r="AV355" s="164">
        <f t="shared" ca="1" si="532"/>
        <v>0</v>
      </c>
      <c r="AW355" s="164">
        <f t="shared" ca="1" si="533"/>
        <v>0</v>
      </c>
      <c r="AX355" s="164">
        <f t="shared" ca="1" si="534"/>
        <v>0</v>
      </c>
      <c r="AY355" s="164">
        <f t="shared" ca="1" si="535"/>
        <v>0</v>
      </c>
      <c r="AZ355" s="164">
        <f t="shared" ca="1" si="536"/>
        <v>0</v>
      </c>
      <c r="BA355" s="165" t="str">
        <f t="shared" ca="1" si="537"/>
        <v>nie</v>
      </c>
      <c r="BB355" s="166" t="str">
        <f t="shared" ca="1" si="575"/>
        <v>-</v>
      </c>
      <c r="BC355" s="165" t="str">
        <f t="shared" ca="1" si="552"/>
        <v>nie</v>
      </c>
    </row>
    <row r="356" spans="1:55" ht="14.45" hidden="1" customHeight="1" x14ac:dyDescent="0.25">
      <c r="A356" s="493"/>
      <c r="B356" s="493"/>
      <c r="C356" s="494"/>
      <c r="D356" s="506"/>
      <c r="E356" s="497"/>
      <c r="F356" s="497"/>
      <c r="G356" s="497"/>
      <c r="H356" s="498"/>
      <c r="I356" s="499"/>
      <c r="J356" s="177" t="s">
        <v>103</v>
      </c>
      <c r="K356" s="178">
        <f>SUM(N356:O356)</f>
        <v>1084374</v>
      </c>
      <c r="L356" s="179"/>
      <c r="M356" s="180"/>
      <c r="N356" s="172">
        <f>SUM(L356:M356)</f>
        <v>0</v>
      </c>
      <c r="O356" s="178">
        <f>SUM(P356:Y356)</f>
        <v>1084374</v>
      </c>
      <c r="P356" s="181">
        <v>1007424</v>
      </c>
      <c r="Q356" s="180">
        <f>76950</f>
        <v>76950</v>
      </c>
      <c r="R356" s="182"/>
      <c r="S356" s="183"/>
      <c r="T356" s="180"/>
      <c r="U356" s="180"/>
      <c r="V356" s="180"/>
      <c r="W356" s="180"/>
      <c r="X356" s="180"/>
      <c r="Y356" s="182"/>
      <c r="Z356" s="149" t="str">
        <f t="shared" ca="1" si="551"/>
        <v>nie</v>
      </c>
      <c r="AA356" s="384"/>
      <c r="AB356" s="150" t="str">
        <f t="shared" ca="1" si="574"/>
        <v>-</v>
      </c>
      <c r="AC356" s="151" t="str">
        <f t="shared" ca="1" si="517"/>
        <v>PO ZMIANIE</v>
      </c>
      <c r="AD356" s="152" t="str">
        <f t="shared" ca="1" si="567"/>
        <v>PO ZMIANIE</v>
      </c>
      <c r="AE356" s="153" t="str">
        <f t="shared" ca="1" si="518"/>
        <v>C/USN/III/P4/34</v>
      </c>
      <c r="AF356" s="154" t="str">
        <f t="shared" ca="1" si="519"/>
        <v>Modernizacja urządzeń wodnych i zbiorników wodnych</v>
      </c>
      <c r="AG356" s="155">
        <f t="shared" ca="1" si="520"/>
        <v>90001</v>
      </c>
      <c r="AH356" s="155" t="str">
        <f t="shared" ca="1" si="521"/>
        <v>6050</v>
      </c>
      <c r="AI356" s="156" t="str">
        <f t="shared" ca="1" si="522"/>
        <v>GMMW</v>
      </c>
      <c r="AJ356" s="157" t="str">
        <f t="shared" ca="1" si="523"/>
        <v>WPF/PM</v>
      </c>
      <c r="AK356" s="158" t="str">
        <f t="shared" ca="1" si="568"/>
        <v>C/USN/III/P4/34 90001 6050 GMMW</v>
      </c>
      <c r="AL356" s="158" t="str">
        <f t="shared" ca="1" si="569"/>
        <v>C/USN/III/P4/34 90001 6050 WPF/PM</v>
      </c>
      <c r="AM356" s="159" t="str">
        <f t="shared" ca="1" si="570"/>
        <v>C/USN/III/P4/34 90001 6050 GMMW WPF/PM</v>
      </c>
      <c r="AN356" s="160">
        <f t="shared" ca="1" si="524"/>
        <v>1084374</v>
      </c>
      <c r="AO356" s="161">
        <f t="shared" ca="1" si="525"/>
        <v>0</v>
      </c>
      <c r="AP356" s="162">
        <f t="shared" ca="1" si="526"/>
        <v>0</v>
      </c>
      <c r="AQ356" s="163">
        <f t="shared" ca="1" si="527"/>
        <v>1007424</v>
      </c>
      <c r="AR356" s="164">
        <f ca="1">IF(COUNTIF($AE356,"*bilans*")&gt;0,Q356,IF(OR(COUNTIF($A356,"*zmi*")&gt;0,$AI356=""),"",Q356))</f>
        <v>76950</v>
      </c>
      <c r="AS356" s="164">
        <f t="shared" ca="1" si="529"/>
        <v>0</v>
      </c>
      <c r="AT356" s="164">
        <f t="shared" ca="1" si="530"/>
        <v>0</v>
      </c>
      <c r="AU356" s="164">
        <f t="shared" ca="1" si="531"/>
        <v>0</v>
      </c>
      <c r="AV356" s="164">
        <f t="shared" ca="1" si="532"/>
        <v>0</v>
      </c>
      <c r="AW356" s="164">
        <f t="shared" ca="1" si="533"/>
        <v>0</v>
      </c>
      <c r="AX356" s="164">
        <f t="shared" ca="1" si="534"/>
        <v>0</v>
      </c>
      <c r="AY356" s="164">
        <f t="shared" ca="1" si="535"/>
        <v>0</v>
      </c>
      <c r="AZ356" s="164">
        <f t="shared" ca="1" si="536"/>
        <v>0</v>
      </c>
      <c r="BA356" s="165" t="str">
        <f t="shared" ca="1" si="537"/>
        <v>nie</v>
      </c>
      <c r="BB356" s="166" t="str">
        <f t="shared" ca="1" si="575"/>
        <v>-</v>
      </c>
      <c r="BC356" s="165" t="str">
        <f t="shared" ca="1" si="552"/>
        <v>nie</v>
      </c>
    </row>
    <row r="357" spans="1:55" ht="14.45" hidden="1" customHeight="1" thickBot="1" x14ac:dyDescent="0.3">
      <c r="A357" s="500"/>
      <c r="B357" s="500"/>
      <c r="C357" s="501"/>
      <c r="D357" s="513"/>
      <c r="E357" s="503"/>
      <c r="F357" s="503"/>
      <c r="G357" s="503"/>
      <c r="H357" s="504"/>
      <c r="I357" s="499"/>
      <c r="J357" s="197" t="s">
        <v>104</v>
      </c>
      <c r="K357" s="198">
        <f>SUM(N357:O357)</f>
        <v>15626</v>
      </c>
      <c r="L357" s="204"/>
      <c r="M357" s="200">
        <f>92576-76950</f>
        <v>15626</v>
      </c>
      <c r="N357" s="371">
        <f>SUM(L357:M357)</f>
        <v>15626</v>
      </c>
      <c r="O357" s="198">
        <f>SUM(P357:Y357)</f>
        <v>0</v>
      </c>
      <c r="P357" s="201"/>
      <c r="Q357" s="200"/>
      <c r="R357" s="202"/>
      <c r="S357" s="203"/>
      <c r="T357" s="200"/>
      <c r="U357" s="200"/>
      <c r="V357" s="200"/>
      <c r="W357" s="200"/>
      <c r="X357" s="200"/>
      <c r="Y357" s="202"/>
      <c r="Z357" s="149" t="str">
        <f t="shared" ca="1" si="551"/>
        <v>nie</v>
      </c>
      <c r="AA357" s="384"/>
      <c r="AB357" s="150" t="str">
        <f t="shared" ca="1" si="574"/>
        <v>-</v>
      </c>
      <c r="AC357" s="151" t="str">
        <f t="shared" ca="1" si="517"/>
        <v>PO ZMIANIE</v>
      </c>
      <c r="AD357" s="152" t="str">
        <f t="shared" ca="1" si="567"/>
        <v>PO ZMIANIE</v>
      </c>
      <c r="AE357" s="153" t="str">
        <f t="shared" ca="1" si="518"/>
        <v>C/USN/III/P4/34</v>
      </c>
      <c r="AF357" s="154" t="str">
        <f t="shared" ca="1" si="519"/>
        <v>Modernizacja urządzeń wodnych i zbiorników wodnych</v>
      </c>
      <c r="AG357" s="155">
        <f t="shared" ca="1" si="520"/>
        <v>90001</v>
      </c>
      <c r="AH357" s="155" t="str">
        <f t="shared" ca="1" si="521"/>
        <v>6050</v>
      </c>
      <c r="AI357" s="156" t="str">
        <f t="shared" ca="1" si="522"/>
        <v>GMMW</v>
      </c>
      <c r="AJ357" s="157" t="str">
        <f t="shared" ca="1" si="523"/>
        <v>WPF/UM</v>
      </c>
      <c r="AK357" s="158" t="str">
        <f t="shared" ca="1" si="568"/>
        <v>C/USN/III/P4/34 90001 6050 GMMW</v>
      </c>
      <c r="AL357" s="158" t="str">
        <f t="shared" ca="1" si="569"/>
        <v>C/USN/III/P4/34 90001 6050 WPF/UM</v>
      </c>
      <c r="AM357" s="159" t="str">
        <f t="shared" ca="1" si="570"/>
        <v>C/USN/III/P4/34 90001 6050 GMMW WPF/UM</v>
      </c>
      <c r="AN357" s="160">
        <f t="shared" ca="1" si="524"/>
        <v>15626</v>
      </c>
      <c r="AO357" s="161">
        <f t="shared" ca="1" si="525"/>
        <v>0</v>
      </c>
      <c r="AP357" s="162">
        <f t="shared" ca="1" si="526"/>
        <v>15626</v>
      </c>
      <c r="AQ357" s="163">
        <f t="shared" ca="1" si="527"/>
        <v>0</v>
      </c>
      <c r="AR357" s="164">
        <f t="shared" ca="1" si="528"/>
        <v>0</v>
      </c>
      <c r="AS357" s="164">
        <f t="shared" ca="1" si="529"/>
        <v>0</v>
      </c>
      <c r="AT357" s="164">
        <f t="shared" ca="1" si="530"/>
        <v>0</v>
      </c>
      <c r="AU357" s="164">
        <f t="shared" ca="1" si="531"/>
        <v>0</v>
      </c>
      <c r="AV357" s="164">
        <f t="shared" ca="1" si="532"/>
        <v>0</v>
      </c>
      <c r="AW357" s="164">
        <f t="shared" ca="1" si="533"/>
        <v>0</v>
      </c>
      <c r="AX357" s="164">
        <f t="shared" ca="1" si="534"/>
        <v>0</v>
      </c>
      <c r="AY357" s="164">
        <f t="shared" ca="1" si="535"/>
        <v>0</v>
      </c>
      <c r="AZ357" s="164">
        <f t="shared" ca="1" si="536"/>
        <v>0</v>
      </c>
      <c r="BA357" s="165" t="str">
        <f t="shared" ca="1" si="537"/>
        <v>nie</v>
      </c>
      <c r="BB357" s="166" t="str">
        <f t="shared" ca="1" si="575"/>
        <v>-</v>
      </c>
      <c r="BC357" s="165" t="str">
        <f t="shared" ca="1" si="552"/>
        <v>nie</v>
      </c>
    </row>
    <row r="358" spans="1:55" s="167" customFormat="1" ht="14.45" hidden="1" customHeight="1" x14ac:dyDescent="0.25">
      <c r="A358" s="143" t="s">
        <v>91</v>
      </c>
      <c r="B358" s="144"/>
      <c r="C358" s="145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6"/>
      <c r="S358" s="147"/>
      <c r="T358" s="147"/>
      <c r="U358" s="147"/>
      <c r="V358" s="147"/>
      <c r="W358" s="147"/>
      <c r="X358" s="147"/>
      <c r="Y358" s="148"/>
      <c r="Z358" s="149" t="str">
        <f t="shared" ca="1" si="551"/>
        <v>nie</v>
      </c>
      <c r="AA358" s="366"/>
      <c r="AB358" s="150" t="str">
        <f t="shared" ca="1" si="574"/>
        <v>-</v>
      </c>
      <c r="AC358" s="151" t="str">
        <f t="shared" ca="1" si="517"/>
        <v>PRZED ZMIANĄ</v>
      </c>
      <c r="AD358" s="152" t="str">
        <f t="shared" ca="1" si="567"/>
        <v/>
      </c>
      <c r="AE358" s="153" t="str">
        <f t="shared" ca="1" si="518"/>
        <v/>
      </c>
      <c r="AF358" s="154" t="str">
        <f t="shared" ca="1" si="519"/>
        <v/>
      </c>
      <c r="AG358" s="155" t="str">
        <f t="shared" ca="1" si="520"/>
        <v/>
      </c>
      <c r="AH358" s="155" t="str">
        <f t="shared" ca="1" si="521"/>
        <v/>
      </c>
      <c r="AI358" s="156" t="str">
        <f t="shared" ca="1" si="522"/>
        <v/>
      </c>
      <c r="AJ358" s="157" t="str">
        <f t="shared" ca="1" si="523"/>
        <v/>
      </c>
      <c r="AK358" s="158" t="str">
        <f t="shared" ca="1" si="568"/>
        <v/>
      </c>
      <c r="AL358" s="158" t="str">
        <f t="shared" ca="1" si="569"/>
        <v/>
      </c>
      <c r="AM358" s="159" t="str">
        <f t="shared" ca="1" si="570"/>
        <v/>
      </c>
      <c r="AN358" s="160" t="str">
        <f t="shared" ca="1" si="524"/>
        <v/>
      </c>
      <c r="AO358" s="161" t="str">
        <f t="shared" ca="1" si="525"/>
        <v/>
      </c>
      <c r="AP358" s="162" t="str">
        <f t="shared" ca="1" si="526"/>
        <v/>
      </c>
      <c r="AQ358" s="163" t="str">
        <f t="shared" ca="1" si="527"/>
        <v/>
      </c>
      <c r="AR358" s="164" t="str">
        <f t="shared" ca="1" si="528"/>
        <v/>
      </c>
      <c r="AS358" s="164" t="str">
        <f t="shared" ca="1" si="529"/>
        <v/>
      </c>
      <c r="AT358" s="164" t="str">
        <f t="shared" ca="1" si="530"/>
        <v/>
      </c>
      <c r="AU358" s="164" t="str">
        <f t="shared" ca="1" si="531"/>
        <v/>
      </c>
      <c r="AV358" s="164" t="str">
        <f t="shared" ca="1" si="532"/>
        <v/>
      </c>
      <c r="AW358" s="164" t="str">
        <f t="shared" ca="1" si="533"/>
        <v/>
      </c>
      <c r="AX358" s="164" t="str">
        <f t="shared" ca="1" si="534"/>
        <v/>
      </c>
      <c r="AY358" s="164" t="str">
        <f t="shared" ca="1" si="535"/>
        <v/>
      </c>
      <c r="AZ358" s="164" t="str">
        <f t="shared" ca="1" si="536"/>
        <v/>
      </c>
      <c r="BA358" s="165" t="str">
        <f t="shared" ca="1" si="537"/>
        <v>nie</v>
      </c>
      <c r="BB358" s="166" t="str">
        <f t="shared" ca="1" si="575"/>
        <v>-</v>
      </c>
      <c r="BC358" s="165" t="str">
        <f t="shared" ca="1" si="552"/>
        <v>nie</v>
      </c>
    </row>
    <row r="359" spans="1:55" s="176" customFormat="1" ht="14.45" hidden="1" customHeight="1" x14ac:dyDescent="0.25">
      <c r="A359" s="493" t="s">
        <v>24</v>
      </c>
      <c r="B359" s="538" t="s">
        <v>150</v>
      </c>
      <c r="C359" s="530" t="s">
        <v>151</v>
      </c>
      <c r="D359" s="511" t="s">
        <v>152</v>
      </c>
      <c r="E359" s="497">
        <v>900</v>
      </c>
      <c r="F359" s="497">
        <v>90095</v>
      </c>
      <c r="G359" s="497">
        <v>6050</v>
      </c>
      <c r="H359" s="507">
        <v>2022</v>
      </c>
      <c r="I359" s="499" t="str">
        <f ca="1">IF(COUNTIF(OFFSET(I359,-1,-8),"*propon*")&gt;0,OFFSET(I359,4,0),IF(Y359&gt;0,"2033",IF(X359&gt;0,"2032",IF(W359&gt;0,"2031",IF(V359&gt;0,"2030",IF(U359&gt;0,"2029",IF(T359&gt;0,"2028",IF(S359&gt;0,"2027",IF(R359&gt;0,"2026",IF(Q359&gt;0,"2025",IF(P359&gt;0,"2024",IF(M359&gt;0,"2023",IF(L359&gt;0,"2022","")))))))))))))</f>
        <v>2024</v>
      </c>
      <c r="J359" s="168" t="s">
        <v>94</v>
      </c>
      <c r="K359" s="169">
        <f>SUM(N359:O359)</f>
        <v>529999</v>
      </c>
      <c r="L359" s="170">
        <f t="shared" ref="L359:M359" si="590">SUM(L360:L361)</f>
        <v>43050</v>
      </c>
      <c r="M359" s="171">
        <f t="shared" si="590"/>
        <v>381809</v>
      </c>
      <c r="N359" s="172">
        <f>SUM(L359:M359)</f>
        <v>424859</v>
      </c>
      <c r="O359" s="169">
        <f>SUM(P359:Y359)</f>
        <v>105140</v>
      </c>
      <c r="P359" s="173">
        <f t="shared" ref="P359:R359" si="591">SUM(P360:P361)</f>
        <v>105140</v>
      </c>
      <c r="Q359" s="171">
        <f t="shared" si="591"/>
        <v>0</v>
      </c>
      <c r="R359" s="174">
        <f t="shared" si="591"/>
        <v>0</v>
      </c>
      <c r="S359" s="175">
        <f t="shared" ref="S359:Y359" si="592">SUM(S360:S361)</f>
        <v>0</v>
      </c>
      <c r="T359" s="171">
        <f t="shared" si="592"/>
        <v>0</v>
      </c>
      <c r="U359" s="171">
        <f t="shared" si="592"/>
        <v>0</v>
      </c>
      <c r="V359" s="171">
        <f t="shared" si="592"/>
        <v>0</v>
      </c>
      <c r="W359" s="171">
        <f t="shared" si="592"/>
        <v>0</v>
      </c>
      <c r="X359" s="171">
        <f t="shared" si="592"/>
        <v>0</v>
      </c>
      <c r="Y359" s="174">
        <f t="shared" si="592"/>
        <v>0</v>
      </c>
      <c r="Z359" s="149" t="str">
        <f t="shared" ca="1" si="551"/>
        <v>nie</v>
      </c>
      <c r="AA359" s="366"/>
      <c r="AB359" s="150" t="str">
        <f t="shared" ca="1" si="574"/>
        <v>-</v>
      </c>
      <c r="AC359" s="151" t="str">
        <f t="shared" ca="1" si="517"/>
        <v>PRZED ZMIANĄ</v>
      </c>
      <c r="AD359" s="152" t="str">
        <f t="shared" ca="1" si="567"/>
        <v>PRZED ZMIANĄ</v>
      </c>
      <c r="AE359" s="153" t="str">
        <f t="shared" ca="1" si="518"/>
        <v>C/USN/III/P4/35</v>
      </c>
      <c r="AF359" s="154" t="str">
        <f t="shared" ca="1" si="519"/>
        <v>Tężnia solankowa na Natolinie</v>
      </c>
      <c r="AG359" s="155">
        <f t="shared" ca="1" si="520"/>
        <v>90095</v>
      </c>
      <c r="AH359" s="155" t="str">
        <f t="shared" ca="1" si="521"/>
        <v>6050</v>
      </c>
      <c r="AI359" s="156" t="str">
        <f t="shared" ca="1" si="522"/>
        <v>BO/22/12/0239</v>
      </c>
      <c r="AJ359" s="157" t="str">
        <f t="shared" ca="1" si="523"/>
        <v>WPF, w tym</v>
      </c>
      <c r="AK359" s="158" t="str">
        <f t="shared" ca="1" si="568"/>
        <v>C/USN/III/P4/35 90095 6050 BO/22/12/0239</v>
      </c>
      <c r="AL359" s="158" t="str">
        <f t="shared" ca="1" si="569"/>
        <v>C/USN/III/P4/35 90095 6050 WPF, w tym</v>
      </c>
      <c r="AM359" s="159" t="str">
        <f t="shared" ca="1" si="570"/>
        <v>C/USN/III/P4/35 90095 6050 BO/22/12/0239 WPF, w tym</v>
      </c>
      <c r="AN359" s="160">
        <f t="shared" ca="1" si="524"/>
        <v>529999</v>
      </c>
      <c r="AO359" s="161">
        <f t="shared" ca="1" si="525"/>
        <v>43050</v>
      </c>
      <c r="AP359" s="162">
        <f t="shared" ca="1" si="526"/>
        <v>381809</v>
      </c>
      <c r="AQ359" s="163">
        <f t="shared" ca="1" si="527"/>
        <v>105140</v>
      </c>
      <c r="AR359" s="164">
        <f t="shared" ca="1" si="528"/>
        <v>0</v>
      </c>
      <c r="AS359" s="164">
        <f t="shared" ca="1" si="529"/>
        <v>0</v>
      </c>
      <c r="AT359" s="164">
        <f t="shared" ca="1" si="530"/>
        <v>0</v>
      </c>
      <c r="AU359" s="164">
        <f t="shared" ca="1" si="531"/>
        <v>0</v>
      </c>
      <c r="AV359" s="164">
        <f t="shared" ca="1" si="532"/>
        <v>0</v>
      </c>
      <c r="AW359" s="164">
        <f t="shared" ca="1" si="533"/>
        <v>0</v>
      </c>
      <c r="AX359" s="164">
        <f t="shared" ca="1" si="534"/>
        <v>0</v>
      </c>
      <c r="AY359" s="164">
        <f t="shared" ca="1" si="535"/>
        <v>0</v>
      </c>
      <c r="AZ359" s="164">
        <f t="shared" ca="1" si="536"/>
        <v>0</v>
      </c>
      <c r="BA359" s="165" t="str">
        <f t="shared" ca="1" si="537"/>
        <v>nie</v>
      </c>
      <c r="BB359" s="166" t="str">
        <f t="shared" ca="1" si="575"/>
        <v>-</v>
      </c>
      <c r="BC359" s="165" t="str">
        <f t="shared" ca="1" si="552"/>
        <v>nie</v>
      </c>
    </row>
    <row r="360" spans="1:55" s="167" customFormat="1" ht="14.45" hidden="1" customHeight="1" x14ac:dyDescent="0.25">
      <c r="A360" s="493"/>
      <c r="B360" s="538"/>
      <c r="C360" s="530"/>
      <c r="D360" s="512"/>
      <c r="E360" s="497"/>
      <c r="F360" s="497"/>
      <c r="G360" s="497"/>
      <c r="H360" s="498"/>
      <c r="I360" s="499"/>
      <c r="J360" s="177" t="s">
        <v>95</v>
      </c>
      <c r="K360" s="178">
        <f>SUM(N360:O360)</f>
        <v>105140</v>
      </c>
      <c r="L360" s="179"/>
      <c r="M360" s="180"/>
      <c r="N360" s="172">
        <f>SUM(L360:M360)</f>
        <v>0</v>
      </c>
      <c r="O360" s="178">
        <f>SUM(P360:Y360)</f>
        <v>105140</v>
      </c>
      <c r="P360" s="181">
        <v>105140</v>
      </c>
      <c r="Q360" s="180"/>
      <c r="R360" s="182"/>
      <c r="S360" s="183"/>
      <c r="T360" s="180"/>
      <c r="U360" s="180"/>
      <c r="V360" s="180"/>
      <c r="W360" s="180"/>
      <c r="X360" s="180"/>
      <c r="Y360" s="182"/>
      <c r="Z360" s="149" t="str">
        <f t="shared" ca="1" si="551"/>
        <v>nie</v>
      </c>
      <c r="AA360" s="366"/>
      <c r="AB360" s="150" t="str">
        <f t="shared" ca="1" si="574"/>
        <v>-</v>
      </c>
      <c r="AC360" s="151" t="str">
        <f t="shared" ca="1" si="517"/>
        <v>PRZED ZMIANĄ</v>
      </c>
      <c r="AD360" s="152" t="str">
        <f t="shared" ca="1" si="567"/>
        <v>PRZED ZMIANĄ</v>
      </c>
      <c r="AE360" s="153" t="str">
        <f t="shared" ca="1" si="518"/>
        <v>C/USN/III/P4/35</v>
      </c>
      <c r="AF360" s="154" t="str">
        <f t="shared" ca="1" si="519"/>
        <v>Tężnia solankowa na Natolinie</v>
      </c>
      <c r="AG360" s="155">
        <f t="shared" ca="1" si="520"/>
        <v>90095</v>
      </c>
      <c r="AH360" s="155" t="str">
        <f t="shared" ca="1" si="521"/>
        <v>6050</v>
      </c>
      <c r="AI360" s="156" t="str">
        <f t="shared" ca="1" si="522"/>
        <v>BO/22/12/0239</v>
      </c>
      <c r="AJ360" s="157" t="str">
        <f t="shared" ca="1" si="523"/>
        <v>WPF/PM</v>
      </c>
      <c r="AK360" s="158" t="str">
        <f t="shared" ca="1" si="568"/>
        <v>C/USN/III/P4/35 90095 6050 BO/22/12/0239</v>
      </c>
      <c r="AL360" s="158" t="str">
        <f t="shared" ca="1" si="569"/>
        <v>C/USN/III/P4/35 90095 6050 WPF/PM</v>
      </c>
      <c r="AM360" s="159" t="str">
        <f t="shared" ca="1" si="570"/>
        <v>C/USN/III/P4/35 90095 6050 BO/22/12/0239 WPF/PM</v>
      </c>
      <c r="AN360" s="160">
        <f t="shared" ca="1" si="524"/>
        <v>105140</v>
      </c>
      <c r="AO360" s="161">
        <f t="shared" ca="1" si="525"/>
        <v>0</v>
      </c>
      <c r="AP360" s="162">
        <f t="shared" ca="1" si="526"/>
        <v>0</v>
      </c>
      <c r="AQ360" s="163">
        <f t="shared" ca="1" si="527"/>
        <v>105140</v>
      </c>
      <c r="AR360" s="164">
        <f t="shared" ca="1" si="528"/>
        <v>0</v>
      </c>
      <c r="AS360" s="164">
        <f t="shared" ca="1" si="529"/>
        <v>0</v>
      </c>
      <c r="AT360" s="164">
        <f t="shared" ca="1" si="530"/>
        <v>0</v>
      </c>
      <c r="AU360" s="164">
        <f t="shared" ca="1" si="531"/>
        <v>0</v>
      </c>
      <c r="AV360" s="164">
        <f t="shared" ca="1" si="532"/>
        <v>0</v>
      </c>
      <c r="AW360" s="164">
        <f t="shared" ca="1" si="533"/>
        <v>0</v>
      </c>
      <c r="AX360" s="164">
        <f t="shared" ca="1" si="534"/>
        <v>0</v>
      </c>
      <c r="AY360" s="164">
        <f t="shared" ca="1" si="535"/>
        <v>0</v>
      </c>
      <c r="AZ360" s="164">
        <f t="shared" ca="1" si="536"/>
        <v>0</v>
      </c>
      <c r="BA360" s="165" t="str">
        <f t="shared" ca="1" si="537"/>
        <v>nie</v>
      </c>
      <c r="BB360" s="166" t="str">
        <f t="shared" ca="1" si="575"/>
        <v>-</v>
      </c>
      <c r="BC360" s="165" t="str">
        <f t="shared" ca="1" si="552"/>
        <v>nie</v>
      </c>
    </row>
    <row r="361" spans="1:55" s="167" customFormat="1" ht="14.45" hidden="1" customHeight="1" x14ac:dyDescent="0.25">
      <c r="A361" s="493"/>
      <c r="B361" s="538"/>
      <c r="C361" s="530"/>
      <c r="D361" s="512"/>
      <c r="E361" s="497"/>
      <c r="F361" s="497"/>
      <c r="G361" s="497"/>
      <c r="H361" s="498"/>
      <c r="I361" s="499"/>
      <c r="J361" s="177" t="s">
        <v>96</v>
      </c>
      <c r="K361" s="178">
        <f>SUM(N361:O361)</f>
        <v>424859</v>
      </c>
      <c r="L361" s="184">
        <v>43050</v>
      </c>
      <c r="M361" s="180">
        <v>381809</v>
      </c>
      <c r="N361" s="172">
        <f>SUM(L361:M361)</f>
        <v>424859</v>
      </c>
      <c r="O361" s="178">
        <f>SUM(P361:Y361)</f>
        <v>0</v>
      </c>
      <c r="P361" s="181"/>
      <c r="Q361" s="180"/>
      <c r="R361" s="182"/>
      <c r="S361" s="183"/>
      <c r="T361" s="180"/>
      <c r="U361" s="180"/>
      <c r="V361" s="180"/>
      <c r="W361" s="180"/>
      <c r="X361" s="180"/>
      <c r="Y361" s="182"/>
      <c r="Z361" s="149" t="str">
        <f t="shared" ca="1" si="551"/>
        <v>nie</v>
      </c>
      <c r="AA361" s="366"/>
      <c r="AB361" s="150" t="str">
        <f t="shared" ca="1" si="574"/>
        <v>-</v>
      </c>
      <c r="AC361" s="151" t="str">
        <f t="shared" ca="1" si="517"/>
        <v>PRZED ZMIANĄ</v>
      </c>
      <c r="AD361" s="152" t="str">
        <f t="shared" ca="1" si="567"/>
        <v>PRZED ZMIANĄ</v>
      </c>
      <c r="AE361" s="153" t="str">
        <f t="shared" ca="1" si="518"/>
        <v>C/USN/III/P4/35</v>
      </c>
      <c r="AF361" s="154" t="str">
        <f t="shared" ca="1" si="519"/>
        <v>Tężnia solankowa na Natolinie</v>
      </c>
      <c r="AG361" s="155">
        <f t="shared" ca="1" si="520"/>
        <v>90095</v>
      </c>
      <c r="AH361" s="155" t="str">
        <f t="shared" ca="1" si="521"/>
        <v>6050</v>
      </c>
      <c r="AI361" s="156" t="str">
        <f t="shared" ca="1" si="522"/>
        <v>BO/22/12/0239</v>
      </c>
      <c r="AJ361" s="157" t="str">
        <f t="shared" ca="1" si="523"/>
        <v>WPF/UM</v>
      </c>
      <c r="AK361" s="158" t="str">
        <f t="shared" ca="1" si="568"/>
        <v>C/USN/III/P4/35 90095 6050 BO/22/12/0239</v>
      </c>
      <c r="AL361" s="158" t="str">
        <f t="shared" ca="1" si="569"/>
        <v>C/USN/III/P4/35 90095 6050 WPF/UM</v>
      </c>
      <c r="AM361" s="159" t="str">
        <f t="shared" ca="1" si="570"/>
        <v>C/USN/III/P4/35 90095 6050 BO/22/12/0239 WPF/UM</v>
      </c>
      <c r="AN361" s="160">
        <f t="shared" ca="1" si="524"/>
        <v>424859</v>
      </c>
      <c r="AO361" s="161">
        <f t="shared" ca="1" si="525"/>
        <v>43050</v>
      </c>
      <c r="AP361" s="162">
        <f t="shared" ca="1" si="526"/>
        <v>381809</v>
      </c>
      <c r="AQ361" s="163">
        <f t="shared" ca="1" si="527"/>
        <v>0</v>
      </c>
      <c r="AR361" s="164">
        <f t="shared" ca="1" si="528"/>
        <v>0</v>
      </c>
      <c r="AS361" s="164">
        <f t="shared" ca="1" si="529"/>
        <v>0</v>
      </c>
      <c r="AT361" s="164">
        <f t="shared" ca="1" si="530"/>
        <v>0</v>
      </c>
      <c r="AU361" s="164">
        <f t="shared" ca="1" si="531"/>
        <v>0</v>
      </c>
      <c r="AV361" s="164">
        <f t="shared" ca="1" si="532"/>
        <v>0</v>
      </c>
      <c r="AW361" s="164">
        <f t="shared" ca="1" si="533"/>
        <v>0</v>
      </c>
      <c r="AX361" s="164">
        <f t="shared" ca="1" si="534"/>
        <v>0</v>
      </c>
      <c r="AY361" s="164">
        <f t="shared" ca="1" si="535"/>
        <v>0</v>
      </c>
      <c r="AZ361" s="164">
        <f t="shared" ca="1" si="536"/>
        <v>0</v>
      </c>
      <c r="BA361" s="165" t="str">
        <f t="shared" ca="1" si="537"/>
        <v>nie</v>
      </c>
      <c r="BB361" s="166" t="str">
        <f t="shared" ca="1" si="575"/>
        <v>-</v>
      </c>
      <c r="BC361" s="165" t="str">
        <f t="shared" ca="1" si="552"/>
        <v>nie</v>
      </c>
    </row>
    <row r="362" spans="1:55" s="167" customFormat="1" ht="14.45" hidden="1" customHeight="1" x14ac:dyDescent="0.25">
      <c r="A362" s="185" t="s">
        <v>97</v>
      </c>
      <c r="B362" s="186"/>
      <c r="C362" s="187"/>
      <c r="D362" s="186"/>
      <c r="E362" s="186"/>
      <c r="F362" s="186"/>
      <c r="G362" s="186"/>
      <c r="H362" s="186"/>
      <c r="I362" s="186"/>
      <c r="J362" s="186"/>
      <c r="K362" s="186"/>
      <c r="L362" s="186"/>
      <c r="M362" s="186"/>
      <c r="N362" s="186"/>
      <c r="O362" s="186"/>
      <c r="P362" s="186"/>
      <c r="Q362" s="186"/>
      <c r="R362" s="188"/>
      <c r="S362" s="189"/>
      <c r="T362" s="189"/>
      <c r="U362" s="189"/>
      <c r="V362" s="189"/>
      <c r="W362" s="189"/>
      <c r="X362" s="189"/>
      <c r="Y362" s="190"/>
      <c r="Z362" s="149" t="str">
        <f t="shared" ca="1" si="551"/>
        <v>nie</v>
      </c>
      <c r="AA362" s="366"/>
      <c r="AB362" s="150" t="str">
        <f t="shared" ca="1" si="574"/>
        <v>-</v>
      </c>
      <c r="AC362" s="151" t="str">
        <f t="shared" ca="1" si="517"/>
        <v>PROPONOWANA ZMIANA</v>
      </c>
      <c r="AD362" s="152" t="str">
        <f t="shared" ca="1" si="567"/>
        <v/>
      </c>
      <c r="AE362" s="153" t="str">
        <f t="shared" ca="1" si="518"/>
        <v/>
      </c>
      <c r="AF362" s="154" t="str">
        <f t="shared" ca="1" si="519"/>
        <v/>
      </c>
      <c r="AG362" s="155" t="str">
        <f t="shared" ca="1" si="520"/>
        <v/>
      </c>
      <c r="AH362" s="155" t="str">
        <f t="shared" ca="1" si="521"/>
        <v/>
      </c>
      <c r="AI362" s="156" t="str">
        <f t="shared" ca="1" si="522"/>
        <v/>
      </c>
      <c r="AJ362" s="157" t="str">
        <f t="shared" ca="1" si="523"/>
        <v/>
      </c>
      <c r="AK362" s="158" t="str">
        <f t="shared" ca="1" si="568"/>
        <v/>
      </c>
      <c r="AL362" s="158" t="str">
        <f t="shared" ca="1" si="569"/>
        <v/>
      </c>
      <c r="AM362" s="159" t="str">
        <f t="shared" ca="1" si="570"/>
        <v/>
      </c>
      <c r="AN362" s="160" t="str">
        <f t="shared" ca="1" si="524"/>
        <v/>
      </c>
      <c r="AO362" s="161" t="str">
        <f t="shared" ca="1" si="525"/>
        <v/>
      </c>
      <c r="AP362" s="162" t="str">
        <f t="shared" ca="1" si="526"/>
        <v/>
      </c>
      <c r="AQ362" s="163" t="str">
        <f t="shared" ca="1" si="527"/>
        <v/>
      </c>
      <c r="AR362" s="164" t="str">
        <f t="shared" ca="1" si="528"/>
        <v/>
      </c>
      <c r="AS362" s="164" t="str">
        <f t="shared" ca="1" si="529"/>
        <v/>
      </c>
      <c r="AT362" s="164" t="str">
        <f t="shared" ca="1" si="530"/>
        <v/>
      </c>
      <c r="AU362" s="164" t="str">
        <f t="shared" ca="1" si="531"/>
        <v/>
      </c>
      <c r="AV362" s="164" t="str">
        <f t="shared" ca="1" si="532"/>
        <v/>
      </c>
      <c r="AW362" s="164" t="str">
        <f t="shared" ca="1" si="533"/>
        <v/>
      </c>
      <c r="AX362" s="164" t="str">
        <f t="shared" ca="1" si="534"/>
        <v/>
      </c>
      <c r="AY362" s="164" t="str">
        <f t="shared" ca="1" si="535"/>
        <v/>
      </c>
      <c r="AZ362" s="164" t="str">
        <f t="shared" ca="1" si="536"/>
        <v/>
      </c>
      <c r="BA362" s="165" t="str">
        <f t="shared" ca="1" si="537"/>
        <v>nie</v>
      </c>
      <c r="BB362" s="166" t="str">
        <f t="shared" ca="1" si="575"/>
        <v>-</v>
      </c>
      <c r="BC362" s="165" t="str">
        <f t="shared" ca="1" si="552"/>
        <v>nie</v>
      </c>
    </row>
    <row r="363" spans="1:55" s="176" customFormat="1" ht="14.45" hidden="1" customHeight="1" x14ac:dyDescent="0.25">
      <c r="A363" s="493" t="s">
        <v>24</v>
      </c>
      <c r="B363" s="538" t="s">
        <v>150</v>
      </c>
      <c r="C363" s="530" t="s">
        <v>151</v>
      </c>
      <c r="D363" s="511" t="s">
        <v>152</v>
      </c>
      <c r="E363" s="497">
        <v>900</v>
      </c>
      <c r="F363" s="497">
        <v>90095</v>
      </c>
      <c r="G363" s="497">
        <v>6050</v>
      </c>
      <c r="H363" s="507">
        <v>2022</v>
      </c>
      <c r="I363" s="499" t="str">
        <f ca="1">IF(COUNTIF(OFFSET(I363,-1,-8),"*propon*")&gt;0,OFFSET(I363,4,0),IF(Y363&gt;0,"2033",IF(X363&gt;0,"2032",IF(W363&gt;0,"2031",IF(V363&gt;0,"2030",IF(U363&gt;0,"2029",IF(T363&gt;0,"2028",IF(S363&gt;0,"2027",IF(R363&gt;0,"2026",IF(Q363&gt;0,"2025",IF(P363&gt;0,"2024",IF(M363&gt;0,"2023",IF(L363&gt;0,"2022","")))))))))))))</f>
        <v>2024</v>
      </c>
      <c r="J363" s="168" t="s">
        <v>98</v>
      </c>
      <c r="K363" s="169">
        <f>SUM(N363:O363)</f>
        <v>0</v>
      </c>
      <c r="L363" s="170">
        <f t="shared" ref="L363:M363" si="593">SUM(L364:L365)</f>
        <v>0</v>
      </c>
      <c r="M363" s="171">
        <f t="shared" si="593"/>
        <v>0</v>
      </c>
      <c r="N363" s="172">
        <f>SUM(L363:M363)</f>
        <v>0</v>
      </c>
      <c r="O363" s="169">
        <f>SUM(P363:Y363)</f>
        <v>0</v>
      </c>
      <c r="P363" s="173">
        <f t="shared" ref="P363:R363" si="594">SUM(P364:P365)</f>
        <v>0</v>
      </c>
      <c r="Q363" s="171">
        <f t="shared" si="594"/>
        <v>0</v>
      </c>
      <c r="R363" s="174">
        <f t="shared" si="594"/>
        <v>0</v>
      </c>
      <c r="S363" s="175">
        <f t="shared" ref="S363:Y363" si="595">SUM(S364:S365)</f>
        <v>0</v>
      </c>
      <c r="T363" s="171">
        <f t="shared" si="595"/>
        <v>0</v>
      </c>
      <c r="U363" s="171">
        <f t="shared" si="595"/>
        <v>0</v>
      </c>
      <c r="V363" s="171">
        <f t="shared" si="595"/>
        <v>0</v>
      </c>
      <c r="W363" s="171">
        <f t="shared" si="595"/>
        <v>0</v>
      </c>
      <c r="X363" s="171">
        <f t="shared" si="595"/>
        <v>0</v>
      </c>
      <c r="Y363" s="174">
        <f t="shared" si="595"/>
        <v>0</v>
      </c>
      <c r="Z363" s="149" t="str">
        <f t="shared" ca="1" si="551"/>
        <v>nie</v>
      </c>
      <c r="AA363" s="366"/>
      <c r="AB363" s="150" t="str">
        <f t="shared" ca="1" si="574"/>
        <v>-</v>
      </c>
      <c r="AC363" s="151" t="str">
        <f t="shared" ca="1" si="517"/>
        <v>PROPONOWANA ZMIANA</v>
      </c>
      <c r="AD363" s="152" t="str">
        <f t="shared" ca="1" si="567"/>
        <v>PROPONOWANA ZMIANA</v>
      </c>
      <c r="AE363" s="153" t="str">
        <f t="shared" ca="1" si="518"/>
        <v>C/USN/III/P4/35</v>
      </c>
      <c r="AF363" s="154" t="str">
        <f t="shared" ca="1" si="519"/>
        <v>Tężnia solankowa na Natolinie</v>
      </c>
      <c r="AG363" s="155">
        <f t="shared" ca="1" si="520"/>
        <v>90095</v>
      </c>
      <c r="AH363" s="155" t="str">
        <f t="shared" ca="1" si="521"/>
        <v>6050</v>
      </c>
      <c r="AI363" s="156" t="str">
        <f t="shared" ca="1" si="522"/>
        <v>BO/22/12/0239</v>
      </c>
      <c r="AJ363" s="157" t="str">
        <f t="shared" ca="1" si="523"/>
        <v>WPF, w tym</v>
      </c>
      <c r="AK363" s="158" t="str">
        <f t="shared" ca="1" si="568"/>
        <v>C/USN/III/P4/35 90095 6050 BO/22/12/0239</v>
      </c>
      <c r="AL363" s="158" t="str">
        <f t="shared" ca="1" si="569"/>
        <v>C/USN/III/P4/35 90095 6050 WPF, w tym</v>
      </c>
      <c r="AM363" s="159" t="str">
        <f t="shared" ca="1" si="570"/>
        <v>C/USN/III/P4/35 90095 6050 BO/22/12/0239 WPF, w tym</v>
      </c>
      <c r="AN363" s="160">
        <f t="shared" ca="1" si="524"/>
        <v>0</v>
      </c>
      <c r="AO363" s="161">
        <f t="shared" ca="1" si="525"/>
        <v>0</v>
      </c>
      <c r="AP363" s="162">
        <f t="shared" ca="1" si="526"/>
        <v>0</v>
      </c>
      <c r="AQ363" s="163">
        <f t="shared" ca="1" si="527"/>
        <v>0</v>
      </c>
      <c r="AR363" s="164">
        <f t="shared" ca="1" si="528"/>
        <v>0</v>
      </c>
      <c r="AS363" s="164">
        <f t="shared" ca="1" si="529"/>
        <v>0</v>
      </c>
      <c r="AT363" s="164">
        <f t="shared" ca="1" si="530"/>
        <v>0</v>
      </c>
      <c r="AU363" s="164">
        <f t="shared" ca="1" si="531"/>
        <v>0</v>
      </c>
      <c r="AV363" s="164">
        <f t="shared" ca="1" si="532"/>
        <v>0</v>
      </c>
      <c r="AW363" s="164">
        <f t="shared" ca="1" si="533"/>
        <v>0</v>
      </c>
      <c r="AX363" s="164">
        <f t="shared" ca="1" si="534"/>
        <v>0</v>
      </c>
      <c r="AY363" s="164">
        <f t="shared" ca="1" si="535"/>
        <v>0</v>
      </c>
      <c r="AZ363" s="164">
        <f t="shared" ca="1" si="536"/>
        <v>0</v>
      </c>
      <c r="BA363" s="165" t="str">
        <f t="shared" ca="1" si="537"/>
        <v>nie</v>
      </c>
      <c r="BB363" s="166" t="str">
        <f t="shared" ca="1" si="575"/>
        <v>-</v>
      </c>
      <c r="BC363" s="165" t="str">
        <f t="shared" ca="1" si="552"/>
        <v>nie</v>
      </c>
    </row>
    <row r="364" spans="1:55" s="167" customFormat="1" ht="14.45" hidden="1" customHeight="1" x14ac:dyDescent="0.25">
      <c r="A364" s="493"/>
      <c r="B364" s="538"/>
      <c r="C364" s="530"/>
      <c r="D364" s="512"/>
      <c r="E364" s="497"/>
      <c r="F364" s="497"/>
      <c r="G364" s="497"/>
      <c r="H364" s="498"/>
      <c r="I364" s="499"/>
      <c r="J364" s="177" t="s">
        <v>99</v>
      </c>
      <c r="K364" s="178">
        <f>SUM(N364:O364)</f>
        <v>0</v>
      </c>
      <c r="L364" s="179">
        <f t="shared" ref="L364:M364" si="596">L368-L360</f>
        <v>0</v>
      </c>
      <c r="M364" s="180">
        <f t="shared" si="596"/>
        <v>0</v>
      </c>
      <c r="N364" s="172">
        <f>SUM(L364:M364)</f>
        <v>0</v>
      </c>
      <c r="O364" s="178">
        <f>SUM(P364:Y364)</f>
        <v>0</v>
      </c>
      <c r="P364" s="181">
        <f t="shared" ref="P364:R364" si="597">P368-P360</f>
        <v>0</v>
      </c>
      <c r="Q364" s="180">
        <f t="shared" si="597"/>
        <v>0</v>
      </c>
      <c r="R364" s="182">
        <f t="shared" si="597"/>
        <v>0</v>
      </c>
      <c r="S364" s="183">
        <f t="shared" ref="S364:Y365" si="598">S368-S360</f>
        <v>0</v>
      </c>
      <c r="T364" s="180">
        <f t="shared" si="598"/>
        <v>0</v>
      </c>
      <c r="U364" s="180">
        <f t="shared" si="598"/>
        <v>0</v>
      </c>
      <c r="V364" s="180">
        <f t="shared" si="598"/>
        <v>0</v>
      </c>
      <c r="W364" s="180">
        <f t="shared" si="598"/>
        <v>0</v>
      </c>
      <c r="X364" s="180">
        <f t="shared" si="598"/>
        <v>0</v>
      </c>
      <c r="Y364" s="182">
        <f t="shared" si="598"/>
        <v>0</v>
      </c>
      <c r="Z364" s="149" t="str">
        <f t="shared" ca="1" si="551"/>
        <v>nie</v>
      </c>
      <c r="AA364" s="366"/>
      <c r="AB364" s="150" t="str">
        <f t="shared" ca="1" si="574"/>
        <v>-</v>
      </c>
      <c r="AC364" s="151" t="str">
        <f t="shared" ca="1" si="517"/>
        <v>PROPONOWANA ZMIANA</v>
      </c>
      <c r="AD364" s="152" t="str">
        <f t="shared" ca="1" si="567"/>
        <v>PROPONOWANA ZMIANA</v>
      </c>
      <c r="AE364" s="153" t="str">
        <f t="shared" ca="1" si="518"/>
        <v>C/USN/III/P4/35</v>
      </c>
      <c r="AF364" s="154" t="str">
        <f t="shared" ca="1" si="519"/>
        <v>Tężnia solankowa na Natolinie</v>
      </c>
      <c r="AG364" s="155">
        <f t="shared" ca="1" si="520"/>
        <v>90095</v>
      </c>
      <c r="AH364" s="155" t="str">
        <f t="shared" ca="1" si="521"/>
        <v>6050</v>
      </c>
      <c r="AI364" s="156" t="str">
        <f t="shared" ca="1" si="522"/>
        <v>BO/22/12/0239</v>
      </c>
      <c r="AJ364" s="157" t="str">
        <f t="shared" ca="1" si="523"/>
        <v>WPF/PM</v>
      </c>
      <c r="AK364" s="158" t="str">
        <f t="shared" ca="1" si="568"/>
        <v>C/USN/III/P4/35 90095 6050 BO/22/12/0239</v>
      </c>
      <c r="AL364" s="158" t="str">
        <f t="shared" ca="1" si="569"/>
        <v>C/USN/III/P4/35 90095 6050 WPF/PM</v>
      </c>
      <c r="AM364" s="159" t="str">
        <f t="shared" ca="1" si="570"/>
        <v>C/USN/III/P4/35 90095 6050 BO/22/12/0239 WPF/PM</v>
      </c>
      <c r="AN364" s="160">
        <f t="shared" ca="1" si="524"/>
        <v>0</v>
      </c>
      <c r="AO364" s="161">
        <f t="shared" ca="1" si="525"/>
        <v>0</v>
      </c>
      <c r="AP364" s="162">
        <f t="shared" ca="1" si="526"/>
        <v>0</v>
      </c>
      <c r="AQ364" s="163">
        <f t="shared" ca="1" si="527"/>
        <v>0</v>
      </c>
      <c r="AR364" s="164">
        <f t="shared" ca="1" si="528"/>
        <v>0</v>
      </c>
      <c r="AS364" s="164">
        <f t="shared" ca="1" si="529"/>
        <v>0</v>
      </c>
      <c r="AT364" s="164">
        <f t="shared" ca="1" si="530"/>
        <v>0</v>
      </c>
      <c r="AU364" s="164">
        <f t="shared" ca="1" si="531"/>
        <v>0</v>
      </c>
      <c r="AV364" s="164">
        <f t="shared" ca="1" si="532"/>
        <v>0</v>
      </c>
      <c r="AW364" s="164">
        <f t="shared" ca="1" si="533"/>
        <v>0</v>
      </c>
      <c r="AX364" s="164">
        <f t="shared" ca="1" si="534"/>
        <v>0</v>
      </c>
      <c r="AY364" s="164">
        <f t="shared" ca="1" si="535"/>
        <v>0</v>
      </c>
      <c r="AZ364" s="164">
        <f t="shared" ca="1" si="536"/>
        <v>0</v>
      </c>
      <c r="BA364" s="165" t="str">
        <f t="shared" ca="1" si="537"/>
        <v>nie</v>
      </c>
      <c r="BB364" s="166" t="str">
        <f t="shared" ca="1" si="575"/>
        <v>-</v>
      </c>
      <c r="BC364" s="165" t="str">
        <f t="shared" ca="1" si="552"/>
        <v>nie</v>
      </c>
    </row>
    <row r="365" spans="1:55" s="167" customFormat="1" ht="14.45" hidden="1" customHeight="1" x14ac:dyDescent="0.25">
      <c r="A365" s="493"/>
      <c r="B365" s="538"/>
      <c r="C365" s="530"/>
      <c r="D365" s="512"/>
      <c r="E365" s="497"/>
      <c r="F365" s="497"/>
      <c r="G365" s="497"/>
      <c r="H365" s="498"/>
      <c r="I365" s="499"/>
      <c r="J365" s="177" t="s">
        <v>100</v>
      </c>
      <c r="K365" s="178">
        <f>SUM(N365:O365)</f>
        <v>0</v>
      </c>
      <c r="L365" s="179">
        <f t="shared" ref="L365:M365" si="599">L369-L361</f>
        <v>0</v>
      </c>
      <c r="M365" s="180">
        <f t="shared" si="599"/>
        <v>0</v>
      </c>
      <c r="N365" s="172">
        <f>SUM(L365:M365)</f>
        <v>0</v>
      </c>
      <c r="O365" s="178">
        <f>SUM(P365:Y365)</f>
        <v>0</v>
      </c>
      <c r="P365" s="181">
        <f t="shared" ref="P365:R365" si="600">P369-P361</f>
        <v>0</v>
      </c>
      <c r="Q365" s="180">
        <f t="shared" si="600"/>
        <v>0</v>
      </c>
      <c r="R365" s="182">
        <f t="shared" si="600"/>
        <v>0</v>
      </c>
      <c r="S365" s="183">
        <f t="shared" si="598"/>
        <v>0</v>
      </c>
      <c r="T365" s="180">
        <f t="shared" si="598"/>
        <v>0</v>
      </c>
      <c r="U365" s="180">
        <f t="shared" si="598"/>
        <v>0</v>
      </c>
      <c r="V365" s="180">
        <f t="shared" si="598"/>
        <v>0</v>
      </c>
      <c r="W365" s="180">
        <f t="shared" si="598"/>
        <v>0</v>
      </c>
      <c r="X365" s="180">
        <f t="shared" si="598"/>
        <v>0</v>
      </c>
      <c r="Y365" s="182">
        <f t="shared" si="598"/>
        <v>0</v>
      </c>
      <c r="Z365" s="149" t="str">
        <f t="shared" ca="1" si="551"/>
        <v>nie</v>
      </c>
      <c r="AB365" s="150" t="str">
        <f t="shared" ca="1" si="574"/>
        <v>-</v>
      </c>
      <c r="AC365" s="151" t="str">
        <f t="shared" ca="1" si="517"/>
        <v>PROPONOWANA ZMIANA</v>
      </c>
      <c r="AD365" s="152" t="str">
        <f t="shared" ca="1" si="567"/>
        <v>PROPONOWANA ZMIANA</v>
      </c>
      <c r="AE365" s="153" t="str">
        <f t="shared" ca="1" si="518"/>
        <v>C/USN/III/P4/35</v>
      </c>
      <c r="AF365" s="154" t="str">
        <f t="shared" ca="1" si="519"/>
        <v>Tężnia solankowa na Natolinie</v>
      </c>
      <c r="AG365" s="155">
        <f t="shared" ca="1" si="520"/>
        <v>90095</v>
      </c>
      <c r="AH365" s="155" t="str">
        <f t="shared" ca="1" si="521"/>
        <v>6050</v>
      </c>
      <c r="AI365" s="156" t="str">
        <f t="shared" ca="1" si="522"/>
        <v>BO/22/12/0239</v>
      </c>
      <c r="AJ365" s="157" t="str">
        <f t="shared" ca="1" si="523"/>
        <v>WPF/UM</v>
      </c>
      <c r="AK365" s="158" t="str">
        <f t="shared" ca="1" si="568"/>
        <v>C/USN/III/P4/35 90095 6050 BO/22/12/0239</v>
      </c>
      <c r="AL365" s="158" t="str">
        <f t="shared" ca="1" si="569"/>
        <v>C/USN/III/P4/35 90095 6050 WPF/UM</v>
      </c>
      <c r="AM365" s="159" t="str">
        <f t="shared" ca="1" si="570"/>
        <v>C/USN/III/P4/35 90095 6050 BO/22/12/0239 WPF/UM</v>
      </c>
      <c r="AN365" s="160">
        <f t="shared" ca="1" si="524"/>
        <v>0</v>
      </c>
      <c r="AO365" s="161">
        <f t="shared" ca="1" si="525"/>
        <v>0</v>
      </c>
      <c r="AP365" s="162">
        <f t="shared" ca="1" si="526"/>
        <v>0</v>
      </c>
      <c r="AQ365" s="163">
        <f t="shared" ca="1" si="527"/>
        <v>0</v>
      </c>
      <c r="AR365" s="164">
        <f t="shared" ca="1" si="528"/>
        <v>0</v>
      </c>
      <c r="AS365" s="164">
        <f t="shared" ca="1" si="529"/>
        <v>0</v>
      </c>
      <c r="AT365" s="164">
        <f t="shared" ca="1" si="530"/>
        <v>0</v>
      </c>
      <c r="AU365" s="164">
        <f t="shared" ca="1" si="531"/>
        <v>0</v>
      </c>
      <c r="AV365" s="164">
        <f t="shared" ca="1" si="532"/>
        <v>0</v>
      </c>
      <c r="AW365" s="164">
        <f t="shared" ca="1" si="533"/>
        <v>0</v>
      </c>
      <c r="AX365" s="164">
        <f t="shared" ca="1" si="534"/>
        <v>0</v>
      </c>
      <c r="AY365" s="164">
        <f t="shared" ca="1" si="535"/>
        <v>0</v>
      </c>
      <c r="AZ365" s="164">
        <f t="shared" ca="1" si="536"/>
        <v>0</v>
      </c>
      <c r="BA365" s="165" t="str">
        <f t="shared" ca="1" si="537"/>
        <v>nie</v>
      </c>
      <c r="BB365" s="166" t="str">
        <f t="shared" ca="1" si="575"/>
        <v>-</v>
      </c>
      <c r="BC365" s="165" t="str">
        <f t="shared" ca="1" si="552"/>
        <v>nie</v>
      </c>
    </row>
    <row r="366" spans="1:55" s="167" customFormat="1" ht="14.45" hidden="1" customHeight="1" x14ac:dyDescent="0.25">
      <c r="A366" s="191" t="s">
        <v>101</v>
      </c>
      <c r="B366" s="192"/>
      <c r="C366" s="193"/>
      <c r="D366" s="192"/>
      <c r="E366" s="192"/>
      <c r="F366" s="192"/>
      <c r="G366" s="192"/>
      <c r="H366" s="192"/>
      <c r="I366" s="192"/>
      <c r="J366" s="192"/>
      <c r="K366" s="192"/>
      <c r="L366" s="192"/>
      <c r="M366" s="192"/>
      <c r="N366" s="192"/>
      <c r="O366" s="192"/>
      <c r="P366" s="192"/>
      <c r="Q366" s="192"/>
      <c r="R366" s="194"/>
      <c r="S366" s="195"/>
      <c r="T366" s="195"/>
      <c r="U366" s="195"/>
      <c r="V366" s="195"/>
      <c r="W366" s="195"/>
      <c r="X366" s="195"/>
      <c r="Y366" s="196"/>
      <c r="Z366" s="149" t="str">
        <f t="shared" ca="1" si="551"/>
        <v>nie</v>
      </c>
      <c r="AA366" s="366"/>
      <c r="AB366" s="150" t="str">
        <f t="shared" ca="1" si="574"/>
        <v>-</v>
      </c>
      <c r="AC366" s="151" t="str">
        <f t="shared" ca="1" si="517"/>
        <v>PO ZMIANIE</v>
      </c>
      <c r="AD366" s="152" t="str">
        <f t="shared" ca="1" si="567"/>
        <v/>
      </c>
      <c r="AE366" s="153" t="str">
        <f t="shared" ca="1" si="518"/>
        <v/>
      </c>
      <c r="AF366" s="154" t="str">
        <f t="shared" ca="1" si="519"/>
        <v/>
      </c>
      <c r="AG366" s="155" t="str">
        <f t="shared" ca="1" si="520"/>
        <v/>
      </c>
      <c r="AH366" s="155" t="str">
        <f t="shared" ca="1" si="521"/>
        <v/>
      </c>
      <c r="AI366" s="156" t="str">
        <f t="shared" ca="1" si="522"/>
        <v/>
      </c>
      <c r="AJ366" s="157" t="str">
        <f t="shared" ca="1" si="523"/>
        <v/>
      </c>
      <c r="AK366" s="158" t="str">
        <f t="shared" ca="1" si="568"/>
        <v/>
      </c>
      <c r="AL366" s="158" t="str">
        <f t="shared" ca="1" si="569"/>
        <v/>
      </c>
      <c r="AM366" s="159" t="str">
        <f t="shared" ca="1" si="570"/>
        <v/>
      </c>
      <c r="AN366" s="160" t="str">
        <f t="shared" ca="1" si="524"/>
        <v/>
      </c>
      <c r="AO366" s="161" t="str">
        <f t="shared" ca="1" si="525"/>
        <v/>
      </c>
      <c r="AP366" s="162" t="str">
        <f t="shared" ca="1" si="526"/>
        <v/>
      </c>
      <c r="AQ366" s="163" t="str">
        <f t="shared" ca="1" si="527"/>
        <v/>
      </c>
      <c r="AR366" s="164" t="str">
        <f t="shared" ca="1" si="528"/>
        <v/>
      </c>
      <c r="AS366" s="164" t="str">
        <f t="shared" ca="1" si="529"/>
        <v/>
      </c>
      <c r="AT366" s="164" t="str">
        <f t="shared" ca="1" si="530"/>
        <v/>
      </c>
      <c r="AU366" s="164" t="str">
        <f t="shared" ca="1" si="531"/>
        <v/>
      </c>
      <c r="AV366" s="164" t="str">
        <f t="shared" ca="1" si="532"/>
        <v/>
      </c>
      <c r="AW366" s="164" t="str">
        <f t="shared" ca="1" si="533"/>
        <v/>
      </c>
      <c r="AX366" s="164" t="str">
        <f t="shared" ca="1" si="534"/>
        <v/>
      </c>
      <c r="AY366" s="164" t="str">
        <f t="shared" ca="1" si="535"/>
        <v/>
      </c>
      <c r="AZ366" s="164" t="str">
        <f t="shared" ca="1" si="536"/>
        <v/>
      </c>
      <c r="BA366" s="165" t="str">
        <f t="shared" ca="1" si="537"/>
        <v>nie</v>
      </c>
      <c r="BB366" s="166" t="str">
        <f t="shared" ca="1" si="575"/>
        <v>-</v>
      </c>
      <c r="BC366" s="165" t="str">
        <f t="shared" ca="1" si="552"/>
        <v>nie</v>
      </c>
    </row>
    <row r="367" spans="1:55" s="176" customFormat="1" ht="14.45" hidden="1" customHeight="1" x14ac:dyDescent="0.25">
      <c r="A367" s="493" t="s">
        <v>24</v>
      </c>
      <c r="B367" s="538" t="s">
        <v>150</v>
      </c>
      <c r="C367" s="530" t="s">
        <v>151</v>
      </c>
      <c r="D367" s="511" t="s">
        <v>152</v>
      </c>
      <c r="E367" s="497">
        <v>900</v>
      </c>
      <c r="F367" s="497">
        <v>90095</v>
      </c>
      <c r="G367" s="497">
        <v>6050</v>
      </c>
      <c r="H367" s="507">
        <v>2022</v>
      </c>
      <c r="I367" s="499" t="str">
        <f ca="1">IF(COUNTIF(OFFSET(I367,-1,-8),"*propon*")&gt;0,OFFSET(I367,4,0),IF(Y367&gt;0,"2033",IF(X367&gt;0,"2032",IF(W367&gt;0,"2031",IF(V367&gt;0,"2030",IF(U367&gt;0,"2029",IF(T367&gt;0,"2028",IF(S367&gt;0,"2027",IF(R367&gt;0,"2026",IF(Q367&gt;0,"2025",IF(P367&gt;0,"2024",IF(M367&gt;0,"2023",IF(L367&gt;0,"2022","")))))))))))))</f>
        <v>2024</v>
      </c>
      <c r="J367" s="168" t="s">
        <v>102</v>
      </c>
      <c r="K367" s="169">
        <f>SUM(N367:O367)</f>
        <v>529999</v>
      </c>
      <c r="L367" s="170">
        <f t="shared" ref="L367:M367" si="601">SUM(L368:L369)</f>
        <v>43050</v>
      </c>
      <c r="M367" s="171">
        <f t="shared" si="601"/>
        <v>381809</v>
      </c>
      <c r="N367" s="172">
        <f>SUM(L367:M367)</f>
        <v>424859</v>
      </c>
      <c r="O367" s="169">
        <f>SUM(P367:Y367)</f>
        <v>105140</v>
      </c>
      <c r="P367" s="173">
        <f t="shared" ref="P367:R367" si="602">SUM(P368:P369)</f>
        <v>105140</v>
      </c>
      <c r="Q367" s="171">
        <f t="shared" si="602"/>
        <v>0</v>
      </c>
      <c r="R367" s="174">
        <f t="shared" si="602"/>
        <v>0</v>
      </c>
      <c r="S367" s="175">
        <f t="shared" ref="S367:Y367" si="603">SUM(S368:S369)</f>
        <v>0</v>
      </c>
      <c r="T367" s="171">
        <f t="shared" si="603"/>
        <v>0</v>
      </c>
      <c r="U367" s="171">
        <f t="shared" si="603"/>
        <v>0</v>
      </c>
      <c r="V367" s="171">
        <f t="shared" si="603"/>
        <v>0</v>
      </c>
      <c r="W367" s="171">
        <f t="shared" si="603"/>
        <v>0</v>
      </c>
      <c r="X367" s="171">
        <f t="shared" si="603"/>
        <v>0</v>
      </c>
      <c r="Y367" s="174">
        <f t="shared" si="603"/>
        <v>0</v>
      </c>
      <c r="Z367" s="149" t="str">
        <f t="shared" ca="1" si="551"/>
        <v>nie</v>
      </c>
      <c r="AA367" s="366"/>
      <c r="AB367" s="150" t="str">
        <f t="shared" ca="1" si="574"/>
        <v>-</v>
      </c>
      <c r="AC367" s="151" t="str">
        <f t="shared" ca="1" si="517"/>
        <v>PO ZMIANIE</v>
      </c>
      <c r="AD367" s="152" t="str">
        <f t="shared" ca="1" si="567"/>
        <v>PO ZMIANIE</v>
      </c>
      <c r="AE367" s="153" t="str">
        <f t="shared" ca="1" si="518"/>
        <v>C/USN/III/P4/35</v>
      </c>
      <c r="AF367" s="154" t="str">
        <f t="shared" ca="1" si="519"/>
        <v>Tężnia solankowa na Natolinie</v>
      </c>
      <c r="AG367" s="155">
        <f t="shared" ca="1" si="520"/>
        <v>90095</v>
      </c>
      <c r="AH367" s="155" t="str">
        <f t="shared" ca="1" si="521"/>
        <v>6050</v>
      </c>
      <c r="AI367" s="156" t="str">
        <f t="shared" ca="1" si="522"/>
        <v>BO/22/12/0239</v>
      </c>
      <c r="AJ367" s="157" t="str">
        <f t="shared" ca="1" si="523"/>
        <v>WPF, w tym</v>
      </c>
      <c r="AK367" s="158" t="str">
        <f t="shared" ca="1" si="568"/>
        <v>C/USN/III/P4/35 90095 6050 BO/22/12/0239</v>
      </c>
      <c r="AL367" s="158" t="str">
        <f t="shared" ca="1" si="569"/>
        <v>C/USN/III/P4/35 90095 6050 WPF, w tym</v>
      </c>
      <c r="AM367" s="159" t="str">
        <f t="shared" ca="1" si="570"/>
        <v>C/USN/III/P4/35 90095 6050 BO/22/12/0239 WPF, w tym</v>
      </c>
      <c r="AN367" s="160">
        <f t="shared" ca="1" si="524"/>
        <v>529999</v>
      </c>
      <c r="AO367" s="161">
        <f t="shared" ca="1" si="525"/>
        <v>43050</v>
      </c>
      <c r="AP367" s="162">
        <f t="shared" ca="1" si="526"/>
        <v>381809</v>
      </c>
      <c r="AQ367" s="163">
        <f t="shared" ca="1" si="527"/>
        <v>105140</v>
      </c>
      <c r="AR367" s="164">
        <f t="shared" ca="1" si="528"/>
        <v>0</v>
      </c>
      <c r="AS367" s="164">
        <f t="shared" ca="1" si="529"/>
        <v>0</v>
      </c>
      <c r="AT367" s="164">
        <f t="shared" ca="1" si="530"/>
        <v>0</v>
      </c>
      <c r="AU367" s="164">
        <f t="shared" ca="1" si="531"/>
        <v>0</v>
      </c>
      <c r="AV367" s="164">
        <f t="shared" ca="1" si="532"/>
        <v>0</v>
      </c>
      <c r="AW367" s="164">
        <f t="shared" ca="1" si="533"/>
        <v>0</v>
      </c>
      <c r="AX367" s="164">
        <f t="shared" ca="1" si="534"/>
        <v>0</v>
      </c>
      <c r="AY367" s="164">
        <f t="shared" ca="1" si="535"/>
        <v>0</v>
      </c>
      <c r="AZ367" s="164">
        <f t="shared" ca="1" si="536"/>
        <v>0</v>
      </c>
      <c r="BA367" s="165" t="str">
        <f t="shared" ca="1" si="537"/>
        <v>nie</v>
      </c>
      <c r="BB367" s="166" t="str">
        <f t="shared" ca="1" si="575"/>
        <v>-</v>
      </c>
      <c r="BC367" s="165" t="str">
        <f t="shared" ca="1" si="552"/>
        <v>nie</v>
      </c>
    </row>
    <row r="368" spans="1:55" s="167" customFormat="1" ht="14.45" hidden="1" customHeight="1" x14ac:dyDescent="0.25">
      <c r="A368" s="493"/>
      <c r="B368" s="538"/>
      <c r="C368" s="530"/>
      <c r="D368" s="512"/>
      <c r="E368" s="497"/>
      <c r="F368" s="497"/>
      <c r="G368" s="497"/>
      <c r="H368" s="498"/>
      <c r="I368" s="499"/>
      <c r="J368" s="177" t="s">
        <v>103</v>
      </c>
      <c r="K368" s="178">
        <f>SUM(N368:O368)</f>
        <v>105140</v>
      </c>
      <c r="L368" s="179"/>
      <c r="M368" s="180"/>
      <c r="N368" s="172">
        <f>SUM(L368:M368)</f>
        <v>0</v>
      </c>
      <c r="O368" s="178">
        <f>SUM(P368:Y368)</f>
        <v>105140</v>
      </c>
      <c r="P368" s="181">
        <f>105140</f>
        <v>105140</v>
      </c>
      <c r="Q368" s="180"/>
      <c r="R368" s="182"/>
      <c r="S368" s="183"/>
      <c r="T368" s="180"/>
      <c r="U368" s="180"/>
      <c r="V368" s="180"/>
      <c r="W368" s="180"/>
      <c r="X368" s="180"/>
      <c r="Y368" s="182"/>
      <c r="Z368" s="149" t="str">
        <f t="shared" ca="1" si="551"/>
        <v>nie</v>
      </c>
      <c r="AA368" s="384"/>
      <c r="AB368" s="150" t="str">
        <f t="shared" ca="1" si="574"/>
        <v>-</v>
      </c>
      <c r="AC368" s="151" t="str">
        <f t="shared" ca="1" si="517"/>
        <v>PO ZMIANIE</v>
      </c>
      <c r="AD368" s="152" t="str">
        <f t="shared" ca="1" si="567"/>
        <v>PO ZMIANIE</v>
      </c>
      <c r="AE368" s="153" t="str">
        <f t="shared" ca="1" si="518"/>
        <v>C/USN/III/P4/35</v>
      </c>
      <c r="AF368" s="154" t="str">
        <f t="shared" ca="1" si="519"/>
        <v>Tężnia solankowa na Natolinie</v>
      </c>
      <c r="AG368" s="155">
        <f t="shared" ca="1" si="520"/>
        <v>90095</v>
      </c>
      <c r="AH368" s="155" t="str">
        <f t="shared" ca="1" si="521"/>
        <v>6050</v>
      </c>
      <c r="AI368" s="156" t="str">
        <f t="shared" ca="1" si="522"/>
        <v>BO/22/12/0239</v>
      </c>
      <c r="AJ368" s="157" t="str">
        <f t="shared" ca="1" si="523"/>
        <v>WPF/PM</v>
      </c>
      <c r="AK368" s="158" t="str">
        <f t="shared" ca="1" si="568"/>
        <v>C/USN/III/P4/35 90095 6050 BO/22/12/0239</v>
      </c>
      <c r="AL368" s="158" t="str">
        <f t="shared" ca="1" si="569"/>
        <v>C/USN/III/P4/35 90095 6050 WPF/PM</v>
      </c>
      <c r="AM368" s="159" t="str">
        <f t="shared" ca="1" si="570"/>
        <v>C/USN/III/P4/35 90095 6050 BO/22/12/0239 WPF/PM</v>
      </c>
      <c r="AN368" s="160">
        <f t="shared" ca="1" si="524"/>
        <v>105140</v>
      </c>
      <c r="AO368" s="161">
        <f t="shared" ca="1" si="525"/>
        <v>0</v>
      </c>
      <c r="AP368" s="162">
        <f t="shared" ca="1" si="526"/>
        <v>0</v>
      </c>
      <c r="AQ368" s="163">
        <f t="shared" ca="1" si="527"/>
        <v>105140</v>
      </c>
      <c r="AR368" s="164">
        <f t="shared" ca="1" si="528"/>
        <v>0</v>
      </c>
      <c r="AS368" s="164">
        <f t="shared" ca="1" si="529"/>
        <v>0</v>
      </c>
      <c r="AT368" s="164">
        <f t="shared" ca="1" si="530"/>
        <v>0</v>
      </c>
      <c r="AU368" s="164">
        <f t="shared" ca="1" si="531"/>
        <v>0</v>
      </c>
      <c r="AV368" s="164">
        <f t="shared" ca="1" si="532"/>
        <v>0</v>
      </c>
      <c r="AW368" s="164">
        <f t="shared" ca="1" si="533"/>
        <v>0</v>
      </c>
      <c r="AX368" s="164">
        <f t="shared" ca="1" si="534"/>
        <v>0</v>
      </c>
      <c r="AY368" s="164">
        <f t="shared" ca="1" si="535"/>
        <v>0</v>
      </c>
      <c r="AZ368" s="164">
        <f t="shared" ca="1" si="536"/>
        <v>0</v>
      </c>
      <c r="BA368" s="165" t="str">
        <f t="shared" ca="1" si="537"/>
        <v>nie</v>
      </c>
      <c r="BB368" s="166" t="str">
        <f t="shared" ca="1" si="575"/>
        <v>-</v>
      </c>
      <c r="BC368" s="165" t="str">
        <f t="shared" ca="1" si="552"/>
        <v>nie</v>
      </c>
    </row>
    <row r="369" spans="1:55" s="167" customFormat="1" ht="14.45" hidden="1" customHeight="1" thickBot="1" x14ac:dyDescent="0.3">
      <c r="A369" s="500"/>
      <c r="B369" s="539"/>
      <c r="C369" s="531"/>
      <c r="D369" s="529"/>
      <c r="E369" s="503"/>
      <c r="F369" s="503"/>
      <c r="G369" s="503"/>
      <c r="H369" s="504"/>
      <c r="I369" s="499"/>
      <c r="J369" s="197" t="s">
        <v>104</v>
      </c>
      <c r="K369" s="198">
        <f>SUM(N369:O369)</f>
        <v>424859</v>
      </c>
      <c r="L369" s="199">
        <v>43050</v>
      </c>
      <c r="M369" s="200">
        <f>381809</f>
        <v>381809</v>
      </c>
      <c r="N369" s="371">
        <f>SUM(L369:M369)</f>
        <v>424859</v>
      </c>
      <c r="O369" s="198">
        <f>SUM(P369:Y369)</f>
        <v>0</v>
      </c>
      <c r="P369" s="201"/>
      <c r="Q369" s="200"/>
      <c r="R369" s="202"/>
      <c r="S369" s="203"/>
      <c r="T369" s="200"/>
      <c r="U369" s="200"/>
      <c r="V369" s="200"/>
      <c r="W369" s="200"/>
      <c r="X369" s="200"/>
      <c r="Y369" s="202"/>
      <c r="Z369" s="149" t="str">
        <f t="shared" ca="1" si="551"/>
        <v>nie</v>
      </c>
      <c r="AA369" s="396"/>
      <c r="AB369" s="150" t="str">
        <f t="shared" ca="1" si="574"/>
        <v>-</v>
      </c>
      <c r="AC369" s="151" t="str">
        <f t="shared" ca="1" si="517"/>
        <v>PO ZMIANIE</v>
      </c>
      <c r="AD369" s="152" t="str">
        <f t="shared" ca="1" si="567"/>
        <v>PO ZMIANIE</v>
      </c>
      <c r="AE369" s="153" t="str">
        <f t="shared" ca="1" si="518"/>
        <v>C/USN/III/P4/35</v>
      </c>
      <c r="AF369" s="154" t="str">
        <f t="shared" ca="1" si="519"/>
        <v>Tężnia solankowa na Natolinie</v>
      </c>
      <c r="AG369" s="155">
        <f t="shared" ca="1" si="520"/>
        <v>90095</v>
      </c>
      <c r="AH369" s="155" t="str">
        <f t="shared" ca="1" si="521"/>
        <v>6050</v>
      </c>
      <c r="AI369" s="156" t="str">
        <f t="shared" ca="1" si="522"/>
        <v>BO/22/12/0239</v>
      </c>
      <c r="AJ369" s="157" t="str">
        <f t="shared" ca="1" si="523"/>
        <v>WPF/UM</v>
      </c>
      <c r="AK369" s="158" t="str">
        <f t="shared" ca="1" si="568"/>
        <v>C/USN/III/P4/35 90095 6050 BO/22/12/0239</v>
      </c>
      <c r="AL369" s="158" t="str">
        <f t="shared" ca="1" si="569"/>
        <v>C/USN/III/P4/35 90095 6050 WPF/UM</v>
      </c>
      <c r="AM369" s="159" t="str">
        <f t="shared" ca="1" si="570"/>
        <v>C/USN/III/P4/35 90095 6050 BO/22/12/0239 WPF/UM</v>
      </c>
      <c r="AN369" s="160">
        <f t="shared" ca="1" si="524"/>
        <v>424859</v>
      </c>
      <c r="AO369" s="161">
        <f t="shared" ca="1" si="525"/>
        <v>43050</v>
      </c>
      <c r="AP369" s="162">
        <f t="shared" ca="1" si="526"/>
        <v>381809</v>
      </c>
      <c r="AQ369" s="163">
        <f t="shared" ca="1" si="527"/>
        <v>0</v>
      </c>
      <c r="AR369" s="164">
        <f t="shared" ca="1" si="528"/>
        <v>0</v>
      </c>
      <c r="AS369" s="164">
        <f t="shared" ca="1" si="529"/>
        <v>0</v>
      </c>
      <c r="AT369" s="164">
        <f t="shared" ca="1" si="530"/>
        <v>0</v>
      </c>
      <c r="AU369" s="164">
        <f t="shared" ca="1" si="531"/>
        <v>0</v>
      </c>
      <c r="AV369" s="164">
        <f t="shared" ca="1" si="532"/>
        <v>0</v>
      </c>
      <c r="AW369" s="164">
        <f t="shared" ca="1" si="533"/>
        <v>0</v>
      </c>
      <c r="AX369" s="164">
        <f t="shared" ca="1" si="534"/>
        <v>0</v>
      </c>
      <c r="AY369" s="164">
        <f t="shared" ca="1" si="535"/>
        <v>0</v>
      </c>
      <c r="AZ369" s="164">
        <f t="shared" ca="1" si="536"/>
        <v>0</v>
      </c>
      <c r="BA369" s="165" t="str">
        <f t="shared" ca="1" si="537"/>
        <v>nie</v>
      </c>
      <c r="BB369" s="166" t="str">
        <f t="shared" ca="1" si="575"/>
        <v>-</v>
      </c>
      <c r="BC369" s="165" t="str">
        <f t="shared" ca="1" si="552"/>
        <v>nie</v>
      </c>
    </row>
    <row r="370" spans="1:55" s="167" customFormat="1" ht="14.45" hidden="1" customHeight="1" x14ac:dyDescent="0.25">
      <c r="A370" s="143" t="s">
        <v>91</v>
      </c>
      <c r="B370" s="144"/>
      <c r="C370" s="145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6"/>
      <c r="S370" s="147"/>
      <c r="T370" s="147"/>
      <c r="U370" s="147"/>
      <c r="V370" s="147"/>
      <c r="W370" s="147"/>
      <c r="X370" s="147"/>
      <c r="Y370" s="148"/>
      <c r="Z370" s="149" t="str">
        <f t="shared" ca="1" si="551"/>
        <v>nie</v>
      </c>
      <c r="AA370" s="366"/>
      <c r="AB370" s="150" t="str">
        <f t="shared" ca="1" si="574"/>
        <v>-</v>
      </c>
      <c r="AC370" s="151" t="str">
        <f t="shared" ca="1" si="517"/>
        <v>PRZED ZMIANĄ</v>
      </c>
      <c r="AD370" s="152" t="str">
        <f t="shared" ca="1" si="567"/>
        <v/>
      </c>
      <c r="AE370" s="153" t="str">
        <f t="shared" ca="1" si="518"/>
        <v/>
      </c>
      <c r="AF370" s="154" t="str">
        <f t="shared" ca="1" si="519"/>
        <v/>
      </c>
      <c r="AG370" s="155" t="str">
        <f t="shared" ca="1" si="520"/>
        <v/>
      </c>
      <c r="AH370" s="155" t="str">
        <f t="shared" ca="1" si="521"/>
        <v/>
      </c>
      <c r="AI370" s="156" t="str">
        <f t="shared" ca="1" si="522"/>
        <v/>
      </c>
      <c r="AJ370" s="157" t="str">
        <f t="shared" ca="1" si="523"/>
        <v/>
      </c>
      <c r="AK370" s="158" t="str">
        <f t="shared" ca="1" si="568"/>
        <v/>
      </c>
      <c r="AL370" s="158" t="str">
        <f t="shared" ca="1" si="569"/>
        <v/>
      </c>
      <c r="AM370" s="159" t="str">
        <f t="shared" ca="1" si="570"/>
        <v/>
      </c>
      <c r="AN370" s="160" t="str">
        <f t="shared" ca="1" si="524"/>
        <v/>
      </c>
      <c r="AO370" s="161" t="str">
        <f t="shared" ca="1" si="525"/>
        <v/>
      </c>
      <c r="AP370" s="162" t="str">
        <f t="shared" ca="1" si="526"/>
        <v/>
      </c>
      <c r="AQ370" s="163" t="str">
        <f t="shared" ca="1" si="527"/>
        <v/>
      </c>
      <c r="AR370" s="164" t="str">
        <f t="shared" ca="1" si="528"/>
        <v/>
      </c>
      <c r="AS370" s="164" t="str">
        <f t="shared" ca="1" si="529"/>
        <v/>
      </c>
      <c r="AT370" s="164" t="str">
        <f t="shared" ca="1" si="530"/>
        <v/>
      </c>
      <c r="AU370" s="164" t="str">
        <f t="shared" ca="1" si="531"/>
        <v/>
      </c>
      <c r="AV370" s="164" t="str">
        <f t="shared" ca="1" si="532"/>
        <v/>
      </c>
      <c r="AW370" s="164" t="str">
        <f t="shared" ca="1" si="533"/>
        <v/>
      </c>
      <c r="AX370" s="164" t="str">
        <f t="shared" ca="1" si="534"/>
        <v/>
      </c>
      <c r="AY370" s="164" t="str">
        <f t="shared" ca="1" si="535"/>
        <v/>
      </c>
      <c r="AZ370" s="164" t="str">
        <f t="shared" ca="1" si="536"/>
        <v/>
      </c>
      <c r="BA370" s="165" t="str">
        <f t="shared" ca="1" si="537"/>
        <v>nie</v>
      </c>
      <c r="BB370" s="166" t="str">
        <f t="shared" ca="1" si="575"/>
        <v>-</v>
      </c>
      <c r="BC370" s="165" t="str">
        <f t="shared" ca="1" si="552"/>
        <v>nie</v>
      </c>
    </row>
    <row r="371" spans="1:55" s="176" customFormat="1" ht="14.45" hidden="1" customHeight="1" x14ac:dyDescent="0.25">
      <c r="A371" s="493" t="s">
        <v>24</v>
      </c>
      <c r="B371" s="538" t="s">
        <v>153</v>
      </c>
      <c r="C371" s="530" t="s">
        <v>154</v>
      </c>
      <c r="D371" s="511" t="s">
        <v>147</v>
      </c>
      <c r="E371" s="497">
        <v>900</v>
      </c>
      <c r="F371" s="497">
        <v>90095</v>
      </c>
      <c r="G371" s="497">
        <v>6050</v>
      </c>
      <c r="H371" s="507">
        <v>2022</v>
      </c>
      <c r="I371" s="499" t="str">
        <f ca="1">IF(COUNTIF(OFFSET(I371,-1,-8),"*propon*")&gt;0,OFFSET(I371,4,0),IF(Y371&gt;0,"2033",IF(X371&gt;0,"2032",IF(W371&gt;0,"2031",IF(V371&gt;0,"2030",IF(U371&gt;0,"2029",IF(T371&gt;0,"2028",IF(S371&gt;0,"2027",IF(R371&gt;0,"2026",IF(Q371&gt;0,"2025",IF(P371&gt;0,"2024",IF(M371&gt;0,"2023",IF(L371&gt;0,"2022","")))))))))))))</f>
        <v>2024</v>
      </c>
      <c r="J371" s="168" t="s">
        <v>94</v>
      </c>
      <c r="K371" s="169">
        <f>SUM(N371:O371)</f>
        <v>259335</v>
      </c>
      <c r="L371" s="170">
        <f t="shared" ref="L371:M371" si="604">SUM(L372:L373)</f>
        <v>0</v>
      </c>
      <c r="M371" s="171">
        <f t="shared" si="604"/>
        <v>7800</v>
      </c>
      <c r="N371" s="172">
        <f>SUM(L371:M371)</f>
        <v>7800</v>
      </c>
      <c r="O371" s="169">
        <f>SUM(P371:Y371)</f>
        <v>251535</v>
      </c>
      <c r="P371" s="173">
        <f t="shared" ref="P371:R371" si="605">SUM(P372:P373)</f>
        <v>251535</v>
      </c>
      <c r="Q371" s="171">
        <f t="shared" si="605"/>
        <v>0</v>
      </c>
      <c r="R371" s="174">
        <f t="shared" si="605"/>
        <v>0</v>
      </c>
      <c r="S371" s="175">
        <f t="shared" ref="S371:Y371" si="606">SUM(S372:S373)</f>
        <v>0</v>
      </c>
      <c r="T371" s="171">
        <f t="shared" si="606"/>
        <v>0</v>
      </c>
      <c r="U371" s="171">
        <f t="shared" si="606"/>
        <v>0</v>
      </c>
      <c r="V371" s="171">
        <f t="shared" si="606"/>
        <v>0</v>
      </c>
      <c r="W371" s="171">
        <f t="shared" si="606"/>
        <v>0</v>
      </c>
      <c r="X371" s="171">
        <f t="shared" si="606"/>
        <v>0</v>
      </c>
      <c r="Y371" s="174">
        <f t="shared" si="606"/>
        <v>0</v>
      </c>
      <c r="Z371" s="149" t="str">
        <f t="shared" ca="1" si="551"/>
        <v>nie</v>
      </c>
      <c r="AA371" s="366"/>
      <c r="AB371" s="150" t="str">
        <f t="shared" ca="1" si="574"/>
        <v>-</v>
      </c>
      <c r="AC371" s="151" t="str">
        <f t="shared" ca="1" si="517"/>
        <v>PRZED ZMIANĄ</v>
      </c>
      <c r="AD371" s="152" t="str">
        <f t="shared" ca="1" si="567"/>
        <v>PRZED ZMIANĄ</v>
      </c>
      <c r="AE371" s="153" t="str">
        <f t="shared" ca="1" si="518"/>
        <v>C/USN/III/P4/36</v>
      </c>
      <c r="AF371" s="154" t="str">
        <f t="shared" ca="1" si="519"/>
        <v>Zielone skwery na Ursynowie (kontynuacja)</v>
      </c>
      <c r="AG371" s="155">
        <f t="shared" ca="1" si="520"/>
        <v>90095</v>
      </c>
      <c r="AH371" s="155" t="str">
        <f t="shared" ca="1" si="521"/>
        <v>6050</v>
      </c>
      <c r="AI371" s="156" t="str">
        <f t="shared" ca="1" si="522"/>
        <v>BO/22/12/0236</v>
      </c>
      <c r="AJ371" s="157" t="str">
        <f t="shared" ca="1" si="523"/>
        <v>WPF, w tym</v>
      </c>
      <c r="AK371" s="158" t="str">
        <f t="shared" ca="1" si="568"/>
        <v>C/USN/III/P4/36 90095 6050 BO/22/12/0236</v>
      </c>
      <c r="AL371" s="158" t="str">
        <f t="shared" ca="1" si="569"/>
        <v>C/USN/III/P4/36 90095 6050 WPF, w tym</v>
      </c>
      <c r="AM371" s="159" t="str">
        <f t="shared" ca="1" si="570"/>
        <v>C/USN/III/P4/36 90095 6050 BO/22/12/0236 WPF, w tym</v>
      </c>
      <c r="AN371" s="160">
        <f t="shared" ca="1" si="524"/>
        <v>259335</v>
      </c>
      <c r="AO371" s="161">
        <f t="shared" ca="1" si="525"/>
        <v>0</v>
      </c>
      <c r="AP371" s="162">
        <f t="shared" ca="1" si="526"/>
        <v>7800</v>
      </c>
      <c r="AQ371" s="163">
        <f t="shared" ca="1" si="527"/>
        <v>251535</v>
      </c>
      <c r="AR371" s="164">
        <f t="shared" ca="1" si="528"/>
        <v>0</v>
      </c>
      <c r="AS371" s="164">
        <f t="shared" ca="1" si="529"/>
        <v>0</v>
      </c>
      <c r="AT371" s="164">
        <f t="shared" ca="1" si="530"/>
        <v>0</v>
      </c>
      <c r="AU371" s="164">
        <f t="shared" ca="1" si="531"/>
        <v>0</v>
      </c>
      <c r="AV371" s="164">
        <f t="shared" ca="1" si="532"/>
        <v>0</v>
      </c>
      <c r="AW371" s="164">
        <f t="shared" ca="1" si="533"/>
        <v>0</v>
      </c>
      <c r="AX371" s="164">
        <f t="shared" ca="1" si="534"/>
        <v>0</v>
      </c>
      <c r="AY371" s="164">
        <f t="shared" ca="1" si="535"/>
        <v>0</v>
      </c>
      <c r="AZ371" s="164">
        <f t="shared" ca="1" si="536"/>
        <v>0</v>
      </c>
      <c r="BA371" s="165" t="str">
        <f t="shared" ca="1" si="537"/>
        <v>nie</v>
      </c>
      <c r="BB371" s="166" t="str">
        <f t="shared" ca="1" si="575"/>
        <v>-</v>
      </c>
      <c r="BC371" s="165" t="str">
        <f t="shared" ca="1" si="552"/>
        <v>nie</v>
      </c>
    </row>
    <row r="372" spans="1:55" s="167" customFormat="1" ht="14.45" hidden="1" customHeight="1" x14ac:dyDescent="0.25">
      <c r="A372" s="493"/>
      <c r="B372" s="538"/>
      <c r="C372" s="530"/>
      <c r="D372" s="512"/>
      <c r="E372" s="497"/>
      <c r="F372" s="497"/>
      <c r="G372" s="497"/>
      <c r="H372" s="498"/>
      <c r="I372" s="499"/>
      <c r="J372" s="177" t="s">
        <v>95</v>
      </c>
      <c r="K372" s="178">
        <f>SUM(N372:O372)</f>
        <v>251535</v>
      </c>
      <c r="L372" s="179"/>
      <c r="M372" s="180"/>
      <c r="N372" s="172">
        <f>SUM(L372:M372)</f>
        <v>0</v>
      </c>
      <c r="O372" s="178">
        <f>SUM(P372:Y372)</f>
        <v>251535</v>
      </c>
      <c r="P372" s="181">
        <v>251535</v>
      </c>
      <c r="Q372" s="180"/>
      <c r="R372" s="182"/>
      <c r="S372" s="183"/>
      <c r="T372" s="180"/>
      <c r="U372" s="180"/>
      <c r="V372" s="180"/>
      <c r="W372" s="180"/>
      <c r="X372" s="180"/>
      <c r="Y372" s="182"/>
      <c r="Z372" s="149" t="str">
        <f t="shared" ca="1" si="551"/>
        <v>nie</v>
      </c>
      <c r="AA372" s="366"/>
      <c r="AB372" s="150" t="str">
        <f t="shared" ca="1" si="574"/>
        <v>-</v>
      </c>
      <c r="AC372" s="151" t="str">
        <f t="shared" ca="1" si="517"/>
        <v>PRZED ZMIANĄ</v>
      </c>
      <c r="AD372" s="152" t="str">
        <f t="shared" ca="1" si="567"/>
        <v>PRZED ZMIANĄ</v>
      </c>
      <c r="AE372" s="153" t="str">
        <f t="shared" ca="1" si="518"/>
        <v>C/USN/III/P4/36</v>
      </c>
      <c r="AF372" s="154" t="str">
        <f t="shared" ca="1" si="519"/>
        <v>Zielone skwery na Ursynowie (kontynuacja)</v>
      </c>
      <c r="AG372" s="155">
        <f t="shared" ca="1" si="520"/>
        <v>90095</v>
      </c>
      <c r="AH372" s="155" t="str">
        <f t="shared" ca="1" si="521"/>
        <v>6050</v>
      </c>
      <c r="AI372" s="156" t="str">
        <f t="shared" ca="1" si="522"/>
        <v>BO/22/12/0236</v>
      </c>
      <c r="AJ372" s="157" t="str">
        <f t="shared" ca="1" si="523"/>
        <v>WPF/PM</v>
      </c>
      <c r="AK372" s="158" t="str">
        <f t="shared" ca="1" si="568"/>
        <v>C/USN/III/P4/36 90095 6050 BO/22/12/0236</v>
      </c>
      <c r="AL372" s="158" t="str">
        <f t="shared" ca="1" si="569"/>
        <v>C/USN/III/P4/36 90095 6050 WPF/PM</v>
      </c>
      <c r="AM372" s="159" t="str">
        <f t="shared" ca="1" si="570"/>
        <v>C/USN/III/P4/36 90095 6050 BO/22/12/0236 WPF/PM</v>
      </c>
      <c r="AN372" s="160">
        <f t="shared" ca="1" si="524"/>
        <v>251535</v>
      </c>
      <c r="AO372" s="161">
        <f t="shared" ca="1" si="525"/>
        <v>0</v>
      </c>
      <c r="AP372" s="162">
        <f t="shared" ca="1" si="526"/>
        <v>0</v>
      </c>
      <c r="AQ372" s="163">
        <f t="shared" ca="1" si="527"/>
        <v>251535</v>
      </c>
      <c r="AR372" s="164">
        <f t="shared" ca="1" si="528"/>
        <v>0</v>
      </c>
      <c r="AS372" s="164">
        <f t="shared" ca="1" si="529"/>
        <v>0</v>
      </c>
      <c r="AT372" s="164">
        <f t="shared" ca="1" si="530"/>
        <v>0</v>
      </c>
      <c r="AU372" s="164">
        <f t="shared" ca="1" si="531"/>
        <v>0</v>
      </c>
      <c r="AV372" s="164">
        <f t="shared" ca="1" si="532"/>
        <v>0</v>
      </c>
      <c r="AW372" s="164">
        <f t="shared" ca="1" si="533"/>
        <v>0</v>
      </c>
      <c r="AX372" s="164">
        <f t="shared" ca="1" si="534"/>
        <v>0</v>
      </c>
      <c r="AY372" s="164">
        <f t="shared" ca="1" si="535"/>
        <v>0</v>
      </c>
      <c r="AZ372" s="164">
        <f t="shared" ca="1" si="536"/>
        <v>0</v>
      </c>
      <c r="BA372" s="165" t="str">
        <f t="shared" ca="1" si="537"/>
        <v>nie</v>
      </c>
      <c r="BB372" s="166" t="str">
        <f t="shared" ca="1" si="575"/>
        <v>-</v>
      </c>
      <c r="BC372" s="165" t="str">
        <f t="shared" ca="1" si="552"/>
        <v>nie</v>
      </c>
    </row>
    <row r="373" spans="1:55" s="167" customFormat="1" ht="14.45" hidden="1" customHeight="1" x14ac:dyDescent="0.25">
      <c r="A373" s="493"/>
      <c r="B373" s="538"/>
      <c r="C373" s="530"/>
      <c r="D373" s="512"/>
      <c r="E373" s="497"/>
      <c r="F373" s="497"/>
      <c r="G373" s="497"/>
      <c r="H373" s="498"/>
      <c r="I373" s="499"/>
      <c r="J373" s="177" t="s">
        <v>96</v>
      </c>
      <c r="K373" s="178">
        <f>SUM(N373:O373)</f>
        <v>7800</v>
      </c>
      <c r="L373" s="184"/>
      <c r="M373" s="180">
        <v>7800</v>
      </c>
      <c r="N373" s="172">
        <f>SUM(L373:M373)</f>
        <v>7800</v>
      </c>
      <c r="O373" s="178">
        <f>SUM(P373:Y373)</f>
        <v>0</v>
      </c>
      <c r="P373" s="181"/>
      <c r="Q373" s="180"/>
      <c r="R373" s="182"/>
      <c r="S373" s="183"/>
      <c r="T373" s="180"/>
      <c r="U373" s="180"/>
      <c r="V373" s="180"/>
      <c r="W373" s="180"/>
      <c r="X373" s="180"/>
      <c r="Y373" s="182"/>
      <c r="Z373" s="149" t="str">
        <f t="shared" ca="1" si="551"/>
        <v>nie</v>
      </c>
      <c r="AA373" s="366"/>
      <c r="AB373" s="150" t="str">
        <f t="shared" ca="1" si="574"/>
        <v>-</v>
      </c>
      <c r="AC373" s="151" t="str">
        <f t="shared" ca="1" si="517"/>
        <v>PRZED ZMIANĄ</v>
      </c>
      <c r="AD373" s="152" t="str">
        <f t="shared" ca="1" si="567"/>
        <v>PRZED ZMIANĄ</v>
      </c>
      <c r="AE373" s="153" t="str">
        <f t="shared" ca="1" si="518"/>
        <v>C/USN/III/P4/36</v>
      </c>
      <c r="AF373" s="154" t="str">
        <f t="shared" ca="1" si="519"/>
        <v>Zielone skwery na Ursynowie (kontynuacja)</v>
      </c>
      <c r="AG373" s="155">
        <f t="shared" ca="1" si="520"/>
        <v>90095</v>
      </c>
      <c r="AH373" s="155" t="str">
        <f t="shared" ca="1" si="521"/>
        <v>6050</v>
      </c>
      <c r="AI373" s="156" t="str">
        <f t="shared" ca="1" si="522"/>
        <v>BO/22/12/0236</v>
      </c>
      <c r="AJ373" s="157" t="str">
        <f t="shared" ca="1" si="523"/>
        <v>WPF/UM</v>
      </c>
      <c r="AK373" s="158" t="str">
        <f t="shared" ca="1" si="568"/>
        <v>C/USN/III/P4/36 90095 6050 BO/22/12/0236</v>
      </c>
      <c r="AL373" s="158" t="str">
        <f t="shared" ca="1" si="569"/>
        <v>C/USN/III/P4/36 90095 6050 WPF/UM</v>
      </c>
      <c r="AM373" s="159" t="str">
        <f t="shared" ca="1" si="570"/>
        <v>C/USN/III/P4/36 90095 6050 BO/22/12/0236 WPF/UM</v>
      </c>
      <c r="AN373" s="160">
        <f t="shared" ca="1" si="524"/>
        <v>7800</v>
      </c>
      <c r="AO373" s="161">
        <f t="shared" ca="1" si="525"/>
        <v>0</v>
      </c>
      <c r="AP373" s="162">
        <f t="shared" ca="1" si="526"/>
        <v>7800</v>
      </c>
      <c r="AQ373" s="163">
        <f t="shared" ca="1" si="527"/>
        <v>0</v>
      </c>
      <c r="AR373" s="164">
        <f t="shared" ca="1" si="528"/>
        <v>0</v>
      </c>
      <c r="AS373" s="164">
        <f t="shared" ca="1" si="529"/>
        <v>0</v>
      </c>
      <c r="AT373" s="164">
        <f t="shared" ca="1" si="530"/>
        <v>0</v>
      </c>
      <c r="AU373" s="164">
        <f t="shared" ca="1" si="531"/>
        <v>0</v>
      </c>
      <c r="AV373" s="164">
        <f t="shared" ca="1" si="532"/>
        <v>0</v>
      </c>
      <c r="AW373" s="164">
        <f t="shared" ca="1" si="533"/>
        <v>0</v>
      </c>
      <c r="AX373" s="164">
        <f t="shared" ca="1" si="534"/>
        <v>0</v>
      </c>
      <c r="AY373" s="164">
        <f t="shared" ca="1" si="535"/>
        <v>0</v>
      </c>
      <c r="AZ373" s="164">
        <f t="shared" ca="1" si="536"/>
        <v>0</v>
      </c>
      <c r="BA373" s="165" t="str">
        <f t="shared" ca="1" si="537"/>
        <v>nie</v>
      </c>
      <c r="BB373" s="166" t="str">
        <f t="shared" ca="1" si="575"/>
        <v>-</v>
      </c>
      <c r="BC373" s="165" t="str">
        <f t="shared" ca="1" si="552"/>
        <v>nie</v>
      </c>
    </row>
    <row r="374" spans="1:55" s="167" customFormat="1" ht="14.45" hidden="1" customHeight="1" x14ac:dyDescent="0.25">
      <c r="A374" s="185" t="s">
        <v>97</v>
      </c>
      <c r="B374" s="186"/>
      <c r="C374" s="187"/>
      <c r="D374" s="186"/>
      <c r="E374" s="186"/>
      <c r="F374" s="186"/>
      <c r="G374" s="186"/>
      <c r="H374" s="186"/>
      <c r="I374" s="186"/>
      <c r="J374" s="186"/>
      <c r="K374" s="186"/>
      <c r="L374" s="186"/>
      <c r="M374" s="186"/>
      <c r="N374" s="186"/>
      <c r="O374" s="186"/>
      <c r="P374" s="186"/>
      <c r="Q374" s="186"/>
      <c r="R374" s="188"/>
      <c r="S374" s="189"/>
      <c r="T374" s="189"/>
      <c r="U374" s="189"/>
      <c r="V374" s="189"/>
      <c r="W374" s="189"/>
      <c r="X374" s="189"/>
      <c r="Y374" s="190"/>
      <c r="Z374" s="149" t="str">
        <f t="shared" ca="1" si="551"/>
        <v>nie</v>
      </c>
      <c r="AA374" s="366"/>
      <c r="AB374" s="150" t="str">
        <f t="shared" ca="1" si="574"/>
        <v>-</v>
      </c>
      <c r="AC374" s="151" t="str">
        <f t="shared" ca="1" si="517"/>
        <v>PROPONOWANA ZMIANA</v>
      </c>
      <c r="AD374" s="152" t="str">
        <f t="shared" ca="1" si="567"/>
        <v/>
      </c>
      <c r="AE374" s="153" t="str">
        <f t="shared" ca="1" si="518"/>
        <v/>
      </c>
      <c r="AF374" s="154" t="str">
        <f t="shared" ca="1" si="519"/>
        <v/>
      </c>
      <c r="AG374" s="155" t="str">
        <f t="shared" ca="1" si="520"/>
        <v/>
      </c>
      <c r="AH374" s="155" t="str">
        <f t="shared" ca="1" si="521"/>
        <v/>
      </c>
      <c r="AI374" s="156" t="str">
        <f t="shared" ca="1" si="522"/>
        <v/>
      </c>
      <c r="AJ374" s="157" t="str">
        <f t="shared" ca="1" si="523"/>
        <v/>
      </c>
      <c r="AK374" s="158" t="str">
        <f t="shared" ca="1" si="568"/>
        <v/>
      </c>
      <c r="AL374" s="158" t="str">
        <f t="shared" ca="1" si="569"/>
        <v/>
      </c>
      <c r="AM374" s="159" t="str">
        <f t="shared" ca="1" si="570"/>
        <v/>
      </c>
      <c r="AN374" s="160" t="str">
        <f t="shared" ca="1" si="524"/>
        <v/>
      </c>
      <c r="AO374" s="161" t="str">
        <f t="shared" ca="1" si="525"/>
        <v/>
      </c>
      <c r="AP374" s="162" t="str">
        <f t="shared" ca="1" si="526"/>
        <v/>
      </c>
      <c r="AQ374" s="163" t="str">
        <f t="shared" ca="1" si="527"/>
        <v/>
      </c>
      <c r="AR374" s="164" t="str">
        <f t="shared" ca="1" si="528"/>
        <v/>
      </c>
      <c r="AS374" s="164" t="str">
        <f t="shared" ca="1" si="529"/>
        <v/>
      </c>
      <c r="AT374" s="164" t="str">
        <f t="shared" ca="1" si="530"/>
        <v/>
      </c>
      <c r="AU374" s="164" t="str">
        <f t="shared" ca="1" si="531"/>
        <v/>
      </c>
      <c r="AV374" s="164" t="str">
        <f t="shared" ca="1" si="532"/>
        <v/>
      </c>
      <c r="AW374" s="164" t="str">
        <f t="shared" ca="1" si="533"/>
        <v/>
      </c>
      <c r="AX374" s="164" t="str">
        <f t="shared" ca="1" si="534"/>
        <v/>
      </c>
      <c r="AY374" s="164" t="str">
        <f t="shared" ca="1" si="535"/>
        <v/>
      </c>
      <c r="AZ374" s="164" t="str">
        <f t="shared" ca="1" si="536"/>
        <v/>
      </c>
      <c r="BA374" s="165" t="str">
        <f t="shared" ca="1" si="537"/>
        <v>nie</v>
      </c>
      <c r="BB374" s="166" t="str">
        <f t="shared" ca="1" si="575"/>
        <v>-</v>
      </c>
      <c r="BC374" s="165" t="str">
        <f t="shared" ca="1" si="552"/>
        <v>nie</v>
      </c>
    </row>
    <row r="375" spans="1:55" s="176" customFormat="1" ht="14.45" hidden="1" customHeight="1" x14ac:dyDescent="0.25">
      <c r="A375" s="493" t="s">
        <v>24</v>
      </c>
      <c r="B375" s="538" t="s">
        <v>153</v>
      </c>
      <c r="C375" s="530" t="s">
        <v>154</v>
      </c>
      <c r="D375" s="511" t="s">
        <v>147</v>
      </c>
      <c r="E375" s="497">
        <v>900</v>
      </c>
      <c r="F375" s="497">
        <v>90095</v>
      </c>
      <c r="G375" s="497">
        <v>6050</v>
      </c>
      <c r="H375" s="507">
        <v>2022</v>
      </c>
      <c r="I375" s="499" t="str">
        <f ca="1">IF(COUNTIF(OFFSET(I375,-1,-8),"*propon*")&gt;0,OFFSET(I375,4,0),IF(Y375&gt;0,"2033",IF(X375&gt;0,"2032",IF(W375&gt;0,"2031",IF(V375&gt;0,"2030",IF(U375&gt;0,"2029",IF(T375&gt;0,"2028",IF(S375&gt;0,"2027",IF(R375&gt;0,"2026",IF(Q375&gt;0,"2025",IF(P375&gt;0,"2024",IF(M375&gt;0,"2023",IF(L375&gt;0,"2022","")))))))))))))</f>
        <v>2024</v>
      </c>
      <c r="J375" s="168" t="s">
        <v>98</v>
      </c>
      <c r="K375" s="169">
        <f>SUM(N375:O375)</f>
        <v>0</v>
      </c>
      <c r="L375" s="170">
        <f t="shared" ref="L375:M375" si="607">SUM(L376:L377)</f>
        <v>0</v>
      </c>
      <c r="M375" s="171">
        <f t="shared" si="607"/>
        <v>0</v>
      </c>
      <c r="N375" s="172">
        <f>SUM(L375:M375)</f>
        <v>0</v>
      </c>
      <c r="O375" s="169">
        <f>SUM(P375:Y375)</f>
        <v>0</v>
      </c>
      <c r="P375" s="173">
        <f t="shared" ref="P375:R375" si="608">SUM(P376:P377)</f>
        <v>0</v>
      </c>
      <c r="Q375" s="171">
        <f t="shared" si="608"/>
        <v>0</v>
      </c>
      <c r="R375" s="174">
        <f t="shared" si="608"/>
        <v>0</v>
      </c>
      <c r="S375" s="175">
        <f t="shared" ref="S375:Y375" si="609">SUM(S376:S377)</f>
        <v>0</v>
      </c>
      <c r="T375" s="171">
        <f t="shared" si="609"/>
        <v>0</v>
      </c>
      <c r="U375" s="171">
        <f t="shared" si="609"/>
        <v>0</v>
      </c>
      <c r="V375" s="171">
        <f t="shared" si="609"/>
        <v>0</v>
      </c>
      <c r="W375" s="171">
        <f t="shared" si="609"/>
        <v>0</v>
      </c>
      <c r="X375" s="171">
        <f t="shared" si="609"/>
        <v>0</v>
      </c>
      <c r="Y375" s="174">
        <f t="shared" si="609"/>
        <v>0</v>
      </c>
      <c r="Z375" s="149" t="str">
        <f t="shared" ca="1" si="551"/>
        <v>nie</v>
      </c>
      <c r="AA375" s="366"/>
      <c r="AB375" s="150" t="str">
        <f t="shared" ca="1" si="574"/>
        <v>-</v>
      </c>
      <c r="AC375" s="151" t="str">
        <f t="shared" ca="1" si="517"/>
        <v>PROPONOWANA ZMIANA</v>
      </c>
      <c r="AD375" s="152" t="str">
        <f t="shared" ca="1" si="567"/>
        <v>PROPONOWANA ZMIANA</v>
      </c>
      <c r="AE375" s="153" t="str">
        <f t="shared" ca="1" si="518"/>
        <v>C/USN/III/P4/36</v>
      </c>
      <c r="AF375" s="154" t="str">
        <f t="shared" ca="1" si="519"/>
        <v>Zielone skwery na Ursynowie (kontynuacja)</v>
      </c>
      <c r="AG375" s="155">
        <f t="shared" ca="1" si="520"/>
        <v>90095</v>
      </c>
      <c r="AH375" s="155" t="str">
        <f t="shared" ca="1" si="521"/>
        <v>6050</v>
      </c>
      <c r="AI375" s="156" t="str">
        <f t="shared" ca="1" si="522"/>
        <v>BO/22/12/0236</v>
      </c>
      <c r="AJ375" s="157" t="str">
        <f t="shared" ca="1" si="523"/>
        <v>WPF, w tym</v>
      </c>
      <c r="AK375" s="158" t="str">
        <f t="shared" ca="1" si="568"/>
        <v>C/USN/III/P4/36 90095 6050 BO/22/12/0236</v>
      </c>
      <c r="AL375" s="158" t="str">
        <f t="shared" ca="1" si="569"/>
        <v>C/USN/III/P4/36 90095 6050 WPF, w tym</v>
      </c>
      <c r="AM375" s="159" t="str">
        <f t="shared" ca="1" si="570"/>
        <v>C/USN/III/P4/36 90095 6050 BO/22/12/0236 WPF, w tym</v>
      </c>
      <c r="AN375" s="160">
        <f t="shared" ca="1" si="524"/>
        <v>0</v>
      </c>
      <c r="AO375" s="161">
        <f t="shared" ca="1" si="525"/>
        <v>0</v>
      </c>
      <c r="AP375" s="162">
        <f t="shared" ca="1" si="526"/>
        <v>0</v>
      </c>
      <c r="AQ375" s="163">
        <f t="shared" ca="1" si="527"/>
        <v>0</v>
      </c>
      <c r="AR375" s="164">
        <f t="shared" ca="1" si="528"/>
        <v>0</v>
      </c>
      <c r="AS375" s="164">
        <f t="shared" ca="1" si="529"/>
        <v>0</v>
      </c>
      <c r="AT375" s="164">
        <f t="shared" ca="1" si="530"/>
        <v>0</v>
      </c>
      <c r="AU375" s="164">
        <f t="shared" ca="1" si="531"/>
        <v>0</v>
      </c>
      <c r="AV375" s="164">
        <f t="shared" ca="1" si="532"/>
        <v>0</v>
      </c>
      <c r="AW375" s="164">
        <f t="shared" ca="1" si="533"/>
        <v>0</v>
      </c>
      <c r="AX375" s="164">
        <f t="shared" ca="1" si="534"/>
        <v>0</v>
      </c>
      <c r="AY375" s="164">
        <f t="shared" ca="1" si="535"/>
        <v>0</v>
      </c>
      <c r="AZ375" s="164">
        <f t="shared" ca="1" si="536"/>
        <v>0</v>
      </c>
      <c r="BA375" s="165" t="str">
        <f t="shared" ca="1" si="537"/>
        <v>nie</v>
      </c>
      <c r="BB375" s="166" t="str">
        <f t="shared" ca="1" si="575"/>
        <v>-</v>
      </c>
      <c r="BC375" s="165" t="str">
        <f t="shared" ca="1" si="552"/>
        <v>nie</v>
      </c>
    </row>
    <row r="376" spans="1:55" s="167" customFormat="1" ht="14.45" hidden="1" customHeight="1" x14ac:dyDescent="0.25">
      <c r="A376" s="493"/>
      <c r="B376" s="538"/>
      <c r="C376" s="530"/>
      <c r="D376" s="512"/>
      <c r="E376" s="497"/>
      <c r="F376" s="497"/>
      <c r="G376" s="497"/>
      <c r="H376" s="498"/>
      <c r="I376" s="499"/>
      <c r="J376" s="177" t="s">
        <v>99</v>
      </c>
      <c r="K376" s="178">
        <f>SUM(N376:O376)</f>
        <v>0</v>
      </c>
      <c r="L376" s="179">
        <f t="shared" ref="L376:M376" si="610">L380-L372</f>
        <v>0</v>
      </c>
      <c r="M376" s="180">
        <f t="shared" si="610"/>
        <v>0</v>
      </c>
      <c r="N376" s="172">
        <f>SUM(L376:M376)</f>
        <v>0</v>
      </c>
      <c r="O376" s="178">
        <f>SUM(P376:Y376)</f>
        <v>0</v>
      </c>
      <c r="P376" s="181">
        <f t="shared" ref="P376:R376" si="611">P380-P372</f>
        <v>0</v>
      </c>
      <c r="Q376" s="180">
        <f t="shared" si="611"/>
        <v>0</v>
      </c>
      <c r="R376" s="182">
        <f t="shared" si="611"/>
        <v>0</v>
      </c>
      <c r="S376" s="183">
        <f t="shared" ref="S376:Y377" si="612">S380-S372</f>
        <v>0</v>
      </c>
      <c r="T376" s="180">
        <f t="shared" si="612"/>
        <v>0</v>
      </c>
      <c r="U376" s="180">
        <f t="shared" si="612"/>
        <v>0</v>
      </c>
      <c r="V376" s="180">
        <f t="shared" si="612"/>
        <v>0</v>
      </c>
      <c r="W376" s="180">
        <f t="shared" si="612"/>
        <v>0</v>
      </c>
      <c r="X376" s="180">
        <f t="shared" si="612"/>
        <v>0</v>
      </c>
      <c r="Y376" s="182">
        <f t="shared" si="612"/>
        <v>0</v>
      </c>
      <c r="Z376" s="149" t="str">
        <f t="shared" ca="1" si="551"/>
        <v>nie</v>
      </c>
      <c r="AA376" s="366"/>
      <c r="AB376" s="150" t="str">
        <f t="shared" ca="1" si="574"/>
        <v>-</v>
      </c>
      <c r="AC376" s="151" t="str">
        <f t="shared" ca="1" si="517"/>
        <v>PROPONOWANA ZMIANA</v>
      </c>
      <c r="AD376" s="152" t="str">
        <f t="shared" ca="1" si="567"/>
        <v>PROPONOWANA ZMIANA</v>
      </c>
      <c r="AE376" s="153" t="str">
        <f t="shared" ca="1" si="518"/>
        <v>C/USN/III/P4/36</v>
      </c>
      <c r="AF376" s="154" t="str">
        <f t="shared" ca="1" si="519"/>
        <v>Zielone skwery na Ursynowie (kontynuacja)</v>
      </c>
      <c r="AG376" s="155">
        <f t="shared" ca="1" si="520"/>
        <v>90095</v>
      </c>
      <c r="AH376" s="155" t="str">
        <f t="shared" ca="1" si="521"/>
        <v>6050</v>
      </c>
      <c r="AI376" s="156" t="str">
        <f t="shared" ca="1" si="522"/>
        <v>BO/22/12/0236</v>
      </c>
      <c r="AJ376" s="157" t="str">
        <f t="shared" ca="1" si="523"/>
        <v>WPF/PM</v>
      </c>
      <c r="AK376" s="158" t="str">
        <f t="shared" ca="1" si="568"/>
        <v>C/USN/III/P4/36 90095 6050 BO/22/12/0236</v>
      </c>
      <c r="AL376" s="158" t="str">
        <f t="shared" ca="1" si="569"/>
        <v>C/USN/III/P4/36 90095 6050 WPF/PM</v>
      </c>
      <c r="AM376" s="159" t="str">
        <f t="shared" ca="1" si="570"/>
        <v>C/USN/III/P4/36 90095 6050 BO/22/12/0236 WPF/PM</v>
      </c>
      <c r="AN376" s="160">
        <f t="shared" ca="1" si="524"/>
        <v>0</v>
      </c>
      <c r="AO376" s="161">
        <f t="shared" ca="1" si="525"/>
        <v>0</v>
      </c>
      <c r="AP376" s="162">
        <f t="shared" ca="1" si="526"/>
        <v>0</v>
      </c>
      <c r="AQ376" s="163">
        <f t="shared" ca="1" si="527"/>
        <v>0</v>
      </c>
      <c r="AR376" s="164">
        <f t="shared" ca="1" si="528"/>
        <v>0</v>
      </c>
      <c r="AS376" s="164">
        <f t="shared" ca="1" si="529"/>
        <v>0</v>
      </c>
      <c r="AT376" s="164">
        <f t="shared" ca="1" si="530"/>
        <v>0</v>
      </c>
      <c r="AU376" s="164">
        <f t="shared" ca="1" si="531"/>
        <v>0</v>
      </c>
      <c r="AV376" s="164">
        <f t="shared" ca="1" si="532"/>
        <v>0</v>
      </c>
      <c r="AW376" s="164">
        <f t="shared" ca="1" si="533"/>
        <v>0</v>
      </c>
      <c r="AX376" s="164">
        <f t="shared" ca="1" si="534"/>
        <v>0</v>
      </c>
      <c r="AY376" s="164">
        <f t="shared" ca="1" si="535"/>
        <v>0</v>
      </c>
      <c r="AZ376" s="164">
        <f t="shared" ca="1" si="536"/>
        <v>0</v>
      </c>
      <c r="BA376" s="165" t="str">
        <f t="shared" ca="1" si="537"/>
        <v>nie</v>
      </c>
      <c r="BB376" s="166" t="str">
        <f t="shared" ca="1" si="575"/>
        <v>-</v>
      </c>
      <c r="BC376" s="165" t="str">
        <f t="shared" ca="1" si="552"/>
        <v>nie</v>
      </c>
    </row>
    <row r="377" spans="1:55" s="167" customFormat="1" ht="14.45" hidden="1" customHeight="1" x14ac:dyDescent="0.25">
      <c r="A377" s="493"/>
      <c r="B377" s="538"/>
      <c r="C377" s="530"/>
      <c r="D377" s="512"/>
      <c r="E377" s="497"/>
      <c r="F377" s="497"/>
      <c r="G377" s="497"/>
      <c r="H377" s="498"/>
      <c r="I377" s="499"/>
      <c r="J377" s="177" t="s">
        <v>100</v>
      </c>
      <c r="K377" s="178">
        <f>SUM(N377:O377)</f>
        <v>0</v>
      </c>
      <c r="L377" s="179">
        <f t="shared" ref="L377:M377" si="613">L381-L373</f>
        <v>0</v>
      </c>
      <c r="M377" s="180">
        <f t="shared" si="613"/>
        <v>0</v>
      </c>
      <c r="N377" s="172">
        <f>SUM(L377:M377)</f>
        <v>0</v>
      </c>
      <c r="O377" s="178">
        <f>SUM(P377:Y377)</f>
        <v>0</v>
      </c>
      <c r="P377" s="181">
        <f t="shared" ref="P377:R377" si="614">P381-P373</f>
        <v>0</v>
      </c>
      <c r="Q377" s="180">
        <f t="shared" si="614"/>
        <v>0</v>
      </c>
      <c r="R377" s="182">
        <f t="shared" si="614"/>
        <v>0</v>
      </c>
      <c r="S377" s="183">
        <f t="shared" si="612"/>
        <v>0</v>
      </c>
      <c r="T377" s="180">
        <f t="shared" si="612"/>
        <v>0</v>
      </c>
      <c r="U377" s="180">
        <f t="shared" si="612"/>
        <v>0</v>
      </c>
      <c r="V377" s="180">
        <f t="shared" si="612"/>
        <v>0</v>
      </c>
      <c r="W377" s="180">
        <f t="shared" si="612"/>
        <v>0</v>
      </c>
      <c r="X377" s="180">
        <f t="shared" si="612"/>
        <v>0</v>
      </c>
      <c r="Y377" s="182">
        <f t="shared" si="612"/>
        <v>0</v>
      </c>
      <c r="Z377" s="149" t="str">
        <f t="shared" ca="1" si="551"/>
        <v>nie</v>
      </c>
      <c r="AA377" s="366"/>
      <c r="AB377" s="150" t="str">
        <f t="shared" ca="1" si="574"/>
        <v>-</v>
      </c>
      <c r="AC377" s="151" t="str">
        <f t="shared" ca="1" si="517"/>
        <v>PROPONOWANA ZMIANA</v>
      </c>
      <c r="AD377" s="152" t="str">
        <f t="shared" ca="1" si="567"/>
        <v>PROPONOWANA ZMIANA</v>
      </c>
      <c r="AE377" s="153" t="str">
        <f t="shared" ca="1" si="518"/>
        <v>C/USN/III/P4/36</v>
      </c>
      <c r="AF377" s="154" t="str">
        <f t="shared" ca="1" si="519"/>
        <v>Zielone skwery na Ursynowie (kontynuacja)</v>
      </c>
      <c r="AG377" s="155">
        <f t="shared" ca="1" si="520"/>
        <v>90095</v>
      </c>
      <c r="AH377" s="155" t="str">
        <f t="shared" ca="1" si="521"/>
        <v>6050</v>
      </c>
      <c r="AI377" s="156" t="str">
        <f t="shared" ca="1" si="522"/>
        <v>BO/22/12/0236</v>
      </c>
      <c r="AJ377" s="157" t="str">
        <f t="shared" ca="1" si="523"/>
        <v>WPF/UM</v>
      </c>
      <c r="AK377" s="158" t="str">
        <f t="shared" ca="1" si="568"/>
        <v>C/USN/III/P4/36 90095 6050 BO/22/12/0236</v>
      </c>
      <c r="AL377" s="158" t="str">
        <f t="shared" ca="1" si="569"/>
        <v>C/USN/III/P4/36 90095 6050 WPF/UM</v>
      </c>
      <c r="AM377" s="159" t="str">
        <f t="shared" ca="1" si="570"/>
        <v>C/USN/III/P4/36 90095 6050 BO/22/12/0236 WPF/UM</v>
      </c>
      <c r="AN377" s="160">
        <f t="shared" ca="1" si="524"/>
        <v>0</v>
      </c>
      <c r="AO377" s="161">
        <f t="shared" ca="1" si="525"/>
        <v>0</v>
      </c>
      <c r="AP377" s="162">
        <f t="shared" ca="1" si="526"/>
        <v>0</v>
      </c>
      <c r="AQ377" s="163">
        <f t="shared" ca="1" si="527"/>
        <v>0</v>
      </c>
      <c r="AR377" s="164">
        <f t="shared" ca="1" si="528"/>
        <v>0</v>
      </c>
      <c r="AS377" s="164">
        <f t="shared" ca="1" si="529"/>
        <v>0</v>
      </c>
      <c r="AT377" s="164">
        <f t="shared" ca="1" si="530"/>
        <v>0</v>
      </c>
      <c r="AU377" s="164">
        <f t="shared" ca="1" si="531"/>
        <v>0</v>
      </c>
      <c r="AV377" s="164">
        <f t="shared" ca="1" si="532"/>
        <v>0</v>
      </c>
      <c r="AW377" s="164">
        <f t="shared" ca="1" si="533"/>
        <v>0</v>
      </c>
      <c r="AX377" s="164">
        <f t="shared" ca="1" si="534"/>
        <v>0</v>
      </c>
      <c r="AY377" s="164">
        <f t="shared" ca="1" si="535"/>
        <v>0</v>
      </c>
      <c r="AZ377" s="164">
        <f t="shared" ca="1" si="536"/>
        <v>0</v>
      </c>
      <c r="BA377" s="165" t="str">
        <f t="shared" ca="1" si="537"/>
        <v>nie</v>
      </c>
      <c r="BB377" s="166" t="str">
        <f t="shared" ca="1" si="575"/>
        <v>-</v>
      </c>
      <c r="BC377" s="165" t="str">
        <f t="shared" ca="1" si="552"/>
        <v>nie</v>
      </c>
    </row>
    <row r="378" spans="1:55" s="167" customFormat="1" ht="14.45" hidden="1" customHeight="1" x14ac:dyDescent="0.25">
      <c r="A378" s="191" t="s">
        <v>101</v>
      </c>
      <c r="B378" s="192"/>
      <c r="C378" s="193"/>
      <c r="D378" s="192"/>
      <c r="E378" s="192"/>
      <c r="F378" s="192"/>
      <c r="G378" s="192"/>
      <c r="H378" s="192"/>
      <c r="I378" s="192"/>
      <c r="J378" s="192"/>
      <c r="K378" s="192"/>
      <c r="L378" s="192"/>
      <c r="M378" s="192"/>
      <c r="N378" s="192"/>
      <c r="O378" s="192"/>
      <c r="P378" s="192"/>
      <c r="Q378" s="192"/>
      <c r="R378" s="194"/>
      <c r="S378" s="195"/>
      <c r="T378" s="195"/>
      <c r="U378" s="195"/>
      <c r="V378" s="195"/>
      <c r="W378" s="195"/>
      <c r="X378" s="195"/>
      <c r="Y378" s="196"/>
      <c r="Z378" s="149" t="str">
        <f t="shared" ca="1" si="551"/>
        <v>nie</v>
      </c>
      <c r="AA378" s="366"/>
      <c r="AB378" s="150" t="str">
        <f t="shared" ca="1" si="574"/>
        <v>-</v>
      </c>
      <c r="AC378" s="151" t="str">
        <f t="shared" ca="1" si="517"/>
        <v>PO ZMIANIE</v>
      </c>
      <c r="AD378" s="152" t="str">
        <f t="shared" ca="1" si="567"/>
        <v/>
      </c>
      <c r="AE378" s="153" t="str">
        <f t="shared" ca="1" si="518"/>
        <v/>
      </c>
      <c r="AF378" s="154" t="str">
        <f t="shared" ca="1" si="519"/>
        <v/>
      </c>
      <c r="AG378" s="155" t="str">
        <f t="shared" ca="1" si="520"/>
        <v/>
      </c>
      <c r="AH378" s="155" t="str">
        <f t="shared" ca="1" si="521"/>
        <v/>
      </c>
      <c r="AI378" s="156" t="str">
        <f t="shared" ca="1" si="522"/>
        <v/>
      </c>
      <c r="AJ378" s="157" t="str">
        <f t="shared" ca="1" si="523"/>
        <v/>
      </c>
      <c r="AK378" s="158" t="str">
        <f t="shared" ca="1" si="568"/>
        <v/>
      </c>
      <c r="AL378" s="158" t="str">
        <f t="shared" ca="1" si="569"/>
        <v/>
      </c>
      <c r="AM378" s="159" t="str">
        <f t="shared" ca="1" si="570"/>
        <v/>
      </c>
      <c r="AN378" s="160" t="str">
        <f t="shared" ca="1" si="524"/>
        <v/>
      </c>
      <c r="AO378" s="161" t="str">
        <f t="shared" ca="1" si="525"/>
        <v/>
      </c>
      <c r="AP378" s="162" t="str">
        <f t="shared" ca="1" si="526"/>
        <v/>
      </c>
      <c r="AQ378" s="163" t="str">
        <f t="shared" ca="1" si="527"/>
        <v/>
      </c>
      <c r="AR378" s="164" t="str">
        <f t="shared" ca="1" si="528"/>
        <v/>
      </c>
      <c r="AS378" s="164" t="str">
        <f t="shared" ca="1" si="529"/>
        <v/>
      </c>
      <c r="AT378" s="164" t="str">
        <f t="shared" ca="1" si="530"/>
        <v/>
      </c>
      <c r="AU378" s="164" t="str">
        <f t="shared" ca="1" si="531"/>
        <v/>
      </c>
      <c r="AV378" s="164" t="str">
        <f t="shared" ca="1" si="532"/>
        <v/>
      </c>
      <c r="AW378" s="164" t="str">
        <f t="shared" ca="1" si="533"/>
        <v/>
      </c>
      <c r="AX378" s="164" t="str">
        <f t="shared" ca="1" si="534"/>
        <v/>
      </c>
      <c r="AY378" s="164" t="str">
        <f t="shared" ca="1" si="535"/>
        <v/>
      </c>
      <c r="AZ378" s="164" t="str">
        <f t="shared" ca="1" si="536"/>
        <v/>
      </c>
      <c r="BA378" s="165" t="str">
        <f t="shared" ca="1" si="537"/>
        <v>nie</v>
      </c>
      <c r="BB378" s="166" t="str">
        <f t="shared" ca="1" si="575"/>
        <v>-</v>
      </c>
      <c r="BC378" s="165" t="str">
        <f t="shared" ca="1" si="552"/>
        <v>nie</v>
      </c>
    </row>
    <row r="379" spans="1:55" s="176" customFormat="1" ht="14.45" hidden="1" customHeight="1" x14ac:dyDescent="0.25">
      <c r="A379" s="493" t="s">
        <v>24</v>
      </c>
      <c r="B379" s="538" t="s">
        <v>153</v>
      </c>
      <c r="C379" s="530" t="s">
        <v>154</v>
      </c>
      <c r="D379" s="511" t="s">
        <v>147</v>
      </c>
      <c r="E379" s="497">
        <v>900</v>
      </c>
      <c r="F379" s="497">
        <v>90095</v>
      </c>
      <c r="G379" s="497">
        <v>6050</v>
      </c>
      <c r="H379" s="507">
        <v>2022</v>
      </c>
      <c r="I379" s="499" t="str">
        <f ca="1">IF(COUNTIF(OFFSET(I379,-1,-8),"*propon*")&gt;0,OFFSET(I379,4,0),IF(Y379&gt;0,"2033",IF(X379&gt;0,"2032",IF(W379&gt;0,"2031",IF(V379&gt;0,"2030",IF(U379&gt;0,"2029",IF(T379&gt;0,"2028",IF(S379&gt;0,"2027",IF(R379&gt;0,"2026",IF(Q379&gt;0,"2025",IF(P379&gt;0,"2024",IF(M379&gt;0,"2023",IF(L379&gt;0,"2022","")))))))))))))</f>
        <v>2024</v>
      </c>
      <c r="J379" s="168" t="s">
        <v>102</v>
      </c>
      <c r="K379" s="169">
        <f>SUM(N379:O379)</f>
        <v>259335</v>
      </c>
      <c r="L379" s="170">
        <f t="shared" ref="L379:M379" si="615">SUM(L380:L381)</f>
        <v>0</v>
      </c>
      <c r="M379" s="171">
        <f t="shared" si="615"/>
        <v>7800</v>
      </c>
      <c r="N379" s="172">
        <f>SUM(L379:M379)</f>
        <v>7800</v>
      </c>
      <c r="O379" s="169">
        <f>SUM(P379:Y379)</f>
        <v>251535</v>
      </c>
      <c r="P379" s="173">
        <f t="shared" ref="P379:R379" si="616">SUM(P380:P381)</f>
        <v>251535</v>
      </c>
      <c r="Q379" s="171">
        <f t="shared" si="616"/>
        <v>0</v>
      </c>
      <c r="R379" s="174">
        <f t="shared" si="616"/>
        <v>0</v>
      </c>
      <c r="S379" s="175">
        <f t="shared" ref="S379:Y379" si="617">SUM(S380:S381)</f>
        <v>0</v>
      </c>
      <c r="T379" s="171">
        <f t="shared" si="617"/>
        <v>0</v>
      </c>
      <c r="U379" s="171">
        <f t="shared" si="617"/>
        <v>0</v>
      </c>
      <c r="V379" s="171">
        <f t="shared" si="617"/>
        <v>0</v>
      </c>
      <c r="W379" s="171">
        <f t="shared" si="617"/>
        <v>0</v>
      </c>
      <c r="X379" s="171">
        <f t="shared" si="617"/>
        <v>0</v>
      </c>
      <c r="Y379" s="174">
        <f t="shared" si="617"/>
        <v>0</v>
      </c>
      <c r="Z379" s="149" t="str">
        <f t="shared" ca="1" si="551"/>
        <v>nie</v>
      </c>
      <c r="AA379" s="366"/>
      <c r="AB379" s="150" t="str">
        <f t="shared" ca="1" si="574"/>
        <v>-</v>
      </c>
      <c r="AC379" s="151" t="str">
        <f t="shared" ca="1" si="517"/>
        <v>PO ZMIANIE</v>
      </c>
      <c r="AD379" s="152" t="str">
        <f t="shared" ca="1" si="567"/>
        <v>PO ZMIANIE</v>
      </c>
      <c r="AE379" s="153" t="str">
        <f t="shared" ca="1" si="518"/>
        <v>C/USN/III/P4/36</v>
      </c>
      <c r="AF379" s="154" t="str">
        <f t="shared" ca="1" si="519"/>
        <v>Zielone skwery na Ursynowie (kontynuacja)</v>
      </c>
      <c r="AG379" s="155">
        <f t="shared" ca="1" si="520"/>
        <v>90095</v>
      </c>
      <c r="AH379" s="155" t="str">
        <f t="shared" ca="1" si="521"/>
        <v>6050</v>
      </c>
      <c r="AI379" s="156" t="str">
        <f t="shared" ca="1" si="522"/>
        <v>BO/22/12/0236</v>
      </c>
      <c r="AJ379" s="157" t="str">
        <f t="shared" ca="1" si="523"/>
        <v>WPF, w tym</v>
      </c>
      <c r="AK379" s="158" t="str">
        <f t="shared" ca="1" si="568"/>
        <v>C/USN/III/P4/36 90095 6050 BO/22/12/0236</v>
      </c>
      <c r="AL379" s="158" t="str">
        <f t="shared" ca="1" si="569"/>
        <v>C/USN/III/P4/36 90095 6050 WPF, w tym</v>
      </c>
      <c r="AM379" s="159" t="str">
        <f t="shared" ca="1" si="570"/>
        <v>C/USN/III/P4/36 90095 6050 BO/22/12/0236 WPF, w tym</v>
      </c>
      <c r="AN379" s="160">
        <f t="shared" ca="1" si="524"/>
        <v>259335</v>
      </c>
      <c r="AO379" s="161">
        <f t="shared" ca="1" si="525"/>
        <v>0</v>
      </c>
      <c r="AP379" s="162">
        <f t="shared" ca="1" si="526"/>
        <v>7800</v>
      </c>
      <c r="AQ379" s="163">
        <f t="shared" ca="1" si="527"/>
        <v>251535</v>
      </c>
      <c r="AR379" s="164">
        <f t="shared" ca="1" si="528"/>
        <v>0</v>
      </c>
      <c r="AS379" s="164">
        <f t="shared" ca="1" si="529"/>
        <v>0</v>
      </c>
      <c r="AT379" s="164">
        <f t="shared" ca="1" si="530"/>
        <v>0</v>
      </c>
      <c r="AU379" s="164">
        <f t="shared" ca="1" si="531"/>
        <v>0</v>
      </c>
      <c r="AV379" s="164">
        <f t="shared" ca="1" si="532"/>
        <v>0</v>
      </c>
      <c r="AW379" s="164">
        <f t="shared" ca="1" si="533"/>
        <v>0</v>
      </c>
      <c r="AX379" s="164">
        <f t="shared" ca="1" si="534"/>
        <v>0</v>
      </c>
      <c r="AY379" s="164">
        <f t="shared" ca="1" si="535"/>
        <v>0</v>
      </c>
      <c r="AZ379" s="164">
        <f t="shared" ca="1" si="536"/>
        <v>0</v>
      </c>
      <c r="BA379" s="165" t="str">
        <f t="shared" ca="1" si="537"/>
        <v>nie</v>
      </c>
      <c r="BB379" s="166" t="str">
        <f t="shared" ca="1" si="575"/>
        <v>-</v>
      </c>
      <c r="BC379" s="165" t="str">
        <f t="shared" ca="1" si="552"/>
        <v>nie</v>
      </c>
    </row>
    <row r="380" spans="1:55" s="167" customFormat="1" ht="14.45" hidden="1" customHeight="1" x14ac:dyDescent="0.25">
      <c r="A380" s="493"/>
      <c r="B380" s="538"/>
      <c r="C380" s="530"/>
      <c r="D380" s="512"/>
      <c r="E380" s="497"/>
      <c r="F380" s="497"/>
      <c r="G380" s="497"/>
      <c r="H380" s="498"/>
      <c r="I380" s="499"/>
      <c r="J380" s="177" t="s">
        <v>103</v>
      </c>
      <c r="K380" s="178">
        <f>SUM(N380:O380)</f>
        <v>251535</v>
      </c>
      <c r="L380" s="179"/>
      <c r="M380" s="180"/>
      <c r="N380" s="172">
        <f>SUM(L380:M380)</f>
        <v>0</v>
      </c>
      <c r="O380" s="178">
        <f>SUM(P380:Y380)</f>
        <v>251535</v>
      </c>
      <c r="P380" s="181">
        <f>215794+35741</f>
        <v>251535</v>
      </c>
      <c r="Q380" s="180"/>
      <c r="R380" s="182"/>
      <c r="S380" s="183"/>
      <c r="T380" s="180"/>
      <c r="U380" s="180"/>
      <c r="V380" s="180"/>
      <c r="W380" s="180"/>
      <c r="X380" s="180"/>
      <c r="Y380" s="182"/>
      <c r="Z380" s="149" t="str">
        <f t="shared" ca="1" si="551"/>
        <v>nie</v>
      </c>
      <c r="AA380" s="384"/>
      <c r="AB380" s="150" t="str">
        <f t="shared" ca="1" si="574"/>
        <v>-</v>
      </c>
      <c r="AC380" s="151" t="str">
        <f t="shared" ca="1" si="517"/>
        <v>PO ZMIANIE</v>
      </c>
      <c r="AD380" s="152" t="str">
        <f t="shared" ca="1" si="567"/>
        <v>PO ZMIANIE</v>
      </c>
      <c r="AE380" s="153" t="str">
        <f t="shared" ca="1" si="518"/>
        <v>C/USN/III/P4/36</v>
      </c>
      <c r="AF380" s="154" t="str">
        <f t="shared" ca="1" si="519"/>
        <v>Zielone skwery na Ursynowie (kontynuacja)</v>
      </c>
      <c r="AG380" s="155">
        <f t="shared" ca="1" si="520"/>
        <v>90095</v>
      </c>
      <c r="AH380" s="155" t="str">
        <f t="shared" ca="1" si="521"/>
        <v>6050</v>
      </c>
      <c r="AI380" s="156" t="str">
        <f t="shared" ca="1" si="522"/>
        <v>BO/22/12/0236</v>
      </c>
      <c r="AJ380" s="157" t="str">
        <f t="shared" ca="1" si="523"/>
        <v>WPF/PM</v>
      </c>
      <c r="AK380" s="158" t="str">
        <f t="shared" ca="1" si="568"/>
        <v>C/USN/III/P4/36 90095 6050 BO/22/12/0236</v>
      </c>
      <c r="AL380" s="158" t="str">
        <f t="shared" ca="1" si="569"/>
        <v>C/USN/III/P4/36 90095 6050 WPF/PM</v>
      </c>
      <c r="AM380" s="159" t="str">
        <f t="shared" ca="1" si="570"/>
        <v>C/USN/III/P4/36 90095 6050 BO/22/12/0236 WPF/PM</v>
      </c>
      <c r="AN380" s="160">
        <f t="shared" ca="1" si="524"/>
        <v>251535</v>
      </c>
      <c r="AO380" s="161">
        <f t="shared" ca="1" si="525"/>
        <v>0</v>
      </c>
      <c r="AP380" s="162">
        <f t="shared" ca="1" si="526"/>
        <v>0</v>
      </c>
      <c r="AQ380" s="163">
        <f t="shared" ca="1" si="527"/>
        <v>251535</v>
      </c>
      <c r="AR380" s="164">
        <f t="shared" ca="1" si="528"/>
        <v>0</v>
      </c>
      <c r="AS380" s="164">
        <f t="shared" ca="1" si="529"/>
        <v>0</v>
      </c>
      <c r="AT380" s="164">
        <f t="shared" ca="1" si="530"/>
        <v>0</v>
      </c>
      <c r="AU380" s="164">
        <f t="shared" ca="1" si="531"/>
        <v>0</v>
      </c>
      <c r="AV380" s="164">
        <f t="shared" ca="1" si="532"/>
        <v>0</v>
      </c>
      <c r="AW380" s="164">
        <f t="shared" ca="1" si="533"/>
        <v>0</v>
      </c>
      <c r="AX380" s="164">
        <f t="shared" ca="1" si="534"/>
        <v>0</v>
      </c>
      <c r="AY380" s="164">
        <f t="shared" ca="1" si="535"/>
        <v>0</v>
      </c>
      <c r="AZ380" s="164">
        <f t="shared" ca="1" si="536"/>
        <v>0</v>
      </c>
      <c r="BA380" s="165" t="str">
        <f t="shared" ca="1" si="537"/>
        <v>nie</v>
      </c>
      <c r="BB380" s="166" t="str">
        <f t="shared" ca="1" si="575"/>
        <v>-</v>
      </c>
      <c r="BC380" s="165" t="str">
        <f t="shared" ca="1" si="552"/>
        <v>nie</v>
      </c>
    </row>
    <row r="381" spans="1:55" s="167" customFormat="1" ht="14.45" hidden="1" customHeight="1" thickBot="1" x14ac:dyDescent="0.3">
      <c r="A381" s="500"/>
      <c r="B381" s="539"/>
      <c r="C381" s="531"/>
      <c r="D381" s="529"/>
      <c r="E381" s="503"/>
      <c r="F381" s="503"/>
      <c r="G381" s="503"/>
      <c r="H381" s="504"/>
      <c r="I381" s="499"/>
      <c r="J381" s="197" t="s">
        <v>104</v>
      </c>
      <c r="K381" s="198">
        <f>SUM(N381:O381)</f>
        <v>7800</v>
      </c>
      <c r="L381" s="199"/>
      <c r="M381" s="200">
        <f>8800-1000</f>
        <v>7800</v>
      </c>
      <c r="N381" s="371">
        <f>SUM(L381:M381)</f>
        <v>7800</v>
      </c>
      <c r="O381" s="198">
        <f>SUM(P381:Y381)</f>
        <v>0</v>
      </c>
      <c r="P381" s="201"/>
      <c r="Q381" s="200"/>
      <c r="R381" s="202"/>
      <c r="S381" s="203"/>
      <c r="T381" s="200"/>
      <c r="U381" s="200"/>
      <c r="V381" s="200"/>
      <c r="W381" s="200"/>
      <c r="X381" s="200"/>
      <c r="Y381" s="202"/>
      <c r="Z381" s="149" t="str">
        <f t="shared" ca="1" si="551"/>
        <v>nie</v>
      </c>
      <c r="AA381" s="384"/>
      <c r="AB381" s="150" t="str">
        <f t="shared" ca="1" si="574"/>
        <v>-</v>
      </c>
      <c r="AC381" s="151" t="str">
        <f t="shared" ca="1" si="517"/>
        <v>PO ZMIANIE</v>
      </c>
      <c r="AD381" s="152" t="str">
        <f t="shared" ca="1" si="567"/>
        <v>PO ZMIANIE</v>
      </c>
      <c r="AE381" s="153" t="str">
        <f t="shared" ca="1" si="518"/>
        <v>C/USN/III/P4/36</v>
      </c>
      <c r="AF381" s="154" t="str">
        <f t="shared" ca="1" si="519"/>
        <v>Zielone skwery na Ursynowie (kontynuacja)</v>
      </c>
      <c r="AG381" s="155">
        <f t="shared" ca="1" si="520"/>
        <v>90095</v>
      </c>
      <c r="AH381" s="155" t="str">
        <f t="shared" ca="1" si="521"/>
        <v>6050</v>
      </c>
      <c r="AI381" s="156" t="str">
        <f t="shared" ca="1" si="522"/>
        <v>BO/22/12/0236</v>
      </c>
      <c r="AJ381" s="157" t="str">
        <f t="shared" ca="1" si="523"/>
        <v>WPF/UM</v>
      </c>
      <c r="AK381" s="158" t="str">
        <f t="shared" ca="1" si="568"/>
        <v>C/USN/III/P4/36 90095 6050 BO/22/12/0236</v>
      </c>
      <c r="AL381" s="158" t="str">
        <f t="shared" ca="1" si="569"/>
        <v>C/USN/III/P4/36 90095 6050 WPF/UM</v>
      </c>
      <c r="AM381" s="159" t="str">
        <f t="shared" ca="1" si="570"/>
        <v>C/USN/III/P4/36 90095 6050 BO/22/12/0236 WPF/UM</v>
      </c>
      <c r="AN381" s="160">
        <f t="shared" ca="1" si="524"/>
        <v>7800</v>
      </c>
      <c r="AO381" s="161">
        <f t="shared" ca="1" si="525"/>
        <v>0</v>
      </c>
      <c r="AP381" s="162">
        <f t="shared" ca="1" si="526"/>
        <v>7800</v>
      </c>
      <c r="AQ381" s="163">
        <f t="shared" ca="1" si="527"/>
        <v>0</v>
      </c>
      <c r="AR381" s="164">
        <f t="shared" ca="1" si="528"/>
        <v>0</v>
      </c>
      <c r="AS381" s="164">
        <f t="shared" ca="1" si="529"/>
        <v>0</v>
      </c>
      <c r="AT381" s="164">
        <f t="shared" ca="1" si="530"/>
        <v>0</v>
      </c>
      <c r="AU381" s="164">
        <f t="shared" ca="1" si="531"/>
        <v>0</v>
      </c>
      <c r="AV381" s="164">
        <f t="shared" ca="1" si="532"/>
        <v>0</v>
      </c>
      <c r="AW381" s="164">
        <f t="shared" ca="1" si="533"/>
        <v>0</v>
      </c>
      <c r="AX381" s="164">
        <f t="shared" ca="1" si="534"/>
        <v>0</v>
      </c>
      <c r="AY381" s="164">
        <f t="shared" ca="1" si="535"/>
        <v>0</v>
      </c>
      <c r="AZ381" s="164">
        <f t="shared" ca="1" si="536"/>
        <v>0</v>
      </c>
      <c r="BA381" s="165" t="str">
        <f t="shared" ca="1" si="537"/>
        <v>nie</v>
      </c>
      <c r="BB381" s="166" t="str">
        <f t="shared" ca="1" si="575"/>
        <v>-</v>
      </c>
      <c r="BC381" s="165" t="str">
        <f t="shared" ca="1" si="552"/>
        <v>nie</v>
      </c>
    </row>
    <row r="382" spans="1:55" s="167" customFormat="1" ht="14.45" hidden="1" customHeight="1" x14ac:dyDescent="0.25">
      <c r="A382" s="143" t="s">
        <v>91</v>
      </c>
      <c r="B382" s="144"/>
      <c r="C382" s="145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6"/>
      <c r="S382" s="147"/>
      <c r="T382" s="147"/>
      <c r="U382" s="147"/>
      <c r="V382" s="147"/>
      <c r="W382" s="147"/>
      <c r="X382" s="147"/>
      <c r="Y382" s="148"/>
      <c r="Z382" s="149" t="str">
        <f t="shared" ca="1" si="551"/>
        <v>nie</v>
      </c>
      <c r="AA382" s="366"/>
      <c r="AB382" s="150" t="str">
        <f t="shared" ca="1" si="574"/>
        <v>-</v>
      </c>
      <c r="AC382" s="151" t="str">
        <f t="shared" ref="AC382:AC445" ca="1" si="618">IF(OR(A382="",COUNTIF(A382,"*12.000*")&gt;0),OFFSET(AC382,-1,0),A382)</f>
        <v>PRZED ZMIANĄ</v>
      </c>
      <c r="AD382" s="152" t="str">
        <f t="shared" ca="1" si="567"/>
        <v/>
      </c>
      <c r="AE382" s="153" t="str">
        <f t="shared" ref="AE382:AE445" ca="1" si="619">IF(COUNTIF(A382,"*bilans*")&gt;0,"Bilans zmian",IF(COUNTIF(A382,"*zmi*")&gt;0,"",IF(COUNTIF(A382:C382,"")=0,C382,IF(AND(COUNTIF(C382,"")=1,COUNTIF(OFFSET(A382,-1,0),"*przed*")=1,COUNTIF(OFFSET(AE382,4,0),"")=0),OFFSET(AE382,4,0),IF(AND(COUNTIF(A382:B382,"")=0,COUNTIF(OFFSET(A382,-1,0),"*zmi*")=1),"nowe:"&amp;" "&amp;AF382,OFFSET(AE382,-1,0))))))</f>
        <v/>
      </c>
      <c r="AF382" s="154" t="str">
        <f t="shared" ref="AF382:AF445" ca="1" si="620">IF(COUNTIF(A382,"*zmi*")&gt;0,"",IF(COUNTIF(A382:C382,"")=0,D382,IF(AND(COUNTIF(C382,"")=1,COUNTIF(OFFSET(A382,-1,0),"*przed*")=1),OFFSET(AF382,4,0),IF(AND(COUNTIF(A382:B382,"")=0,COUNTIF(OFFSET(A382,-1,0),"*zmi*")=1),D382,OFFSET(AF382,-1,0)))))</f>
        <v/>
      </c>
      <c r="AG382" s="155" t="str">
        <f t="shared" ref="AG382:AG445" ca="1" si="621">IF(COUNTIF($A382,"*zmi*")&gt;0,"",IF(COUNTIF($A382:$C382,"")=0,F382,IF(AND(COUNTIF($C382,"")=1,COUNTIF(OFFSET($A382,-1,0),"*przed*")=1),OFFSET(AG382,4,0),IF(AND(COUNTIF($A382:$B382,"")=0,COUNTIF(OFFSET($A382,-1,0),"*zmi*")=1),F382,OFFSET(AG382,-1,0)))))</f>
        <v/>
      </c>
      <c r="AH382" s="155" t="str">
        <f t="shared" ref="AH382:AH445" ca="1" si="622">IF(COUNTIF($A382,"*zmi*")&gt;0,"",IF(COUNTIF($A382:$C382,"")=0,LEFT(G382,4),IF(AND(COUNTIF($C382,"")=1,COUNTIF(OFFSET($A382,-1,0),"*przed*")=1),OFFSET(AH382,4,0),IF(AND(COUNTIF($A382:$B382,"")=0,COUNTIF(OFFSET($A382,-1,0),"*zmi*")=1),LEFT(G382,4),OFFSET(AH382,-1,0)))))</f>
        <v/>
      </c>
      <c r="AI382" s="156" t="str">
        <f t="shared" ref="AI382:AI445" ca="1" si="623">IF(COUNTIF($A382,"*zmi*")&gt;0,"",IF(COUNTIF($A382:$C382,"")=0,B382,IF(AND(COUNTIF($C382,"")=1,COUNTIF(OFFSET($A382,-1,0),"*przed*")=1),OFFSET(AI382,4,0),IF(AND(COUNTIF($A382:$B382,"")=0,COUNTIF(OFFSET($A382,-1,0),"*zmi*")=1),B382,OFFSET(AI382,-1,0)))))</f>
        <v/>
      </c>
      <c r="AJ382" s="157" t="str">
        <f t="shared" ref="AJ382:AJ445" ca="1" si="624">IF(AH382="","",IF(COUNTIF(A382,"*zmi*")&gt;0,"",SUBSTITUTE(SUBSTITUTE(J382,";",""),":","")))</f>
        <v/>
      </c>
      <c r="AK382" s="158" t="str">
        <f t="shared" ca="1" si="568"/>
        <v/>
      </c>
      <c r="AL382" s="158" t="str">
        <f t="shared" ca="1" si="569"/>
        <v/>
      </c>
      <c r="AM382" s="159" t="str">
        <f t="shared" ca="1" si="570"/>
        <v/>
      </c>
      <c r="AN382" s="160" t="str">
        <f t="shared" ref="AN382:AN445" ca="1" si="625">IF(COUNTIF($AE382,"*bilans*")&gt;0,K382,IF(OR(COUNTIF($A382,"*zmi*")&gt;0,$AI382=""),"",K382))</f>
        <v/>
      </c>
      <c r="AO382" s="161" t="str">
        <f t="shared" ref="AO382:AO445" ca="1" si="626">IF(COUNTIF($AE382,"*bilans*")&gt;0,L382,IF(OR(COUNTIF($A382,"*zmi*")&gt;0,$AI382=""),"",L382))</f>
        <v/>
      </c>
      <c r="AP382" s="162" t="str">
        <f t="shared" ref="AP382:AP445" ca="1" si="627">IF(COUNTIF($AE382,"*bilans*")&gt;0,M382,IF(OR(COUNTIF($A382,"*zmi*")&gt;0,$AI382=""),"",M382))</f>
        <v/>
      </c>
      <c r="AQ382" s="163" t="str">
        <f t="shared" ref="AQ382:AQ445" ca="1" si="628">IF(COUNTIF($AE382,"*bilans*")&gt;0,P382,IF(OR(COUNTIF($A382,"*zmi*")&gt;0,$AI382=""),"",P382))</f>
        <v/>
      </c>
      <c r="AR382" s="164" t="str">
        <f t="shared" ref="AR382:AR445" ca="1" si="629">IF(COUNTIF($AE382,"*bilans*")&gt;0,Q382,IF(OR(COUNTIF($A382,"*zmi*")&gt;0,$AI382=""),"",Q382))</f>
        <v/>
      </c>
      <c r="AS382" s="164" t="str">
        <f t="shared" ref="AS382:AS445" ca="1" si="630">IF(COUNTIF($AE382,"*bilans*")&gt;0,R382,IF(OR(COUNTIF($A382,"*zmi*")&gt;0,$AI382=""),"",R382))</f>
        <v/>
      </c>
      <c r="AT382" s="164" t="str">
        <f t="shared" ref="AT382:AT445" ca="1" si="631">IF(COUNTIF($AE382,"*bilans*")&gt;0,S382,IF(OR(COUNTIF($A382,"*zmi*")&gt;0,$AI382=""),"",S382))</f>
        <v/>
      </c>
      <c r="AU382" s="164" t="str">
        <f t="shared" ref="AU382:AU445" ca="1" si="632">IF(COUNTIF($AE382,"*bilans*")&gt;0,T382,IF(OR(COUNTIF($A382,"*zmi*")&gt;0,$AI382=""),"",T382))</f>
        <v/>
      </c>
      <c r="AV382" s="164" t="str">
        <f t="shared" ref="AV382:AV445" ca="1" si="633">IF(COUNTIF($AE382,"*bilans*")&gt;0,U382,IF(OR(COUNTIF($A382,"*zmi*")&gt;0,$AI382=""),"",U382))</f>
        <v/>
      </c>
      <c r="AW382" s="164" t="str">
        <f t="shared" ref="AW382:AW445" ca="1" si="634">IF(COUNTIF($AE382,"*bilans*")&gt;0,V382,IF(OR(COUNTIF($A382,"*zmi*")&gt;0,$AI382=""),"",V382))</f>
        <v/>
      </c>
      <c r="AX382" s="164" t="str">
        <f t="shared" ref="AX382:AX445" ca="1" si="635">IF(COUNTIF($AE382,"*bilans*")&gt;0,W382,IF(OR(COUNTIF($A382,"*zmi*")&gt;0,$AI382=""),"",W382))</f>
        <v/>
      </c>
      <c r="AY382" s="164" t="str">
        <f t="shared" ref="AY382:AY445" ca="1" si="636">IF(COUNTIF($AE382,"*bilans*")&gt;0,X382,IF(OR(COUNTIF($A382,"*zmi*")&gt;0,$AI382=""),"",X382))</f>
        <v/>
      </c>
      <c r="AZ382" s="164" t="str">
        <f t="shared" ref="AZ382:AZ445" ca="1" si="637">IF(COUNTIF($AE382,"*bilans*")&gt;0,Y382,IF(OR(COUNTIF($A382,"*zmi*")&gt;0,$AI382=""),"",Y382))</f>
        <v/>
      </c>
      <c r="BA382" s="165" t="str">
        <f t="shared" ref="BA382:BA445" ca="1" si="638">Z382</f>
        <v>nie</v>
      </c>
      <c r="BB382" s="166" t="str">
        <f t="shared" ca="1" si="575"/>
        <v>-</v>
      </c>
      <c r="BC382" s="165" t="str">
        <f t="shared" ca="1" si="552"/>
        <v>nie</v>
      </c>
    </row>
    <row r="383" spans="1:55" s="176" customFormat="1" ht="14.45" hidden="1" customHeight="1" x14ac:dyDescent="0.25">
      <c r="A383" s="493" t="s">
        <v>24</v>
      </c>
      <c r="B383" s="493" t="s">
        <v>26</v>
      </c>
      <c r="C383" s="494" t="s">
        <v>155</v>
      </c>
      <c r="D383" s="505" t="s">
        <v>156</v>
      </c>
      <c r="E383" s="497">
        <v>500</v>
      </c>
      <c r="F383" s="497">
        <v>50095</v>
      </c>
      <c r="G383" s="497">
        <v>6050</v>
      </c>
      <c r="H383" s="507">
        <v>2021</v>
      </c>
      <c r="I383" s="499" t="str">
        <f ca="1">IF(COUNTIF(OFFSET(I383,-1,-8),"*propon*")&gt;0,OFFSET(I383,4,0),IF(Y383&gt;0,"2033",IF(X383&gt;0,"2032",IF(W383&gt;0,"2031",IF(V383&gt;0,"2030",IF(U383&gt;0,"2029",IF(T383&gt;0,"2028",IF(S383&gt;0,"2027",IF(R383&gt;0,"2026",IF(Q383&gt;0,"2025",IF(P383&gt;0,"2024",IF(M383&gt;0,"2023",IF(L383&gt;0,"2022","")))))))))))))</f>
        <v>2025</v>
      </c>
      <c r="J383" s="168" t="s">
        <v>94</v>
      </c>
      <c r="K383" s="169">
        <f>SUM(N383:O383)</f>
        <v>3470001</v>
      </c>
      <c r="L383" s="170">
        <f t="shared" ref="L383:M383" si="639">SUM(L384:L385)</f>
        <v>158747</v>
      </c>
      <c r="M383" s="171">
        <f t="shared" si="639"/>
        <v>0</v>
      </c>
      <c r="N383" s="172">
        <f>SUM(L383:M383)</f>
        <v>158747</v>
      </c>
      <c r="O383" s="169">
        <f>SUM(P383:Y383)</f>
        <v>3311254</v>
      </c>
      <c r="P383" s="173">
        <f t="shared" ref="P383:R383" si="640">SUM(P384:P385)</f>
        <v>911254</v>
      </c>
      <c r="Q383" s="171">
        <f t="shared" si="640"/>
        <v>2400000</v>
      </c>
      <c r="R383" s="174">
        <f t="shared" si="640"/>
        <v>0</v>
      </c>
      <c r="S383" s="175">
        <f t="shared" ref="S383:Y383" si="641">SUM(S384:S385)</f>
        <v>0</v>
      </c>
      <c r="T383" s="171">
        <f t="shared" si="641"/>
        <v>0</v>
      </c>
      <c r="U383" s="171">
        <f t="shared" si="641"/>
        <v>0</v>
      </c>
      <c r="V383" s="171">
        <f t="shared" si="641"/>
        <v>0</v>
      </c>
      <c r="W383" s="171">
        <f t="shared" si="641"/>
        <v>0</v>
      </c>
      <c r="X383" s="171">
        <f t="shared" si="641"/>
        <v>0</v>
      </c>
      <c r="Y383" s="174">
        <f t="shared" si="641"/>
        <v>0</v>
      </c>
      <c r="Z383" s="149" t="str">
        <f t="shared" ca="1" si="551"/>
        <v>nie</v>
      </c>
      <c r="AA383" s="366"/>
      <c r="AB383" s="150" t="str">
        <f t="shared" ca="1" si="574"/>
        <v>-</v>
      </c>
      <c r="AC383" s="151" t="str">
        <f t="shared" ca="1" si="618"/>
        <v>PRZED ZMIANĄ</v>
      </c>
      <c r="AD383" s="152" t="str">
        <f t="shared" ca="1" si="567"/>
        <v>PRZED ZMIANĄ</v>
      </c>
      <c r="AE383" s="153" t="str">
        <f t="shared" ca="1" si="619"/>
        <v>C/USN/III/P4/37</v>
      </c>
      <c r="AF383" s="154" t="str">
        <f t="shared" ca="1" si="620"/>
        <v>Budowa targowiska miejskiego u zbiegu ul. Płaskowickiej i ul. Braci Wagów nad tunelem Południowej Obwodnicy Warszawy</v>
      </c>
      <c r="AG383" s="155">
        <f t="shared" ca="1" si="621"/>
        <v>50095</v>
      </c>
      <c r="AH383" s="155" t="str">
        <f t="shared" ca="1" si="622"/>
        <v>6050</v>
      </c>
      <c r="AI383" s="156" t="str">
        <f t="shared" ca="1" si="623"/>
        <v>GMMW</v>
      </c>
      <c r="AJ383" s="157" t="str">
        <f t="shared" ca="1" si="624"/>
        <v>WPF, w tym</v>
      </c>
      <c r="AK383" s="158" t="str">
        <f t="shared" ca="1" si="568"/>
        <v>C/USN/III/P4/37 50095 6050 GMMW</v>
      </c>
      <c r="AL383" s="158" t="str">
        <f t="shared" ca="1" si="569"/>
        <v>C/USN/III/P4/37 50095 6050 WPF, w tym</v>
      </c>
      <c r="AM383" s="159" t="str">
        <f t="shared" ca="1" si="570"/>
        <v>C/USN/III/P4/37 50095 6050 GMMW WPF, w tym</v>
      </c>
      <c r="AN383" s="160">
        <f t="shared" ca="1" si="625"/>
        <v>3470001</v>
      </c>
      <c r="AO383" s="161">
        <f t="shared" ca="1" si="626"/>
        <v>158747</v>
      </c>
      <c r="AP383" s="162">
        <f t="shared" ca="1" si="627"/>
        <v>0</v>
      </c>
      <c r="AQ383" s="163">
        <f t="shared" ca="1" si="628"/>
        <v>911254</v>
      </c>
      <c r="AR383" s="164">
        <f t="shared" ca="1" si="629"/>
        <v>2400000</v>
      </c>
      <c r="AS383" s="164">
        <f t="shared" ca="1" si="630"/>
        <v>0</v>
      </c>
      <c r="AT383" s="164">
        <f t="shared" ca="1" si="631"/>
        <v>0</v>
      </c>
      <c r="AU383" s="164">
        <f t="shared" ca="1" si="632"/>
        <v>0</v>
      </c>
      <c r="AV383" s="164">
        <f t="shared" ca="1" si="633"/>
        <v>0</v>
      </c>
      <c r="AW383" s="164">
        <f t="shared" ca="1" si="634"/>
        <v>0</v>
      </c>
      <c r="AX383" s="164">
        <f t="shared" ca="1" si="635"/>
        <v>0</v>
      </c>
      <c r="AY383" s="164">
        <f t="shared" ca="1" si="636"/>
        <v>0</v>
      </c>
      <c r="AZ383" s="164">
        <f t="shared" ca="1" si="637"/>
        <v>0</v>
      </c>
      <c r="BA383" s="165" t="str">
        <f t="shared" ca="1" si="638"/>
        <v>nie</v>
      </c>
      <c r="BB383" s="166" t="str">
        <f t="shared" ca="1" si="575"/>
        <v>-</v>
      </c>
      <c r="BC383" s="165" t="str">
        <f t="shared" ca="1" si="552"/>
        <v>nie</v>
      </c>
    </row>
    <row r="384" spans="1:55" s="167" customFormat="1" ht="14.45" hidden="1" customHeight="1" x14ac:dyDescent="0.25">
      <c r="A384" s="493"/>
      <c r="B384" s="493"/>
      <c r="C384" s="494"/>
      <c r="D384" s="506"/>
      <c r="E384" s="497"/>
      <c r="F384" s="497"/>
      <c r="G384" s="497"/>
      <c r="H384" s="498"/>
      <c r="I384" s="499"/>
      <c r="J384" s="177" t="s">
        <v>95</v>
      </c>
      <c r="K384" s="178">
        <f>SUM(N384:O384)</f>
        <v>3307487</v>
      </c>
      <c r="L384" s="179"/>
      <c r="M384" s="180"/>
      <c r="N384" s="172">
        <f>SUM(L384:M384)</f>
        <v>0</v>
      </c>
      <c r="O384" s="178">
        <f>SUM(P384:Y384)</f>
        <v>3307487</v>
      </c>
      <c r="P384" s="181">
        <v>907487</v>
      </c>
      <c r="Q384" s="180">
        <v>2400000</v>
      </c>
      <c r="R384" s="182"/>
      <c r="S384" s="183"/>
      <c r="T384" s="180"/>
      <c r="U384" s="180"/>
      <c r="V384" s="180"/>
      <c r="W384" s="180"/>
      <c r="X384" s="180"/>
      <c r="Y384" s="182"/>
      <c r="Z384" s="149" t="str">
        <f t="shared" ca="1" si="551"/>
        <v>nie</v>
      </c>
      <c r="AA384" s="366"/>
      <c r="AB384" s="150" t="str">
        <f t="shared" ca="1" si="574"/>
        <v>-</v>
      </c>
      <c r="AC384" s="151" t="str">
        <f t="shared" ca="1" si="618"/>
        <v>PRZED ZMIANĄ</v>
      </c>
      <c r="AD384" s="152" t="str">
        <f t="shared" ca="1" si="567"/>
        <v>PRZED ZMIANĄ</v>
      </c>
      <c r="AE384" s="153" t="str">
        <f t="shared" ca="1" si="619"/>
        <v>C/USN/III/P4/37</v>
      </c>
      <c r="AF384" s="154" t="str">
        <f t="shared" ca="1" si="620"/>
        <v>Budowa targowiska miejskiego u zbiegu ul. Płaskowickiej i ul. Braci Wagów nad tunelem Południowej Obwodnicy Warszawy</v>
      </c>
      <c r="AG384" s="155">
        <f t="shared" ca="1" si="621"/>
        <v>50095</v>
      </c>
      <c r="AH384" s="155" t="str">
        <f t="shared" ca="1" si="622"/>
        <v>6050</v>
      </c>
      <c r="AI384" s="156" t="str">
        <f t="shared" ca="1" si="623"/>
        <v>GMMW</v>
      </c>
      <c r="AJ384" s="157" t="str">
        <f t="shared" ca="1" si="624"/>
        <v>WPF/PM</v>
      </c>
      <c r="AK384" s="158" t="str">
        <f t="shared" ca="1" si="568"/>
        <v>C/USN/III/P4/37 50095 6050 GMMW</v>
      </c>
      <c r="AL384" s="158" t="str">
        <f t="shared" ca="1" si="569"/>
        <v>C/USN/III/P4/37 50095 6050 WPF/PM</v>
      </c>
      <c r="AM384" s="159" t="str">
        <f t="shared" ca="1" si="570"/>
        <v>C/USN/III/P4/37 50095 6050 GMMW WPF/PM</v>
      </c>
      <c r="AN384" s="160">
        <f t="shared" ca="1" si="625"/>
        <v>3307487</v>
      </c>
      <c r="AO384" s="161">
        <f t="shared" ca="1" si="626"/>
        <v>0</v>
      </c>
      <c r="AP384" s="162">
        <f t="shared" ca="1" si="627"/>
        <v>0</v>
      </c>
      <c r="AQ384" s="163">
        <f t="shared" ca="1" si="628"/>
        <v>907487</v>
      </c>
      <c r="AR384" s="164">
        <f t="shared" ca="1" si="629"/>
        <v>2400000</v>
      </c>
      <c r="AS384" s="164">
        <f t="shared" ca="1" si="630"/>
        <v>0</v>
      </c>
      <c r="AT384" s="164">
        <f t="shared" ca="1" si="631"/>
        <v>0</v>
      </c>
      <c r="AU384" s="164">
        <f t="shared" ca="1" si="632"/>
        <v>0</v>
      </c>
      <c r="AV384" s="164">
        <f t="shared" ca="1" si="633"/>
        <v>0</v>
      </c>
      <c r="AW384" s="164">
        <f t="shared" ca="1" si="634"/>
        <v>0</v>
      </c>
      <c r="AX384" s="164">
        <f t="shared" ca="1" si="635"/>
        <v>0</v>
      </c>
      <c r="AY384" s="164">
        <f t="shared" ca="1" si="636"/>
        <v>0</v>
      </c>
      <c r="AZ384" s="164">
        <f t="shared" ca="1" si="637"/>
        <v>0</v>
      </c>
      <c r="BA384" s="165" t="str">
        <f t="shared" ca="1" si="638"/>
        <v>nie</v>
      </c>
      <c r="BB384" s="166" t="str">
        <f t="shared" ca="1" si="575"/>
        <v>-</v>
      </c>
      <c r="BC384" s="165" t="str">
        <f t="shared" ca="1" si="552"/>
        <v>nie</v>
      </c>
    </row>
    <row r="385" spans="1:55" s="167" customFormat="1" ht="14.45" hidden="1" customHeight="1" x14ac:dyDescent="0.25">
      <c r="A385" s="493"/>
      <c r="B385" s="493"/>
      <c r="C385" s="494"/>
      <c r="D385" s="506"/>
      <c r="E385" s="497"/>
      <c r="F385" s="497"/>
      <c r="G385" s="497"/>
      <c r="H385" s="498"/>
      <c r="I385" s="499"/>
      <c r="J385" s="177" t="s">
        <v>96</v>
      </c>
      <c r="K385" s="178">
        <f>SUM(N385:O385)</f>
        <v>162514</v>
      </c>
      <c r="L385" s="184">
        <v>158747</v>
      </c>
      <c r="M385" s="180">
        <v>0</v>
      </c>
      <c r="N385" s="172">
        <f>SUM(L385:M385)</f>
        <v>158747</v>
      </c>
      <c r="O385" s="178">
        <f>SUM(P385:Y385)</f>
        <v>3767</v>
      </c>
      <c r="P385" s="181">
        <v>3767</v>
      </c>
      <c r="Q385" s="180"/>
      <c r="R385" s="182"/>
      <c r="S385" s="183"/>
      <c r="T385" s="180"/>
      <c r="U385" s="180"/>
      <c r="V385" s="180"/>
      <c r="W385" s="180"/>
      <c r="X385" s="180"/>
      <c r="Y385" s="182"/>
      <c r="Z385" s="149" t="str">
        <f t="shared" ca="1" si="551"/>
        <v>nie</v>
      </c>
      <c r="AA385" s="366"/>
      <c r="AB385" s="150" t="str">
        <f t="shared" ca="1" si="574"/>
        <v>-</v>
      </c>
      <c r="AC385" s="151" t="str">
        <f t="shared" ca="1" si="618"/>
        <v>PRZED ZMIANĄ</v>
      </c>
      <c r="AD385" s="152" t="str">
        <f t="shared" ca="1" si="567"/>
        <v>PRZED ZMIANĄ</v>
      </c>
      <c r="AE385" s="153" t="str">
        <f t="shared" ca="1" si="619"/>
        <v>C/USN/III/P4/37</v>
      </c>
      <c r="AF385" s="154" t="str">
        <f t="shared" ca="1" si="620"/>
        <v>Budowa targowiska miejskiego u zbiegu ul. Płaskowickiej i ul. Braci Wagów nad tunelem Południowej Obwodnicy Warszawy</v>
      </c>
      <c r="AG385" s="155">
        <f t="shared" ca="1" si="621"/>
        <v>50095</v>
      </c>
      <c r="AH385" s="155" t="str">
        <f t="shared" ca="1" si="622"/>
        <v>6050</v>
      </c>
      <c r="AI385" s="156" t="str">
        <f t="shared" ca="1" si="623"/>
        <v>GMMW</v>
      </c>
      <c r="AJ385" s="157" t="str">
        <f t="shared" ca="1" si="624"/>
        <v>WPF/UM</v>
      </c>
      <c r="AK385" s="158" t="str">
        <f t="shared" ca="1" si="568"/>
        <v>C/USN/III/P4/37 50095 6050 GMMW</v>
      </c>
      <c r="AL385" s="158" t="str">
        <f t="shared" ca="1" si="569"/>
        <v>C/USN/III/P4/37 50095 6050 WPF/UM</v>
      </c>
      <c r="AM385" s="159" t="str">
        <f t="shared" ca="1" si="570"/>
        <v>C/USN/III/P4/37 50095 6050 GMMW WPF/UM</v>
      </c>
      <c r="AN385" s="160">
        <f t="shared" ca="1" si="625"/>
        <v>162514</v>
      </c>
      <c r="AO385" s="161">
        <f t="shared" ca="1" si="626"/>
        <v>158747</v>
      </c>
      <c r="AP385" s="162">
        <f t="shared" ca="1" si="627"/>
        <v>0</v>
      </c>
      <c r="AQ385" s="163">
        <f t="shared" ca="1" si="628"/>
        <v>3767</v>
      </c>
      <c r="AR385" s="164">
        <f t="shared" ca="1" si="629"/>
        <v>0</v>
      </c>
      <c r="AS385" s="164">
        <f t="shared" ca="1" si="630"/>
        <v>0</v>
      </c>
      <c r="AT385" s="164">
        <f t="shared" ca="1" si="631"/>
        <v>0</v>
      </c>
      <c r="AU385" s="164">
        <f t="shared" ca="1" si="632"/>
        <v>0</v>
      </c>
      <c r="AV385" s="164">
        <f t="shared" ca="1" si="633"/>
        <v>0</v>
      </c>
      <c r="AW385" s="164">
        <f t="shared" ca="1" si="634"/>
        <v>0</v>
      </c>
      <c r="AX385" s="164">
        <f t="shared" ca="1" si="635"/>
        <v>0</v>
      </c>
      <c r="AY385" s="164">
        <f t="shared" ca="1" si="636"/>
        <v>0</v>
      </c>
      <c r="AZ385" s="164">
        <f t="shared" ca="1" si="637"/>
        <v>0</v>
      </c>
      <c r="BA385" s="165" t="str">
        <f t="shared" ca="1" si="638"/>
        <v>nie</v>
      </c>
      <c r="BB385" s="166" t="str">
        <f t="shared" ca="1" si="575"/>
        <v>-</v>
      </c>
      <c r="BC385" s="165" t="str">
        <f t="shared" ca="1" si="552"/>
        <v>nie</v>
      </c>
    </row>
    <row r="386" spans="1:55" s="167" customFormat="1" ht="14.45" hidden="1" customHeight="1" x14ac:dyDescent="0.25">
      <c r="A386" s="185" t="s">
        <v>97</v>
      </c>
      <c r="B386" s="186"/>
      <c r="C386" s="187"/>
      <c r="D386" s="186"/>
      <c r="E386" s="186"/>
      <c r="F386" s="186"/>
      <c r="G386" s="186"/>
      <c r="H386" s="186"/>
      <c r="I386" s="186"/>
      <c r="J386" s="186"/>
      <c r="K386" s="186"/>
      <c r="L386" s="186"/>
      <c r="M386" s="186"/>
      <c r="N386" s="186"/>
      <c r="O386" s="186"/>
      <c r="P386" s="186"/>
      <c r="Q386" s="186"/>
      <c r="R386" s="188"/>
      <c r="S386" s="189"/>
      <c r="T386" s="189"/>
      <c r="U386" s="189"/>
      <c r="V386" s="189"/>
      <c r="W386" s="189"/>
      <c r="X386" s="189"/>
      <c r="Y386" s="190"/>
      <c r="Z386" s="149" t="str">
        <f t="shared" ca="1" si="551"/>
        <v>nie</v>
      </c>
      <c r="AA386" s="366"/>
      <c r="AB386" s="150" t="str">
        <f t="shared" ca="1" si="574"/>
        <v>-</v>
      </c>
      <c r="AC386" s="151" t="str">
        <f t="shared" ca="1" si="618"/>
        <v>PROPONOWANA ZMIANA</v>
      </c>
      <c r="AD386" s="152" t="str">
        <f t="shared" ca="1" si="567"/>
        <v/>
      </c>
      <c r="AE386" s="153" t="str">
        <f t="shared" ca="1" si="619"/>
        <v/>
      </c>
      <c r="AF386" s="154" t="str">
        <f t="shared" ca="1" si="620"/>
        <v/>
      </c>
      <c r="AG386" s="155" t="str">
        <f t="shared" ca="1" si="621"/>
        <v/>
      </c>
      <c r="AH386" s="155" t="str">
        <f t="shared" ca="1" si="622"/>
        <v/>
      </c>
      <c r="AI386" s="156" t="str">
        <f t="shared" ca="1" si="623"/>
        <v/>
      </c>
      <c r="AJ386" s="157" t="str">
        <f t="shared" ca="1" si="624"/>
        <v/>
      </c>
      <c r="AK386" s="158" t="str">
        <f t="shared" ca="1" si="568"/>
        <v/>
      </c>
      <c r="AL386" s="158" t="str">
        <f t="shared" ca="1" si="569"/>
        <v/>
      </c>
      <c r="AM386" s="159" t="str">
        <f t="shared" ca="1" si="570"/>
        <v/>
      </c>
      <c r="AN386" s="160" t="str">
        <f t="shared" ca="1" si="625"/>
        <v/>
      </c>
      <c r="AO386" s="161" t="str">
        <f t="shared" ca="1" si="626"/>
        <v/>
      </c>
      <c r="AP386" s="162" t="str">
        <f t="shared" ca="1" si="627"/>
        <v/>
      </c>
      <c r="AQ386" s="163" t="str">
        <f t="shared" ca="1" si="628"/>
        <v/>
      </c>
      <c r="AR386" s="164" t="str">
        <f t="shared" ca="1" si="629"/>
        <v/>
      </c>
      <c r="AS386" s="164" t="str">
        <f t="shared" ca="1" si="630"/>
        <v/>
      </c>
      <c r="AT386" s="164" t="str">
        <f t="shared" ca="1" si="631"/>
        <v/>
      </c>
      <c r="AU386" s="164" t="str">
        <f t="shared" ca="1" si="632"/>
        <v/>
      </c>
      <c r="AV386" s="164" t="str">
        <f t="shared" ca="1" si="633"/>
        <v/>
      </c>
      <c r="AW386" s="164" t="str">
        <f t="shared" ca="1" si="634"/>
        <v/>
      </c>
      <c r="AX386" s="164" t="str">
        <f t="shared" ca="1" si="635"/>
        <v/>
      </c>
      <c r="AY386" s="164" t="str">
        <f t="shared" ca="1" si="636"/>
        <v/>
      </c>
      <c r="AZ386" s="164" t="str">
        <f t="shared" ca="1" si="637"/>
        <v/>
      </c>
      <c r="BA386" s="165" t="str">
        <f t="shared" ca="1" si="638"/>
        <v>nie</v>
      </c>
      <c r="BB386" s="166" t="str">
        <f t="shared" ca="1" si="575"/>
        <v>-</v>
      </c>
      <c r="BC386" s="165" t="str">
        <f t="shared" ca="1" si="552"/>
        <v>nie</v>
      </c>
    </row>
    <row r="387" spans="1:55" s="176" customFormat="1" ht="14.45" hidden="1" customHeight="1" x14ac:dyDescent="0.25">
      <c r="A387" s="493" t="s">
        <v>24</v>
      </c>
      <c r="B387" s="493" t="s">
        <v>26</v>
      </c>
      <c r="C387" s="494" t="s">
        <v>155</v>
      </c>
      <c r="D387" s="505" t="s">
        <v>156</v>
      </c>
      <c r="E387" s="497">
        <v>500</v>
      </c>
      <c r="F387" s="497">
        <v>50095</v>
      </c>
      <c r="G387" s="497">
        <v>6050</v>
      </c>
      <c r="H387" s="507">
        <v>2021</v>
      </c>
      <c r="I387" s="499" t="str">
        <f ca="1">IF(COUNTIF(OFFSET(I387,-1,-8),"*propon*")&gt;0,OFFSET(I387,4,0),IF(Y387&gt;0,"2033",IF(X387&gt;0,"2032",IF(W387&gt;0,"2031",IF(V387&gt;0,"2030",IF(U387&gt;0,"2029",IF(T387&gt;0,"2028",IF(S387&gt;0,"2027",IF(R387&gt;0,"2026",IF(Q387&gt;0,"2025",IF(P387&gt;0,"2024",IF(M387&gt;0,"2023",IF(L387&gt;0,"2022","")))))))))))))</f>
        <v>2025</v>
      </c>
      <c r="J387" s="168" t="s">
        <v>98</v>
      </c>
      <c r="K387" s="169">
        <f>SUM(N387:O387)</f>
        <v>0</v>
      </c>
      <c r="L387" s="170">
        <f t="shared" ref="L387:M387" si="642">SUM(L388:L389)</f>
        <v>0</v>
      </c>
      <c r="M387" s="171">
        <f t="shared" si="642"/>
        <v>0</v>
      </c>
      <c r="N387" s="172">
        <f>SUM(L387:M387)</f>
        <v>0</v>
      </c>
      <c r="O387" s="169">
        <f>SUM(P387:Y387)</f>
        <v>0</v>
      </c>
      <c r="P387" s="173">
        <f t="shared" ref="P387:R387" si="643">SUM(P388:P389)</f>
        <v>0</v>
      </c>
      <c r="Q387" s="171">
        <f t="shared" si="643"/>
        <v>0</v>
      </c>
      <c r="R387" s="174">
        <f t="shared" si="643"/>
        <v>0</v>
      </c>
      <c r="S387" s="175">
        <f t="shared" ref="S387:Y387" si="644">SUM(S388:S389)</f>
        <v>0</v>
      </c>
      <c r="T387" s="171">
        <f t="shared" si="644"/>
        <v>0</v>
      </c>
      <c r="U387" s="171">
        <f t="shared" si="644"/>
        <v>0</v>
      </c>
      <c r="V387" s="171">
        <f t="shared" si="644"/>
        <v>0</v>
      </c>
      <c r="W387" s="171">
        <f t="shared" si="644"/>
        <v>0</v>
      </c>
      <c r="X387" s="171">
        <f t="shared" si="644"/>
        <v>0</v>
      </c>
      <c r="Y387" s="174">
        <f t="shared" si="644"/>
        <v>0</v>
      </c>
      <c r="Z387" s="149" t="str">
        <f t="shared" ca="1" si="551"/>
        <v>nie</v>
      </c>
      <c r="AA387" s="366"/>
      <c r="AB387" s="150" t="str">
        <f t="shared" ca="1" si="574"/>
        <v>-</v>
      </c>
      <c r="AC387" s="151" t="str">
        <f t="shared" ca="1" si="618"/>
        <v>PROPONOWANA ZMIANA</v>
      </c>
      <c r="AD387" s="152" t="str">
        <f t="shared" ca="1" si="567"/>
        <v>PROPONOWANA ZMIANA</v>
      </c>
      <c r="AE387" s="153" t="str">
        <f t="shared" ca="1" si="619"/>
        <v>C/USN/III/P4/37</v>
      </c>
      <c r="AF387" s="154" t="str">
        <f t="shared" ca="1" si="620"/>
        <v>Budowa targowiska miejskiego u zbiegu ul. Płaskowickiej i ul. Braci Wagów nad tunelem Południowej Obwodnicy Warszawy</v>
      </c>
      <c r="AG387" s="155">
        <f t="shared" ca="1" si="621"/>
        <v>50095</v>
      </c>
      <c r="AH387" s="155" t="str">
        <f t="shared" ca="1" si="622"/>
        <v>6050</v>
      </c>
      <c r="AI387" s="156" t="str">
        <f t="shared" ca="1" si="623"/>
        <v>GMMW</v>
      </c>
      <c r="AJ387" s="157" t="str">
        <f t="shared" ca="1" si="624"/>
        <v>WPF, w tym</v>
      </c>
      <c r="AK387" s="158" t="str">
        <f t="shared" ca="1" si="568"/>
        <v>C/USN/III/P4/37 50095 6050 GMMW</v>
      </c>
      <c r="AL387" s="158" t="str">
        <f t="shared" ca="1" si="569"/>
        <v>C/USN/III/P4/37 50095 6050 WPF, w tym</v>
      </c>
      <c r="AM387" s="159" t="str">
        <f t="shared" ca="1" si="570"/>
        <v>C/USN/III/P4/37 50095 6050 GMMW WPF, w tym</v>
      </c>
      <c r="AN387" s="160">
        <f t="shared" ca="1" si="625"/>
        <v>0</v>
      </c>
      <c r="AO387" s="161">
        <f t="shared" ca="1" si="626"/>
        <v>0</v>
      </c>
      <c r="AP387" s="162">
        <f t="shared" ca="1" si="627"/>
        <v>0</v>
      </c>
      <c r="AQ387" s="163">
        <f t="shared" ca="1" si="628"/>
        <v>0</v>
      </c>
      <c r="AR387" s="164">
        <f t="shared" ca="1" si="629"/>
        <v>0</v>
      </c>
      <c r="AS387" s="164">
        <f t="shared" ca="1" si="630"/>
        <v>0</v>
      </c>
      <c r="AT387" s="164">
        <f t="shared" ca="1" si="631"/>
        <v>0</v>
      </c>
      <c r="AU387" s="164">
        <f t="shared" ca="1" si="632"/>
        <v>0</v>
      </c>
      <c r="AV387" s="164">
        <f t="shared" ca="1" si="633"/>
        <v>0</v>
      </c>
      <c r="AW387" s="164">
        <f t="shared" ca="1" si="634"/>
        <v>0</v>
      </c>
      <c r="AX387" s="164">
        <f t="shared" ca="1" si="635"/>
        <v>0</v>
      </c>
      <c r="AY387" s="164">
        <f t="shared" ca="1" si="636"/>
        <v>0</v>
      </c>
      <c r="AZ387" s="164">
        <f t="shared" ca="1" si="637"/>
        <v>0</v>
      </c>
      <c r="BA387" s="165" t="str">
        <f t="shared" ca="1" si="638"/>
        <v>nie</v>
      </c>
      <c r="BB387" s="166" t="str">
        <f t="shared" ca="1" si="575"/>
        <v>-</v>
      </c>
      <c r="BC387" s="165" t="str">
        <f t="shared" ca="1" si="552"/>
        <v>nie</v>
      </c>
    </row>
    <row r="388" spans="1:55" s="167" customFormat="1" ht="14.45" hidden="1" customHeight="1" x14ac:dyDescent="0.25">
      <c r="A388" s="493"/>
      <c r="B388" s="493"/>
      <c r="C388" s="494"/>
      <c r="D388" s="506"/>
      <c r="E388" s="497"/>
      <c r="F388" s="497"/>
      <c r="G388" s="497"/>
      <c r="H388" s="498"/>
      <c r="I388" s="499"/>
      <c r="J388" s="177" t="s">
        <v>99</v>
      </c>
      <c r="K388" s="178">
        <f>SUM(N388:O388)</f>
        <v>0</v>
      </c>
      <c r="L388" s="179">
        <f t="shared" ref="L388:M388" si="645">L392-L384</f>
        <v>0</v>
      </c>
      <c r="M388" s="180">
        <f t="shared" si="645"/>
        <v>0</v>
      </c>
      <c r="N388" s="172">
        <f>SUM(L388:M388)</f>
        <v>0</v>
      </c>
      <c r="O388" s="178">
        <f>SUM(P388:Y388)</f>
        <v>0</v>
      </c>
      <c r="P388" s="181">
        <f t="shared" ref="P388:R388" si="646">P392-P384</f>
        <v>0</v>
      </c>
      <c r="Q388" s="180">
        <f t="shared" si="646"/>
        <v>0</v>
      </c>
      <c r="R388" s="182">
        <f t="shared" si="646"/>
        <v>0</v>
      </c>
      <c r="S388" s="183">
        <f t="shared" ref="S388:Y389" si="647">S392-S384</f>
        <v>0</v>
      </c>
      <c r="T388" s="180">
        <f t="shared" si="647"/>
        <v>0</v>
      </c>
      <c r="U388" s="180">
        <f t="shared" si="647"/>
        <v>0</v>
      </c>
      <c r="V388" s="180">
        <f t="shared" si="647"/>
        <v>0</v>
      </c>
      <c r="W388" s="180">
        <f t="shared" si="647"/>
        <v>0</v>
      </c>
      <c r="X388" s="180">
        <f t="shared" si="647"/>
        <v>0</v>
      </c>
      <c r="Y388" s="182">
        <f t="shared" si="647"/>
        <v>0</v>
      </c>
      <c r="Z388" s="149" t="str">
        <f t="shared" ca="1" si="551"/>
        <v>nie</v>
      </c>
      <c r="AA388" s="366"/>
      <c r="AB388" s="150" t="str">
        <f t="shared" ca="1" si="574"/>
        <v>-</v>
      </c>
      <c r="AC388" s="151" t="str">
        <f t="shared" ca="1" si="618"/>
        <v>PROPONOWANA ZMIANA</v>
      </c>
      <c r="AD388" s="152" t="str">
        <f t="shared" ca="1" si="567"/>
        <v>PROPONOWANA ZMIANA</v>
      </c>
      <c r="AE388" s="153" t="str">
        <f t="shared" ca="1" si="619"/>
        <v>C/USN/III/P4/37</v>
      </c>
      <c r="AF388" s="154" t="str">
        <f t="shared" ca="1" si="620"/>
        <v>Budowa targowiska miejskiego u zbiegu ul. Płaskowickiej i ul. Braci Wagów nad tunelem Południowej Obwodnicy Warszawy</v>
      </c>
      <c r="AG388" s="155">
        <f t="shared" ca="1" si="621"/>
        <v>50095</v>
      </c>
      <c r="AH388" s="155" t="str">
        <f t="shared" ca="1" si="622"/>
        <v>6050</v>
      </c>
      <c r="AI388" s="156" t="str">
        <f t="shared" ca="1" si="623"/>
        <v>GMMW</v>
      </c>
      <c r="AJ388" s="157" t="str">
        <f t="shared" ca="1" si="624"/>
        <v>WPF/PM</v>
      </c>
      <c r="AK388" s="158" t="str">
        <f t="shared" ca="1" si="568"/>
        <v>C/USN/III/P4/37 50095 6050 GMMW</v>
      </c>
      <c r="AL388" s="158" t="str">
        <f t="shared" ca="1" si="569"/>
        <v>C/USN/III/P4/37 50095 6050 WPF/PM</v>
      </c>
      <c r="AM388" s="159" t="str">
        <f t="shared" ca="1" si="570"/>
        <v>C/USN/III/P4/37 50095 6050 GMMW WPF/PM</v>
      </c>
      <c r="AN388" s="160">
        <f t="shared" ca="1" si="625"/>
        <v>0</v>
      </c>
      <c r="AO388" s="161">
        <f t="shared" ca="1" si="626"/>
        <v>0</v>
      </c>
      <c r="AP388" s="162">
        <f t="shared" ca="1" si="627"/>
        <v>0</v>
      </c>
      <c r="AQ388" s="163">
        <f t="shared" ca="1" si="628"/>
        <v>0</v>
      </c>
      <c r="AR388" s="164">
        <f t="shared" ca="1" si="629"/>
        <v>0</v>
      </c>
      <c r="AS388" s="164">
        <f t="shared" ca="1" si="630"/>
        <v>0</v>
      </c>
      <c r="AT388" s="164">
        <f t="shared" ca="1" si="631"/>
        <v>0</v>
      </c>
      <c r="AU388" s="164">
        <f t="shared" ca="1" si="632"/>
        <v>0</v>
      </c>
      <c r="AV388" s="164">
        <f t="shared" ca="1" si="633"/>
        <v>0</v>
      </c>
      <c r="AW388" s="164">
        <f t="shared" ca="1" si="634"/>
        <v>0</v>
      </c>
      <c r="AX388" s="164">
        <f t="shared" ca="1" si="635"/>
        <v>0</v>
      </c>
      <c r="AY388" s="164">
        <f t="shared" ca="1" si="636"/>
        <v>0</v>
      </c>
      <c r="AZ388" s="164">
        <f t="shared" ca="1" si="637"/>
        <v>0</v>
      </c>
      <c r="BA388" s="165" t="str">
        <f t="shared" ca="1" si="638"/>
        <v>nie</v>
      </c>
      <c r="BB388" s="166" t="str">
        <f t="shared" ca="1" si="575"/>
        <v>-</v>
      </c>
      <c r="BC388" s="165" t="str">
        <f t="shared" ca="1" si="552"/>
        <v>nie</v>
      </c>
    </row>
    <row r="389" spans="1:55" s="167" customFormat="1" ht="14.45" hidden="1" customHeight="1" x14ac:dyDescent="0.25">
      <c r="A389" s="493"/>
      <c r="B389" s="493"/>
      <c r="C389" s="494"/>
      <c r="D389" s="506"/>
      <c r="E389" s="497"/>
      <c r="F389" s="497"/>
      <c r="G389" s="497"/>
      <c r="H389" s="498"/>
      <c r="I389" s="499"/>
      <c r="J389" s="177" t="s">
        <v>100</v>
      </c>
      <c r="K389" s="178">
        <f>SUM(N389:O389)</f>
        <v>0</v>
      </c>
      <c r="L389" s="179">
        <f t="shared" ref="L389:M389" si="648">L393-L385</f>
        <v>0</v>
      </c>
      <c r="M389" s="180">
        <f t="shared" si="648"/>
        <v>0</v>
      </c>
      <c r="N389" s="172">
        <f>SUM(L389:M389)</f>
        <v>0</v>
      </c>
      <c r="O389" s="178">
        <f>SUM(P389:Y389)</f>
        <v>0</v>
      </c>
      <c r="P389" s="181">
        <f t="shared" ref="P389:R389" si="649">P393-P385</f>
        <v>0</v>
      </c>
      <c r="Q389" s="180">
        <f t="shared" si="649"/>
        <v>0</v>
      </c>
      <c r="R389" s="182">
        <f t="shared" si="649"/>
        <v>0</v>
      </c>
      <c r="S389" s="183">
        <f t="shared" si="647"/>
        <v>0</v>
      </c>
      <c r="T389" s="180">
        <f t="shared" si="647"/>
        <v>0</v>
      </c>
      <c r="U389" s="180">
        <f t="shared" si="647"/>
        <v>0</v>
      </c>
      <c r="V389" s="180">
        <f t="shared" si="647"/>
        <v>0</v>
      </c>
      <c r="W389" s="180">
        <f t="shared" si="647"/>
        <v>0</v>
      </c>
      <c r="X389" s="180">
        <f t="shared" si="647"/>
        <v>0</v>
      </c>
      <c r="Y389" s="182">
        <f t="shared" si="647"/>
        <v>0</v>
      </c>
      <c r="Z389" s="149" t="str">
        <f t="shared" ca="1" si="551"/>
        <v>nie</v>
      </c>
      <c r="AA389" s="366"/>
      <c r="AB389" s="150" t="str">
        <f t="shared" ca="1" si="574"/>
        <v>-</v>
      </c>
      <c r="AC389" s="151" t="str">
        <f t="shared" ca="1" si="618"/>
        <v>PROPONOWANA ZMIANA</v>
      </c>
      <c r="AD389" s="152" t="str">
        <f t="shared" ca="1" si="567"/>
        <v>PROPONOWANA ZMIANA</v>
      </c>
      <c r="AE389" s="153" t="str">
        <f t="shared" ca="1" si="619"/>
        <v>C/USN/III/P4/37</v>
      </c>
      <c r="AF389" s="154" t="str">
        <f t="shared" ca="1" si="620"/>
        <v>Budowa targowiska miejskiego u zbiegu ul. Płaskowickiej i ul. Braci Wagów nad tunelem Południowej Obwodnicy Warszawy</v>
      </c>
      <c r="AG389" s="155">
        <f t="shared" ca="1" si="621"/>
        <v>50095</v>
      </c>
      <c r="AH389" s="155" t="str">
        <f t="shared" ca="1" si="622"/>
        <v>6050</v>
      </c>
      <c r="AI389" s="156" t="str">
        <f t="shared" ca="1" si="623"/>
        <v>GMMW</v>
      </c>
      <c r="AJ389" s="157" t="str">
        <f t="shared" ca="1" si="624"/>
        <v>WPF/UM</v>
      </c>
      <c r="AK389" s="158" t="str">
        <f t="shared" ca="1" si="568"/>
        <v>C/USN/III/P4/37 50095 6050 GMMW</v>
      </c>
      <c r="AL389" s="158" t="str">
        <f t="shared" ca="1" si="569"/>
        <v>C/USN/III/P4/37 50095 6050 WPF/UM</v>
      </c>
      <c r="AM389" s="159" t="str">
        <f t="shared" ca="1" si="570"/>
        <v>C/USN/III/P4/37 50095 6050 GMMW WPF/UM</v>
      </c>
      <c r="AN389" s="160">
        <f t="shared" ca="1" si="625"/>
        <v>0</v>
      </c>
      <c r="AO389" s="161">
        <f t="shared" ca="1" si="626"/>
        <v>0</v>
      </c>
      <c r="AP389" s="162">
        <f t="shared" ca="1" si="627"/>
        <v>0</v>
      </c>
      <c r="AQ389" s="163">
        <f t="shared" ca="1" si="628"/>
        <v>0</v>
      </c>
      <c r="AR389" s="164">
        <f t="shared" ca="1" si="629"/>
        <v>0</v>
      </c>
      <c r="AS389" s="164">
        <f t="shared" ca="1" si="630"/>
        <v>0</v>
      </c>
      <c r="AT389" s="164">
        <f t="shared" ca="1" si="631"/>
        <v>0</v>
      </c>
      <c r="AU389" s="164">
        <f t="shared" ca="1" si="632"/>
        <v>0</v>
      </c>
      <c r="AV389" s="164">
        <f t="shared" ca="1" si="633"/>
        <v>0</v>
      </c>
      <c r="AW389" s="164">
        <f t="shared" ca="1" si="634"/>
        <v>0</v>
      </c>
      <c r="AX389" s="164">
        <f t="shared" ca="1" si="635"/>
        <v>0</v>
      </c>
      <c r="AY389" s="164">
        <f t="shared" ca="1" si="636"/>
        <v>0</v>
      </c>
      <c r="AZ389" s="164">
        <f t="shared" ca="1" si="637"/>
        <v>0</v>
      </c>
      <c r="BA389" s="165" t="str">
        <f t="shared" ca="1" si="638"/>
        <v>nie</v>
      </c>
      <c r="BB389" s="166" t="str">
        <f t="shared" ca="1" si="575"/>
        <v>-</v>
      </c>
      <c r="BC389" s="165" t="str">
        <f t="shared" ca="1" si="552"/>
        <v>nie</v>
      </c>
    </row>
    <row r="390" spans="1:55" s="167" customFormat="1" ht="14.45" hidden="1" customHeight="1" x14ac:dyDescent="0.25">
      <c r="A390" s="191" t="s">
        <v>101</v>
      </c>
      <c r="B390" s="192"/>
      <c r="C390" s="193"/>
      <c r="D390" s="192"/>
      <c r="E390" s="192"/>
      <c r="F390" s="192"/>
      <c r="G390" s="192"/>
      <c r="H390" s="192"/>
      <c r="I390" s="192"/>
      <c r="J390" s="192"/>
      <c r="K390" s="192"/>
      <c r="L390" s="192"/>
      <c r="M390" s="192"/>
      <c r="N390" s="192"/>
      <c r="O390" s="192"/>
      <c r="P390" s="192"/>
      <c r="Q390" s="192"/>
      <c r="R390" s="194"/>
      <c r="S390" s="195"/>
      <c r="T390" s="195"/>
      <c r="U390" s="195"/>
      <c r="V390" s="195"/>
      <c r="W390" s="195"/>
      <c r="X390" s="195"/>
      <c r="Y390" s="196"/>
      <c r="Z390" s="149" t="str">
        <f t="shared" ca="1" si="551"/>
        <v>nie</v>
      </c>
      <c r="AA390" s="366"/>
      <c r="AB390" s="150" t="str">
        <f t="shared" ca="1" si="574"/>
        <v>-</v>
      </c>
      <c r="AC390" s="151" t="str">
        <f t="shared" ca="1" si="618"/>
        <v>PO ZMIANIE</v>
      </c>
      <c r="AD390" s="152" t="str">
        <f t="shared" ca="1" si="567"/>
        <v/>
      </c>
      <c r="AE390" s="153" t="str">
        <f t="shared" ca="1" si="619"/>
        <v/>
      </c>
      <c r="AF390" s="154" t="str">
        <f t="shared" ca="1" si="620"/>
        <v/>
      </c>
      <c r="AG390" s="155" t="str">
        <f t="shared" ca="1" si="621"/>
        <v/>
      </c>
      <c r="AH390" s="155" t="str">
        <f t="shared" ca="1" si="622"/>
        <v/>
      </c>
      <c r="AI390" s="156" t="str">
        <f t="shared" ca="1" si="623"/>
        <v/>
      </c>
      <c r="AJ390" s="157" t="str">
        <f t="shared" ca="1" si="624"/>
        <v/>
      </c>
      <c r="AK390" s="158" t="str">
        <f t="shared" ca="1" si="568"/>
        <v/>
      </c>
      <c r="AL390" s="158" t="str">
        <f t="shared" ca="1" si="569"/>
        <v/>
      </c>
      <c r="AM390" s="159" t="str">
        <f t="shared" ca="1" si="570"/>
        <v/>
      </c>
      <c r="AN390" s="160" t="str">
        <f t="shared" ca="1" si="625"/>
        <v/>
      </c>
      <c r="AO390" s="161" t="str">
        <f t="shared" ca="1" si="626"/>
        <v/>
      </c>
      <c r="AP390" s="162" t="str">
        <f t="shared" ca="1" si="627"/>
        <v/>
      </c>
      <c r="AQ390" s="163" t="str">
        <f t="shared" ca="1" si="628"/>
        <v/>
      </c>
      <c r="AR390" s="164" t="str">
        <f t="shared" ca="1" si="629"/>
        <v/>
      </c>
      <c r="AS390" s="164" t="str">
        <f t="shared" ca="1" si="630"/>
        <v/>
      </c>
      <c r="AT390" s="164" t="str">
        <f t="shared" ca="1" si="631"/>
        <v/>
      </c>
      <c r="AU390" s="164" t="str">
        <f t="shared" ca="1" si="632"/>
        <v/>
      </c>
      <c r="AV390" s="164" t="str">
        <f t="shared" ca="1" si="633"/>
        <v/>
      </c>
      <c r="AW390" s="164" t="str">
        <f t="shared" ca="1" si="634"/>
        <v/>
      </c>
      <c r="AX390" s="164" t="str">
        <f t="shared" ca="1" si="635"/>
        <v/>
      </c>
      <c r="AY390" s="164" t="str">
        <f t="shared" ca="1" si="636"/>
        <v/>
      </c>
      <c r="AZ390" s="164" t="str">
        <f t="shared" ca="1" si="637"/>
        <v/>
      </c>
      <c r="BA390" s="165" t="str">
        <f t="shared" ca="1" si="638"/>
        <v>nie</v>
      </c>
      <c r="BB390" s="166" t="str">
        <f t="shared" ca="1" si="575"/>
        <v>-</v>
      </c>
      <c r="BC390" s="165" t="str">
        <f t="shared" ca="1" si="552"/>
        <v>nie</v>
      </c>
    </row>
    <row r="391" spans="1:55" s="176" customFormat="1" ht="14.45" hidden="1" customHeight="1" x14ac:dyDescent="0.25">
      <c r="A391" s="493" t="s">
        <v>24</v>
      </c>
      <c r="B391" s="493" t="s">
        <v>26</v>
      </c>
      <c r="C391" s="494" t="s">
        <v>155</v>
      </c>
      <c r="D391" s="505" t="s">
        <v>156</v>
      </c>
      <c r="E391" s="497">
        <v>500</v>
      </c>
      <c r="F391" s="497">
        <v>50095</v>
      </c>
      <c r="G391" s="497">
        <v>6050</v>
      </c>
      <c r="H391" s="507">
        <v>2021</v>
      </c>
      <c r="I391" s="499" t="str">
        <f ca="1">IF(COUNTIF(OFFSET(I391,-1,-8),"*propon*")&gt;0,OFFSET(I391,4,0),IF(Y391&gt;0,"2033",IF(X391&gt;0,"2032",IF(W391&gt;0,"2031",IF(V391&gt;0,"2030",IF(U391&gt;0,"2029",IF(T391&gt;0,"2028",IF(S391&gt;0,"2027",IF(R391&gt;0,"2026",IF(Q391&gt;0,"2025",IF(P391&gt;0,"2024",IF(M391&gt;0,"2023",IF(L391&gt;0,"2022","")))))))))))))</f>
        <v>2025</v>
      </c>
      <c r="J391" s="168" t="s">
        <v>102</v>
      </c>
      <c r="K391" s="169">
        <f>SUM(N391:O391)</f>
        <v>3470001</v>
      </c>
      <c r="L391" s="170">
        <f t="shared" ref="L391:M391" si="650">SUM(L392:L393)</f>
        <v>158747</v>
      </c>
      <c r="M391" s="171">
        <f t="shared" si="650"/>
        <v>0</v>
      </c>
      <c r="N391" s="172">
        <f>SUM(L391:M391)</f>
        <v>158747</v>
      </c>
      <c r="O391" s="169">
        <f>SUM(P391:Y391)</f>
        <v>3311254</v>
      </c>
      <c r="P391" s="173">
        <f t="shared" ref="P391:R391" si="651">SUM(P392:P393)</f>
        <v>911254</v>
      </c>
      <c r="Q391" s="171">
        <f t="shared" si="651"/>
        <v>2400000</v>
      </c>
      <c r="R391" s="174">
        <f t="shared" si="651"/>
        <v>0</v>
      </c>
      <c r="S391" s="175">
        <f t="shared" ref="S391:Y391" si="652">SUM(S392:S393)</f>
        <v>0</v>
      </c>
      <c r="T391" s="171">
        <f t="shared" si="652"/>
        <v>0</v>
      </c>
      <c r="U391" s="171">
        <f t="shared" si="652"/>
        <v>0</v>
      </c>
      <c r="V391" s="171">
        <f t="shared" si="652"/>
        <v>0</v>
      </c>
      <c r="W391" s="171">
        <f t="shared" si="652"/>
        <v>0</v>
      </c>
      <c r="X391" s="171">
        <f t="shared" si="652"/>
        <v>0</v>
      </c>
      <c r="Y391" s="174">
        <f t="shared" si="652"/>
        <v>0</v>
      </c>
      <c r="Z391" s="149" t="str">
        <f t="shared" ca="1" si="551"/>
        <v>nie</v>
      </c>
      <c r="AA391" s="366"/>
      <c r="AB391" s="150" t="str">
        <f t="shared" ca="1" si="574"/>
        <v>-</v>
      </c>
      <c r="AC391" s="151" t="str">
        <f t="shared" ca="1" si="618"/>
        <v>PO ZMIANIE</v>
      </c>
      <c r="AD391" s="152" t="str">
        <f t="shared" ca="1" si="567"/>
        <v>PO ZMIANIE</v>
      </c>
      <c r="AE391" s="153" t="str">
        <f t="shared" ca="1" si="619"/>
        <v>C/USN/III/P4/37</v>
      </c>
      <c r="AF391" s="154" t="str">
        <f t="shared" ca="1" si="620"/>
        <v>Budowa targowiska miejskiego u zbiegu ul. Płaskowickiej i ul. Braci Wagów nad tunelem Południowej Obwodnicy Warszawy</v>
      </c>
      <c r="AG391" s="155">
        <f t="shared" ca="1" si="621"/>
        <v>50095</v>
      </c>
      <c r="AH391" s="155" t="str">
        <f t="shared" ca="1" si="622"/>
        <v>6050</v>
      </c>
      <c r="AI391" s="156" t="str">
        <f t="shared" ca="1" si="623"/>
        <v>GMMW</v>
      </c>
      <c r="AJ391" s="157" t="str">
        <f t="shared" ca="1" si="624"/>
        <v>WPF, w tym</v>
      </c>
      <c r="AK391" s="158" t="str">
        <f t="shared" ca="1" si="568"/>
        <v>C/USN/III/P4/37 50095 6050 GMMW</v>
      </c>
      <c r="AL391" s="158" t="str">
        <f t="shared" ca="1" si="569"/>
        <v>C/USN/III/P4/37 50095 6050 WPF, w tym</v>
      </c>
      <c r="AM391" s="159" t="str">
        <f t="shared" ca="1" si="570"/>
        <v>C/USN/III/P4/37 50095 6050 GMMW WPF, w tym</v>
      </c>
      <c r="AN391" s="160">
        <f t="shared" ca="1" si="625"/>
        <v>3470001</v>
      </c>
      <c r="AO391" s="161">
        <f t="shared" ca="1" si="626"/>
        <v>158747</v>
      </c>
      <c r="AP391" s="162">
        <f t="shared" ca="1" si="627"/>
        <v>0</v>
      </c>
      <c r="AQ391" s="163">
        <f t="shared" ca="1" si="628"/>
        <v>911254</v>
      </c>
      <c r="AR391" s="164">
        <f t="shared" ca="1" si="629"/>
        <v>2400000</v>
      </c>
      <c r="AS391" s="164">
        <f t="shared" ca="1" si="630"/>
        <v>0</v>
      </c>
      <c r="AT391" s="164">
        <f t="shared" ca="1" si="631"/>
        <v>0</v>
      </c>
      <c r="AU391" s="164">
        <f t="shared" ca="1" si="632"/>
        <v>0</v>
      </c>
      <c r="AV391" s="164">
        <f t="shared" ca="1" si="633"/>
        <v>0</v>
      </c>
      <c r="AW391" s="164">
        <f t="shared" ca="1" si="634"/>
        <v>0</v>
      </c>
      <c r="AX391" s="164">
        <f t="shared" ca="1" si="635"/>
        <v>0</v>
      </c>
      <c r="AY391" s="164">
        <f t="shared" ca="1" si="636"/>
        <v>0</v>
      </c>
      <c r="AZ391" s="164">
        <f t="shared" ca="1" si="637"/>
        <v>0</v>
      </c>
      <c r="BA391" s="165" t="str">
        <f t="shared" ca="1" si="638"/>
        <v>nie</v>
      </c>
      <c r="BB391" s="166" t="str">
        <f t="shared" ca="1" si="575"/>
        <v>-</v>
      </c>
      <c r="BC391" s="165" t="str">
        <f t="shared" ca="1" si="552"/>
        <v>nie</v>
      </c>
    </row>
    <row r="392" spans="1:55" s="167" customFormat="1" ht="14.45" hidden="1" customHeight="1" x14ac:dyDescent="0.25">
      <c r="A392" s="493"/>
      <c r="B392" s="493"/>
      <c r="C392" s="494"/>
      <c r="D392" s="506"/>
      <c r="E392" s="497"/>
      <c r="F392" s="497"/>
      <c r="G392" s="497"/>
      <c r="H392" s="498"/>
      <c r="I392" s="499"/>
      <c r="J392" s="177" t="s">
        <v>103</v>
      </c>
      <c r="K392" s="178">
        <f>SUM(N392:O392)</f>
        <v>3307487</v>
      </c>
      <c r="L392" s="179"/>
      <c r="M392" s="180"/>
      <c r="N392" s="172">
        <f>SUM(L392:M392)</f>
        <v>0</v>
      </c>
      <c r="O392" s="178">
        <f>SUM(P392:Y392)</f>
        <v>3307487</v>
      </c>
      <c r="P392" s="181">
        <v>907487</v>
      </c>
      <c r="Q392" s="180">
        <f>2300000+100000</f>
        <v>2400000</v>
      </c>
      <c r="R392" s="182"/>
      <c r="S392" s="183"/>
      <c r="T392" s="180"/>
      <c r="U392" s="180"/>
      <c r="V392" s="180"/>
      <c r="W392" s="180"/>
      <c r="X392" s="180"/>
      <c r="Y392" s="182"/>
      <c r="Z392" s="149" t="str">
        <f t="shared" ca="1" si="551"/>
        <v>nie</v>
      </c>
      <c r="AA392" s="384"/>
      <c r="AB392" s="150" t="str">
        <f t="shared" ca="1" si="574"/>
        <v>-</v>
      </c>
      <c r="AC392" s="151" t="str">
        <f t="shared" ca="1" si="618"/>
        <v>PO ZMIANIE</v>
      </c>
      <c r="AD392" s="152" t="str">
        <f t="shared" ca="1" si="567"/>
        <v>PO ZMIANIE</v>
      </c>
      <c r="AE392" s="153" t="str">
        <f t="shared" ca="1" si="619"/>
        <v>C/USN/III/P4/37</v>
      </c>
      <c r="AF392" s="154" t="str">
        <f t="shared" ca="1" si="620"/>
        <v>Budowa targowiska miejskiego u zbiegu ul. Płaskowickiej i ul. Braci Wagów nad tunelem Południowej Obwodnicy Warszawy</v>
      </c>
      <c r="AG392" s="155">
        <f t="shared" ca="1" si="621"/>
        <v>50095</v>
      </c>
      <c r="AH392" s="155" t="str">
        <f t="shared" ca="1" si="622"/>
        <v>6050</v>
      </c>
      <c r="AI392" s="156" t="str">
        <f t="shared" ca="1" si="623"/>
        <v>GMMW</v>
      </c>
      <c r="AJ392" s="157" t="str">
        <f t="shared" ca="1" si="624"/>
        <v>WPF/PM</v>
      </c>
      <c r="AK392" s="158" t="str">
        <f t="shared" ca="1" si="568"/>
        <v>C/USN/III/P4/37 50095 6050 GMMW</v>
      </c>
      <c r="AL392" s="158" t="str">
        <f t="shared" ca="1" si="569"/>
        <v>C/USN/III/P4/37 50095 6050 WPF/PM</v>
      </c>
      <c r="AM392" s="159" t="str">
        <f t="shared" ca="1" si="570"/>
        <v>C/USN/III/P4/37 50095 6050 GMMW WPF/PM</v>
      </c>
      <c r="AN392" s="160">
        <f t="shared" ca="1" si="625"/>
        <v>3307487</v>
      </c>
      <c r="AO392" s="161">
        <f t="shared" ca="1" si="626"/>
        <v>0</v>
      </c>
      <c r="AP392" s="162">
        <f t="shared" ca="1" si="627"/>
        <v>0</v>
      </c>
      <c r="AQ392" s="163">
        <f t="shared" ca="1" si="628"/>
        <v>907487</v>
      </c>
      <c r="AR392" s="164">
        <f t="shared" ca="1" si="629"/>
        <v>2400000</v>
      </c>
      <c r="AS392" s="164">
        <f t="shared" ca="1" si="630"/>
        <v>0</v>
      </c>
      <c r="AT392" s="164">
        <f t="shared" ca="1" si="631"/>
        <v>0</v>
      </c>
      <c r="AU392" s="164">
        <f t="shared" ca="1" si="632"/>
        <v>0</v>
      </c>
      <c r="AV392" s="164">
        <f t="shared" ca="1" si="633"/>
        <v>0</v>
      </c>
      <c r="AW392" s="164">
        <f t="shared" ca="1" si="634"/>
        <v>0</v>
      </c>
      <c r="AX392" s="164">
        <f t="shared" ca="1" si="635"/>
        <v>0</v>
      </c>
      <c r="AY392" s="164">
        <f t="shared" ca="1" si="636"/>
        <v>0</v>
      </c>
      <c r="AZ392" s="164">
        <f t="shared" ca="1" si="637"/>
        <v>0</v>
      </c>
      <c r="BA392" s="165" t="str">
        <f t="shared" ca="1" si="638"/>
        <v>nie</v>
      </c>
      <c r="BB392" s="166" t="str">
        <f t="shared" ca="1" si="575"/>
        <v>-</v>
      </c>
      <c r="BC392" s="165" t="str">
        <f t="shared" ca="1" si="552"/>
        <v>nie</v>
      </c>
    </row>
    <row r="393" spans="1:55" s="167" customFormat="1" ht="14.45" hidden="1" customHeight="1" thickBot="1" x14ac:dyDescent="0.3">
      <c r="A393" s="500"/>
      <c r="B393" s="500"/>
      <c r="C393" s="501"/>
      <c r="D393" s="513"/>
      <c r="E393" s="503"/>
      <c r="F393" s="503"/>
      <c r="G393" s="503"/>
      <c r="H393" s="504"/>
      <c r="I393" s="499"/>
      <c r="J393" s="197" t="s">
        <v>104</v>
      </c>
      <c r="K393" s="198">
        <f>SUM(N393:O393)</f>
        <v>162514</v>
      </c>
      <c r="L393" s="199">
        <v>158747</v>
      </c>
      <c r="M393" s="200">
        <f>100000-100000</f>
        <v>0</v>
      </c>
      <c r="N393" s="371">
        <f>SUM(L393:M393)</f>
        <v>158747</v>
      </c>
      <c r="O393" s="198">
        <f>SUM(P393:Y393)</f>
        <v>3767</v>
      </c>
      <c r="P393" s="201">
        <v>3767</v>
      </c>
      <c r="Q393" s="200"/>
      <c r="R393" s="202"/>
      <c r="S393" s="203"/>
      <c r="T393" s="200"/>
      <c r="U393" s="200"/>
      <c r="V393" s="200"/>
      <c r="W393" s="200"/>
      <c r="X393" s="200"/>
      <c r="Y393" s="202"/>
      <c r="Z393" s="149" t="str">
        <f t="shared" ca="1" si="551"/>
        <v>nie</v>
      </c>
      <c r="AA393" s="384"/>
      <c r="AB393" s="150" t="str">
        <f t="shared" ca="1" si="574"/>
        <v>-</v>
      </c>
      <c r="AC393" s="151" t="str">
        <f t="shared" ca="1" si="618"/>
        <v>PO ZMIANIE</v>
      </c>
      <c r="AD393" s="152" t="str">
        <f t="shared" ca="1" si="567"/>
        <v>PO ZMIANIE</v>
      </c>
      <c r="AE393" s="153" t="str">
        <f t="shared" ca="1" si="619"/>
        <v>C/USN/III/P4/37</v>
      </c>
      <c r="AF393" s="154" t="str">
        <f t="shared" ca="1" si="620"/>
        <v>Budowa targowiska miejskiego u zbiegu ul. Płaskowickiej i ul. Braci Wagów nad tunelem Południowej Obwodnicy Warszawy</v>
      </c>
      <c r="AG393" s="155">
        <f t="shared" ca="1" si="621"/>
        <v>50095</v>
      </c>
      <c r="AH393" s="155" t="str">
        <f t="shared" ca="1" si="622"/>
        <v>6050</v>
      </c>
      <c r="AI393" s="156" t="str">
        <f t="shared" ca="1" si="623"/>
        <v>GMMW</v>
      </c>
      <c r="AJ393" s="157" t="str">
        <f t="shared" ca="1" si="624"/>
        <v>WPF/UM</v>
      </c>
      <c r="AK393" s="158" t="str">
        <f t="shared" ca="1" si="568"/>
        <v>C/USN/III/P4/37 50095 6050 GMMW</v>
      </c>
      <c r="AL393" s="158" t="str">
        <f t="shared" ca="1" si="569"/>
        <v>C/USN/III/P4/37 50095 6050 WPF/UM</v>
      </c>
      <c r="AM393" s="159" t="str">
        <f t="shared" ca="1" si="570"/>
        <v>C/USN/III/P4/37 50095 6050 GMMW WPF/UM</v>
      </c>
      <c r="AN393" s="160">
        <f t="shared" ca="1" si="625"/>
        <v>162514</v>
      </c>
      <c r="AO393" s="161">
        <f t="shared" ca="1" si="626"/>
        <v>158747</v>
      </c>
      <c r="AP393" s="162">
        <f t="shared" ca="1" si="627"/>
        <v>0</v>
      </c>
      <c r="AQ393" s="163">
        <f t="shared" ca="1" si="628"/>
        <v>3767</v>
      </c>
      <c r="AR393" s="164">
        <f t="shared" ca="1" si="629"/>
        <v>0</v>
      </c>
      <c r="AS393" s="164">
        <f t="shared" ca="1" si="630"/>
        <v>0</v>
      </c>
      <c r="AT393" s="164">
        <f t="shared" ca="1" si="631"/>
        <v>0</v>
      </c>
      <c r="AU393" s="164">
        <f t="shared" ca="1" si="632"/>
        <v>0</v>
      </c>
      <c r="AV393" s="164">
        <f t="shared" ca="1" si="633"/>
        <v>0</v>
      </c>
      <c r="AW393" s="164">
        <f t="shared" ca="1" si="634"/>
        <v>0</v>
      </c>
      <c r="AX393" s="164">
        <f t="shared" ca="1" si="635"/>
        <v>0</v>
      </c>
      <c r="AY393" s="164">
        <f t="shared" ca="1" si="636"/>
        <v>0</v>
      </c>
      <c r="AZ393" s="164">
        <f t="shared" ca="1" si="637"/>
        <v>0</v>
      </c>
      <c r="BA393" s="165" t="str">
        <f t="shared" ca="1" si="638"/>
        <v>nie</v>
      </c>
      <c r="BB393" s="166" t="str">
        <f t="shared" ca="1" si="575"/>
        <v>-</v>
      </c>
      <c r="BC393" s="165" t="str">
        <f t="shared" ca="1" si="552"/>
        <v>nie</v>
      </c>
    </row>
    <row r="394" spans="1:55" s="167" customFormat="1" ht="14.45" hidden="1" customHeight="1" x14ac:dyDescent="0.25">
      <c r="A394" s="143" t="s">
        <v>91</v>
      </c>
      <c r="B394" s="144"/>
      <c r="C394" s="145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6"/>
      <c r="S394" s="147"/>
      <c r="T394" s="147"/>
      <c r="U394" s="147"/>
      <c r="V394" s="147"/>
      <c r="W394" s="147"/>
      <c r="X394" s="147"/>
      <c r="Y394" s="148"/>
      <c r="Z394" s="149" t="str">
        <f t="shared" ref="Z394:Z457" ca="1" si="653">IF(COUNTIF(A394,"*zmia*")&gt;0,OFFSET(Z394,1,0),IF(COUNTIF($AB$10:$AB$888,AE394)&gt;0,"tak","nie"))</f>
        <v>nie</v>
      </c>
      <c r="AA394" s="366"/>
      <c r="AB394" s="150" t="str">
        <f t="shared" ref="AB394:AB446" ca="1" si="654">IF(IF(OR(COUNTIF(AD394,"*bilans*")&gt;0,COUNTIF(AD394,"*prop*")&gt;0),COUNTIF(AO394:AZ394,"")+COUNTIF(AO394:AZ394,"0"),"")&lt;12,AE394,"-")</f>
        <v>-</v>
      </c>
      <c r="AC394" s="151" t="str">
        <f t="shared" ca="1" si="618"/>
        <v>PRZED ZMIANĄ</v>
      </c>
      <c r="AD394" s="152" t="str">
        <f t="shared" ref="AD394:AD441" ca="1" si="655">IF(AE394="","",AC394)</f>
        <v/>
      </c>
      <c r="AE394" s="153" t="str">
        <f t="shared" ca="1" si="619"/>
        <v/>
      </c>
      <c r="AF394" s="154" t="str">
        <f t="shared" ca="1" si="620"/>
        <v/>
      </c>
      <c r="AG394" s="155" t="str">
        <f t="shared" ca="1" si="621"/>
        <v/>
      </c>
      <c r="AH394" s="155" t="str">
        <f t="shared" ca="1" si="622"/>
        <v/>
      </c>
      <c r="AI394" s="156" t="str">
        <f t="shared" ca="1" si="623"/>
        <v/>
      </c>
      <c r="AJ394" s="157" t="str">
        <f t="shared" ca="1" si="624"/>
        <v/>
      </c>
      <c r="AK394" s="158" t="str">
        <f t="shared" ref="AK394:AK441" ca="1" si="656">IF(AH394="","",AE394&amp;" "&amp;AG394&amp;" "&amp;AH394&amp;" "&amp;AI394)</f>
        <v/>
      </c>
      <c r="AL394" s="158" t="str">
        <f t="shared" ref="AL394:AL441" ca="1" si="657">IF(AH394="","",AE394&amp;" "&amp;AG394&amp;" "&amp;AH394&amp;" "&amp;AJ394)</f>
        <v/>
      </c>
      <c r="AM394" s="159" t="str">
        <f t="shared" ref="AM394:AM441" ca="1" si="658">IF(AH394="","",AE394&amp;" "&amp;AG394&amp;" "&amp;AH394&amp;" "&amp;AI394&amp;" "&amp;AJ394)</f>
        <v/>
      </c>
      <c r="AN394" s="160" t="str">
        <f t="shared" ca="1" si="625"/>
        <v/>
      </c>
      <c r="AO394" s="161" t="str">
        <f t="shared" ca="1" si="626"/>
        <v/>
      </c>
      <c r="AP394" s="162" t="str">
        <f t="shared" ca="1" si="627"/>
        <v/>
      </c>
      <c r="AQ394" s="163" t="str">
        <f t="shared" ca="1" si="628"/>
        <v/>
      </c>
      <c r="AR394" s="164" t="str">
        <f t="shared" ca="1" si="629"/>
        <v/>
      </c>
      <c r="AS394" s="164" t="str">
        <f t="shared" ca="1" si="630"/>
        <v/>
      </c>
      <c r="AT394" s="164" t="str">
        <f t="shared" ca="1" si="631"/>
        <v/>
      </c>
      <c r="AU394" s="164" t="str">
        <f t="shared" ca="1" si="632"/>
        <v/>
      </c>
      <c r="AV394" s="164" t="str">
        <f t="shared" ca="1" si="633"/>
        <v/>
      </c>
      <c r="AW394" s="164" t="str">
        <f t="shared" ca="1" si="634"/>
        <v/>
      </c>
      <c r="AX394" s="164" t="str">
        <f t="shared" ca="1" si="635"/>
        <v/>
      </c>
      <c r="AY394" s="164" t="str">
        <f t="shared" ca="1" si="636"/>
        <v/>
      </c>
      <c r="AZ394" s="164" t="str">
        <f t="shared" ca="1" si="637"/>
        <v/>
      </c>
      <c r="BA394" s="165" t="str">
        <f t="shared" ca="1" si="638"/>
        <v>nie</v>
      </c>
      <c r="BB394" s="166" t="str">
        <f t="shared" ref="BB394:BB446" ca="1" si="659">IF(COUNTIF(AD394,"*bilans*")&gt;0,"-",IF(IF(COUNTIF(AD394,"*prop*")&gt;0,COUNTIF(AO394:AZ394,"")+COUNTIF(AO394:AZ394,"0"),"")&lt;12,AK394,"-"))</f>
        <v>-</v>
      </c>
      <c r="BC394" s="165" t="str">
        <f t="shared" ref="BC394:BC457" ca="1" si="660">IF(AND(COUNTIF(AD394,"*zmi*")&gt;0,COUNTIF($BB$10:$BB$888,AK394)&gt;0),"tak","nie")</f>
        <v>nie</v>
      </c>
    </row>
    <row r="395" spans="1:55" s="176" customFormat="1" ht="14.45" hidden="1" customHeight="1" x14ac:dyDescent="0.25">
      <c r="A395" s="493" t="s">
        <v>24</v>
      </c>
      <c r="B395" s="493" t="s">
        <v>409</v>
      </c>
      <c r="C395" s="494" t="s">
        <v>410</v>
      </c>
      <c r="D395" s="505" t="s">
        <v>147</v>
      </c>
      <c r="E395" s="497">
        <v>900</v>
      </c>
      <c r="F395" s="535">
        <v>90095</v>
      </c>
      <c r="G395" s="497">
        <v>6050</v>
      </c>
      <c r="H395" s="507">
        <v>2023</v>
      </c>
      <c r="I395" s="499" t="str">
        <f ca="1">IF(COUNTIF(OFFSET(I395,-1,-8),"*propon*")&gt;0,OFFSET(I395,4,0),IF(Y395&gt;0,"2033",IF(X395&gt;0,"2032",IF(W395&gt;0,"2031",IF(V395&gt;0,"2030",IF(U395&gt;0,"2029",IF(T395&gt;0,"2028",IF(S395&gt;0,"2027",IF(R395&gt;0,"2026",IF(Q395&gt;0,"2025",IF(P395&gt;0,"2024",IF(M395&gt;0,"2023",IF(L395&gt;0,"2022","")))))))))))))</f>
        <v>2024</v>
      </c>
      <c r="J395" s="168" t="s">
        <v>94</v>
      </c>
      <c r="K395" s="169">
        <f>SUM(N395:O395)</f>
        <v>450250</v>
      </c>
      <c r="L395" s="170">
        <f t="shared" ref="L395:M395" si="661">SUM(L396:L397)</f>
        <v>0</v>
      </c>
      <c r="M395" s="171">
        <f t="shared" si="661"/>
        <v>92760</v>
      </c>
      <c r="N395" s="172">
        <f>SUM(L395:M395)</f>
        <v>92760</v>
      </c>
      <c r="O395" s="169">
        <f>SUM(P395:Y395)</f>
        <v>357490</v>
      </c>
      <c r="P395" s="173">
        <f t="shared" ref="P395:Y395" si="662">SUM(P396:P397)</f>
        <v>357490</v>
      </c>
      <c r="Q395" s="171">
        <f t="shared" si="662"/>
        <v>0</v>
      </c>
      <c r="R395" s="174">
        <f t="shared" si="662"/>
        <v>0</v>
      </c>
      <c r="S395" s="175">
        <f t="shared" si="662"/>
        <v>0</v>
      </c>
      <c r="T395" s="171">
        <f t="shared" si="662"/>
        <v>0</v>
      </c>
      <c r="U395" s="171">
        <f t="shared" si="662"/>
        <v>0</v>
      </c>
      <c r="V395" s="171">
        <f t="shared" si="662"/>
        <v>0</v>
      </c>
      <c r="W395" s="171">
        <f t="shared" si="662"/>
        <v>0</v>
      </c>
      <c r="X395" s="171">
        <f t="shared" si="662"/>
        <v>0</v>
      </c>
      <c r="Y395" s="174">
        <f t="shared" si="662"/>
        <v>0</v>
      </c>
      <c r="Z395" s="149" t="str">
        <f t="shared" ca="1" si="653"/>
        <v>nie</v>
      </c>
      <c r="AA395" s="366"/>
      <c r="AB395" s="150" t="str">
        <f t="shared" ca="1" si="654"/>
        <v>-</v>
      </c>
      <c r="AC395" s="151" t="str">
        <f t="shared" ca="1" si="618"/>
        <v>PRZED ZMIANĄ</v>
      </c>
      <c r="AD395" s="152" t="str">
        <f t="shared" ca="1" si="655"/>
        <v>PRZED ZMIANĄ</v>
      </c>
      <c r="AE395" s="153" t="str">
        <f t="shared" ca="1" si="619"/>
        <v>C/USN/III/P4/39</v>
      </c>
      <c r="AF395" s="154" t="str">
        <f t="shared" ca="1" si="620"/>
        <v>Zielone skwery na Ursynowie (kontynuacja)</v>
      </c>
      <c r="AG395" s="155">
        <f t="shared" ca="1" si="621"/>
        <v>90095</v>
      </c>
      <c r="AH395" s="155" t="str">
        <f t="shared" ca="1" si="622"/>
        <v>6050</v>
      </c>
      <c r="AI395" s="156" t="str">
        <f t="shared" ca="1" si="623"/>
        <v>BO/23/12/0218</v>
      </c>
      <c r="AJ395" s="157" t="str">
        <f t="shared" ca="1" si="624"/>
        <v>WPF, w tym</v>
      </c>
      <c r="AK395" s="158" t="str">
        <f t="shared" ca="1" si="656"/>
        <v>C/USN/III/P4/39 90095 6050 BO/23/12/0218</v>
      </c>
      <c r="AL395" s="158" t="str">
        <f t="shared" ca="1" si="657"/>
        <v>C/USN/III/P4/39 90095 6050 WPF, w tym</v>
      </c>
      <c r="AM395" s="159" t="str">
        <f t="shared" ca="1" si="658"/>
        <v>C/USN/III/P4/39 90095 6050 BO/23/12/0218 WPF, w tym</v>
      </c>
      <c r="AN395" s="160">
        <f t="shared" ca="1" si="625"/>
        <v>450250</v>
      </c>
      <c r="AO395" s="161">
        <f t="shared" ca="1" si="626"/>
        <v>0</v>
      </c>
      <c r="AP395" s="162">
        <f t="shared" ca="1" si="627"/>
        <v>92760</v>
      </c>
      <c r="AQ395" s="163">
        <f t="shared" ca="1" si="628"/>
        <v>357490</v>
      </c>
      <c r="AR395" s="164">
        <f t="shared" ca="1" si="629"/>
        <v>0</v>
      </c>
      <c r="AS395" s="164">
        <f t="shared" ca="1" si="630"/>
        <v>0</v>
      </c>
      <c r="AT395" s="164">
        <f t="shared" ca="1" si="631"/>
        <v>0</v>
      </c>
      <c r="AU395" s="164">
        <f t="shared" ca="1" si="632"/>
        <v>0</v>
      </c>
      <c r="AV395" s="164">
        <f t="shared" ca="1" si="633"/>
        <v>0</v>
      </c>
      <c r="AW395" s="164">
        <f t="shared" ca="1" si="634"/>
        <v>0</v>
      </c>
      <c r="AX395" s="164">
        <f t="shared" ca="1" si="635"/>
        <v>0</v>
      </c>
      <c r="AY395" s="164">
        <f t="shared" ca="1" si="636"/>
        <v>0</v>
      </c>
      <c r="AZ395" s="164">
        <f t="shared" ca="1" si="637"/>
        <v>0</v>
      </c>
      <c r="BA395" s="165" t="str">
        <f t="shared" ca="1" si="638"/>
        <v>nie</v>
      </c>
      <c r="BB395" s="166" t="str">
        <f t="shared" ca="1" si="659"/>
        <v>-</v>
      </c>
      <c r="BC395" s="165" t="str">
        <f t="shared" ca="1" si="660"/>
        <v>nie</v>
      </c>
    </row>
    <row r="396" spans="1:55" s="167" customFormat="1" ht="14.45" hidden="1" customHeight="1" x14ac:dyDescent="0.25">
      <c r="A396" s="493"/>
      <c r="B396" s="493"/>
      <c r="C396" s="494"/>
      <c r="D396" s="506"/>
      <c r="E396" s="497"/>
      <c r="F396" s="536"/>
      <c r="G396" s="497"/>
      <c r="H396" s="498"/>
      <c r="I396" s="499"/>
      <c r="J396" s="177" t="s">
        <v>95</v>
      </c>
      <c r="K396" s="178">
        <f>SUM(N396:O396)</f>
        <v>357490</v>
      </c>
      <c r="L396" s="179"/>
      <c r="M396" s="180"/>
      <c r="N396" s="172">
        <f>SUM(L396:M396)</f>
        <v>0</v>
      </c>
      <c r="O396" s="178">
        <f>SUM(P396:Y396)</f>
        <v>357490</v>
      </c>
      <c r="P396" s="181">
        <v>357490</v>
      </c>
      <c r="Q396" s="180"/>
      <c r="R396" s="182"/>
      <c r="S396" s="183"/>
      <c r="T396" s="180"/>
      <c r="U396" s="180"/>
      <c r="V396" s="180"/>
      <c r="W396" s="180"/>
      <c r="X396" s="180"/>
      <c r="Y396" s="182"/>
      <c r="Z396" s="149" t="str">
        <f t="shared" ca="1" si="653"/>
        <v>nie</v>
      </c>
      <c r="AA396" s="366"/>
      <c r="AB396" s="150" t="str">
        <f t="shared" ca="1" si="654"/>
        <v>-</v>
      </c>
      <c r="AC396" s="151" t="str">
        <f t="shared" ca="1" si="618"/>
        <v>PRZED ZMIANĄ</v>
      </c>
      <c r="AD396" s="152" t="str">
        <f t="shared" ca="1" si="655"/>
        <v>PRZED ZMIANĄ</v>
      </c>
      <c r="AE396" s="153" t="str">
        <f t="shared" ca="1" si="619"/>
        <v>C/USN/III/P4/39</v>
      </c>
      <c r="AF396" s="154" t="str">
        <f t="shared" ca="1" si="620"/>
        <v>Zielone skwery na Ursynowie (kontynuacja)</v>
      </c>
      <c r="AG396" s="155">
        <f t="shared" ca="1" si="621"/>
        <v>90095</v>
      </c>
      <c r="AH396" s="155" t="str">
        <f t="shared" ca="1" si="622"/>
        <v>6050</v>
      </c>
      <c r="AI396" s="156" t="str">
        <f t="shared" ca="1" si="623"/>
        <v>BO/23/12/0218</v>
      </c>
      <c r="AJ396" s="157" t="str">
        <f t="shared" ca="1" si="624"/>
        <v>WPF/PM</v>
      </c>
      <c r="AK396" s="158" t="str">
        <f t="shared" ca="1" si="656"/>
        <v>C/USN/III/P4/39 90095 6050 BO/23/12/0218</v>
      </c>
      <c r="AL396" s="158" t="str">
        <f t="shared" ca="1" si="657"/>
        <v>C/USN/III/P4/39 90095 6050 WPF/PM</v>
      </c>
      <c r="AM396" s="159" t="str">
        <f t="shared" ca="1" si="658"/>
        <v>C/USN/III/P4/39 90095 6050 BO/23/12/0218 WPF/PM</v>
      </c>
      <c r="AN396" s="160">
        <f t="shared" ca="1" si="625"/>
        <v>357490</v>
      </c>
      <c r="AO396" s="161">
        <f t="shared" ca="1" si="626"/>
        <v>0</v>
      </c>
      <c r="AP396" s="162">
        <f t="shared" ca="1" si="627"/>
        <v>0</v>
      </c>
      <c r="AQ396" s="163">
        <f t="shared" ca="1" si="628"/>
        <v>357490</v>
      </c>
      <c r="AR396" s="164">
        <f t="shared" ca="1" si="629"/>
        <v>0</v>
      </c>
      <c r="AS396" s="164">
        <f t="shared" ca="1" si="630"/>
        <v>0</v>
      </c>
      <c r="AT396" s="164">
        <f t="shared" ca="1" si="631"/>
        <v>0</v>
      </c>
      <c r="AU396" s="164">
        <f t="shared" ca="1" si="632"/>
        <v>0</v>
      </c>
      <c r="AV396" s="164">
        <f t="shared" ca="1" si="633"/>
        <v>0</v>
      </c>
      <c r="AW396" s="164">
        <f t="shared" ca="1" si="634"/>
        <v>0</v>
      </c>
      <c r="AX396" s="164">
        <f t="shared" ca="1" si="635"/>
        <v>0</v>
      </c>
      <c r="AY396" s="164">
        <f t="shared" ca="1" si="636"/>
        <v>0</v>
      </c>
      <c r="AZ396" s="164">
        <f t="shared" ca="1" si="637"/>
        <v>0</v>
      </c>
      <c r="BA396" s="165" t="str">
        <f t="shared" ca="1" si="638"/>
        <v>nie</v>
      </c>
      <c r="BB396" s="166" t="str">
        <f t="shared" ca="1" si="659"/>
        <v>-</v>
      </c>
      <c r="BC396" s="165" t="str">
        <f t="shared" ca="1" si="660"/>
        <v>nie</v>
      </c>
    </row>
    <row r="397" spans="1:55" s="167" customFormat="1" ht="14.45" hidden="1" customHeight="1" x14ac:dyDescent="0.25">
      <c r="A397" s="493"/>
      <c r="B397" s="493"/>
      <c r="C397" s="494"/>
      <c r="D397" s="506"/>
      <c r="E397" s="497"/>
      <c r="F397" s="537"/>
      <c r="G397" s="497"/>
      <c r="H397" s="498"/>
      <c r="I397" s="499"/>
      <c r="J397" s="177" t="s">
        <v>96</v>
      </c>
      <c r="K397" s="178">
        <f>SUM(N397:O397)</f>
        <v>92760</v>
      </c>
      <c r="L397" s="184"/>
      <c r="M397" s="180">
        <v>92760</v>
      </c>
      <c r="N397" s="172">
        <f>SUM(L397:M397)</f>
        <v>92760</v>
      </c>
      <c r="O397" s="178">
        <f>SUM(P397:Y397)</f>
        <v>0</v>
      </c>
      <c r="P397" s="181"/>
      <c r="Q397" s="180"/>
      <c r="R397" s="182"/>
      <c r="S397" s="183"/>
      <c r="T397" s="180"/>
      <c r="U397" s="180"/>
      <c r="V397" s="180"/>
      <c r="W397" s="180"/>
      <c r="X397" s="180"/>
      <c r="Y397" s="182"/>
      <c r="Z397" s="149" t="str">
        <f t="shared" ca="1" si="653"/>
        <v>nie</v>
      </c>
      <c r="AA397" s="366"/>
      <c r="AB397" s="150" t="str">
        <f t="shared" ca="1" si="654"/>
        <v>-</v>
      </c>
      <c r="AC397" s="151" t="str">
        <f t="shared" ca="1" si="618"/>
        <v>PRZED ZMIANĄ</v>
      </c>
      <c r="AD397" s="152" t="str">
        <f t="shared" ca="1" si="655"/>
        <v>PRZED ZMIANĄ</v>
      </c>
      <c r="AE397" s="153" t="str">
        <f t="shared" ca="1" si="619"/>
        <v>C/USN/III/P4/39</v>
      </c>
      <c r="AF397" s="154" t="str">
        <f t="shared" ca="1" si="620"/>
        <v>Zielone skwery na Ursynowie (kontynuacja)</v>
      </c>
      <c r="AG397" s="155">
        <f t="shared" ca="1" si="621"/>
        <v>90095</v>
      </c>
      <c r="AH397" s="155" t="str">
        <f t="shared" ca="1" si="622"/>
        <v>6050</v>
      </c>
      <c r="AI397" s="156" t="str">
        <f t="shared" ca="1" si="623"/>
        <v>BO/23/12/0218</v>
      </c>
      <c r="AJ397" s="157" t="str">
        <f t="shared" ca="1" si="624"/>
        <v>WPF/UM</v>
      </c>
      <c r="AK397" s="158" t="str">
        <f t="shared" ca="1" si="656"/>
        <v>C/USN/III/P4/39 90095 6050 BO/23/12/0218</v>
      </c>
      <c r="AL397" s="158" t="str">
        <f t="shared" ca="1" si="657"/>
        <v>C/USN/III/P4/39 90095 6050 WPF/UM</v>
      </c>
      <c r="AM397" s="159" t="str">
        <f t="shared" ca="1" si="658"/>
        <v>C/USN/III/P4/39 90095 6050 BO/23/12/0218 WPF/UM</v>
      </c>
      <c r="AN397" s="160">
        <f t="shared" ca="1" si="625"/>
        <v>92760</v>
      </c>
      <c r="AO397" s="161">
        <f t="shared" ca="1" si="626"/>
        <v>0</v>
      </c>
      <c r="AP397" s="162">
        <f t="shared" ca="1" si="627"/>
        <v>92760</v>
      </c>
      <c r="AQ397" s="163">
        <f t="shared" ca="1" si="628"/>
        <v>0</v>
      </c>
      <c r="AR397" s="164">
        <f t="shared" ca="1" si="629"/>
        <v>0</v>
      </c>
      <c r="AS397" s="164">
        <f t="shared" ca="1" si="630"/>
        <v>0</v>
      </c>
      <c r="AT397" s="164">
        <f t="shared" ca="1" si="631"/>
        <v>0</v>
      </c>
      <c r="AU397" s="164">
        <f t="shared" ca="1" si="632"/>
        <v>0</v>
      </c>
      <c r="AV397" s="164">
        <f t="shared" ca="1" si="633"/>
        <v>0</v>
      </c>
      <c r="AW397" s="164">
        <f t="shared" ca="1" si="634"/>
        <v>0</v>
      </c>
      <c r="AX397" s="164">
        <f t="shared" ca="1" si="635"/>
        <v>0</v>
      </c>
      <c r="AY397" s="164">
        <f t="shared" ca="1" si="636"/>
        <v>0</v>
      </c>
      <c r="AZ397" s="164">
        <f t="shared" ca="1" si="637"/>
        <v>0</v>
      </c>
      <c r="BA397" s="165" t="str">
        <f t="shared" ca="1" si="638"/>
        <v>nie</v>
      </c>
      <c r="BB397" s="166" t="str">
        <f t="shared" ca="1" si="659"/>
        <v>-</v>
      </c>
      <c r="BC397" s="165" t="str">
        <f t="shared" ca="1" si="660"/>
        <v>nie</v>
      </c>
    </row>
    <row r="398" spans="1:55" s="167" customFormat="1" ht="14.45" hidden="1" customHeight="1" x14ac:dyDescent="0.25">
      <c r="A398" s="185" t="s">
        <v>97</v>
      </c>
      <c r="B398" s="186"/>
      <c r="C398" s="187"/>
      <c r="D398" s="186"/>
      <c r="E398" s="186"/>
      <c r="F398" s="186"/>
      <c r="G398" s="186"/>
      <c r="H398" s="186"/>
      <c r="I398" s="186"/>
      <c r="J398" s="186"/>
      <c r="K398" s="186"/>
      <c r="L398" s="186"/>
      <c r="M398" s="186"/>
      <c r="N398" s="186"/>
      <c r="O398" s="186"/>
      <c r="P398" s="186"/>
      <c r="Q398" s="186"/>
      <c r="R398" s="188"/>
      <c r="S398" s="189"/>
      <c r="T398" s="189"/>
      <c r="U398" s="189"/>
      <c r="V398" s="189"/>
      <c r="W398" s="189"/>
      <c r="X398" s="189"/>
      <c r="Y398" s="190"/>
      <c r="Z398" s="149" t="str">
        <f t="shared" ca="1" si="653"/>
        <v>nie</v>
      </c>
      <c r="AA398" s="366"/>
      <c r="AB398" s="150" t="str">
        <f t="shared" ca="1" si="654"/>
        <v>-</v>
      </c>
      <c r="AC398" s="151" t="str">
        <f t="shared" ca="1" si="618"/>
        <v>PROPONOWANA ZMIANA</v>
      </c>
      <c r="AD398" s="152" t="str">
        <f t="shared" ca="1" si="655"/>
        <v/>
      </c>
      <c r="AE398" s="153" t="str">
        <f t="shared" ca="1" si="619"/>
        <v/>
      </c>
      <c r="AF398" s="154" t="str">
        <f t="shared" ca="1" si="620"/>
        <v/>
      </c>
      <c r="AG398" s="155" t="str">
        <f t="shared" ca="1" si="621"/>
        <v/>
      </c>
      <c r="AH398" s="155" t="str">
        <f t="shared" ca="1" si="622"/>
        <v/>
      </c>
      <c r="AI398" s="156" t="str">
        <f t="shared" ca="1" si="623"/>
        <v/>
      </c>
      <c r="AJ398" s="157" t="str">
        <f t="shared" ca="1" si="624"/>
        <v/>
      </c>
      <c r="AK398" s="158" t="str">
        <f t="shared" ca="1" si="656"/>
        <v/>
      </c>
      <c r="AL398" s="158" t="str">
        <f t="shared" ca="1" si="657"/>
        <v/>
      </c>
      <c r="AM398" s="159" t="str">
        <f t="shared" ca="1" si="658"/>
        <v/>
      </c>
      <c r="AN398" s="160" t="str">
        <f t="shared" ca="1" si="625"/>
        <v/>
      </c>
      <c r="AO398" s="161" t="str">
        <f t="shared" ca="1" si="626"/>
        <v/>
      </c>
      <c r="AP398" s="162" t="str">
        <f t="shared" ca="1" si="627"/>
        <v/>
      </c>
      <c r="AQ398" s="163" t="str">
        <f t="shared" ca="1" si="628"/>
        <v/>
      </c>
      <c r="AR398" s="164" t="str">
        <f t="shared" ca="1" si="629"/>
        <v/>
      </c>
      <c r="AS398" s="164" t="str">
        <f t="shared" ca="1" si="630"/>
        <v/>
      </c>
      <c r="AT398" s="164" t="str">
        <f t="shared" ca="1" si="631"/>
        <v/>
      </c>
      <c r="AU398" s="164" t="str">
        <f t="shared" ca="1" si="632"/>
        <v/>
      </c>
      <c r="AV398" s="164" t="str">
        <f t="shared" ca="1" si="633"/>
        <v/>
      </c>
      <c r="AW398" s="164" t="str">
        <f t="shared" ca="1" si="634"/>
        <v/>
      </c>
      <c r="AX398" s="164" t="str">
        <f t="shared" ca="1" si="635"/>
        <v/>
      </c>
      <c r="AY398" s="164" t="str">
        <f t="shared" ca="1" si="636"/>
        <v/>
      </c>
      <c r="AZ398" s="164" t="str">
        <f t="shared" ca="1" si="637"/>
        <v/>
      </c>
      <c r="BA398" s="165" t="str">
        <f t="shared" ca="1" si="638"/>
        <v>nie</v>
      </c>
      <c r="BB398" s="166" t="str">
        <f t="shared" ca="1" si="659"/>
        <v>-</v>
      </c>
      <c r="BC398" s="165" t="str">
        <f t="shared" ca="1" si="660"/>
        <v>nie</v>
      </c>
    </row>
    <row r="399" spans="1:55" s="176" customFormat="1" ht="14.45" hidden="1" customHeight="1" x14ac:dyDescent="0.25">
      <c r="A399" s="493" t="s">
        <v>24</v>
      </c>
      <c r="B399" s="493" t="s">
        <v>409</v>
      </c>
      <c r="C399" s="494" t="s">
        <v>410</v>
      </c>
      <c r="D399" s="505" t="s">
        <v>147</v>
      </c>
      <c r="E399" s="497">
        <v>900</v>
      </c>
      <c r="F399" s="535">
        <v>90095</v>
      </c>
      <c r="G399" s="497">
        <v>6050</v>
      </c>
      <c r="H399" s="507">
        <v>2023</v>
      </c>
      <c r="I399" s="499" t="str">
        <f ca="1">IF(COUNTIF(OFFSET(I399,-1,-8),"*propon*")&gt;0,OFFSET(I399,4,0),IF(Y399&gt;0,"2033",IF(X399&gt;0,"2032",IF(W399&gt;0,"2031",IF(V399&gt;0,"2030",IF(U399&gt;0,"2029",IF(T399&gt;0,"2028",IF(S399&gt;0,"2027",IF(R399&gt;0,"2026",IF(Q399&gt;0,"2025",IF(P399&gt;0,"2024",IF(M399&gt;0,"2023",IF(L399&gt;0,"2022","")))))))))))))</f>
        <v>2024</v>
      </c>
      <c r="J399" s="168" t="s">
        <v>98</v>
      </c>
      <c r="K399" s="169">
        <f>SUM(N399:O399)</f>
        <v>0</v>
      </c>
      <c r="L399" s="170">
        <f t="shared" ref="L399:M399" si="663">SUM(L400:L401)</f>
        <v>0</v>
      </c>
      <c r="M399" s="171">
        <f t="shared" si="663"/>
        <v>0</v>
      </c>
      <c r="N399" s="172">
        <f>SUM(L399:M399)</f>
        <v>0</v>
      </c>
      <c r="O399" s="169">
        <f>SUM(P399:Y399)</f>
        <v>0</v>
      </c>
      <c r="P399" s="173">
        <f t="shared" ref="P399:Y399" si="664">SUM(P400:P401)</f>
        <v>0</v>
      </c>
      <c r="Q399" s="171">
        <f t="shared" si="664"/>
        <v>0</v>
      </c>
      <c r="R399" s="174">
        <f t="shared" si="664"/>
        <v>0</v>
      </c>
      <c r="S399" s="175">
        <f t="shared" si="664"/>
        <v>0</v>
      </c>
      <c r="T399" s="171">
        <f t="shared" si="664"/>
        <v>0</v>
      </c>
      <c r="U399" s="171">
        <f t="shared" si="664"/>
        <v>0</v>
      </c>
      <c r="V399" s="171">
        <f t="shared" si="664"/>
        <v>0</v>
      </c>
      <c r="W399" s="171">
        <f t="shared" si="664"/>
        <v>0</v>
      </c>
      <c r="X399" s="171">
        <f t="shared" si="664"/>
        <v>0</v>
      </c>
      <c r="Y399" s="174">
        <f t="shared" si="664"/>
        <v>0</v>
      </c>
      <c r="Z399" s="149" t="str">
        <f t="shared" ca="1" si="653"/>
        <v>nie</v>
      </c>
      <c r="AA399" s="366"/>
      <c r="AB399" s="150" t="str">
        <f t="shared" ca="1" si="654"/>
        <v>-</v>
      </c>
      <c r="AC399" s="151" t="str">
        <f t="shared" ca="1" si="618"/>
        <v>PROPONOWANA ZMIANA</v>
      </c>
      <c r="AD399" s="152" t="str">
        <f t="shared" ca="1" si="655"/>
        <v>PROPONOWANA ZMIANA</v>
      </c>
      <c r="AE399" s="153" t="str">
        <f t="shared" ca="1" si="619"/>
        <v>C/USN/III/P4/39</v>
      </c>
      <c r="AF399" s="154" t="str">
        <f t="shared" ca="1" si="620"/>
        <v>Zielone skwery na Ursynowie (kontynuacja)</v>
      </c>
      <c r="AG399" s="155">
        <f t="shared" ca="1" si="621"/>
        <v>90095</v>
      </c>
      <c r="AH399" s="155" t="str">
        <f t="shared" ca="1" si="622"/>
        <v>6050</v>
      </c>
      <c r="AI399" s="156" t="str">
        <f t="shared" ca="1" si="623"/>
        <v>BO/23/12/0218</v>
      </c>
      <c r="AJ399" s="157" t="str">
        <f t="shared" ca="1" si="624"/>
        <v>WPF, w tym</v>
      </c>
      <c r="AK399" s="158" t="str">
        <f t="shared" ca="1" si="656"/>
        <v>C/USN/III/P4/39 90095 6050 BO/23/12/0218</v>
      </c>
      <c r="AL399" s="158" t="str">
        <f t="shared" ca="1" si="657"/>
        <v>C/USN/III/P4/39 90095 6050 WPF, w tym</v>
      </c>
      <c r="AM399" s="159" t="str">
        <f t="shared" ca="1" si="658"/>
        <v>C/USN/III/P4/39 90095 6050 BO/23/12/0218 WPF, w tym</v>
      </c>
      <c r="AN399" s="160">
        <f t="shared" ca="1" si="625"/>
        <v>0</v>
      </c>
      <c r="AO399" s="161">
        <f t="shared" ca="1" si="626"/>
        <v>0</v>
      </c>
      <c r="AP399" s="162">
        <f t="shared" ca="1" si="627"/>
        <v>0</v>
      </c>
      <c r="AQ399" s="163">
        <f t="shared" ca="1" si="628"/>
        <v>0</v>
      </c>
      <c r="AR399" s="164">
        <f t="shared" ca="1" si="629"/>
        <v>0</v>
      </c>
      <c r="AS399" s="164">
        <f t="shared" ca="1" si="630"/>
        <v>0</v>
      </c>
      <c r="AT399" s="164">
        <f t="shared" ca="1" si="631"/>
        <v>0</v>
      </c>
      <c r="AU399" s="164">
        <f t="shared" ca="1" si="632"/>
        <v>0</v>
      </c>
      <c r="AV399" s="164">
        <f t="shared" ca="1" si="633"/>
        <v>0</v>
      </c>
      <c r="AW399" s="164">
        <f t="shared" ca="1" si="634"/>
        <v>0</v>
      </c>
      <c r="AX399" s="164">
        <f t="shared" ca="1" si="635"/>
        <v>0</v>
      </c>
      <c r="AY399" s="164">
        <f t="shared" ca="1" si="636"/>
        <v>0</v>
      </c>
      <c r="AZ399" s="164">
        <f t="shared" ca="1" si="637"/>
        <v>0</v>
      </c>
      <c r="BA399" s="165" t="str">
        <f t="shared" ca="1" si="638"/>
        <v>nie</v>
      </c>
      <c r="BB399" s="166" t="str">
        <f t="shared" ca="1" si="659"/>
        <v>-</v>
      </c>
      <c r="BC399" s="165" t="str">
        <f t="shared" ca="1" si="660"/>
        <v>nie</v>
      </c>
    </row>
    <row r="400" spans="1:55" s="167" customFormat="1" ht="14.45" hidden="1" customHeight="1" x14ac:dyDescent="0.25">
      <c r="A400" s="493"/>
      <c r="B400" s="493"/>
      <c r="C400" s="494"/>
      <c r="D400" s="506"/>
      <c r="E400" s="497"/>
      <c r="F400" s="536"/>
      <c r="G400" s="497"/>
      <c r="H400" s="498"/>
      <c r="I400" s="499"/>
      <c r="J400" s="177" t="s">
        <v>99</v>
      </c>
      <c r="K400" s="178">
        <f>SUM(N400:O400)</f>
        <v>0</v>
      </c>
      <c r="L400" s="179">
        <f t="shared" ref="L400:M400" si="665">L404-L396</f>
        <v>0</v>
      </c>
      <c r="M400" s="180">
        <f t="shared" si="665"/>
        <v>0</v>
      </c>
      <c r="N400" s="172">
        <f>SUM(L400:M400)</f>
        <v>0</v>
      </c>
      <c r="O400" s="178">
        <f>SUM(P400:Y400)</f>
        <v>0</v>
      </c>
      <c r="P400" s="181">
        <f t="shared" ref="P400:Y400" si="666">P404-P396</f>
        <v>0</v>
      </c>
      <c r="Q400" s="180">
        <f t="shared" si="666"/>
        <v>0</v>
      </c>
      <c r="R400" s="182">
        <f t="shared" si="666"/>
        <v>0</v>
      </c>
      <c r="S400" s="183">
        <f t="shared" si="666"/>
        <v>0</v>
      </c>
      <c r="T400" s="180">
        <f t="shared" si="666"/>
        <v>0</v>
      </c>
      <c r="U400" s="180">
        <f t="shared" si="666"/>
        <v>0</v>
      </c>
      <c r="V400" s="180">
        <f t="shared" si="666"/>
        <v>0</v>
      </c>
      <c r="W400" s="180">
        <f t="shared" si="666"/>
        <v>0</v>
      </c>
      <c r="X400" s="180">
        <f t="shared" si="666"/>
        <v>0</v>
      </c>
      <c r="Y400" s="182">
        <f t="shared" si="666"/>
        <v>0</v>
      </c>
      <c r="Z400" s="149" t="str">
        <f t="shared" ca="1" si="653"/>
        <v>nie</v>
      </c>
      <c r="AA400" s="366"/>
      <c r="AB400" s="150" t="str">
        <f t="shared" ca="1" si="654"/>
        <v>-</v>
      </c>
      <c r="AC400" s="151" t="str">
        <f t="shared" ca="1" si="618"/>
        <v>PROPONOWANA ZMIANA</v>
      </c>
      <c r="AD400" s="152" t="str">
        <f t="shared" ca="1" si="655"/>
        <v>PROPONOWANA ZMIANA</v>
      </c>
      <c r="AE400" s="153" t="str">
        <f t="shared" ca="1" si="619"/>
        <v>C/USN/III/P4/39</v>
      </c>
      <c r="AF400" s="154" t="str">
        <f t="shared" ca="1" si="620"/>
        <v>Zielone skwery na Ursynowie (kontynuacja)</v>
      </c>
      <c r="AG400" s="155">
        <f t="shared" ca="1" si="621"/>
        <v>90095</v>
      </c>
      <c r="AH400" s="155" t="str">
        <f t="shared" ca="1" si="622"/>
        <v>6050</v>
      </c>
      <c r="AI400" s="156" t="str">
        <f t="shared" ca="1" si="623"/>
        <v>BO/23/12/0218</v>
      </c>
      <c r="AJ400" s="157" t="str">
        <f t="shared" ca="1" si="624"/>
        <v>WPF/PM</v>
      </c>
      <c r="AK400" s="158" t="str">
        <f t="shared" ca="1" si="656"/>
        <v>C/USN/III/P4/39 90095 6050 BO/23/12/0218</v>
      </c>
      <c r="AL400" s="158" t="str">
        <f t="shared" ca="1" si="657"/>
        <v>C/USN/III/P4/39 90095 6050 WPF/PM</v>
      </c>
      <c r="AM400" s="159" t="str">
        <f t="shared" ca="1" si="658"/>
        <v>C/USN/III/P4/39 90095 6050 BO/23/12/0218 WPF/PM</v>
      </c>
      <c r="AN400" s="160">
        <f t="shared" ca="1" si="625"/>
        <v>0</v>
      </c>
      <c r="AO400" s="161">
        <f t="shared" ca="1" si="626"/>
        <v>0</v>
      </c>
      <c r="AP400" s="162">
        <f t="shared" ca="1" si="627"/>
        <v>0</v>
      </c>
      <c r="AQ400" s="163">
        <f t="shared" ca="1" si="628"/>
        <v>0</v>
      </c>
      <c r="AR400" s="164">
        <f t="shared" ca="1" si="629"/>
        <v>0</v>
      </c>
      <c r="AS400" s="164">
        <f t="shared" ca="1" si="630"/>
        <v>0</v>
      </c>
      <c r="AT400" s="164">
        <f t="shared" ca="1" si="631"/>
        <v>0</v>
      </c>
      <c r="AU400" s="164">
        <f t="shared" ca="1" si="632"/>
        <v>0</v>
      </c>
      <c r="AV400" s="164">
        <f t="shared" ca="1" si="633"/>
        <v>0</v>
      </c>
      <c r="AW400" s="164">
        <f t="shared" ca="1" si="634"/>
        <v>0</v>
      </c>
      <c r="AX400" s="164">
        <f t="shared" ca="1" si="635"/>
        <v>0</v>
      </c>
      <c r="AY400" s="164">
        <f t="shared" ca="1" si="636"/>
        <v>0</v>
      </c>
      <c r="AZ400" s="164">
        <f t="shared" ca="1" si="637"/>
        <v>0</v>
      </c>
      <c r="BA400" s="165" t="str">
        <f t="shared" ca="1" si="638"/>
        <v>nie</v>
      </c>
      <c r="BB400" s="166" t="str">
        <f t="shared" ca="1" si="659"/>
        <v>-</v>
      </c>
      <c r="BC400" s="165" t="str">
        <f t="shared" ca="1" si="660"/>
        <v>nie</v>
      </c>
    </row>
    <row r="401" spans="1:55" s="167" customFormat="1" ht="14.45" hidden="1" customHeight="1" x14ac:dyDescent="0.25">
      <c r="A401" s="493"/>
      <c r="B401" s="493"/>
      <c r="C401" s="494"/>
      <c r="D401" s="506"/>
      <c r="E401" s="497"/>
      <c r="F401" s="537"/>
      <c r="G401" s="497"/>
      <c r="H401" s="498"/>
      <c r="I401" s="499"/>
      <c r="J401" s="177" t="s">
        <v>100</v>
      </c>
      <c r="K401" s="178">
        <f>SUM(N401:O401)</f>
        <v>0</v>
      </c>
      <c r="L401" s="179">
        <f t="shared" ref="L401:M401" si="667">L405-L397</f>
        <v>0</v>
      </c>
      <c r="M401" s="180">
        <f t="shared" si="667"/>
        <v>0</v>
      </c>
      <c r="N401" s="172">
        <f>SUM(L401:M401)</f>
        <v>0</v>
      </c>
      <c r="O401" s="178">
        <f>SUM(P401:Y401)</f>
        <v>0</v>
      </c>
      <c r="P401" s="181">
        <f t="shared" ref="P401:Y401" si="668">P405-P397</f>
        <v>0</v>
      </c>
      <c r="Q401" s="180">
        <f t="shared" si="668"/>
        <v>0</v>
      </c>
      <c r="R401" s="182">
        <f t="shared" si="668"/>
        <v>0</v>
      </c>
      <c r="S401" s="183">
        <f t="shared" si="668"/>
        <v>0</v>
      </c>
      <c r="T401" s="180">
        <f t="shared" si="668"/>
        <v>0</v>
      </c>
      <c r="U401" s="180">
        <f t="shared" si="668"/>
        <v>0</v>
      </c>
      <c r="V401" s="180">
        <f t="shared" si="668"/>
        <v>0</v>
      </c>
      <c r="W401" s="180">
        <f t="shared" si="668"/>
        <v>0</v>
      </c>
      <c r="X401" s="180">
        <f t="shared" si="668"/>
        <v>0</v>
      </c>
      <c r="Y401" s="182">
        <f t="shared" si="668"/>
        <v>0</v>
      </c>
      <c r="Z401" s="149" t="str">
        <f t="shared" ca="1" si="653"/>
        <v>nie</v>
      </c>
      <c r="AA401" s="366"/>
      <c r="AB401" s="150" t="str">
        <f t="shared" ca="1" si="654"/>
        <v>-</v>
      </c>
      <c r="AC401" s="151" t="str">
        <f t="shared" ca="1" si="618"/>
        <v>PROPONOWANA ZMIANA</v>
      </c>
      <c r="AD401" s="152" t="str">
        <f t="shared" ca="1" si="655"/>
        <v>PROPONOWANA ZMIANA</v>
      </c>
      <c r="AE401" s="153" t="str">
        <f t="shared" ca="1" si="619"/>
        <v>C/USN/III/P4/39</v>
      </c>
      <c r="AF401" s="154" t="str">
        <f t="shared" ca="1" si="620"/>
        <v>Zielone skwery na Ursynowie (kontynuacja)</v>
      </c>
      <c r="AG401" s="155">
        <f t="shared" ca="1" si="621"/>
        <v>90095</v>
      </c>
      <c r="AH401" s="155" t="str">
        <f t="shared" ca="1" si="622"/>
        <v>6050</v>
      </c>
      <c r="AI401" s="156" t="str">
        <f t="shared" ca="1" si="623"/>
        <v>BO/23/12/0218</v>
      </c>
      <c r="AJ401" s="157" t="str">
        <f t="shared" ca="1" si="624"/>
        <v>WPF/UM</v>
      </c>
      <c r="AK401" s="158" t="str">
        <f t="shared" ca="1" si="656"/>
        <v>C/USN/III/P4/39 90095 6050 BO/23/12/0218</v>
      </c>
      <c r="AL401" s="158" t="str">
        <f t="shared" ca="1" si="657"/>
        <v>C/USN/III/P4/39 90095 6050 WPF/UM</v>
      </c>
      <c r="AM401" s="159" t="str">
        <f t="shared" ca="1" si="658"/>
        <v>C/USN/III/P4/39 90095 6050 BO/23/12/0218 WPF/UM</v>
      </c>
      <c r="AN401" s="160">
        <f t="shared" ca="1" si="625"/>
        <v>0</v>
      </c>
      <c r="AO401" s="161">
        <f t="shared" ca="1" si="626"/>
        <v>0</v>
      </c>
      <c r="AP401" s="162">
        <f t="shared" ca="1" si="627"/>
        <v>0</v>
      </c>
      <c r="AQ401" s="163">
        <f t="shared" ca="1" si="628"/>
        <v>0</v>
      </c>
      <c r="AR401" s="164">
        <f t="shared" ca="1" si="629"/>
        <v>0</v>
      </c>
      <c r="AS401" s="164">
        <f t="shared" ca="1" si="630"/>
        <v>0</v>
      </c>
      <c r="AT401" s="164">
        <f t="shared" ca="1" si="631"/>
        <v>0</v>
      </c>
      <c r="AU401" s="164">
        <f t="shared" ca="1" si="632"/>
        <v>0</v>
      </c>
      <c r="AV401" s="164">
        <f t="shared" ca="1" si="633"/>
        <v>0</v>
      </c>
      <c r="AW401" s="164">
        <f t="shared" ca="1" si="634"/>
        <v>0</v>
      </c>
      <c r="AX401" s="164">
        <f t="shared" ca="1" si="635"/>
        <v>0</v>
      </c>
      <c r="AY401" s="164">
        <f t="shared" ca="1" si="636"/>
        <v>0</v>
      </c>
      <c r="AZ401" s="164">
        <f t="shared" ca="1" si="637"/>
        <v>0</v>
      </c>
      <c r="BA401" s="165" t="str">
        <f t="shared" ca="1" si="638"/>
        <v>nie</v>
      </c>
      <c r="BB401" s="166" t="str">
        <f t="shared" ca="1" si="659"/>
        <v>-</v>
      </c>
      <c r="BC401" s="165" t="str">
        <f t="shared" ca="1" si="660"/>
        <v>nie</v>
      </c>
    </row>
    <row r="402" spans="1:55" s="167" customFormat="1" ht="14.45" hidden="1" customHeight="1" x14ac:dyDescent="0.25">
      <c r="A402" s="191" t="s">
        <v>101</v>
      </c>
      <c r="B402" s="192"/>
      <c r="C402" s="193"/>
      <c r="D402" s="192"/>
      <c r="E402" s="192"/>
      <c r="F402" s="192"/>
      <c r="G402" s="192"/>
      <c r="H402" s="192"/>
      <c r="I402" s="192"/>
      <c r="J402" s="192"/>
      <c r="K402" s="192"/>
      <c r="L402" s="192"/>
      <c r="M402" s="192"/>
      <c r="N402" s="192"/>
      <c r="O402" s="192"/>
      <c r="P402" s="192"/>
      <c r="Q402" s="192"/>
      <c r="R402" s="194"/>
      <c r="S402" s="195"/>
      <c r="T402" s="195"/>
      <c r="U402" s="195"/>
      <c r="V402" s="195"/>
      <c r="W402" s="195"/>
      <c r="X402" s="195"/>
      <c r="Y402" s="196"/>
      <c r="Z402" s="149" t="str">
        <f t="shared" ca="1" si="653"/>
        <v>nie</v>
      </c>
      <c r="AA402" s="366"/>
      <c r="AB402" s="150" t="str">
        <f t="shared" ca="1" si="654"/>
        <v>-</v>
      </c>
      <c r="AC402" s="151" t="str">
        <f t="shared" ca="1" si="618"/>
        <v>PO ZMIANIE</v>
      </c>
      <c r="AD402" s="152" t="str">
        <f t="shared" ca="1" si="655"/>
        <v/>
      </c>
      <c r="AE402" s="153" t="str">
        <f t="shared" ca="1" si="619"/>
        <v/>
      </c>
      <c r="AF402" s="154" t="str">
        <f t="shared" ca="1" si="620"/>
        <v/>
      </c>
      <c r="AG402" s="155" t="str">
        <f t="shared" ca="1" si="621"/>
        <v/>
      </c>
      <c r="AH402" s="155" t="str">
        <f t="shared" ca="1" si="622"/>
        <v/>
      </c>
      <c r="AI402" s="156" t="str">
        <f t="shared" ca="1" si="623"/>
        <v/>
      </c>
      <c r="AJ402" s="157" t="str">
        <f t="shared" ca="1" si="624"/>
        <v/>
      </c>
      <c r="AK402" s="158" t="str">
        <f t="shared" ca="1" si="656"/>
        <v/>
      </c>
      <c r="AL402" s="158" t="str">
        <f t="shared" ca="1" si="657"/>
        <v/>
      </c>
      <c r="AM402" s="159" t="str">
        <f t="shared" ca="1" si="658"/>
        <v/>
      </c>
      <c r="AN402" s="160" t="str">
        <f t="shared" ca="1" si="625"/>
        <v/>
      </c>
      <c r="AO402" s="161" t="str">
        <f t="shared" ca="1" si="626"/>
        <v/>
      </c>
      <c r="AP402" s="162" t="str">
        <f t="shared" ca="1" si="627"/>
        <v/>
      </c>
      <c r="AQ402" s="163" t="str">
        <f t="shared" ca="1" si="628"/>
        <v/>
      </c>
      <c r="AR402" s="164" t="str">
        <f t="shared" ca="1" si="629"/>
        <v/>
      </c>
      <c r="AS402" s="164" t="str">
        <f t="shared" ca="1" si="630"/>
        <v/>
      </c>
      <c r="AT402" s="164" t="str">
        <f t="shared" ca="1" si="631"/>
        <v/>
      </c>
      <c r="AU402" s="164" t="str">
        <f t="shared" ca="1" si="632"/>
        <v/>
      </c>
      <c r="AV402" s="164" t="str">
        <f t="shared" ca="1" si="633"/>
        <v/>
      </c>
      <c r="AW402" s="164" t="str">
        <f t="shared" ca="1" si="634"/>
        <v/>
      </c>
      <c r="AX402" s="164" t="str">
        <f t="shared" ca="1" si="635"/>
        <v/>
      </c>
      <c r="AY402" s="164" t="str">
        <f t="shared" ca="1" si="636"/>
        <v/>
      </c>
      <c r="AZ402" s="164" t="str">
        <f t="shared" ca="1" si="637"/>
        <v/>
      </c>
      <c r="BA402" s="165" t="str">
        <f t="shared" ca="1" si="638"/>
        <v>nie</v>
      </c>
      <c r="BB402" s="166" t="str">
        <f t="shared" ca="1" si="659"/>
        <v>-</v>
      </c>
      <c r="BC402" s="165" t="str">
        <f t="shared" ca="1" si="660"/>
        <v>nie</v>
      </c>
    </row>
    <row r="403" spans="1:55" s="176" customFormat="1" ht="14.45" hidden="1" customHeight="1" x14ac:dyDescent="0.25">
      <c r="A403" s="493" t="s">
        <v>24</v>
      </c>
      <c r="B403" s="493" t="s">
        <v>409</v>
      </c>
      <c r="C403" s="494" t="s">
        <v>410</v>
      </c>
      <c r="D403" s="505" t="s">
        <v>147</v>
      </c>
      <c r="E403" s="497">
        <v>900</v>
      </c>
      <c r="F403" s="535">
        <v>90095</v>
      </c>
      <c r="G403" s="497">
        <v>6050</v>
      </c>
      <c r="H403" s="507">
        <v>2023</v>
      </c>
      <c r="I403" s="499" t="str">
        <f ca="1">IF(COUNTIF(OFFSET(I403,-1,-8),"*propon*")&gt;0,OFFSET(I403,4,0),IF(Y403&gt;0,"2033",IF(X403&gt;0,"2032",IF(W403&gt;0,"2031",IF(V403&gt;0,"2030",IF(U403&gt;0,"2029",IF(T403&gt;0,"2028",IF(S403&gt;0,"2027",IF(R403&gt;0,"2026",IF(Q403&gt;0,"2025",IF(P403&gt;0,"2024",IF(M403&gt;0,"2023",IF(L403&gt;0,"2022","")))))))))))))</f>
        <v>2024</v>
      </c>
      <c r="J403" s="168" t="s">
        <v>102</v>
      </c>
      <c r="K403" s="169">
        <f>SUM(N403:O403)</f>
        <v>450250</v>
      </c>
      <c r="L403" s="170">
        <f t="shared" ref="L403:M403" si="669">SUM(L404:L405)</f>
        <v>0</v>
      </c>
      <c r="M403" s="171">
        <f t="shared" si="669"/>
        <v>92760</v>
      </c>
      <c r="N403" s="172">
        <f>SUM(L403:M403)</f>
        <v>92760</v>
      </c>
      <c r="O403" s="169">
        <f>SUM(P403:Y403)</f>
        <v>357490</v>
      </c>
      <c r="P403" s="173">
        <f t="shared" ref="P403:Y403" si="670">SUM(P404:P405)</f>
        <v>357490</v>
      </c>
      <c r="Q403" s="171">
        <f t="shared" si="670"/>
        <v>0</v>
      </c>
      <c r="R403" s="174">
        <f t="shared" si="670"/>
        <v>0</v>
      </c>
      <c r="S403" s="175">
        <f t="shared" si="670"/>
        <v>0</v>
      </c>
      <c r="T403" s="171">
        <f t="shared" si="670"/>
        <v>0</v>
      </c>
      <c r="U403" s="171">
        <f t="shared" si="670"/>
        <v>0</v>
      </c>
      <c r="V403" s="171">
        <f t="shared" si="670"/>
        <v>0</v>
      </c>
      <c r="W403" s="171">
        <f t="shared" si="670"/>
        <v>0</v>
      </c>
      <c r="X403" s="171">
        <f t="shared" si="670"/>
        <v>0</v>
      </c>
      <c r="Y403" s="174">
        <f t="shared" si="670"/>
        <v>0</v>
      </c>
      <c r="Z403" s="149" t="str">
        <f t="shared" ca="1" si="653"/>
        <v>nie</v>
      </c>
      <c r="AA403" s="366"/>
      <c r="AB403" s="150" t="str">
        <f t="shared" ca="1" si="654"/>
        <v>-</v>
      </c>
      <c r="AC403" s="151" t="str">
        <f t="shared" ca="1" si="618"/>
        <v>PO ZMIANIE</v>
      </c>
      <c r="AD403" s="152" t="str">
        <f t="shared" ca="1" si="655"/>
        <v>PO ZMIANIE</v>
      </c>
      <c r="AE403" s="153" t="str">
        <f t="shared" ca="1" si="619"/>
        <v>C/USN/III/P4/39</v>
      </c>
      <c r="AF403" s="154" t="str">
        <f t="shared" ca="1" si="620"/>
        <v>Zielone skwery na Ursynowie (kontynuacja)</v>
      </c>
      <c r="AG403" s="155">
        <f t="shared" ca="1" si="621"/>
        <v>90095</v>
      </c>
      <c r="AH403" s="155" t="str">
        <f t="shared" ca="1" si="622"/>
        <v>6050</v>
      </c>
      <c r="AI403" s="156" t="str">
        <f t="shared" ca="1" si="623"/>
        <v>BO/23/12/0218</v>
      </c>
      <c r="AJ403" s="157" t="str">
        <f t="shared" ca="1" si="624"/>
        <v>WPF, w tym</v>
      </c>
      <c r="AK403" s="158" t="str">
        <f t="shared" ca="1" si="656"/>
        <v>C/USN/III/P4/39 90095 6050 BO/23/12/0218</v>
      </c>
      <c r="AL403" s="158" t="str">
        <f t="shared" ca="1" si="657"/>
        <v>C/USN/III/P4/39 90095 6050 WPF, w tym</v>
      </c>
      <c r="AM403" s="159" t="str">
        <f t="shared" ca="1" si="658"/>
        <v>C/USN/III/P4/39 90095 6050 BO/23/12/0218 WPF, w tym</v>
      </c>
      <c r="AN403" s="160">
        <f t="shared" ca="1" si="625"/>
        <v>450250</v>
      </c>
      <c r="AO403" s="161">
        <f t="shared" ca="1" si="626"/>
        <v>0</v>
      </c>
      <c r="AP403" s="162">
        <f t="shared" ca="1" si="627"/>
        <v>92760</v>
      </c>
      <c r="AQ403" s="163">
        <f t="shared" ca="1" si="628"/>
        <v>357490</v>
      </c>
      <c r="AR403" s="164">
        <f t="shared" ca="1" si="629"/>
        <v>0</v>
      </c>
      <c r="AS403" s="164">
        <f t="shared" ca="1" si="630"/>
        <v>0</v>
      </c>
      <c r="AT403" s="164">
        <f t="shared" ca="1" si="631"/>
        <v>0</v>
      </c>
      <c r="AU403" s="164">
        <f t="shared" ca="1" si="632"/>
        <v>0</v>
      </c>
      <c r="AV403" s="164">
        <f t="shared" ca="1" si="633"/>
        <v>0</v>
      </c>
      <c r="AW403" s="164">
        <f t="shared" ca="1" si="634"/>
        <v>0</v>
      </c>
      <c r="AX403" s="164">
        <f t="shared" ca="1" si="635"/>
        <v>0</v>
      </c>
      <c r="AY403" s="164">
        <f t="shared" ca="1" si="636"/>
        <v>0</v>
      </c>
      <c r="AZ403" s="164">
        <f t="shared" ca="1" si="637"/>
        <v>0</v>
      </c>
      <c r="BA403" s="165" t="str">
        <f t="shared" ca="1" si="638"/>
        <v>nie</v>
      </c>
      <c r="BB403" s="166" t="str">
        <f t="shared" ca="1" si="659"/>
        <v>-</v>
      </c>
      <c r="BC403" s="165" t="str">
        <f t="shared" ca="1" si="660"/>
        <v>nie</v>
      </c>
    </row>
    <row r="404" spans="1:55" s="167" customFormat="1" ht="14.45" hidden="1" customHeight="1" x14ac:dyDescent="0.25">
      <c r="A404" s="493"/>
      <c r="B404" s="493"/>
      <c r="C404" s="494"/>
      <c r="D404" s="506"/>
      <c r="E404" s="497"/>
      <c r="F404" s="536"/>
      <c r="G404" s="497"/>
      <c r="H404" s="498"/>
      <c r="I404" s="499"/>
      <c r="J404" s="177" t="s">
        <v>103</v>
      </c>
      <c r="K404" s="178">
        <f>SUM(N404:O404)</f>
        <v>357490</v>
      </c>
      <c r="L404" s="179"/>
      <c r="M404" s="180"/>
      <c r="N404" s="172">
        <f>SUM(L404:M404)</f>
        <v>0</v>
      </c>
      <c r="O404" s="178">
        <f>SUM(P404:Y404)</f>
        <v>357490</v>
      </c>
      <c r="P404" s="181">
        <f>357490</f>
        <v>357490</v>
      </c>
      <c r="Q404" s="180"/>
      <c r="R404" s="182"/>
      <c r="S404" s="183"/>
      <c r="T404" s="180"/>
      <c r="U404" s="180"/>
      <c r="V404" s="180"/>
      <c r="W404" s="180"/>
      <c r="X404" s="180"/>
      <c r="Y404" s="182"/>
      <c r="Z404" s="149" t="str">
        <f t="shared" ca="1" si="653"/>
        <v>nie</v>
      </c>
      <c r="AA404" s="384"/>
      <c r="AB404" s="150" t="str">
        <f t="shared" ca="1" si="654"/>
        <v>-</v>
      </c>
      <c r="AC404" s="151" t="str">
        <f t="shared" ca="1" si="618"/>
        <v>PO ZMIANIE</v>
      </c>
      <c r="AD404" s="152" t="str">
        <f t="shared" ca="1" si="655"/>
        <v>PO ZMIANIE</v>
      </c>
      <c r="AE404" s="153" t="str">
        <f t="shared" ca="1" si="619"/>
        <v>C/USN/III/P4/39</v>
      </c>
      <c r="AF404" s="154" t="str">
        <f t="shared" ca="1" si="620"/>
        <v>Zielone skwery na Ursynowie (kontynuacja)</v>
      </c>
      <c r="AG404" s="155">
        <f t="shared" ca="1" si="621"/>
        <v>90095</v>
      </c>
      <c r="AH404" s="155" t="str">
        <f t="shared" ca="1" si="622"/>
        <v>6050</v>
      </c>
      <c r="AI404" s="156" t="str">
        <f t="shared" ca="1" si="623"/>
        <v>BO/23/12/0218</v>
      </c>
      <c r="AJ404" s="157" t="str">
        <f t="shared" ca="1" si="624"/>
        <v>WPF/PM</v>
      </c>
      <c r="AK404" s="158" t="str">
        <f t="shared" ca="1" si="656"/>
        <v>C/USN/III/P4/39 90095 6050 BO/23/12/0218</v>
      </c>
      <c r="AL404" s="158" t="str">
        <f t="shared" ca="1" si="657"/>
        <v>C/USN/III/P4/39 90095 6050 WPF/PM</v>
      </c>
      <c r="AM404" s="159" t="str">
        <f t="shared" ca="1" si="658"/>
        <v>C/USN/III/P4/39 90095 6050 BO/23/12/0218 WPF/PM</v>
      </c>
      <c r="AN404" s="160">
        <f t="shared" ca="1" si="625"/>
        <v>357490</v>
      </c>
      <c r="AO404" s="161">
        <f t="shared" ca="1" si="626"/>
        <v>0</v>
      </c>
      <c r="AP404" s="162">
        <f t="shared" ca="1" si="627"/>
        <v>0</v>
      </c>
      <c r="AQ404" s="163">
        <f t="shared" ca="1" si="628"/>
        <v>357490</v>
      </c>
      <c r="AR404" s="164">
        <f t="shared" ca="1" si="629"/>
        <v>0</v>
      </c>
      <c r="AS404" s="164">
        <f t="shared" ca="1" si="630"/>
        <v>0</v>
      </c>
      <c r="AT404" s="164">
        <f t="shared" ca="1" si="631"/>
        <v>0</v>
      </c>
      <c r="AU404" s="164">
        <f t="shared" ca="1" si="632"/>
        <v>0</v>
      </c>
      <c r="AV404" s="164">
        <f t="shared" ca="1" si="633"/>
        <v>0</v>
      </c>
      <c r="AW404" s="164">
        <f t="shared" ca="1" si="634"/>
        <v>0</v>
      </c>
      <c r="AX404" s="164">
        <f t="shared" ca="1" si="635"/>
        <v>0</v>
      </c>
      <c r="AY404" s="164">
        <f t="shared" ca="1" si="636"/>
        <v>0</v>
      </c>
      <c r="AZ404" s="164">
        <f t="shared" ca="1" si="637"/>
        <v>0</v>
      </c>
      <c r="BA404" s="165" t="str">
        <f t="shared" ca="1" si="638"/>
        <v>nie</v>
      </c>
      <c r="BB404" s="166" t="str">
        <f t="shared" ca="1" si="659"/>
        <v>-</v>
      </c>
      <c r="BC404" s="165" t="str">
        <f t="shared" ca="1" si="660"/>
        <v>nie</v>
      </c>
    </row>
    <row r="405" spans="1:55" s="167" customFormat="1" ht="14.45" hidden="1" customHeight="1" thickBot="1" x14ac:dyDescent="0.3">
      <c r="A405" s="500"/>
      <c r="B405" s="493"/>
      <c r="C405" s="494"/>
      <c r="D405" s="506"/>
      <c r="E405" s="497"/>
      <c r="F405" s="537"/>
      <c r="G405" s="497"/>
      <c r="H405" s="504"/>
      <c r="I405" s="499"/>
      <c r="J405" s="197" t="s">
        <v>104</v>
      </c>
      <c r="K405" s="198">
        <f>SUM(N405:O405)</f>
        <v>92760</v>
      </c>
      <c r="L405" s="199"/>
      <c r="M405" s="200">
        <f>92760</f>
        <v>92760</v>
      </c>
      <c r="N405" s="371">
        <f>SUM(L405:M405)</f>
        <v>92760</v>
      </c>
      <c r="O405" s="198">
        <f>SUM(P405:Y405)</f>
        <v>0</v>
      </c>
      <c r="P405" s="201"/>
      <c r="Q405" s="200"/>
      <c r="R405" s="202"/>
      <c r="S405" s="203"/>
      <c r="T405" s="200"/>
      <c r="U405" s="200"/>
      <c r="V405" s="200"/>
      <c r="W405" s="200"/>
      <c r="X405" s="200"/>
      <c r="Y405" s="202"/>
      <c r="Z405" s="149" t="str">
        <f t="shared" ca="1" si="653"/>
        <v>nie</v>
      </c>
      <c r="AA405" s="384"/>
      <c r="AB405" s="150" t="str">
        <f t="shared" ca="1" si="654"/>
        <v>-</v>
      </c>
      <c r="AC405" s="151" t="str">
        <f t="shared" ca="1" si="618"/>
        <v>PO ZMIANIE</v>
      </c>
      <c r="AD405" s="152" t="str">
        <f t="shared" ca="1" si="655"/>
        <v>PO ZMIANIE</v>
      </c>
      <c r="AE405" s="153" t="str">
        <f t="shared" ca="1" si="619"/>
        <v>C/USN/III/P4/39</v>
      </c>
      <c r="AF405" s="154" t="str">
        <f t="shared" ca="1" si="620"/>
        <v>Zielone skwery na Ursynowie (kontynuacja)</v>
      </c>
      <c r="AG405" s="155">
        <f t="shared" ca="1" si="621"/>
        <v>90095</v>
      </c>
      <c r="AH405" s="155" t="str">
        <f t="shared" ca="1" si="622"/>
        <v>6050</v>
      </c>
      <c r="AI405" s="156" t="str">
        <f t="shared" ca="1" si="623"/>
        <v>BO/23/12/0218</v>
      </c>
      <c r="AJ405" s="157" t="str">
        <f t="shared" ca="1" si="624"/>
        <v>WPF/UM</v>
      </c>
      <c r="AK405" s="158" t="str">
        <f t="shared" ca="1" si="656"/>
        <v>C/USN/III/P4/39 90095 6050 BO/23/12/0218</v>
      </c>
      <c r="AL405" s="158" t="str">
        <f t="shared" ca="1" si="657"/>
        <v>C/USN/III/P4/39 90095 6050 WPF/UM</v>
      </c>
      <c r="AM405" s="159" t="str">
        <f t="shared" ca="1" si="658"/>
        <v>C/USN/III/P4/39 90095 6050 BO/23/12/0218 WPF/UM</v>
      </c>
      <c r="AN405" s="160">
        <f t="shared" ca="1" si="625"/>
        <v>92760</v>
      </c>
      <c r="AO405" s="161">
        <f t="shared" ca="1" si="626"/>
        <v>0</v>
      </c>
      <c r="AP405" s="162">
        <f t="shared" ca="1" si="627"/>
        <v>92760</v>
      </c>
      <c r="AQ405" s="163">
        <f t="shared" ca="1" si="628"/>
        <v>0</v>
      </c>
      <c r="AR405" s="164">
        <f t="shared" ca="1" si="629"/>
        <v>0</v>
      </c>
      <c r="AS405" s="164">
        <f t="shared" ca="1" si="630"/>
        <v>0</v>
      </c>
      <c r="AT405" s="164">
        <f t="shared" ca="1" si="631"/>
        <v>0</v>
      </c>
      <c r="AU405" s="164">
        <f t="shared" ca="1" si="632"/>
        <v>0</v>
      </c>
      <c r="AV405" s="164">
        <f t="shared" ca="1" si="633"/>
        <v>0</v>
      </c>
      <c r="AW405" s="164">
        <f t="shared" ca="1" si="634"/>
        <v>0</v>
      </c>
      <c r="AX405" s="164">
        <f t="shared" ca="1" si="635"/>
        <v>0</v>
      </c>
      <c r="AY405" s="164">
        <f t="shared" ca="1" si="636"/>
        <v>0</v>
      </c>
      <c r="AZ405" s="164">
        <f t="shared" ca="1" si="637"/>
        <v>0</v>
      </c>
      <c r="BA405" s="165" t="str">
        <f t="shared" ca="1" si="638"/>
        <v>nie</v>
      </c>
      <c r="BB405" s="166" t="str">
        <f t="shared" ca="1" si="659"/>
        <v>-</v>
      </c>
      <c r="BC405" s="165" t="str">
        <f t="shared" ca="1" si="660"/>
        <v>nie</v>
      </c>
    </row>
    <row r="406" spans="1:55" s="167" customFormat="1" ht="14.45" hidden="1" customHeight="1" x14ac:dyDescent="0.25">
      <c r="A406" s="143" t="s">
        <v>91</v>
      </c>
      <c r="B406" s="144"/>
      <c r="C406" s="145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6"/>
      <c r="S406" s="147"/>
      <c r="T406" s="147"/>
      <c r="U406" s="147"/>
      <c r="V406" s="147"/>
      <c r="W406" s="147"/>
      <c r="X406" s="147"/>
      <c r="Y406" s="148"/>
      <c r="Z406" s="149" t="str">
        <f t="shared" ca="1" si="653"/>
        <v>nie</v>
      </c>
      <c r="AA406" s="366"/>
      <c r="AB406" s="150" t="str">
        <f t="shared" ref="AB406:AB417" ca="1" si="671">IF(IF(OR(COUNTIF(AD406,"*bilans*")&gt;0,COUNTIF(AD406,"*prop*")&gt;0),COUNTIF(AO406:AZ406,"")+COUNTIF(AO406:AZ406,"0"),"")&lt;12,AE406,"-")</f>
        <v>-</v>
      </c>
      <c r="AC406" s="151" t="str">
        <f t="shared" ca="1" si="618"/>
        <v>PRZED ZMIANĄ</v>
      </c>
      <c r="AD406" s="152" t="str">
        <f t="shared" ref="AD406:AD417" ca="1" si="672">IF(AE406="","",AC406)</f>
        <v/>
      </c>
      <c r="AE406" s="153" t="str">
        <f t="shared" ca="1" si="619"/>
        <v/>
      </c>
      <c r="AF406" s="154" t="str">
        <f t="shared" ca="1" si="620"/>
        <v/>
      </c>
      <c r="AG406" s="155" t="str">
        <f t="shared" ca="1" si="621"/>
        <v/>
      </c>
      <c r="AH406" s="155" t="str">
        <f t="shared" ca="1" si="622"/>
        <v/>
      </c>
      <c r="AI406" s="156" t="str">
        <f t="shared" ca="1" si="623"/>
        <v/>
      </c>
      <c r="AJ406" s="157" t="str">
        <f t="shared" ca="1" si="624"/>
        <v/>
      </c>
      <c r="AK406" s="158" t="str">
        <f t="shared" ref="AK406:AK417" ca="1" si="673">IF(AH406="","",AE406&amp;" "&amp;AG406&amp;" "&amp;AH406&amp;" "&amp;AI406)</f>
        <v/>
      </c>
      <c r="AL406" s="158" t="str">
        <f t="shared" ref="AL406:AL417" ca="1" si="674">IF(AH406="","",AE406&amp;" "&amp;AG406&amp;" "&amp;AH406&amp;" "&amp;AJ406)</f>
        <v/>
      </c>
      <c r="AM406" s="159" t="str">
        <f t="shared" ref="AM406:AM417" ca="1" si="675">IF(AH406="","",AE406&amp;" "&amp;AG406&amp;" "&amp;AH406&amp;" "&amp;AI406&amp;" "&amp;AJ406)</f>
        <v/>
      </c>
      <c r="AN406" s="160" t="str">
        <f t="shared" ca="1" si="625"/>
        <v/>
      </c>
      <c r="AO406" s="161" t="str">
        <f t="shared" ca="1" si="626"/>
        <v/>
      </c>
      <c r="AP406" s="162" t="str">
        <f t="shared" ca="1" si="627"/>
        <v/>
      </c>
      <c r="AQ406" s="163" t="str">
        <f t="shared" ca="1" si="628"/>
        <v/>
      </c>
      <c r="AR406" s="164" t="str">
        <f t="shared" ca="1" si="629"/>
        <v/>
      </c>
      <c r="AS406" s="164" t="str">
        <f t="shared" ca="1" si="630"/>
        <v/>
      </c>
      <c r="AT406" s="164" t="str">
        <f t="shared" ca="1" si="631"/>
        <v/>
      </c>
      <c r="AU406" s="164" t="str">
        <f t="shared" ca="1" si="632"/>
        <v/>
      </c>
      <c r="AV406" s="164" t="str">
        <f t="shared" ca="1" si="633"/>
        <v/>
      </c>
      <c r="AW406" s="164" t="str">
        <f t="shared" ca="1" si="634"/>
        <v/>
      </c>
      <c r="AX406" s="164" t="str">
        <f t="shared" ca="1" si="635"/>
        <v/>
      </c>
      <c r="AY406" s="164" t="str">
        <f t="shared" ca="1" si="636"/>
        <v/>
      </c>
      <c r="AZ406" s="164" t="str">
        <f t="shared" ca="1" si="637"/>
        <v/>
      </c>
      <c r="BA406" s="165" t="str">
        <f t="shared" ca="1" si="638"/>
        <v>nie</v>
      </c>
      <c r="BB406" s="166" t="str">
        <f t="shared" ref="BB406:BB417" ca="1" si="676">IF(COUNTIF(AD406,"*bilans*")&gt;0,"-",IF(IF(COUNTIF(AD406,"*prop*")&gt;0,COUNTIF(AO406:AZ406,"")+COUNTIF(AO406:AZ406,"0"),"")&lt;12,AK406,"-"))</f>
        <v>-</v>
      </c>
      <c r="BC406" s="165" t="str">
        <f t="shared" ca="1" si="660"/>
        <v>nie</v>
      </c>
    </row>
    <row r="407" spans="1:55" s="176" customFormat="1" ht="14.45" hidden="1" customHeight="1" x14ac:dyDescent="0.25">
      <c r="A407" s="493" t="s">
        <v>24</v>
      </c>
      <c r="B407" s="493" t="s">
        <v>26</v>
      </c>
      <c r="C407" s="494" t="s">
        <v>416</v>
      </c>
      <c r="D407" s="505" t="s">
        <v>413</v>
      </c>
      <c r="E407" s="497">
        <v>900</v>
      </c>
      <c r="F407" s="535">
        <v>90095</v>
      </c>
      <c r="G407" s="497">
        <v>6050</v>
      </c>
      <c r="H407" s="507">
        <v>2024</v>
      </c>
      <c r="I407" s="499" t="str">
        <f ca="1">IF(COUNTIF(OFFSET(I407,-1,-8),"*propon*")&gt;0,OFFSET(I407,4,0),IF(Y407&gt;0,"2033",IF(X407&gt;0,"2032",IF(W407&gt;0,"2031",IF(V407&gt;0,"2030",IF(U407&gt;0,"2029",IF(T407&gt;0,"2028",IF(S407&gt;0,"2027",IF(R407&gt;0,"2026",IF(Q407&gt;0,"2025",IF(P407&gt;0,"2024",IF(M407&gt;0,"2023",IF(L407&gt;0,"2022","")))))))))))))</f>
        <v>2026</v>
      </c>
      <c r="J407" s="168" t="s">
        <v>94</v>
      </c>
      <c r="K407" s="169">
        <f>SUM(N407:O407)</f>
        <v>6781300</v>
      </c>
      <c r="L407" s="170">
        <f t="shared" ref="L407:M407" si="677">SUM(L408:L409)</f>
        <v>0</v>
      </c>
      <c r="M407" s="171">
        <f t="shared" si="677"/>
        <v>0</v>
      </c>
      <c r="N407" s="172">
        <f>SUM(L407:M407)</f>
        <v>0</v>
      </c>
      <c r="O407" s="169">
        <f>SUM(P407:Y407)</f>
        <v>6781300</v>
      </c>
      <c r="P407" s="173">
        <f t="shared" ref="P407:Y407" si="678">SUM(P408:P409)</f>
        <v>360000</v>
      </c>
      <c r="Q407" s="171">
        <f t="shared" si="678"/>
        <v>1910000</v>
      </c>
      <c r="R407" s="174">
        <f t="shared" si="678"/>
        <v>4511300</v>
      </c>
      <c r="S407" s="175">
        <f t="shared" si="678"/>
        <v>0</v>
      </c>
      <c r="T407" s="171">
        <f t="shared" si="678"/>
        <v>0</v>
      </c>
      <c r="U407" s="171">
        <f t="shared" si="678"/>
        <v>0</v>
      </c>
      <c r="V407" s="171">
        <f t="shared" si="678"/>
        <v>0</v>
      </c>
      <c r="W407" s="171">
        <f t="shared" si="678"/>
        <v>0</v>
      </c>
      <c r="X407" s="171">
        <f t="shared" si="678"/>
        <v>0</v>
      </c>
      <c r="Y407" s="174">
        <f t="shared" si="678"/>
        <v>0</v>
      </c>
      <c r="Z407" s="149" t="str">
        <f t="shared" ca="1" si="653"/>
        <v>nie</v>
      </c>
      <c r="AA407" s="366"/>
      <c r="AB407" s="150" t="str">
        <f t="shared" ca="1" si="671"/>
        <v>-</v>
      </c>
      <c r="AC407" s="151" t="str">
        <f t="shared" ca="1" si="618"/>
        <v>PRZED ZMIANĄ</v>
      </c>
      <c r="AD407" s="152" t="str">
        <f t="shared" ca="1" si="672"/>
        <v>PRZED ZMIANĄ</v>
      </c>
      <c r="AE407" s="153" t="str">
        <f t="shared" ca="1" si="619"/>
        <v>C/USN/III/P4/40</v>
      </c>
      <c r="AF407" s="154" t="str">
        <f t="shared" ca="1" si="620"/>
        <v>Modernizacja ogólnodostępnych placów zabaw, dostosowanie do potrzeb różnych grup użytkowników</v>
      </c>
      <c r="AG407" s="155">
        <f t="shared" ca="1" si="621"/>
        <v>90095</v>
      </c>
      <c r="AH407" s="155" t="str">
        <f t="shared" ca="1" si="622"/>
        <v>6050</v>
      </c>
      <c r="AI407" s="156" t="str">
        <f t="shared" ca="1" si="623"/>
        <v>GMMW</v>
      </c>
      <c r="AJ407" s="157" t="str">
        <f t="shared" ca="1" si="624"/>
        <v>WPF, w tym</v>
      </c>
      <c r="AK407" s="158" t="str">
        <f t="shared" ca="1" si="673"/>
        <v>C/USN/III/P4/40 90095 6050 GMMW</v>
      </c>
      <c r="AL407" s="158" t="str">
        <f t="shared" ca="1" si="674"/>
        <v>C/USN/III/P4/40 90095 6050 WPF, w tym</v>
      </c>
      <c r="AM407" s="159" t="str">
        <f t="shared" ca="1" si="675"/>
        <v>C/USN/III/P4/40 90095 6050 GMMW WPF, w tym</v>
      </c>
      <c r="AN407" s="160">
        <f t="shared" ca="1" si="625"/>
        <v>6781300</v>
      </c>
      <c r="AO407" s="161">
        <f t="shared" ca="1" si="626"/>
        <v>0</v>
      </c>
      <c r="AP407" s="162">
        <f t="shared" ca="1" si="627"/>
        <v>0</v>
      </c>
      <c r="AQ407" s="163">
        <f t="shared" ca="1" si="628"/>
        <v>360000</v>
      </c>
      <c r="AR407" s="164">
        <f t="shared" ca="1" si="629"/>
        <v>1910000</v>
      </c>
      <c r="AS407" s="164">
        <f t="shared" ca="1" si="630"/>
        <v>4511300</v>
      </c>
      <c r="AT407" s="164">
        <f t="shared" ca="1" si="631"/>
        <v>0</v>
      </c>
      <c r="AU407" s="164">
        <f t="shared" ca="1" si="632"/>
        <v>0</v>
      </c>
      <c r="AV407" s="164">
        <f t="shared" ca="1" si="633"/>
        <v>0</v>
      </c>
      <c r="AW407" s="164">
        <f t="shared" ca="1" si="634"/>
        <v>0</v>
      </c>
      <c r="AX407" s="164">
        <f t="shared" ca="1" si="635"/>
        <v>0</v>
      </c>
      <c r="AY407" s="164">
        <f t="shared" ca="1" si="636"/>
        <v>0</v>
      </c>
      <c r="AZ407" s="164">
        <f t="shared" ca="1" si="637"/>
        <v>0</v>
      </c>
      <c r="BA407" s="165" t="str">
        <f t="shared" ca="1" si="638"/>
        <v>nie</v>
      </c>
      <c r="BB407" s="166" t="str">
        <f t="shared" ca="1" si="676"/>
        <v>-</v>
      </c>
      <c r="BC407" s="165" t="str">
        <f t="shared" ca="1" si="660"/>
        <v>nie</v>
      </c>
    </row>
    <row r="408" spans="1:55" s="167" customFormat="1" ht="14.45" hidden="1" customHeight="1" x14ac:dyDescent="0.25">
      <c r="A408" s="493"/>
      <c r="B408" s="493"/>
      <c r="C408" s="494"/>
      <c r="D408" s="506"/>
      <c r="E408" s="497"/>
      <c r="F408" s="536"/>
      <c r="G408" s="497"/>
      <c r="H408" s="498"/>
      <c r="I408" s="499"/>
      <c r="J408" s="177" t="s">
        <v>95</v>
      </c>
      <c r="K408" s="178">
        <f>SUM(N408:O408)</f>
        <v>6781300</v>
      </c>
      <c r="L408" s="179"/>
      <c r="M408" s="180"/>
      <c r="N408" s="172">
        <f>SUM(L408:M408)</f>
        <v>0</v>
      </c>
      <c r="O408" s="178">
        <f>SUM(P408:Y408)</f>
        <v>6781300</v>
      </c>
      <c r="P408" s="181">
        <v>360000</v>
      </c>
      <c r="Q408" s="180">
        <v>1910000</v>
      </c>
      <c r="R408" s="182">
        <v>4511300</v>
      </c>
      <c r="S408" s="183"/>
      <c r="T408" s="180"/>
      <c r="U408" s="180"/>
      <c r="V408" s="180"/>
      <c r="W408" s="180"/>
      <c r="X408" s="180"/>
      <c r="Y408" s="182"/>
      <c r="Z408" s="149" t="str">
        <f t="shared" ca="1" si="653"/>
        <v>nie</v>
      </c>
      <c r="AA408" s="366"/>
      <c r="AB408" s="150" t="str">
        <f t="shared" ca="1" si="671"/>
        <v>-</v>
      </c>
      <c r="AC408" s="151" t="str">
        <f t="shared" ca="1" si="618"/>
        <v>PRZED ZMIANĄ</v>
      </c>
      <c r="AD408" s="152" t="str">
        <f t="shared" ca="1" si="672"/>
        <v>PRZED ZMIANĄ</v>
      </c>
      <c r="AE408" s="153" t="str">
        <f t="shared" ca="1" si="619"/>
        <v>C/USN/III/P4/40</v>
      </c>
      <c r="AF408" s="154" t="str">
        <f t="shared" ca="1" si="620"/>
        <v>Modernizacja ogólnodostępnych placów zabaw, dostosowanie do potrzeb różnych grup użytkowników</v>
      </c>
      <c r="AG408" s="155">
        <f t="shared" ca="1" si="621"/>
        <v>90095</v>
      </c>
      <c r="AH408" s="155" t="str">
        <f t="shared" ca="1" si="622"/>
        <v>6050</v>
      </c>
      <c r="AI408" s="156" t="str">
        <f t="shared" ca="1" si="623"/>
        <v>GMMW</v>
      </c>
      <c r="AJ408" s="157" t="str">
        <f t="shared" ca="1" si="624"/>
        <v>WPF/PM</v>
      </c>
      <c r="AK408" s="158" t="str">
        <f t="shared" ca="1" si="673"/>
        <v>C/USN/III/P4/40 90095 6050 GMMW</v>
      </c>
      <c r="AL408" s="158" t="str">
        <f t="shared" ca="1" si="674"/>
        <v>C/USN/III/P4/40 90095 6050 WPF/PM</v>
      </c>
      <c r="AM408" s="159" t="str">
        <f t="shared" ca="1" si="675"/>
        <v>C/USN/III/P4/40 90095 6050 GMMW WPF/PM</v>
      </c>
      <c r="AN408" s="160">
        <f t="shared" ca="1" si="625"/>
        <v>6781300</v>
      </c>
      <c r="AO408" s="161">
        <f t="shared" ca="1" si="626"/>
        <v>0</v>
      </c>
      <c r="AP408" s="162">
        <f t="shared" ca="1" si="627"/>
        <v>0</v>
      </c>
      <c r="AQ408" s="163">
        <f t="shared" ca="1" si="628"/>
        <v>360000</v>
      </c>
      <c r="AR408" s="164">
        <f t="shared" ca="1" si="629"/>
        <v>1910000</v>
      </c>
      <c r="AS408" s="164">
        <f t="shared" ca="1" si="630"/>
        <v>4511300</v>
      </c>
      <c r="AT408" s="164">
        <f t="shared" ca="1" si="631"/>
        <v>0</v>
      </c>
      <c r="AU408" s="164">
        <f t="shared" ca="1" si="632"/>
        <v>0</v>
      </c>
      <c r="AV408" s="164">
        <f t="shared" ca="1" si="633"/>
        <v>0</v>
      </c>
      <c r="AW408" s="164">
        <f t="shared" ca="1" si="634"/>
        <v>0</v>
      </c>
      <c r="AX408" s="164">
        <f t="shared" ca="1" si="635"/>
        <v>0</v>
      </c>
      <c r="AY408" s="164">
        <f t="shared" ca="1" si="636"/>
        <v>0</v>
      </c>
      <c r="AZ408" s="164">
        <f t="shared" ca="1" si="637"/>
        <v>0</v>
      </c>
      <c r="BA408" s="165" t="str">
        <f t="shared" ca="1" si="638"/>
        <v>nie</v>
      </c>
      <c r="BB408" s="166" t="str">
        <f t="shared" ca="1" si="676"/>
        <v>-</v>
      </c>
      <c r="BC408" s="165" t="str">
        <f t="shared" ca="1" si="660"/>
        <v>nie</v>
      </c>
    </row>
    <row r="409" spans="1:55" s="167" customFormat="1" ht="14.45" hidden="1" customHeight="1" x14ac:dyDescent="0.25">
      <c r="A409" s="493"/>
      <c r="B409" s="493"/>
      <c r="C409" s="494"/>
      <c r="D409" s="506"/>
      <c r="E409" s="497"/>
      <c r="F409" s="537"/>
      <c r="G409" s="497"/>
      <c r="H409" s="498"/>
      <c r="I409" s="499"/>
      <c r="J409" s="177" t="s">
        <v>96</v>
      </c>
      <c r="K409" s="178">
        <f>SUM(N409:O409)</f>
        <v>0</v>
      </c>
      <c r="L409" s="184"/>
      <c r="M409" s="180"/>
      <c r="N409" s="172">
        <f>SUM(L409:M409)</f>
        <v>0</v>
      </c>
      <c r="O409" s="178">
        <f>SUM(P409:Y409)</f>
        <v>0</v>
      </c>
      <c r="P409" s="181"/>
      <c r="Q409" s="180"/>
      <c r="R409" s="182"/>
      <c r="S409" s="183"/>
      <c r="T409" s="180"/>
      <c r="U409" s="180"/>
      <c r="V409" s="180"/>
      <c r="W409" s="180"/>
      <c r="X409" s="180"/>
      <c r="Y409" s="182"/>
      <c r="Z409" s="149" t="str">
        <f t="shared" ca="1" si="653"/>
        <v>nie</v>
      </c>
      <c r="AA409" s="366"/>
      <c r="AB409" s="150" t="str">
        <f t="shared" ca="1" si="671"/>
        <v>-</v>
      </c>
      <c r="AC409" s="151" t="str">
        <f t="shared" ca="1" si="618"/>
        <v>PRZED ZMIANĄ</v>
      </c>
      <c r="AD409" s="152" t="str">
        <f t="shared" ca="1" si="672"/>
        <v>PRZED ZMIANĄ</v>
      </c>
      <c r="AE409" s="153" t="str">
        <f t="shared" ca="1" si="619"/>
        <v>C/USN/III/P4/40</v>
      </c>
      <c r="AF409" s="154" t="str">
        <f t="shared" ca="1" si="620"/>
        <v>Modernizacja ogólnodostępnych placów zabaw, dostosowanie do potrzeb różnych grup użytkowników</v>
      </c>
      <c r="AG409" s="155">
        <f t="shared" ca="1" si="621"/>
        <v>90095</v>
      </c>
      <c r="AH409" s="155" t="str">
        <f t="shared" ca="1" si="622"/>
        <v>6050</v>
      </c>
      <c r="AI409" s="156" t="str">
        <f t="shared" ca="1" si="623"/>
        <v>GMMW</v>
      </c>
      <c r="AJ409" s="157" t="str">
        <f t="shared" ca="1" si="624"/>
        <v>WPF/UM</v>
      </c>
      <c r="AK409" s="158" t="str">
        <f t="shared" ca="1" si="673"/>
        <v>C/USN/III/P4/40 90095 6050 GMMW</v>
      </c>
      <c r="AL409" s="158" t="str">
        <f t="shared" ca="1" si="674"/>
        <v>C/USN/III/P4/40 90095 6050 WPF/UM</v>
      </c>
      <c r="AM409" s="159" t="str">
        <f t="shared" ca="1" si="675"/>
        <v>C/USN/III/P4/40 90095 6050 GMMW WPF/UM</v>
      </c>
      <c r="AN409" s="160">
        <f t="shared" ca="1" si="625"/>
        <v>0</v>
      </c>
      <c r="AO409" s="161">
        <f t="shared" ca="1" si="626"/>
        <v>0</v>
      </c>
      <c r="AP409" s="162">
        <f t="shared" ca="1" si="627"/>
        <v>0</v>
      </c>
      <c r="AQ409" s="163">
        <f t="shared" ca="1" si="628"/>
        <v>0</v>
      </c>
      <c r="AR409" s="164">
        <f t="shared" ca="1" si="629"/>
        <v>0</v>
      </c>
      <c r="AS409" s="164">
        <f t="shared" ca="1" si="630"/>
        <v>0</v>
      </c>
      <c r="AT409" s="164">
        <f t="shared" ca="1" si="631"/>
        <v>0</v>
      </c>
      <c r="AU409" s="164">
        <f t="shared" ca="1" si="632"/>
        <v>0</v>
      </c>
      <c r="AV409" s="164">
        <f t="shared" ca="1" si="633"/>
        <v>0</v>
      </c>
      <c r="AW409" s="164">
        <f t="shared" ca="1" si="634"/>
        <v>0</v>
      </c>
      <c r="AX409" s="164">
        <f t="shared" ca="1" si="635"/>
        <v>0</v>
      </c>
      <c r="AY409" s="164">
        <f t="shared" ca="1" si="636"/>
        <v>0</v>
      </c>
      <c r="AZ409" s="164">
        <f t="shared" ca="1" si="637"/>
        <v>0</v>
      </c>
      <c r="BA409" s="165" t="str">
        <f t="shared" ca="1" si="638"/>
        <v>nie</v>
      </c>
      <c r="BB409" s="166" t="str">
        <f t="shared" ca="1" si="676"/>
        <v>-</v>
      </c>
      <c r="BC409" s="165" t="str">
        <f t="shared" ca="1" si="660"/>
        <v>nie</v>
      </c>
    </row>
    <row r="410" spans="1:55" s="167" customFormat="1" ht="14.45" hidden="1" customHeight="1" x14ac:dyDescent="0.25">
      <c r="A410" s="185" t="s">
        <v>97</v>
      </c>
      <c r="B410" s="186"/>
      <c r="C410" s="187"/>
      <c r="D410" s="186"/>
      <c r="E410" s="186"/>
      <c r="F410" s="186"/>
      <c r="G410" s="186"/>
      <c r="H410" s="186"/>
      <c r="I410" s="186"/>
      <c r="J410" s="186"/>
      <c r="K410" s="186"/>
      <c r="L410" s="186"/>
      <c r="M410" s="186"/>
      <c r="N410" s="186"/>
      <c r="O410" s="186"/>
      <c r="P410" s="186"/>
      <c r="Q410" s="186"/>
      <c r="R410" s="188"/>
      <c r="S410" s="189"/>
      <c r="T410" s="189"/>
      <c r="U410" s="189"/>
      <c r="V410" s="189"/>
      <c r="W410" s="189"/>
      <c r="X410" s="189"/>
      <c r="Y410" s="190"/>
      <c r="Z410" s="149" t="str">
        <f t="shared" ca="1" si="653"/>
        <v>nie</v>
      </c>
      <c r="AA410" s="366"/>
      <c r="AB410" s="150" t="str">
        <f t="shared" ca="1" si="671"/>
        <v>-</v>
      </c>
      <c r="AC410" s="151" t="str">
        <f t="shared" ca="1" si="618"/>
        <v>PROPONOWANA ZMIANA</v>
      </c>
      <c r="AD410" s="152" t="str">
        <f t="shared" ca="1" si="672"/>
        <v/>
      </c>
      <c r="AE410" s="153" t="str">
        <f t="shared" ca="1" si="619"/>
        <v/>
      </c>
      <c r="AF410" s="154" t="str">
        <f t="shared" ca="1" si="620"/>
        <v/>
      </c>
      <c r="AG410" s="155" t="str">
        <f t="shared" ca="1" si="621"/>
        <v/>
      </c>
      <c r="AH410" s="155" t="str">
        <f t="shared" ca="1" si="622"/>
        <v/>
      </c>
      <c r="AI410" s="156" t="str">
        <f t="shared" ca="1" si="623"/>
        <v/>
      </c>
      <c r="AJ410" s="157" t="str">
        <f t="shared" ca="1" si="624"/>
        <v/>
      </c>
      <c r="AK410" s="158" t="str">
        <f t="shared" ca="1" si="673"/>
        <v/>
      </c>
      <c r="AL410" s="158" t="str">
        <f t="shared" ca="1" si="674"/>
        <v/>
      </c>
      <c r="AM410" s="159" t="str">
        <f t="shared" ca="1" si="675"/>
        <v/>
      </c>
      <c r="AN410" s="160" t="str">
        <f t="shared" ca="1" si="625"/>
        <v/>
      </c>
      <c r="AO410" s="161" t="str">
        <f t="shared" ca="1" si="626"/>
        <v/>
      </c>
      <c r="AP410" s="162" t="str">
        <f t="shared" ca="1" si="627"/>
        <v/>
      </c>
      <c r="AQ410" s="163" t="str">
        <f t="shared" ca="1" si="628"/>
        <v/>
      </c>
      <c r="AR410" s="164" t="str">
        <f t="shared" ca="1" si="629"/>
        <v/>
      </c>
      <c r="AS410" s="164" t="str">
        <f t="shared" ca="1" si="630"/>
        <v/>
      </c>
      <c r="AT410" s="164" t="str">
        <f t="shared" ca="1" si="631"/>
        <v/>
      </c>
      <c r="AU410" s="164" t="str">
        <f t="shared" ca="1" si="632"/>
        <v/>
      </c>
      <c r="AV410" s="164" t="str">
        <f t="shared" ca="1" si="633"/>
        <v/>
      </c>
      <c r="AW410" s="164" t="str">
        <f t="shared" ca="1" si="634"/>
        <v/>
      </c>
      <c r="AX410" s="164" t="str">
        <f t="shared" ca="1" si="635"/>
        <v/>
      </c>
      <c r="AY410" s="164" t="str">
        <f t="shared" ca="1" si="636"/>
        <v/>
      </c>
      <c r="AZ410" s="164" t="str">
        <f t="shared" ca="1" si="637"/>
        <v/>
      </c>
      <c r="BA410" s="165" t="str">
        <f t="shared" ca="1" si="638"/>
        <v>nie</v>
      </c>
      <c r="BB410" s="166" t="str">
        <f t="shared" ca="1" si="676"/>
        <v>-</v>
      </c>
      <c r="BC410" s="165" t="str">
        <f t="shared" ca="1" si="660"/>
        <v>nie</v>
      </c>
    </row>
    <row r="411" spans="1:55" s="176" customFormat="1" ht="14.45" hidden="1" customHeight="1" x14ac:dyDescent="0.25">
      <c r="A411" s="493" t="s">
        <v>24</v>
      </c>
      <c r="B411" s="493" t="s">
        <v>26</v>
      </c>
      <c r="C411" s="494" t="s">
        <v>416</v>
      </c>
      <c r="D411" s="505" t="s">
        <v>413</v>
      </c>
      <c r="E411" s="497">
        <v>900</v>
      </c>
      <c r="F411" s="535">
        <v>90095</v>
      </c>
      <c r="G411" s="497">
        <v>6050</v>
      </c>
      <c r="H411" s="507">
        <v>2024</v>
      </c>
      <c r="I411" s="499" t="str">
        <f ca="1">IF(COUNTIF(OFFSET(I411,-1,-8),"*propon*")&gt;0,OFFSET(I411,4,0),IF(Y411&gt;0,"2033",IF(X411&gt;0,"2032",IF(W411&gt;0,"2031",IF(V411&gt;0,"2030",IF(U411&gt;0,"2029",IF(T411&gt;0,"2028",IF(S411&gt;0,"2027",IF(R411&gt;0,"2026",IF(Q411&gt;0,"2025",IF(P411&gt;0,"2024",IF(M411&gt;0,"2023",IF(L411&gt;0,"2022","")))))))))))))</f>
        <v>2026</v>
      </c>
      <c r="J411" s="168" t="s">
        <v>98</v>
      </c>
      <c r="K411" s="169">
        <f>SUM(N411:O411)</f>
        <v>0</v>
      </c>
      <c r="L411" s="170">
        <f t="shared" ref="L411:M411" si="679">SUM(L412:L413)</f>
        <v>0</v>
      </c>
      <c r="M411" s="171">
        <f t="shared" si="679"/>
        <v>0</v>
      </c>
      <c r="N411" s="172">
        <f>SUM(L411:M411)</f>
        <v>0</v>
      </c>
      <c r="O411" s="169">
        <f>SUM(P411:Y411)</f>
        <v>0</v>
      </c>
      <c r="P411" s="173">
        <f t="shared" ref="P411:Y411" si="680">SUM(P412:P413)</f>
        <v>0</v>
      </c>
      <c r="Q411" s="171">
        <f t="shared" si="680"/>
        <v>0</v>
      </c>
      <c r="R411" s="174">
        <f t="shared" si="680"/>
        <v>0</v>
      </c>
      <c r="S411" s="175">
        <f t="shared" si="680"/>
        <v>0</v>
      </c>
      <c r="T411" s="171">
        <f t="shared" si="680"/>
        <v>0</v>
      </c>
      <c r="U411" s="171">
        <f t="shared" si="680"/>
        <v>0</v>
      </c>
      <c r="V411" s="171">
        <f t="shared" si="680"/>
        <v>0</v>
      </c>
      <c r="W411" s="171">
        <f t="shared" si="680"/>
        <v>0</v>
      </c>
      <c r="X411" s="171">
        <f t="shared" si="680"/>
        <v>0</v>
      </c>
      <c r="Y411" s="174">
        <f t="shared" si="680"/>
        <v>0</v>
      </c>
      <c r="Z411" s="149" t="str">
        <f t="shared" ca="1" si="653"/>
        <v>nie</v>
      </c>
      <c r="AA411" s="366"/>
      <c r="AB411" s="150" t="str">
        <f t="shared" ca="1" si="671"/>
        <v>-</v>
      </c>
      <c r="AC411" s="151" t="str">
        <f t="shared" ca="1" si="618"/>
        <v>PROPONOWANA ZMIANA</v>
      </c>
      <c r="AD411" s="152" t="str">
        <f t="shared" ca="1" si="672"/>
        <v>PROPONOWANA ZMIANA</v>
      </c>
      <c r="AE411" s="153" t="str">
        <f t="shared" ca="1" si="619"/>
        <v>C/USN/III/P4/40</v>
      </c>
      <c r="AF411" s="154" t="str">
        <f t="shared" ca="1" si="620"/>
        <v>Modernizacja ogólnodostępnych placów zabaw, dostosowanie do potrzeb różnych grup użytkowników</v>
      </c>
      <c r="AG411" s="155">
        <f t="shared" ca="1" si="621"/>
        <v>90095</v>
      </c>
      <c r="AH411" s="155" t="str">
        <f t="shared" ca="1" si="622"/>
        <v>6050</v>
      </c>
      <c r="AI411" s="156" t="str">
        <f t="shared" ca="1" si="623"/>
        <v>GMMW</v>
      </c>
      <c r="AJ411" s="157" t="str">
        <f t="shared" ca="1" si="624"/>
        <v>WPF, w tym</v>
      </c>
      <c r="AK411" s="158" t="str">
        <f t="shared" ca="1" si="673"/>
        <v>C/USN/III/P4/40 90095 6050 GMMW</v>
      </c>
      <c r="AL411" s="158" t="str">
        <f t="shared" ca="1" si="674"/>
        <v>C/USN/III/P4/40 90095 6050 WPF, w tym</v>
      </c>
      <c r="AM411" s="159" t="str">
        <f t="shared" ca="1" si="675"/>
        <v>C/USN/III/P4/40 90095 6050 GMMW WPF, w tym</v>
      </c>
      <c r="AN411" s="160">
        <f t="shared" ca="1" si="625"/>
        <v>0</v>
      </c>
      <c r="AO411" s="161">
        <f t="shared" ca="1" si="626"/>
        <v>0</v>
      </c>
      <c r="AP411" s="162">
        <f t="shared" ca="1" si="627"/>
        <v>0</v>
      </c>
      <c r="AQ411" s="163">
        <f t="shared" ca="1" si="628"/>
        <v>0</v>
      </c>
      <c r="AR411" s="164">
        <f t="shared" ca="1" si="629"/>
        <v>0</v>
      </c>
      <c r="AS411" s="164">
        <f t="shared" ca="1" si="630"/>
        <v>0</v>
      </c>
      <c r="AT411" s="164">
        <f t="shared" ca="1" si="631"/>
        <v>0</v>
      </c>
      <c r="AU411" s="164">
        <f t="shared" ca="1" si="632"/>
        <v>0</v>
      </c>
      <c r="AV411" s="164">
        <f t="shared" ca="1" si="633"/>
        <v>0</v>
      </c>
      <c r="AW411" s="164">
        <f t="shared" ca="1" si="634"/>
        <v>0</v>
      </c>
      <c r="AX411" s="164">
        <f t="shared" ca="1" si="635"/>
        <v>0</v>
      </c>
      <c r="AY411" s="164">
        <f t="shared" ca="1" si="636"/>
        <v>0</v>
      </c>
      <c r="AZ411" s="164">
        <f t="shared" ca="1" si="637"/>
        <v>0</v>
      </c>
      <c r="BA411" s="165" t="str">
        <f t="shared" ca="1" si="638"/>
        <v>nie</v>
      </c>
      <c r="BB411" s="166" t="str">
        <f t="shared" ca="1" si="676"/>
        <v>-</v>
      </c>
      <c r="BC411" s="165" t="str">
        <f t="shared" ca="1" si="660"/>
        <v>nie</v>
      </c>
    </row>
    <row r="412" spans="1:55" s="167" customFormat="1" ht="14.45" hidden="1" customHeight="1" x14ac:dyDescent="0.25">
      <c r="A412" s="493"/>
      <c r="B412" s="493"/>
      <c r="C412" s="494"/>
      <c r="D412" s="506"/>
      <c r="E412" s="497"/>
      <c r="F412" s="536"/>
      <c r="G412" s="497"/>
      <c r="H412" s="498"/>
      <c r="I412" s="499"/>
      <c r="J412" s="177" t="s">
        <v>99</v>
      </c>
      <c r="K412" s="178">
        <f>SUM(N412:O412)</f>
        <v>0</v>
      </c>
      <c r="L412" s="179">
        <f t="shared" ref="L412:M412" si="681">L416-L408</f>
        <v>0</v>
      </c>
      <c r="M412" s="180">
        <f t="shared" si="681"/>
        <v>0</v>
      </c>
      <c r="N412" s="172">
        <f>SUM(L412:M412)</f>
        <v>0</v>
      </c>
      <c r="O412" s="178">
        <f>SUM(P412:Y412)</f>
        <v>0</v>
      </c>
      <c r="P412" s="181">
        <f t="shared" ref="P412:Y412" si="682">P416-P408</f>
        <v>0</v>
      </c>
      <c r="Q412" s="180">
        <f t="shared" si="682"/>
        <v>0</v>
      </c>
      <c r="R412" s="182">
        <f t="shared" si="682"/>
        <v>0</v>
      </c>
      <c r="S412" s="183">
        <f t="shared" si="682"/>
        <v>0</v>
      </c>
      <c r="T412" s="180">
        <f t="shared" si="682"/>
        <v>0</v>
      </c>
      <c r="U412" s="180">
        <f t="shared" si="682"/>
        <v>0</v>
      </c>
      <c r="V412" s="180">
        <f t="shared" si="682"/>
        <v>0</v>
      </c>
      <c r="W412" s="180">
        <f t="shared" si="682"/>
        <v>0</v>
      </c>
      <c r="X412" s="180">
        <f t="shared" si="682"/>
        <v>0</v>
      </c>
      <c r="Y412" s="182">
        <f t="shared" si="682"/>
        <v>0</v>
      </c>
      <c r="Z412" s="149" t="str">
        <f t="shared" ca="1" si="653"/>
        <v>nie</v>
      </c>
      <c r="AA412" s="366"/>
      <c r="AB412" s="150" t="str">
        <f t="shared" ca="1" si="671"/>
        <v>-</v>
      </c>
      <c r="AC412" s="151" t="str">
        <f t="shared" ca="1" si="618"/>
        <v>PROPONOWANA ZMIANA</v>
      </c>
      <c r="AD412" s="152" t="str">
        <f t="shared" ca="1" si="672"/>
        <v>PROPONOWANA ZMIANA</v>
      </c>
      <c r="AE412" s="153" t="str">
        <f t="shared" ca="1" si="619"/>
        <v>C/USN/III/P4/40</v>
      </c>
      <c r="AF412" s="154" t="str">
        <f t="shared" ca="1" si="620"/>
        <v>Modernizacja ogólnodostępnych placów zabaw, dostosowanie do potrzeb różnych grup użytkowników</v>
      </c>
      <c r="AG412" s="155">
        <f t="shared" ca="1" si="621"/>
        <v>90095</v>
      </c>
      <c r="AH412" s="155" t="str">
        <f t="shared" ca="1" si="622"/>
        <v>6050</v>
      </c>
      <c r="AI412" s="156" t="str">
        <f t="shared" ca="1" si="623"/>
        <v>GMMW</v>
      </c>
      <c r="AJ412" s="157" t="str">
        <f t="shared" ca="1" si="624"/>
        <v>WPF/PM</v>
      </c>
      <c r="AK412" s="158" t="str">
        <f t="shared" ca="1" si="673"/>
        <v>C/USN/III/P4/40 90095 6050 GMMW</v>
      </c>
      <c r="AL412" s="158" t="str">
        <f t="shared" ca="1" si="674"/>
        <v>C/USN/III/P4/40 90095 6050 WPF/PM</v>
      </c>
      <c r="AM412" s="159" t="str">
        <f t="shared" ca="1" si="675"/>
        <v>C/USN/III/P4/40 90095 6050 GMMW WPF/PM</v>
      </c>
      <c r="AN412" s="160">
        <f t="shared" ca="1" si="625"/>
        <v>0</v>
      </c>
      <c r="AO412" s="161">
        <f t="shared" ca="1" si="626"/>
        <v>0</v>
      </c>
      <c r="AP412" s="162">
        <f t="shared" ca="1" si="627"/>
        <v>0</v>
      </c>
      <c r="AQ412" s="163">
        <f t="shared" ca="1" si="628"/>
        <v>0</v>
      </c>
      <c r="AR412" s="164">
        <f t="shared" ca="1" si="629"/>
        <v>0</v>
      </c>
      <c r="AS412" s="164">
        <f t="shared" ca="1" si="630"/>
        <v>0</v>
      </c>
      <c r="AT412" s="164">
        <f t="shared" ca="1" si="631"/>
        <v>0</v>
      </c>
      <c r="AU412" s="164">
        <f t="shared" ca="1" si="632"/>
        <v>0</v>
      </c>
      <c r="AV412" s="164">
        <f t="shared" ca="1" si="633"/>
        <v>0</v>
      </c>
      <c r="AW412" s="164">
        <f t="shared" ca="1" si="634"/>
        <v>0</v>
      </c>
      <c r="AX412" s="164">
        <f t="shared" ca="1" si="635"/>
        <v>0</v>
      </c>
      <c r="AY412" s="164">
        <f t="shared" ca="1" si="636"/>
        <v>0</v>
      </c>
      <c r="AZ412" s="164">
        <f t="shared" ca="1" si="637"/>
        <v>0</v>
      </c>
      <c r="BA412" s="165" t="str">
        <f t="shared" ca="1" si="638"/>
        <v>nie</v>
      </c>
      <c r="BB412" s="166" t="str">
        <f t="shared" ca="1" si="676"/>
        <v>-</v>
      </c>
      <c r="BC412" s="165" t="str">
        <f t="shared" ca="1" si="660"/>
        <v>nie</v>
      </c>
    </row>
    <row r="413" spans="1:55" s="167" customFormat="1" ht="14.45" hidden="1" customHeight="1" x14ac:dyDescent="0.25">
      <c r="A413" s="493"/>
      <c r="B413" s="493"/>
      <c r="C413" s="494"/>
      <c r="D413" s="506"/>
      <c r="E413" s="497"/>
      <c r="F413" s="537"/>
      <c r="G413" s="497"/>
      <c r="H413" s="498"/>
      <c r="I413" s="499"/>
      <c r="J413" s="177" t="s">
        <v>100</v>
      </c>
      <c r="K413" s="178">
        <f>SUM(N413:O413)</f>
        <v>0</v>
      </c>
      <c r="L413" s="179">
        <f t="shared" ref="L413:M413" si="683">L417-L409</f>
        <v>0</v>
      </c>
      <c r="M413" s="180">
        <f t="shared" si="683"/>
        <v>0</v>
      </c>
      <c r="N413" s="172">
        <f>SUM(L413:M413)</f>
        <v>0</v>
      </c>
      <c r="O413" s="178">
        <f>SUM(P413:Y413)</f>
        <v>0</v>
      </c>
      <c r="P413" s="181">
        <f t="shared" ref="P413:Y413" si="684">P417-P409</f>
        <v>0</v>
      </c>
      <c r="Q413" s="180">
        <f t="shared" si="684"/>
        <v>0</v>
      </c>
      <c r="R413" s="182">
        <f t="shared" si="684"/>
        <v>0</v>
      </c>
      <c r="S413" s="183">
        <f t="shared" si="684"/>
        <v>0</v>
      </c>
      <c r="T413" s="180">
        <f t="shared" si="684"/>
        <v>0</v>
      </c>
      <c r="U413" s="180">
        <f t="shared" si="684"/>
        <v>0</v>
      </c>
      <c r="V413" s="180">
        <f t="shared" si="684"/>
        <v>0</v>
      </c>
      <c r="W413" s="180">
        <f t="shared" si="684"/>
        <v>0</v>
      </c>
      <c r="X413" s="180">
        <f t="shared" si="684"/>
        <v>0</v>
      </c>
      <c r="Y413" s="182">
        <f t="shared" si="684"/>
        <v>0</v>
      </c>
      <c r="Z413" s="149" t="str">
        <f t="shared" ca="1" si="653"/>
        <v>nie</v>
      </c>
      <c r="AA413" s="366"/>
      <c r="AB413" s="150" t="str">
        <f t="shared" ca="1" si="671"/>
        <v>-</v>
      </c>
      <c r="AC413" s="151" t="str">
        <f t="shared" ca="1" si="618"/>
        <v>PROPONOWANA ZMIANA</v>
      </c>
      <c r="AD413" s="152" t="str">
        <f t="shared" ca="1" si="672"/>
        <v>PROPONOWANA ZMIANA</v>
      </c>
      <c r="AE413" s="153" t="str">
        <f t="shared" ca="1" si="619"/>
        <v>C/USN/III/P4/40</v>
      </c>
      <c r="AF413" s="154" t="str">
        <f t="shared" ca="1" si="620"/>
        <v>Modernizacja ogólnodostępnych placów zabaw, dostosowanie do potrzeb różnych grup użytkowników</v>
      </c>
      <c r="AG413" s="155">
        <f t="shared" ca="1" si="621"/>
        <v>90095</v>
      </c>
      <c r="AH413" s="155" t="str">
        <f t="shared" ca="1" si="622"/>
        <v>6050</v>
      </c>
      <c r="AI413" s="156" t="str">
        <f t="shared" ca="1" si="623"/>
        <v>GMMW</v>
      </c>
      <c r="AJ413" s="157" t="str">
        <f t="shared" ca="1" si="624"/>
        <v>WPF/UM</v>
      </c>
      <c r="AK413" s="158" t="str">
        <f t="shared" ca="1" si="673"/>
        <v>C/USN/III/P4/40 90095 6050 GMMW</v>
      </c>
      <c r="AL413" s="158" t="str">
        <f t="shared" ca="1" si="674"/>
        <v>C/USN/III/P4/40 90095 6050 WPF/UM</v>
      </c>
      <c r="AM413" s="159" t="str">
        <f t="shared" ca="1" si="675"/>
        <v>C/USN/III/P4/40 90095 6050 GMMW WPF/UM</v>
      </c>
      <c r="AN413" s="160">
        <f t="shared" ca="1" si="625"/>
        <v>0</v>
      </c>
      <c r="AO413" s="161">
        <f t="shared" ca="1" si="626"/>
        <v>0</v>
      </c>
      <c r="AP413" s="162">
        <f t="shared" ca="1" si="627"/>
        <v>0</v>
      </c>
      <c r="AQ413" s="163">
        <f t="shared" ca="1" si="628"/>
        <v>0</v>
      </c>
      <c r="AR413" s="164">
        <f t="shared" ca="1" si="629"/>
        <v>0</v>
      </c>
      <c r="AS413" s="164">
        <f t="shared" ca="1" si="630"/>
        <v>0</v>
      </c>
      <c r="AT413" s="164">
        <f t="shared" ca="1" si="631"/>
        <v>0</v>
      </c>
      <c r="AU413" s="164">
        <f t="shared" ca="1" si="632"/>
        <v>0</v>
      </c>
      <c r="AV413" s="164">
        <f t="shared" ca="1" si="633"/>
        <v>0</v>
      </c>
      <c r="AW413" s="164">
        <f t="shared" ca="1" si="634"/>
        <v>0</v>
      </c>
      <c r="AX413" s="164">
        <f t="shared" ca="1" si="635"/>
        <v>0</v>
      </c>
      <c r="AY413" s="164">
        <f t="shared" ca="1" si="636"/>
        <v>0</v>
      </c>
      <c r="AZ413" s="164">
        <f t="shared" ca="1" si="637"/>
        <v>0</v>
      </c>
      <c r="BA413" s="165" t="str">
        <f t="shared" ca="1" si="638"/>
        <v>nie</v>
      </c>
      <c r="BB413" s="166" t="str">
        <f t="shared" ca="1" si="676"/>
        <v>-</v>
      </c>
      <c r="BC413" s="165" t="str">
        <f t="shared" ca="1" si="660"/>
        <v>nie</v>
      </c>
    </row>
    <row r="414" spans="1:55" s="167" customFormat="1" ht="14.45" hidden="1" customHeight="1" x14ac:dyDescent="0.25">
      <c r="A414" s="191" t="s">
        <v>101</v>
      </c>
      <c r="B414" s="192"/>
      <c r="C414" s="193"/>
      <c r="D414" s="192"/>
      <c r="E414" s="192"/>
      <c r="F414" s="192"/>
      <c r="G414" s="192"/>
      <c r="H414" s="192"/>
      <c r="I414" s="192"/>
      <c r="J414" s="192"/>
      <c r="K414" s="192"/>
      <c r="L414" s="192"/>
      <c r="M414" s="192"/>
      <c r="N414" s="192"/>
      <c r="O414" s="192"/>
      <c r="P414" s="192"/>
      <c r="Q414" s="192"/>
      <c r="R414" s="194"/>
      <c r="S414" s="195"/>
      <c r="T414" s="195"/>
      <c r="U414" s="195"/>
      <c r="V414" s="195"/>
      <c r="W414" s="195"/>
      <c r="X414" s="195"/>
      <c r="Y414" s="196"/>
      <c r="Z414" s="149" t="str">
        <f t="shared" ca="1" si="653"/>
        <v>nie</v>
      </c>
      <c r="AA414" s="366"/>
      <c r="AB414" s="150" t="str">
        <f t="shared" ca="1" si="671"/>
        <v>-</v>
      </c>
      <c r="AC414" s="151" t="str">
        <f t="shared" ca="1" si="618"/>
        <v>PO ZMIANIE</v>
      </c>
      <c r="AD414" s="152" t="str">
        <f t="shared" ca="1" si="672"/>
        <v/>
      </c>
      <c r="AE414" s="153" t="str">
        <f t="shared" ca="1" si="619"/>
        <v/>
      </c>
      <c r="AF414" s="154" t="str">
        <f t="shared" ca="1" si="620"/>
        <v/>
      </c>
      <c r="AG414" s="155" t="str">
        <f t="shared" ca="1" si="621"/>
        <v/>
      </c>
      <c r="AH414" s="155" t="str">
        <f t="shared" ca="1" si="622"/>
        <v/>
      </c>
      <c r="AI414" s="156" t="str">
        <f t="shared" ca="1" si="623"/>
        <v/>
      </c>
      <c r="AJ414" s="157" t="str">
        <f t="shared" ca="1" si="624"/>
        <v/>
      </c>
      <c r="AK414" s="158" t="str">
        <f t="shared" ca="1" si="673"/>
        <v/>
      </c>
      <c r="AL414" s="158" t="str">
        <f t="shared" ca="1" si="674"/>
        <v/>
      </c>
      <c r="AM414" s="159" t="str">
        <f t="shared" ca="1" si="675"/>
        <v/>
      </c>
      <c r="AN414" s="160" t="str">
        <f t="shared" ca="1" si="625"/>
        <v/>
      </c>
      <c r="AO414" s="161" t="str">
        <f t="shared" ca="1" si="626"/>
        <v/>
      </c>
      <c r="AP414" s="162" t="str">
        <f t="shared" ca="1" si="627"/>
        <v/>
      </c>
      <c r="AQ414" s="163" t="str">
        <f t="shared" ca="1" si="628"/>
        <v/>
      </c>
      <c r="AR414" s="164" t="str">
        <f t="shared" ca="1" si="629"/>
        <v/>
      </c>
      <c r="AS414" s="164" t="str">
        <f t="shared" ca="1" si="630"/>
        <v/>
      </c>
      <c r="AT414" s="164" t="str">
        <f t="shared" ca="1" si="631"/>
        <v/>
      </c>
      <c r="AU414" s="164" t="str">
        <f t="shared" ca="1" si="632"/>
        <v/>
      </c>
      <c r="AV414" s="164" t="str">
        <f t="shared" ca="1" si="633"/>
        <v/>
      </c>
      <c r="AW414" s="164" t="str">
        <f t="shared" ca="1" si="634"/>
        <v/>
      </c>
      <c r="AX414" s="164" t="str">
        <f t="shared" ca="1" si="635"/>
        <v/>
      </c>
      <c r="AY414" s="164" t="str">
        <f t="shared" ca="1" si="636"/>
        <v/>
      </c>
      <c r="AZ414" s="164" t="str">
        <f t="shared" ca="1" si="637"/>
        <v/>
      </c>
      <c r="BA414" s="165" t="str">
        <f t="shared" ca="1" si="638"/>
        <v>nie</v>
      </c>
      <c r="BB414" s="166" t="str">
        <f t="shared" ca="1" si="676"/>
        <v>-</v>
      </c>
      <c r="BC414" s="165" t="str">
        <f t="shared" ca="1" si="660"/>
        <v>nie</v>
      </c>
    </row>
    <row r="415" spans="1:55" s="176" customFormat="1" ht="14.45" hidden="1" customHeight="1" x14ac:dyDescent="0.25">
      <c r="A415" s="493" t="s">
        <v>24</v>
      </c>
      <c r="B415" s="493" t="s">
        <v>26</v>
      </c>
      <c r="C415" s="494" t="s">
        <v>416</v>
      </c>
      <c r="D415" s="505" t="s">
        <v>413</v>
      </c>
      <c r="E415" s="497">
        <v>900</v>
      </c>
      <c r="F415" s="535">
        <v>90095</v>
      </c>
      <c r="G415" s="497">
        <v>6050</v>
      </c>
      <c r="H415" s="507">
        <v>2024</v>
      </c>
      <c r="I415" s="499" t="str">
        <f ca="1">IF(COUNTIF(OFFSET(I415,-1,-8),"*propon*")&gt;0,OFFSET(I415,4,0),IF(Y415&gt;0,"2033",IF(X415&gt;0,"2032",IF(W415&gt;0,"2031",IF(V415&gt;0,"2030",IF(U415&gt;0,"2029",IF(T415&gt;0,"2028",IF(S415&gt;0,"2027",IF(R415&gt;0,"2026",IF(Q415&gt;0,"2025",IF(P415&gt;0,"2024",IF(M415&gt;0,"2023",IF(L415&gt;0,"2022","")))))))))))))</f>
        <v>2026</v>
      </c>
      <c r="J415" s="168" t="s">
        <v>102</v>
      </c>
      <c r="K415" s="169">
        <f>SUM(N415:O415)</f>
        <v>6781300</v>
      </c>
      <c r="L415" s="170">
        <f t="shared" ref="L415:M415" si="685">SUM(L416:L417)</f>
        <v>0</v>
      </c>
      <c r="M415" s="171">
        <f t="shared" si="685"/>
        <v>0</v>
      </c>
      <c r="N415" s="172">
        <f>SUM(L415:M415)</f>
        <v>0</v>
      </c>
      <c r="O415" s="169">
        <f>SUM(P415:Y415)</f>
        <v>6781300</v>
      </c>
      <c r="P415" s="173">
        <f t="shared" ref="P415:Y415" si="686">SUM(P416:P417)</f>
        <v>360000</v>
      </c>
      <c r="Q415" s="171">
        <f t="shared" si="686"/>
        <v>1910000</v>
      </c>
      <c r="R415" s="174">
        <f t="shared" si="686"/>
        <v>4511300</v>
      </c>
      <c r="S415" s="175">
        <f t="shared" si="686"/>
        <v>0</v>
      </c>
      <c r="T415" s="171">
        <f t="shared" si="686"/>
        <v>0</v>
      </c>
      <c r="U415" s="171">
        <f t="shared" si="686"/>
        <v>0</v>
      </c>
      <c r="V415" s="171">
        <f t="shared" si="686"/>
        <v>0</v>
      </c>
      <c r="W415" s="171">
        <f t="shared" si="686"/>
        <v>0</v>
      </c>
      <c r="X415" s="171">
        <f t="shared" si="686"/>
        <v>0</v>
      </c>
      <c r="Y415" s="174">
        <f t="shared" si="686"/>
        <v>0</v>
      </c>
      <c r="Z415" s="149" t="str">
        <f t="shared" ca="1" si="653"/>
        <v>nie</v>
      </c>
      <c r="AA415" s="366"/>
      <c r="AB415" s="150" t="str">
        <f t="shared" ca="1" si="671"/>
        <v>-</v>
      </c>
      <c r="AC415" s="151" t="str">
        <f t="shared" ca="1" si="618"/>
        <v>PO ZMIANIE</v>
      </c>
      <c r="AD415" s="152" t="str">
        <f t="shared" ca="1" si="672"/>
        <v>PO ZMIANIE</v>
      </c>
      <c r="AE415" s="153" t="str">
        <f t="shared" ca="1" si="619"/>
        <v>C/USN/III/P4/40</v>
      </c>
      <c r="AF415" s="154" t="str">
        <f t="shared" ca="1" si="620"/>
        <v>Modernizacja ogólnodostępnych placów zabaw, dostosowanie do potrzeb różnych grup użytkowników</v>
      </c>
      <c r="AG415" s="155">
        <f t="shared" ca="1" si="621"/>
        <v>90095</v>
      </c>
      <c r="AH415" s="155" t="str">
        <f t="shared" ca="1" si="622"/>
        <v>6050</v>
      </c>
      <c r="AI415" s="156" t="str">
        <f t="shared" ca="1" si="623"/>
        <v>GMMW</v>
      </c>
      <c r="AJ415" s="157" t="str">
        <f t="shared" ca="1" si="624"/>
        <v>WPF, w tym</v>
      </c>
      <c r="AK415" s="158" t="str">
        <f t="shared" ca="1" si="673"/>
        <v>C/USN/III/P4/40 90095 6050 GMMW</v>
      </c>
      <c r="AL415" s="158" t="str">
        <f t="shared" ca="1" si="674"/>
        <v>C/USN/III/P4/40 90095 6050 WPF, w tym</v>
      </c>
      <c r="AM415" s="159" t="str">
        <f t="shared" ca="1" si="675"/>
        <v>C/USN/III/P4/40 90095 6050 GMMW WPF, w tym</v>
      </c>
      <c r="AN415" s="160">
        <f t="shared" ca="1" si="625"/>
        <v>6781300</v>
      </c>
      <c r="AO415" s="161">
        <f t="shared" ca="1" si="626"/>
        <v>0</v>
      </c>
      <c r="AP415" s="162">
        <f t="shared" ca="1" si="627"/>
        <v>0</v>
      </c>
      <c r="AQ415" s="163">
        <f t="shared" ca="1" si="628"/>
        <v>360000</v>
      </c>
      <c r="AR415" s="164">
        <f t="shared" ca="1" si="629"/>
        <v>1910000</v>
      </c>
      <c r="AS415" s="164">
        <f t="shared" ca="1" si="630"/>
        <v>4511300</v>
      </c>
      <c r="AT415" s="164">
        <f t="shared" ca="1" si="631"/>
        <v>0</v>
      </c>
      <c r="AU415" s="164">
        <f t="shared" ca="1" si="632"/>
        <v>0</v>
      </c>
      <c r="AV415" s="164">
        <f t="shared" ca="1" si="633"/>
        <v>0</v>
      </c>
      <c r="AW415" s="164">
        <f t="shared" ca="1" si="634"/>
        <v>0</v>
      </c>
      <c r="AX415" s="164">
        <f t="shared" ca="1" si="635"/>
        <v>0</v>
      </c>
      <c r="AY415" s="164">
        <f t="shared" ca="1" si="636"/>
        <v>0</v>
      </c>
      <c r="AZ415" s="164">
        <f t="shared" ca="1" si="637"/>
        <v>0</v>
      </c>
      <c r="BA415" s="165" t="str">
        <f t="shared" ca="1" si="638"/>
        <v>nie</v>
      </c>
      <c r="BB415" s="166" t="str">
        <f t="shared" ca="1" si="676"/>
        <v>-</v>
      </c>
      <c r="BC415" s="165" t="str">
        <f t="shared" ca="1" si="660"/>
        <v>nie</v>
      </c>
    </row>
    <row r="416" spans="1:55" s="167" customFormat="1" ht="14.45" hidden="1" customHeight="1" x14ac:dyDescent="0.25">
      <c r="A416" s="493"/>
      <c r="B416" s="493"/>
      <c r="C416" s="494"/>
      <c r="D416" s="506"/>
      <c r="E416" s="497"/>
      <c r="F416" s="536"/>
      <c r="G416" s="497"/>
      <c r="H416" s="498"/>
      <c r="I416" s="499"/>
      <c r="J416" s="177" t="s">
        <v>103</v>
      </c>
      <c r="K416" s="178">
        <f>SUM(N416:O416)</f>
        <v>6781300</v>
      </c>
      <c r="L416" s="179"/>
      <c r="M416" s="180"/>
      <c r="N416" s="172">
        <f>SUM(L416:M416)</f>
        <v>0</v>
      </c>
      <c r="O416" s="178">
        <f>SUM(P416:Y416)</f>
        <v>6781300</v>
      </c>
      <c r="P416" s="181">
        <f>360000</f>
        <v>360000</v>
      </c>
      <c r="Q416" s="180">
        <f>1910000</f>
        <v>1910000</v>
      </c>
      <c r="R416" s="182">
        <f>4511300</f>
        <v>4511300</v>
      </c>
      <c r="S416" s="183"/>
      <c r="T416" s="180"/>
      <c r="U416" s="180"/>
      <c r="V416" s="180"/>
      <c r="W416" s="180"/>
      <c r="X416" s="180"/>
      <c r="Y416" s="182"/>
      <c r="Z416" s="149" t="str">
        <f t="shared" ca="1" si="653"/>
        <v>nie</v>
      </c>
      <c r="AA416" s="384"/>
      <c r="AB416" s="150" t="str">
        <f t="shared" ca="1" si="671"/>
        <v>-</v>
      </c>
      <c r="AC416" s="151" t="str">
        <f t="shared" ca="1" si="618"/>
        <v>PO ZMIANIE</v>
      </c>
      <c r="AD416" s="152" t="str">
        <f t="shared" ca="1" si="672"/>
        <v>PO ZMIANIE</v>
      </c>
      <c r="AE416" s="153" t="str">
        <f t="shared" ca="1" si="619"/>
        <v>C/USN/III/P4/40</v>
      </c>
      <c r="AF416" s="154" t="str">
        <f t="shared" ca="1" si="620"/>
        <v>Modernizacja ogólnodostępnych placów zabaw, dostosowanie do potrzeb różnych grup użytkowników</v>
      </c>
      <c r="AG416" s="155">
        <f t="shared" ca="1" si="621"/>
        <v>90095</v>
      </c>
      <c r="AH416" s="155" t="str">
        <f t="shared" ca="1" si="622"/>
        <v>6050</v>
      </c>
      <c r="AI416" s="156" t="str">
        <f t="shared" ca="1" si="623"/>
        <v>GMMW</v>
      </c>
      <c r="AJ416" s="157" t="str">
        <f t="shared" ca="1" si="624"/>
        <v>WPF/PM</v>
      </c>
      <c r="AK416" s="158" t="str">
        <f t="shared" ca="1" si="673"/>
        <v>C/USN/III/P4/40 90095 6050 GMMW</v>
      </c>
      <c r="AL416" s="158" t="str">
        <f t="shared" ca="1" si="674"/>
        <v>C/USN/III/P4/40 90095 6050 WPF/PM</v>
      </c>
      <c r="AM416" s="159" t="str">
        <f t="shared" ca="1" si="675"/>
        <v>C/USN/III/P4/40 90095 6050 GMMW WPF/PM</v>
      </c>
      <c r="AN416" s="160">
        <f t="shared" ca="1" si="625"/>
        <v>6781300</v>
      </c>
      <c r="AO416" s="161">
        <f t="shared" ca="1" si="626"/>
        <v>0</v>
      </c>
      <c r="AP416" s="162">
        <f t="shared" ca="1" si="627"/>
        <v>0</v>
      </c>
      <c r="AQ416" s="163">
        <f t="shared" ca="1" si="628"/>
        <v>360000</v>
      </c>
      <c r="AR416" s="164">
        <f t="shared" ca="1" si="629"/>
        <v>1910000</v>
      </c>
      <c r="AS416" s="164">
        <f t="shared" ca="1" si="630"/>
        <v>4511300</v>
      </c>
      <c r="AT416" s="164">
        <f t="shared" ca="1" si="631"/>
        <v>0</v>
      </c>
      <c r="AU416" s="164">
        <f t="shared" ca="1" si="632"/>
        <v>0</v>
      </c>
      <c r="AV416" s="164">
        <f t="shared" ca="1" si="633"/>
        <v>0</v>
      </c>
      <c r="AW416" s="164">
        <f t="shared" ca="1" si="634"/>
        <v>0</v>
      </c>
      <c r="AX416" s="164">
        <f t="shared" ca="1" si="635"/>
        <v>0</v>
      </c>
      <c r="AY416" s="164">
        <f t="shared" ca="1" si="636"/>
        <v>0</v>
      </c>
      <c r="AZ416" s="164">
        <f t="shared" ca="1" si="637"/>
        <v>0</v>
      </c>
      <c r="BA416" s="165" t="str">
        <f t="shared" ca="1" si="638"/>
        <v>nie</v>
      </c>
      <c r="BB416" s="166" t="str">
        <f t="shared" ca="1" si="676"/>
        <v>-</v>
      </c>
      <c r="BC416" s="165" t="str">
        <f t="shared" ca="1" si="660"/>
        <v>nie</v>
      </c>
    </row>
    <row r="417" spans="1:55" s="167" customFormat="1" ht="14.45" hidden="1" customHeight="1" thickBot="1" x14ac:dyDescent="0.3">
      <c r="A417" s="493"/>
      <c r="B417" s="493"/>
      <c r="C417" s="494"/>
      <c r="D417" s="506"/>
      <c r="E417" s="497"/>
      <c r="F417" s="537"/>
      <c r="G417" s="497"/>
      <c r="H417" s="498"/>
      <c r="I417" s="499"/>
      <c r="J417" s="197" t="s">
        <v>104</v>
      </c>
      <c r="K417" s="198">
        <f>SUM(N417:O417)</f>
        <v>0</v>
      </c>
      <c r="L417" s="199"/>
      <c r="M417" s="200"/>
      <c r="N417" s="371">
        <f>SUM(L417:M417)</f>
        <v>0</v>
      </c>
      <c r="O417" s="198">
        <f>SUM(P417:Y417)</f>
        <v>0</v>
      </c>
      <c r="P417" s="201"/>
      <c r="Q417" s="200"/>
      <c r="R417" s="202"/>
      <c r="S417" s="203"/>
      <c r="T417" s="200"/>
      <c r="U417" s="200"/>
      <c r="V417" s="200"/>
      <c r="W417" s="200"/>
      <c r="X417" s="200"/>
      <c r="Y417" s="202"/>
      <c r="Z417" s="149" t="str">
        <f t="shared" ca="1" si="653"/>
        <v>nie</v>
      </c>
      <c r="AA417" s="384"/>
      <c r="AB417" s="150" t="str">
        <f t="shared" ca="1" si="671"/>
        <v>-</v>
      </c>
      <c r="AC417" s="151" t="str">
        <f t="shared" ca="1" si="618"/>
        <v>PO ZMIANIE</v>
      </c>
      <c r="AD417" s="152" t="str">
        <f t="shared" ca="1" si="672"/>
        <v>PO ZMIANIE</v>
      </c>
      <c r="AE417" s="153" t="str">
        <f t="shared" ca="1" si="619"/>
        <v>C/USN/III/P4/40</v>
      </c>
      <c r="AF417" s="154" t="str">
        <f t="shared" ca="1" si="620"/>
        <v>Modernizacja ogólnodostępnych placów zabaw, dostosowanie do potrzeb różnych grup użytkowników</v>
      </c>
      <c r="AG417" s="155">
        <f t="shared" ca="1" si="621"/>
        <v>90095</v>
      </c>
      <c r="AH417" s="155" t="str">
        <f t="shared" ca="1" si="622"/>
        <v>6050</v>
      </c>
      <c r="AI417" s="156" t="str">
        <f t="shared" ca="1" si="623"/>
        <v>GMMW</v>
      </c>
      <c r="AJ417" s="157" t="str">
        <f t="shared" ca="1" si="624"/>
        <v>WPF/UM</v>
      </c>
      <c r="AK417" s="158" t="str">
        <f t="shared" ca="1" si="673"/>
        <v>C/USN/III/P4/40 90095 6050 GMMW</v>
      </c>
      <c r="AL417" s="158" t="str">
        <f t="shared" ca="1" si="674"/>
        <v>C/USN/III/P4/40 90095 6050 WPF/UM</v>
      </c>
      <c r="AM417" s="159" t="str">
        <f t="shared" ca="1" si="675"/>
        <v>C/USN/III/P4/40 90095 6050 GMMW WPF/UM</v>
      </c>
      <c r="AN417" s="160">
        <f t="shared" ca="1" si="625"/>
        <v>0</v>
      </c>
      <c r="AO417" s="161">
        <f t="shared" ca="1" si="626"/>
        <v>0</v>
      </c>
      <c r="AP417" s="162">
        <f t="shared" ca="1" si="627"/>
        <v>0</v>
      </c>
      <c r="AQ417" s="163">
        <f t="shared" ca="1" si="628"/>
        <v>0</v>
      </c>
      <c r="AR417" s="164">
        <f t="shared" ca="1" si="629"/>
        <v>0</v>
      </c>
      <c r="AS417" s="164">
        <f t="shared" ca="1" si="630"/>
        <v>0</v>
      </c>
      <c r="AT417" s="164">
        <f t="shared" ca="1" si="631"/>
        <v>0</v>
      </c>
      <c r="AU417" s="164">
        <f t="shared" ca="1" si="632"/>
        <v>0</v>
      </c>
      <c r="AV417" s="164">
        <f t="shared" ca="1" si="633"/>
        <v>0</v>
      </c>
      <c r="AW417" s="164">
        <f t="shared" ca="1" si="634"/>
        <v>0</v>
      </c>
      <c r="AX417" s="164">
        <f t="shared" ca="1" si="635"/>
        <v>0</v>
      </c>
      <c r="AY417" s="164">
        <f t="shared" ca="1" si="636"/>
        <v>0</v>
      </c>
      <c r="AZ417" s="164">
        <f t="shared" ca="1" si="637"/>
        <v>0</v>
      </c>
      <c r="BA417" s="165" t="str">
        <f t="shared" ca="1" si="638"/>
        <v>nie</v>
      </c>
      <c r="BB417" s="166" t="str">
        <f t="shared" ca="1" si="676"/>
        <v>-</v>
      </c>
      <c r="BC417" s="165" t="str">
        <f t="shared" ca="1" si="660"/>
        <v>nie</v>
      </c>
    </row>
    <row r="418" spans="1:55" s="167" customFormat="1" ht="14.45" hidden="1" customHeight="1" x14ac:dyDescent="0.25">
      <c r="A418" s="143" t="s">
        <v>91</v>
      </c>
      <c r="B418" s="144"/>
      <c r="C418" s="145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6"/>
      <c r="S418" s="147"/>
      <c r="T418" s="147"/>
      <c r="U418" s="147"/>
      <c r="V418" s="147"/>
      <c r="W418" s="147"/>
      <c r="X418" s="147"/>
      <c r="Y418" s="148"/>
      <c r="Z418" s="149" t="str">
        <f t="shared" ca="1" si="653"/>
        <v>nie</v>
      </c>
      <c r="AA418" s="366"/>
      <c r="AB418" s="150" t="str">
        <f t="shared" ca="1" si="654"/>
        <v>-</v>
      </c>
      <c r="AC418" s="151" t="str">
        <f t="shared" ca="1" si="618"/>
        <v>PRZED ZMIANĄ</v>
      </c>
      <c r="AD418" s="152" t="str">
        <f t="shared" ca="1" si="655"/>
        <v/>
      </c>
      <c r="AE418" s="153" t="str">
        <f t="shared" ca="1" si="619"/>
        <v/>
      </c>
      <c r="AF418" s="154" t="str">
        <f t="shared" ca="1" si="620"/>
        <v/>
      </c>
      <c r="AG418" s="155" t="str">
        <f t="shared" ca="1" si="621"/>
        <v/>
      </c>
      <c r="AH418" s="155" t="str">
        <f t="shared" ca="1" si="622"/>
        <v/>
      </c>
      <c r="AI418" s="156" t="str">
        <f t="shared" ca="1" si="623"/>
        <v/>
      </c>
      <c r="AJ418" s="157" t="str">
        <f t="shared" ca="1" si="624"/>
        <v/>
      </c>
      <c r="AK418" s="158" t="str">
        <f t="shared" ca="1" si="656"/>
        <v/>
      </c>
      <c r="AL418" s="158" t="str">
        <f t="shared" ca="1" si="657"/>
        <v/>
      </c>
      <c r="AM418" s="159" t="str">
        <f t="shared" ca="1" si="658"/>
        <v/>
      </c>
      <c r="AN418" s="160" t="str">
        <f t="shared" ca="1" si="625"/>
        <v/>
      </c>
      <c r="AO418" s="161" t="str">
        <f t="shared" ca="1" si="626"/>
        <v/>
      </c>
      <c r="AP418" s="162" t="str">
        <f t="shared" ca="1" si="627"/>
        <v/>
      </c>
      <c r="AQ418" s="163" t="str">
        <f t="shared" ca="1" si="628"/>
        <v/>
      </c>
      <c r="AR418" s="164" t="str">
        <f t="shared" ca="1" si="629"/>
        <v/>
      </c>
      <c r="AS418" s="164" t="str">
        <f t="shared" ca="1" si="630"/>
        <v/>
      </c>
      <c r="AT418" s="164" t="str">
        <f t="shared" ca="1" si="631"/>
        <v/>
      </c>
      <c r="AU418" s="164" t="str">
        <f t="shared" ca="1" si="632"/>
        <v/>
      </c>
      <c r="AV418" s="164" t="str">
        <f t="shared" ca="1" si="633"/>
        <v/>
      </c>
      <c r="AW418" s="164" t="str">
        <f t="shared" ca="1" si="634"/>
        <v/>
      </c>
      <c r="AX418" s="164" t="str">
        <f t="shared" ca="1" si="635"/>
        <v/>
      </c>
      <c r="AY418" s="164" t="str">
        <f t="shared" ca="1" si="636"/>
        <v/>
      </c>
      <c r="AZ418" s="164" t="str">
        <f t="shared" ca="1" si="637"/>
        <v/>
      </c>
      <c r="BA418" s="165" t="str">
        <f t="shared" ca="1" si="638"/>
        <v>nie</v>
      </c>
      <c r="BB418" s="166" t="str">
        <f t="shared" ca="1" si="659"/>
        <v>-</v>
      </c>
      <c r="BC418" s="165" t="str">
        <f t="shared" ca="1" si="660"/>
        <v>nie</v>
      </c>
    </row>
    <row r="419" spans="1:55" s="176" customFormat="1" ht="14.45" hidden="1" customHeight="1" x14ac:dyDescent="0.25">
      <c r="A419" s="493" t="s">
        <v>24</v>
      </c>
      <c r="B419" s="493" t="s">
        <v>26</v>
      </c>
      <c r="C419" s="494" t="s">
        <v>157</v>
      </c>
      <c r="D419" s="508" t="s">
        <v>158</v>
      </c>
      <c r="E419" s="497">
        <v>700</v>
      </c>
      <c r="F419" s="497">
        <v>75495</v>
      </c>
      <c r="G419" s="497">
        <v>6050</v>
      </c>
      <c r="H419" s="507">
        <v>2023</v>
      </c>
      <c r="I419" s="499" t="str">
        <f ca="1">IF(COUNTIF(OFFSET(I419,-1,-8),"*propon*")&gt;0,OFFSET(I419,4,0),IF(Y419&gt;0,"2033",IF(X419&gt;0,"2032",IF(W419&gt;0,"2031",IF(V419&gt;0,"2030",IF(U419&gt;0,"2029",IF(T419&gt;0,"2028",IF(S419&gt;0,"2027",IF(R419&gt;0,"2026",IF(Q419&gt;0,"2025",IF(P419&gt;0,"2024",IF(M419&gt;0,"2023",IF(L419&gt;0,"2022","")))))))))))))</f>
        <v>2026</v>
      </c>
      <c r="J419" s="168" t="s">
        <v>94</v>
      </c>
      <c r="K419" s="169">
        <f>SUM(N419:O419)</f>
        <v>570000</v>
      </c>
      <c r="L419" s="170">
        <f t="shared" ref="L419:M419" si="687">SUM(L420:L421)</f>
        <v>0</v>
      </c>
      <c r="M419" s="171">
        <f t="shared" si="687"/>
        <v>179115</v>
      </c>
      <c r="N419" s="172">
        <f>SUM(L419:M419)</f>
        <v>179115</v>
      </c>
      <c r="O419" s="169">
        <f>SUM(P419:Y419)</f>
        <v>390885</v>
      </c>
      <c r="P419" s="173">
        <f t="shared" ref="P419:R419" si="688">SUM(P420:P421)</f>
        <v>270885</v>
      </c>
      <c r="Q419" s="171">
        <f t="shared" si="688"/>
        <v>60000</v>
      </c>
      <c r="R419" s="174">
        <f t="shared" si="688"/>
        <v>60000</v>
      </c>
      <c r="S419" s="175">
        <f t="shared" ref="S419:Y419" si="689">SUM(S420:S421)</f>
        <v>0</v>
      </c>
      <c r="T419" s="171">
        <f t="shared" si="689"/>
        <v>0</v>
      </c>
      <c r="U419" s="171">
        <f t="shared" si="689"/>
        <v>0</v>
      </c>
      <c r="V419" s="171">
        <f t="shared" si="689"/>
        <v>0</v>
      </c>
      <c r="W419" s="171">
        <f t="shared" si="689"/>
        <v>0</v>
      </c>
      <c r="X419" s="171">
        <f t="shared" si="689"/>
        <v>0</v>
      </c>
      <c r="Y419" s="174">
        <f t="shared" si="689"/>
        <v>0</v>
      </c>
      <c r="Z419" s="149" t="str">
        <f t="shared" ca="1" si="653"/>
        <v>nie</v>
      </c>
      <c r="AA419" s="366"/>
      <c r="AB419" s="150" t="str">
        <f t="shared" ca="1" si="654"/>
        <v>-</v>
      </c>
      <c r="AC419" s="151" t="str">
        <f t="shared" ca="1" si="618"/>
        <v>PRZED ZMIANĄ</v>
      </c>
      <c r="AD419" s="152" t="str">
        <f t="shared" ca="1" si="655"/>
        <v>PRZED ZMIANĄ</v>
      </c>
      <c r="AE419" s="153" t="str">
        <f t="shared" ca="1" si="619"/>
        <v>C/USN/IV/P3/1</v>
      </c>
      <c r="AF419" s="154" t="str">
        <f t="shared" ca="1" si="620"/>
        <v>Poprawa bezpieczeństwa - zakup systemu monitoringu i montaż kamer na terenach przeznaczonych do rekreacji i zabaw</v>
      </c>
      <c r="AG419" s="155">
        <f t="shared" ca="1" si="621"/>
        <v>75495</v>
      </c>
      <c r="AH419" s="155" t="str">
        <f t="shared" ca="1" si="622"/>
        <v>6050</v>
      </c>
      <c r="AI419" s="156" t="str">
        <f t="shared" ca="1" si="623"/>
        <v>GMMW</v>
      </c>
      <c r="AJ419" s="157" t="str">
        <f t="shared" ca="1" si="624"/>
        <v>WPF, w tym</v>
      </c>
      <c r="AK419" s="158" t="str">
        <f t="shared" ca="1" si="656"/>
        <v>C/USN/IV/P3/1 75495 6050 GMMW</v>
      </c>
      <c r="AL419" s="158" t="str">
        <f t="shared" ca="1" si="657"/>
        <v>C/USN/IV/P3/1 75495 6050 WPF, w tym</v>
      </c>
      <c r="AM419" s="159" t="str">
        <f t="shared" ca="1" si="658"/>
        <v>C/USN/IV/P3/1 75495 6050 GMMW WPF, w tym</v>
      </c>
      <c r="AN419" s="160">
        <f t="shared" ca="1" si="625"/>
        <v>570000</v>
      </c>
      <c r="AO419" s="161">
        <f t="shared" ca="1" si="626"/>
        <v>0</v>
      </c>
      <c r="AP419" s="162">
        <f t="shared" ca="1" si="627"/>
        <v>179115</v>
      </c>
      <c r="AQ419" s="163">
        <f t="shared" ca="1" si="628"/>
        <v>270885</v>
      </c>
      <c r="AR419" s="164">
        <f t="shared" ca="1" si="629"/>
        <v>60000</v>
      </c>
      <c r="AS419" s="164">
        <f t="shared" ca="1" si="630"/>
        <v>60000</v>
      </c>
      <c r="AT419" s="164">
        <f t="shared" ca="1" si="631"/>
        <v>0</v>
      </c>
      <c r="AU419" s="164">
        <f t="shared" ca="1" si="632"/>
        <v>0</v>
      </c>
      <c r="AV419" s="164">
        <f t="shared" ca="1" si="633"/>
        <v>0</v>
      </c>
      <c r="AW419" s="164">
        <f t="shared" ca="1" si="634"/>
        <v>0</v>
      </c>
      <c r="AX419" s="164">
        <f t="shared" ca="1" si="635"/>
        <v>0</v>
      </c>
      <c r="AY419" s="164">
        <f t="shared" ca="1" si="636"/>
        <v>0</v>
      </c>
      <c r="AZ419" s="164">
        <f t="shared" ca="1" si="637"/>
        <v>0</v>
      </c>
      <c r="BA419" s="165" t="str">
        <f t="shared" ca="1" si="638"/>
        <v>nie</v>
      </c>
      <c r="BB419" s="166" t="str">
        <f t="shared" ca="1" si="659"/>
        <v>-</v>
      </c>
      <c r="BC419" s="165" t="str">
        <f t="shared" ca="1" si="660"/>
        <v>nie</v>
      </c>
    </row>
    <row r="420" spans="1:55" s="167" customFormat="1" ht="14.45" hidden="1" customHeight="1" x14ac:dyDescent="0.25">
      <c r="A420" s="493"/>
      <c r="B420" s="493"/>
      <c r="C420" s="494"/>
      <c r="D420" s="509"/>
      <c r="E420" s="497"/>
      <c r="F420" s="497"/>
      <c r="G420" s="497"/>
      <c r="H420" s="498"/>
      <c r="I420" s="499"/>
      <c r="J420" s="177" t="s">
        <v>95</v>
      </c>
      <c r="K420" s="178">
        <f>SUM(N420:O420)</f>
        <v>390885</v>
      </c>
      <c r="L420" s="179"/>
      <c r="M420" s="180"/>
      <c r="N420" s="172">
        <f>SUM(L420:M420)</f>
        <v>0</v>
      </c>
      <c r="O420" s="178">
        <f>SUM(P420:Y420)</f>
        <v>390885</v>
      </c>
      <c r="P420" s="181">
        <v>270885</v>
      </c>
      <c r="Q420" s="180">
        <v>60000</v>
      </c>
      <c r="R420" s="182">
        <v>60000</v>
      </c>
      <c r="S420" s="183"/>
      <c r="T420" s="180"/>
      <c r="U420" s="180"/>
      <c r="V420" s="180"/>
      <c r="W420" s="180"/>
      <c r="X420" s="180"/>
      <c r="Y420" s="182"/>
      <c r="Z420" s="149" t="str">
        <f t="shared" ca="1" si="653"/>
        <v>nie</v>
      </c>
      <c r="AA420" s="366"/>
      <c r="AB420" s="150" t="str">
        <f t="shared" ca="1" si="654"/>
        <v>-</v>
      </c>
      <c r="AC420" s="151" t="str">
        <f t="shared" ca="1" si="618"/>
        <v>PRZED ZMIANĄ</v>
      </c>
      <c r="AD420" s="152" t="str">
        <f t="shared" ca="1" si="655"/>
        <v>PRZED ZMIANĄ</v>
      </c>
      <c r="AE420" s="153" t="str">
        <f t="shared" ca="1" si="619"/>
        <v>C/USN/IV/P3/1</v>
      </c>
      <c r="AF420" s="154" t="str">
        <f t="shared" ca="1" si="620"/>
        <v>Poprawa bezpieczeństwa - zakup systemu monitoringu i montaż kamer na terenach przeznaczonych do rekreacji i zabaw</v>
      </c>
      <c r="AG420" s="155">
        <f t="shared" ca="1" si="621"/>
        <v>75495</v>
      </c>
      <c r="AH420" s="155" t="str">
        <f t="shared" ca="1" si="622"/>
        <v>6050</v>
      </c>
      <c r="AI420" s="156" t="str">
        <f t="shared" ca="1" si="623"/>
        <v>GMMW</v>
      </c>
      <c r="AJ420" s="157" t="str">
        <f t="shared" ca="1" si="624"/>
        <v>WPF/PM</v>
      </c>
      <c r="AK420" s="158" t="str">
        <f t="shared" ca="1" si="656"/>
        <v>C/USN/IV/P3/1 75495 6050 GMMW</v>
      </c>
      <c r="AL420" s="158" t="str">
        <f t="shared" ca="1" si="657"/>
        <v>C/USN/IV/P3/1 75495 6050 WPF/PM</v>
      </c>
      <c r="AM420" s="159" t="str">
        <f t="shared" ca="1" si="658"/>
        <v>C/USN/IV/P3/1 75495 6050 GMMW WPF/PM</v>
      </c>
      <c r="AN420" s="160">
        <f t="shared" ca="1" si="625"/>
        <v>390885</v>
      </c>
      <c r="AO420" s="161">
        <f t="shared" ca="1" si="626"/>
        <v>0</v>
      </c>
      <c r="AP420" s="162">
        <f t="shared" ca="1" si="627"/>
        <v>0</v>
      </c>
      <c r="AQ420" s="163">
        <f t="shared" ca="1" si="628"/>
        <v>270885</v>
      </c>
      <c r="AR420" s="164">
        <f t="shared" ca="1" si="629"/>
        <v>60000</v>
      </c>
      <c r="AS420" s="164">
        <f t="shared" ca="1" si="630"/>
        <v>60000</v>
      </c>
      <c r="AT420" s="164">
        <f t="shared" ca="1" si="631"/>
        <v>0</v>
      </c>
      <c r="AU420" s="164">
        <f t="shared" ca="1" si="632"/>
        <v>0</v>
      </c>
      <c r="AV420" s="164">
        <f t="shared" ca="1" si="633"/>
        <v>0</v>
      </c>
      <c r="AW420" s="164">
        <f t="shared" ca="1" si="634"/>
        <v>0</v>
      </c>
      <c r="AX420" s="164">
        <f t="shared" ca="1" si="635"/>
        <v>0</v>
      </c>
      <c r="AY420" s="164">
        <f t="shared" ca="1" si="636"/>
        <v>0</v>
      </c>
      <c r="AZ420" s="164">
        <f t="shared" ca="1" si="637"/>
        <v>0</v>
      </c>
      <c r="BA420" s="165" t="str">
        <f t="shared" ca="1" si="638"/>
        <v>nie</v>
      </c>
      <c r="BB420" s="166" t="str">
        <f t="shared" ca="1" si="659"/>
        <v>-</v>
      </c>
      <c r="BC420" s="165" t="str">
        <f t="shared" ca="1" si="660"/>
        <v>nie</v>
      </c>
    </row>
    <row r="421" spans="1:55" s="167" customFormat="1" ht="14.45" hidden="1" customHeight="1" x14ac:dyDescent="0.25">
      <c r="A421" s="493"/>
      <c r="B421" s="493"/>
      <c r="C421" s="494"/>
      <c r="D421" s="509"/>
      <c r="E421" s="497"/>
      <c r="F421" s="497"/>
      <c r="G421" s="497"/>
      <c r="H421" s="498"/>
      <c r="I421" s="499"/>
      <c r="J421" s="177" t="s">
        <v>96</v>
      </c>
      <c r="K421" s="178">
        <f>SUM(N421:O421)</f>
        <v>179115</v>
      </c>
      <c r="L421" s="184"/>
      <c r="M421" s="180">
        <v>179115</v>
      </c>
      <c r="N421" s="172">
        <f>SUM(L421:M421)</f>
        <v>179115</v>
      </c>
      <c r="O421" s="178">
        <f>SUM(P421:Y421)</f>
        <v>0</v>
      </c>
      <c r="P421" s="181"/>
      <c r="Q421" s="180"/>
      <c r="R421" s="182"/>
      <c r="S421" s="183"/>
      <c r="T421" s="180"/>
      <c r="U421" s="180"/>
      <c r="V421" s="180"/>
      <c r="W421" s="180"/>
      <c r="X421" s="180"/>
      <c r="Y421" s="182"/>
      <c r="Z421" s="149" t="str">
        <f t="shared" ca="1" si="653"/>
        <v>nie</v>
      </c>
      <c r="AA421" s="366"/>
      <c r="AB421" s="150" t="str">
        <f t="shared" ca="1" si="654"/>
        <v>-</v>
      </c>
      <c r="AC421" s="151" t="str">
        <f t="shared" ca="1" si="618"/>
        <v>PRZED ZMIANĄ</v>
      </c>
      <c r="AD421" s="152" t="str">
        <f t="shared" ca="1" si="655"/>
        <v>PRZED ZMIANĄ</v>
      </c>
      <c r="AE421" s="153" t="str">
        <f t="shared" ca="1" si="619"/>
        <v>C/USN/IV/P3/1</v>
      </c>
      <c r="AF421" s="154" t="str">
        <f t="shared" ca="1" si="620"/>
        <v>Poprawa bezpieczeństwa - zakup systemu monitoringu i montaż kamer na terenach przeznaczonych do rekreacji i zabaw</v>
      </c>
      <c r="AG421" s="155">
        <f t="shared" ca="1" si="621"/>
        <v>75495</v>
      </c>
      <c r="AH421" s="155" t="str">
        <f t="shared" ca="1" si="622"/>
        <v>6050</v>
      </c>
      <c r="AI421" s="156" t="str">
        <f t="shared" ca="1" si="623"/>
        <v>GMMW</v>
      </c>
      <c r="AJ421" s="157" t="str">
        <f t="shared" ca="1" si="624"/>
        <v>WPF/UM</v>
      </c>
      <c r="AK421" s="158" t="str">
        <f t="shared" ca="1" si="656"/>
        <v>C/USN/IV/P3/1 75495 6050 GMMW</v>
      </c>
      <c r="AL421" s="158" t="str">
        <f t="shared" ca="1" si="657"/>
        <v>C/USN/IV/P3/1 75495 6050 WPF/UM</v>
      </c>
      <c r="AM421" s="159" t="str">
        <f t="shared" ca="1" si="658"/>
        <v>C/USN/IV/P3/1 75495 6050 GMMW WPF/UM</v>
      </c>
      <c r="AN421" s="160">
        <f t="shared" ca="1" si="625"/>
        <v>179115</v>
      </c>
      <c r="AO421" s="161">
        <f t="shared" ca="1" si="626"/>
        <v>0</v>
      </c>
      <c r="AP421" s="162">
        <f t="shared" ca="1" si="627"/>
        <v>179115</v>
      </c>
      <c r="AQ421" s="163">
        <f t="shared" ca="1" si="628"/>
        <v>0</v>
      </c>
      <c r="AR421" s="164">
        <f t="shared" ca="1" si="629"/>
        <v>0</v>
      </c>
      <c r="AS421" s="164">
        <f t="shared" ca="1" si="630"/>
        <v>0</v>
      </c>
      <c r="AT421" s="164">
        <f t="shared" ca="1" si="631"/>
        <v>0</v>
      </c>
      <c r="AU421" s="164">
        <f t="shared" ca="1" si="632"/>
        <v>0</v>
      </c>
      <c r="AV421" s="164">
        <f t="shared" ca="1" si="633"/>
        <v>0</v>
      </c>
      <c r="AW421" s="164">
        <f t="shared" ca="1" si="634"/>
        <v>0</v>
      </c>
      <c r="AX421" s="164">
        <f t="shared" ca="1" si="635"/>
        <v>0</v>
      </c>
      <c r="AY421" s="164">
        <f t="shared" ca="1" si="636"/>
        <v>0</v>
      </c>
      <c r="AZ421" s="164">
        <f t="shared" ca="1" si="637"/>
        <v>0</v>
      </c>
      <c r="BA421" s="165" t="str">
        <f t="shared" ca="1" si="638"/>
        <v>nie</v>
      </c>
      <c r="BB421" s="166" t="str">
        <f t="shared" ca="1" si="659"/>
        <v>-</v>
      </c>
      <c r="BC421" s="165" t="str">
        <f t="shared" ca="1" si="660"/>
        <v>nie</v>
      </c>
    </row>
    <row r="422" spans="1:55" s="167" customFormat="1" ht="14.45" hidden="1" customHeight="1" x14ac:dyDescent="0.25">
      <c r="A422" s="185" t="s">
        <v>97</v>
      </c>
      <c r="B422" s="186"/>
      <c r="C422" s="187"/>
      <c r="D422" s="186"/>
      <c r="E422" s="186"/>
      <c r="F422" s="186"/>
      <c r="G422" s="186"/>
      <c r="H422" s="186"/>
      <c r="I422" s="186"/>
      <c r="J422" s="186"/>
      <c r="K422" s="186"/>
      <c r="L422" s="186"/>
      <c r="M422" s="186"/>
      <c r="N422" s="186"/>
      <c r="O422" s="186"/>
      <c r="P422" s="186"/>
      <c r="Q422" s="186"/>
      <c r="R422" s="188"/>
      <c r="S422" s="189"/>
      <c r="T422" s="189"/>
      <c r="U422" s="189"/>
      <c r="V422" s="189"/>
      <c r="W422" s="189"/>
      <c r="X422" s="189"/>
      <c r="Y422" s="190"/>
      <c r="Z422" s="149" t="str">
        <f t="shared" ca="1" si="653"/>
        <v>nie</v>
      </c>
      <c r="AA422" s="366"/>
      <c r="AB422" s="150" t="str">
        <f t="shared" ca="1" si="654"/>
        <v>-</v>
      </c>
      <c r="AC422" s="151" t="str">
        <f t="shared" ca="1" si="618"/>
        <v>PROPONOWANA ZMIANA</v>
      </c>
      <c r="AD422" s="152" t="str">
        <f t="shared" ca="1" si="655"/>
        <v/>
      </c>
      <c r="AE422" s="153" t="str">
        <f t="shared" ca="1" si="619"/>
        <v/>
      </c>
      <c r="AF422" s="154" t="str">
        <f t="shared" ca="1" si="620"/>
        <v/>
      </c>
      <c r="AG422" s="155" t="str">
        <f t="shared" ca="1" si="621"/>
        <v/>
      </c>
      <c r="AH422" s="155" t="str">
        <f t="shared" ca="1" si="622"/>
        <v/>
      </c>
      <c r="AI422" s="156" t="str">
        <f t="shared" ca="1" si="623"/>
        <v/>
      </c>
      <c r="AJ422" s="157" t="str">
        <f t="shared" ca="1" si="624"/>
        <v/>
      </c>
      <c r="AK422" s="158" t="str">
        <f t="shared" ca="1" si="656"/>
        <v/>
      </c>
      <c r="AL422" s="158" t="str">
        <f t="shared" ca="1" si="657"/>
        <v/>
      </c>
      <c r="AM422" s="159" t="str">
        <f t="shared" ca="1" si="658"/>
        <v/>
      </c>
      <c r="AN422" s="160" t="str">
        <f t="shared" ca="1" si="625"/>
        <v/>
      </c>
      <c r="AO422" s="161" t="str">
        <f t="shared" ca="1" si="626"/>
        <v/>
      </c>
      <c r="AP422" s="162" t="str">
        <f t="shared" ca="1" si="627"/>
        <v/>
      </c>
      <c r="AQ422" s="163" t="str">
        <f t="shared" ca="1" si="628"/>
        <v/>
      </c>
      <c r="AR422" s="164" t="str">
        <f t="shared" ca="1" si="629"/>
        <v/>
      </c>
      <c r="AS422" s="164" t="str">
        <f t="shared" ca="1" si="630"/>
        <v/>
      </c>
      <c r="AT422" s="164" t="str">
        <f t="shared" ca="1" si="631"/>
        <v/>
      </c>
      <c r="AU422" s="164" t="str">
        <f t="shared" ca="1" si="632"/>
        <v/>
      </c>
      <c r="AV422" s="164" t="str">
        <f t="shared" ca="1" si="633"/>
        <v/>
      </c>
      <c r="AW422" s="164" t="str">
        <f t="shared" ca="1" si="634"/>
        <v/>
      </c>
      <c r="AX422" s="164" t="str">
        <f t="shared" ca="1" si="635"/>
        <v/>
      </c>
      <c r="AY422" s="164" t="str">
        <f t="shared" ca="1" si="636"/>
        <v/>
      </c>
      <c r="AZ422" s="164" t="str">
        <f t="shared" ca="1" si="637"/>
        <v/>
      </c>
      <c r="BA422" s="165" t="str">
        <f t="shared" ca="1" si="638"/>
        <v>nie</v>
      </c>
      <c r="BB422" s="166" t="str">
        <f t="shared" ca="1" si="659"/>
        <v>-</v>
      </c>
      <c r="BC422" s="165" t="str">
        <f t="shared" ca="1" si="660"/>
        <v>nie</v>
      </c>
    </row>
    <row r="423" spans="1:55" s="176" customFormat="1" ht="14.45" hidden="1" customHeight="1" x14ac:dyDescent="0.25">
      <c r="A423" s="493" t="s">
        <v>24</v>
      </c>
      <c r="B423" s="493" t="s">
        <v>26</v>
      </c>
      <c r="C423" s="494" t="s">
        <v>157</v>
      </c>
      <c r="D423" s="508" t="s">
        <v>158</v>
      </c>
      <c r="E423" s="497">
        <v>700</v>
      </c>
      <c r="F423" s="497">
        <v>75495</v>
      </c>
      <c r="G423" s="497">
        <v>6050</v>
      </c>
      <c r="H423" s="507">
        <v>2023</v>
      </c>
      <c r="I423" s="499" t="str">
        <f ca="1">IF(COUNTIF(OFFSET(I423,-1,-8),"*propon*")&gt;0,OFFSET(I423,4,0),IF(Y423&gt;0,"2033",IF(X423&gt;0,"2032",IF(W423&gt;0,"2031",IF(V423&gt;0,"2030",IF(U423&gt;0,"2029",IF(T423&gt;0,"2028",IF(S423&gt;0,"2027",IF(R423&gt;0,"2026",IF(Q423&gt;0,"2025",IF(P423&gt;0,"2024",IF(M423&gt;0,"2023",IF(L423&gt;0,"2022","")))))))))))))</f>
        <v>2026</v>
      </c>
      <c r="J423" s="168" t="s">
        <v>98</v>
      </c>
      <c r="K423" s="169">
        <f>SUM(N423:O423)</f>
        <v>0</v>
      </c>
      <c r="L423" s="170">
        <f t="shared" ref="L423:M423" si="690">SUM(L424:L425)</f>
        <v>0</v>
      </c>
      <c r="M423" s="171">
        <f t="shared" si="690"/>
        <v>0</v>
      </c>
      <c r="N423" s="172">
        <f>SUM(L423:M423)</f>
        <v>0</v>
      </c>
      <c r="O423" s="169">
        <f>SUM(P423:Y423)</f>
        <v>0</v>
      </c>
      <c r="P423" s="173">
        <f t="shared" ref="P423:R423" si="691">SUM(P424:P425)</f>
        <v>0</v>
      </c>
      <c r="Q423" s="171">
        <f t="shared" si="691"/>
        <v>0</v>
      </c>
      <c r="R423" s="174">
        <f t="shared" si="691"/>
        <v>0</v>
      </c>
      <c r="S423" s="175">
        <f t="shared" ref="S423:Y423" si="692">SUM(S424:S425)</f>
        <v>0</v>
      </c>
      <c r="T423" s="171">
        <f t="shared" si="692"/>
        <v>0</v>
      </c>
      <c r="U423" s="171">
        <f t="shared" si="692"/>
        <v>0</v>
      </c>
      <c r="V423" s="171">
        <f t="shared" si="692"/>
        <v>0</v>
      </c>
      <c r="W423" s="171">
        <f t="shared" si="692"/>
        <v>0</v>
      </c>
      <c r="X423" s="171">
        <f t="shared" si="692"/>
        <v>0</v>
      </c>
      <c r="Y423" s="174">
        <f t="shared" si="692"/>
        <v>0</v>
      </c>
      <c r="Z423" s="149" t="str">
        <f t="shared" ca="1" si="653"/>
        <v>nie</v>
      </c>
      <c r="AA423" s="366"/>
      <c r="AB423" s="150" t="str">
        <f t="shared" ca="1" si="654"/>
        <v>-</v>
      </c>
      <c r="AC423" s="151" t="str">
        <f t="shared" ca="1" si="618"/>
        <v>PROPONOWANA ZMIANA</v>
      </c>
      <c r="AD423" s="152" t="str">
        <f t="shared" ca="1" si="655"/>
        <v>PROPONOWANA ZMIANA</v>
      </c>
      <c r="AE423" s="153" t="str">
        <f t="shared" ca="1" si="619"/>
        <v>C/USN/IV/P3/1</v>
      </c>
      <c r="AF423" s="154" t="str">
        <f t="shared" ca="1" si="620"/>
        <v>Poprawa bezpieczeństwa - zakup systemu monitoringu i montaż kamer na terenach przeznaczonych do rekreacji i zabaw</v>
      </c>
      <c r="AG423" s="155">
        <f t="shared" ca="1" si="621"/>
        <v>75495</v>
      </c>
      <c r="AH423" s="155" t="str">
        <f t="shared" ca="1" si="622"/>
        <v>6050</v>
      </c>
      <c r="AI423" s="156" t="str">
        <f t="shared" ca="1" si="623"/>
        <v>GMMW</v>
      </c>
      <c r="AJ423" s="157" t="str">
        <f t="shared" ca="1" si="624"/>
        <v>WPF, w tym</v>
      </c>
      <c r="AK423" s="158" t="str">
        <f t="shared" ca="1" si="656"/>
        <v>C/USN/IV/P3/1 75495 6050 GMMW</v>
      </c>
      <c r="AL423" s="158" t="str">
        <f t="shared" ca="1" si="657"/>
        <v>C/USN/IV/P3/1 75495 6050 WPF, w tym</v>
      </c>
      <c r="AM423" s="159" t="str">
        <f t="shared" ca="1" si="658"/>
        <v>C/USN/IV/P3/1 75495 6050 GMMW WPF, w tym</v>
      </c>
      <c r="AN423" s="160">
        <f t="shared" ca="1" si="625"/>
        <v>0</v>
      </c>
      <c r="AO423" s="161">
        <f t="shared" ca="1" si="626"/>
        <v>0</v>
      </c>
      <c r="AP423" s="162">
        <f t="shared" ca="1" si="627"/>
        <v>0</v>
      </c>
      <c r="AQ423" s="163">
        <f t="shared" ca="1" si="628"/>
        <v>0</v>
      </c>
      <c r="AR423" s="164">
        <f t="shared" ca="1" si="629"/>
        <v>0</v>
      </c>
      <c r="AS423" s="164">
        <f t="shared" ca="1" si="630"/>
        <v>0</v>
      </c>
      <c r="AT423" s="164">
        <f t="shared" ca="1" si="631"/>
        <v>0</v>
      </c>
      <c r="AU423" s="164">
        <f t="shared" ca="1" si="632"/>
        <v>0</v>
      </c>
      <c r="AV423" s="164">
        <f t="shared" ca="1" si="633"/>
        <v>0</v>
      </c>
      <c r="AW423" s="164">
        <f t="shared" ca="1" si="634"/>
        <v>0</v>
      </c>
      <c r="AX423" s="164">
        <f t="shared" ca="1" si="635"/>
        <v>0</v>
      </c>
      <c r="AY423" s="164">
        <f t="shared" ca="1" si="636"/>
        <v>0</v>
      </c>
      <c r="AZ423" s="164">
        <f t="shared" ca="1" si="637"/>
        <v>0</v>
      </c>
      <c r="BA423" s="165" t="str">
        <f t="shared" ca="1" si="638"/>
        <v>nie</v>
      </c>
      <c r="BB423" s="166" t="str">
        <f t="shared" ca="1" si="659"/>
        <v>-</v>
      </c>
      <c r="BC423" s="165" t="str">
        <f t="shared" ca="1" si="660"/>
        <v>nie</v>
      </c>
    </row>
    <row r="424" spans="1:55" s="167" customFormat="1" ht="14.45" hidden="1" customHeight="1" x14ac:dyDescent="0.25">
      <c r="A424" s="493"/>
      <c r="B424" s="493"/>
      <c r="C424" s="494"/>
      <c r="D424" s="509"/>
      <c r="E424" s="497"/>
      <c r="F424" s="497"/>
      <c r="G424" s="497"/>
      <c r="H424" s="498"/>
      <c r="I424" s="499"/>
      <c r="J424" s="177" t="s">
        <v>99</v>
      </c>
      <c r="K424" s="178">
        <f>SUM(N424:O424)</f>
        <v>0</v>
      </c>
      <c r="L424" s="179">
        <f t="shared" ref="L424:M424" si="693">L428-L420</f>
        <v>0</v>
      </c>
      <c r="M424" s="180">
        <f t="shared" si="693"/>
        <v>0</v>
      </c>
      <c r="N424" s="172">
        <f>SUM(L424:M424)</f>
        <v>0</v>
      </c>
      <c r="O424" s="178">
        <f>SUM(P424:Y424)</f>
        <v>0</v>
      </c>
      <c r="P424" s="181">
        <f t="shared" ref="P424:R424" si="694">P428-P420</f>
        <v>0</v>
      </c>
      <c r="Q424" s="180">
        <f t="shared" si="694"/>
        <v>0</v>
      </c>
      <c r="R424" s="182">
        <f t="shared" si="694"/>
        <v>0</v>
      </c>
      <c r="S424" s="183">
        <f t="shared" ref="S424:Y425" si="695">S428-S420</f>
        <v>0</v>
      </c>
      <c r="T424" s="180">
        <f t="shared" si="695"/>
        <v>0</v>
      </c>
      <c r="U424" s="180">
        <f t="shared" si="695"/>
        <v>0</v>
      </c>
      <c r="V424" s="180">
        <f t="shared" si="695"/>
        <v>0</v>
      </c>
      <c r="W424" s="180">
        <f t="shared" si="695"/>
        <v>0</v>
      </c>
      <c r="X424" s="180">
        <f t="shared" si="695"/>
        <v>0</v>
      </c>
      <c r="Y424" s="182">
        <f t="shared" si="695"/>
        <v>0</v>
      </c>
      <c r="Z424" s="149" t="str">
        <f t="shared" ca="1" si="653"/>
        <v>nie</v>
      </c>
      <c r="AA424" s="366"/>
      <c r="AB424" s="150" t="str">
        <f t="shared" ca="1" si="654"/>
        <v>-</v>
      </c>
      <c r="AC424" s="151" t="str">
        <f t="shared" ca="1" si="618"/>
        <v>PROPONOWANA ZMIANA</v>
      </c>
      <c r="AD424" s="152" t="str">
        <f t="shared" ca="1" si="655"/>
        <v>PROPONOWANA ZMIANA</v>
      </c>
      <c r="AE424" s="153" t="str">
        <f t="shared" ca="1" si="619"/>
        <v>C/USN/IV/P3/1</v>
      </c>
      <c r="AF424" s="154" t="str">
        <f t="shared" ca="1" si="620"/>
        <v>Poprawa bezpieczeństwa - zakup systemu monitoringu i montaż kamer na terenach przeznaczonych do rekreacji i zabaw</v>
      </c>
      <c r="AG424" s="155">
        <f t="shared" ca="1" si="621"/>
        <v>75495</v>
      </c>
      <c r="AH424" s="155" t="str">
        <f t="shared" ca="1" si="622"/>
        <v>6050</v>
      </c>
      <c r="AI424" s="156" t="str">
        <f t="shared" ca="1" si="623"/>
        <v>GMMW</v>
      </c>
      <c r="AJ424" s="157" t="str">
        <f t="shared" ca="1" si="624"/>
        <v>WPF/PM</v>
      </c>
      <c r="AK424" s="158" t="str">
        <f t="shared" ca="1" si="656"/>
        <v>C/USN/IV/P3/1 75495 6050 GMMW</v>
      </c>
      <c r="AL424" s="158" t="str">
        <f t="shared" ca="1" si="657"/>
        <v>C/USN/IV/P3/1 75495 6050 WPF/PM</v>
      </c>
      <c r="AM424" s="159" t="str">
        <f t="shared" ca="1" si="658"/>
        <v>C/USN/IV/P3/1 75495 6050 GMMW WPF/PM</v>
      </c>
      <c r="AN424" s="160">
        <f t="shared" ca="1" si="625"/>
        <v>0</v>
      </c>
      <c r="AO424" s="161">
        <f t="shared" ca="1" si="626"/>
        <v>0</v>
      </c>
      <c r="AP424" s="162">
        <f t="shared" ca="1" si="627"/>
        <v>0</v>
      </c>
      <c r="AQ424" s="163">
        <f t="shared" ca="1" si="628"/>
        <v>0</v>
      </c>
      <c r="AR424" s="164">
        <f t="shared" ca="1" si="629"/>
        <v>0</v>
      </c>
      <c r="AS424" s="164">
        <f t="shared" ca="1" si="630"/>
        <v>0</v>
      </c>
      <c r="AT424" s="164">
        <f t="shared" ca="1" si="631"/>
        <v>0</v>
      </c>
      <c r="AU424" s="164">
        <f t="shared" ca="1" si="632"/>
        <v>0</v>
      </c>
      <c r="AV424" s="164">
        <f t="shared" ca="1" si="633"/>
        <v>0</v>
      </c>
      <c r="AW424" s="164">
        <f t="shared" ca="1" si="634"/>
        <v>0</v>
      </c>
      <c r="AX424" s="164">
        <f t="shared" ca="1" si="635"/>
        <v>0</v>
      </c>
      <c r="AY424" s="164">
        <f t="shared" ca="1" si="636"/>
        <v>0</v>
      </c>
      <c r="AZ424" s="164">
        <f t="shared" ca="1" si="637"/>
        <v>0</v>
      </c>
      <c r="BA424" s="165" t="str">
        <f t="shared" ca="1" si="638"/>
        <v>nie</v>
      </c>
      <c r="BB424" s="166" t="str">
        <f t="shared" ca="1" si="659"/>
        <v>-</v>
      </c>
      <c r="BC424" s="165" t="str">
        <f t="shared" ca="1" si="660"/>
        <v>nie</v>
      </c>
    </row>
    <row r="425" spans="1:55" s="167" customFormat="1" ht="14.45" hidden="1" customHeight="1" x14ac:dyDescent="0.25">
      <c r="A425" s="493"/>
      <c r="B425" s="493"/>
      <c r="C425" s="494"/>
      <c r="D425" s="509"/>
      <c r="E425" s="497"/>
      <c r="F425" s="497"/>
      <c r="G425" s="497"/>
      <c r="H425" s="498"/>
      <c r="I425" s="499"/>
      <c r="J425" s="177" t="s">
        <v>100</v>
      </c>
      <c r="K425" s="178">
        <f>SUM(N425:O425)</f>
        <v>0</v>
      </c>
      <c r="L425" s="179">
        <f t="shared" ref="L425:M425" si="696">L429-L421</f>
        <v>0</v>
      </c>
      <c r="M425" s="180">
        <f t="shared" si="696"/>
        <v>0</v>
      </c>
      <c r="N425" s="172">
        <f>SUM(L425:M425)</f>
        <v>0</v>
      </c>
      <c r="O425" s="178">
        <f>SUM(P425:Y425)</f>
        <v>0</v>
      </c>
      <c r="P425" s="181">
        <f t="shared" ref="P425:R425" si="697">P429-P421</f>
        <v>0</v>
      </c>
      <c r="Q425" s="180">
        <f t="shared" si="697"/>
        <v>0</v>
      </c>
      <c r="R425" s="182">
        <f t="shared" si="697"/>
        <v>0</v>
      </c>
      <c r="S425" s="183">
        <f t="shared" si="695"/>
        <v>0</v>
      </c>
      <c r="T425" s="180">
        <f t="shared" si="695"/>
        <v>0</v>
      </c>
      <c r="U425" s="180">
        <f t="shared" si="695"/>
        <v>0</v>
      </c>
      <c r="V425" s="180">
        <f t="shared" si="695"/>
        <v>0</v>
      </c>
      <c r="W425" s="180">
        <f t="shared" si="695"/>
        <v>0</v>
      </c>
      <c r="X425" s="180">
        <f t="shared" si="695"/>
        <v>0</v>
      </c>
      <c r="Y425" s="182">
        <f t="shared" si="695"/>
        <v>0</v>
      </c>
      <c r="Z425" s="149" t="str">
        <f t="shared" ca="1" si="653"/>
        <v>nie</v>
      </c>
      <c r="AA425" s="366"/>
      <c r="AB425" s="150" t="str">
        <f t="shared" ca="1" si="654"/>
        <v>-</v>
      </c>
      <c r="AC425" s="151" t="str">
        <f t="shared" ca="1" si="618"/>
        <v>PROPONOWANA ZMIANA</v>
      </c>
      <c r="AD425" s="152" t="str">
        <f t="shared" ca="1" si="655"/>
        <v>PROPONOWANA ZMIANA</v>
      </c>
      <c r="AE425" s="153" t="str">
        <f t="shared" ca="1" si="619"/>
        <v>C/USN/IV/P3/1</v>
      </c>
      <c r="AF425" s="154" t="str">
        <f t="shared" ca="1" si="620"/>
        <v>Poprawa bezpieczeństwa - zakup systemu monitoringu i montaż kamer na terenach przeznaczonych do rekreacji i zabaw</v>
      </c>
      <c r="AG425" s="155">
        <f t="shared" ca="1" si="621"/>
        <v>75495</v>
      </c>
      <c r="AH425" s="155" t="str">
        <f t="shared" ca="1" si="622"/>
        <v>6050</v>
      </c>
      <c r="AI425" s="156" t="str">
        <f t="shared" ca="1" si="623"/>
        <v>GMMW</v>
      </c>
      <c r="AJ425" s="157" t="str">
        <f t="shared" ca="1" si="624"/>
        <v>WPF/UM</v>
      </c>
      <c r="AK425" s="158" t="str">
        <f t="shared" ca="1" si="656"/>
        <v>C/USN/IV/P3/1 75495 6050 GMMW</v>
      </c>
      <c r="AL425" s="158" t="str">
        <f t="shared" ca="1" si="657"/>
        <v>C/USN/IV/P3/1 75495 6050 WPF/UM</v>
      </c>
      <c r="AM425" s="159" t="str">
        <f t="shared" ca="1" si="658"/>
        <v>C/USN/IV/P3/1 75495 6050 GMMW WPF/UM</v>
      </c>
      <c r="AN425" s="160">
        <f t="shared" ca="1" si="625"/>
        <v>0</v>
      </c>
      <c r="AO425" s="161">
        <f t="shared" ca="1" si="626"/>
        <v>0</v>
      </c>
      <c r="AP425" s="162">
        <f t="shared" ca="1" si="627"/>
        <v>0</v>
      </c>
      <c r="AQ425" s="163">
        <f t="shared" ca="1" si="628"/>
        <v>0</v>
      </c>
      <c r="AR425" s="164">
        <f t="shared" ca="1" si="629"/>
        <v>0</v>
      </c>
      <c r="AS425" s="164">
        <f t="shared" ca="1" si="630"/>
        <v>0</v>
      </c>
      <c r="AT425" s="164">
        <f t="shared" ca="1" si="631"/>
        <v>0</v>
      </c>
      <c r="AU425" s="164">
        <f t="shared" ca="1" si="632"/>
        <v>0</v>
      </c>
      <c r="AV425" s="164">
        <f t="shared" ca="1" si="633"/>
        <v>0</v>
      </c>
      <c r="AW425" s="164">
        <f t="shared" ca="1" si="634"/>
        <v>0</v>
      </c>
      <c r="AX425" s="164">
        <f t="shared" ca="1" si="635"/>
        <v>0</v>
      </c>
      <c r="AY425" s="164">
        <f t="shared" ca="1" si="636"/>
        <v>0</v>
      </c>
      <c r="AZ425" s="164">
        <f t="shared" ca="1" si="637"/>
        <v>0</v>
      </c>
      <c r="BA425" s="165" t="str">
        <f t="shared" ca="1" si="638"/>
        <v>nie</v>
      </c>
      <c r="BB425" s="166" t="str">
        <f t="shared" ca="1" si="659"/>
        <v>-</v>
      </c>
      <c r="BC425" s="165" t="str">
        <f t="shared" ca="1" si="660"/>
        <v>nie</v>
      </c>
    </row>
    <row r="426" spans="1:55" s="167" customFormat="1" ht="14.45" hidden="1" customHeight="1" x14ac:dyDescent="0.25">
      <c r="A426" s="191" t="s">
        <v>101</v>
      </c>
      <c r="B426" s="192"/>
      <c r="C426" s="193"/>
      <c r="D426" s="192"/>
      <c r="E426" s="192"/>
      <c r="F426" s="192"/>
      <c r="G426" s="192"/>
      <c r="H426" s="192"/>
      <c r="I426" s="192"/>
      <c r="J426" s="192"/>
      <c r="K426" s="192"/>
      <c r="L426" s="192"/>
      <c r="M426" s="192"/>
      <c r="N426" s="192"/>
      <c r="O426" s="192"/>
      <c r="P426" s="192"/>
      <c r="Q426" s="192"/>
      <c r="R426" s="194"/>
      <c r="S426" s="195"/>
      <c r="T426" s="195"/>
      <c r="U426" s="195"/>
      <c r="V426" s="195"/>
      <c r="W426" s="195"/>
      <c r="X426" s="195"/>
      <c r="Y426" s="196"/>
      <c r="Z426" s="149" t="str">
        <f t="shared" ca="1" si="653"/>
        <v>nie</v>
      </c>
      <c r="AA426" s="366"/>
      <c r="AB426" s="150" t="str">
        <f t="shared" ca="1" si="654"/>
        <v>-</v>
      </c>
      <c r="AC426" s="151" t="str">
        <f t="shared" ca="1" si="618"/>
        <v>PO ZMIANIE</v>
      </c>
      <c r="AD426" s="152" t="str">
        <f t="shared" ca="1" si="655"/>
        <v/>
      </c>
      <c r="AE426" s="153" t="str">
        <f t="shared" ca="1" si="619"/>
        <v/>
      </c>
      <c r="AF426" s="154" t="str">
        <f t="shared" ca="1" si="620"/>
        <v/>
      </c>
      <c r="AG426" s="155" t="str">
        <f t="shared" ca="1" si="621"/>
        <v/>
      </c>
      <c r="AH426" s="155" t="str">
        <f t="shared" ca="1" si="622"/>
        <v/>
      </c>
      <c r="AI426" s="156" t="str">
        <f t="shared" ca="1" si="623"/>
        <v/>
      </c>
      <c r="AJ426" s="157" t="str">
        <f t="shared" ca="1" si="624"/>
        <v/>
      </c>
      <c r="AK426" s="158" t="str">
        <f t="shared" ca="1" si="656"/>
        <v/>
      </c>
      <c r="AL426" s="158" t="str">
        <f t="shared" ca="1" si="657"/>
        <v/>
      </c>
      <c r="AM426" s="159" t="str">
        <f t="shared" ca="1" si="658"/>
        <v/>
      </c>
      <c r="AN426" s="160" t="str">
        <f t="shared" ca="1" si="625"/>
        <v/>
      </c>
      <c r="AO426" s="161" t="str">
        <f t="shared" ca="1" si="626"/>
        <v/>
      </c>
      <c r="AP426" s="162" t="str">
        <f t="shared" ca="1" si="627"/>
        <v/>
      </c>
      <c r="AQ426" s="163" t="str">
        <f t="shared" ca="1" si="628"/>
        <v/>
      </c>
      <c r="AR426" s="164" t="str">
        <f t="shared" ca="1" si="629"/>
        <v/>
      </c>
      <c r="AS426" s="164" t="str">
        <f t="shared" ca="1" si="630"/>
        <v/>
      </c>
      <c r="AT426" s="164" t="str">
        <f t="shared" ca="1" si="631"/>
        <v/>
      </c>
      <c r="AU426" s="164" t="str">
        <f t="shared" ca="1" si="632"/>
        <v/>
      </c>
      <c r="AV426" s="164" t="str">
        <f t="shared" ca="1" si="633"/>
        <v/>
      </c>
      <c r="AW426" s="164" t="str">
        <f t="shared" ca="1" si="634"/>
        <v/>
      </c>
      <c r="AX426" s="164" t="str">
        <f t="shared" ca="1" si="635"/>
        <v/>
      </c>
      <c r="AY426" s="164" t="str">
        <f t="shared" ca="1" si="636"/>
        <v/>
      </c>
      <c r="AZ426" s="164" t="str">
        <f t="shared" ca="1" si="637"/>
        <v/>
      </c>
      <c r="BA426" s="165" t="str">
        <f t="shared" ca="1" si="638"/>
        <v>nie</v>
      </c>
      <c r="BB426" s="166" t="str">
        <f t="shared" ca="1" si="659"/>
        <v>-</v>
      </c>
      <c r="BC426" s="165" t="str">
        <f t="shared" ca="1" si="660"/>
        <v>nie</v>
      </c>
    </row>
    <row r="427" spans="1:55" s="176" customFormat="1" ht="14.45" hidden="1" customHeight="1" x14ac:dyDescent="0.25">
      <c r="A427" s="493" t="s">
        <v>24</v>
      </c>
      <c r="B427" s="493" t="s">
        <v>26</v>
      </c>
      <c r="C427" s="494" t="s">
        <v>157</v>
      </c>
      <c r="D427" s="508" t="s">
        <v>158</v>
      </c>
      <c r="E427" s="497">
        <v>700</v>
      </c>
      <c r="F427" s="497">
        <v>75495</v>
      </c>
      <c r="G427" s="497">
        <v>6050</v>
      </c>
      <c r="H427" s="507">
        <v>2023</v>
      </c>
      <c r="I427" s="499" t="str">
        <f ca="1">IF(COUNTIF(OFFSET(I427,-1,-8),"*propon*")&gt;0,OFFSET(I427,4,0),IF(Y427&gt;0,"2033",IF(X427&gt;0,"2032",IF(W427&gt;0,"2031",IF(V427&gt;0,"2030",IF(U427&gt;0,"2029",IF(T427&gt;0,"2028",IF(S427&gt;0,"2027",IF(R427&gt;0,"2026",IF(Q427&gt;0,"2025",IF(P427&gt;0,"2024",IF(M427&gt;0,"2023",IF(L427&gt;0,"2022","")))))))))))))</f>
        <v>2026</v>
      </c>
      <c r="J427" s="168" t="s">
        <v>102</v>
      </c>
      <c r="K427" s="169">
        <f>SUM(N427:O427)</f>
        <v>570000</v>
      </c>
      <c r="L427" s="170">
        <f t="shared" ref="L427:M427" si="698">SUM(L428:L429)</f>
        <v>0</v>
      </c>
      <c r="M427" s="171">
        <f t="shared" si="698"/>
        <v>179115</v>
      </c>
      <c r="N427" s="172">
        <f>SUM(L427:M427)</f>
        <v>179115</v>
      </c>
      <c r="O427" s="169">
        <f>SUM(P427:Y427)</f>
        <v>390885</v>
      </c>
      <c r="P427" s="173">
        <f t="shared" ref="P427:R427" si="699">SUM(P428:P429)</f>
        <v>270885</v>
      </c>
      <c r="Q427" s="171">
        <f t="shared" si="699"/>
        <v>60000</v>
      </c>
      <c r="R427" s="174">
        <f t="shared" si="699"/>
        <v>60000</v>
      </c>
      <c r="S427" s="175">
        <f t="shared" ref="S427:Y427" si="700">SUM(S428:S429)</f>
        <v>0</v>
      </c>
      <c r="T427" s="171">
        <f t="shared" si="700"/>
        <v>0</v>
      </c>
      <c r="U427" s="171">
        <f t="shared" si="700"/>
        <v>0</v>
      </c>
      <c r="V427" s="171">
        <f t="shared" si="700"/>
        <v>0</v>
      </c>
      <c r="W427" s="171">
        <f t="shared" si="700"/>
        <v>0</v>
      </c>
      <c r="X427" s="171">
        <f t="shared" si="700"/>
        <v>0</v>
      </c>
      <c r="Y427" s="174">
        <f t="shared" si="700"/>
        <v>0</v>
      </c>
      <c r="Z427" s="149" t="str">
        <f t="shared" ca="1" si="653"/>
        <v>nie</v>
      </c>
      <c r="AA427" s="366"/>
      <c r="AB427" s="150" t="str">
        <f t="shared" ca="1" si="654"/>
        <v>-</v>
      </c>
      <c r="AC427" s="151" t="str">
        <f t="shared" ca="1" si="618"/>
        <v>PO ZMIANIE</v>
      </c>
      <c r="AD427" s="152" t="str">
        <f t="shared" ca="1" si="655"/>
        <v>PO ZMIANIE</v>
      </c>
      <c r="AE427" s="153" t="str">
        <f t="shared" ca="1" si="619"/>
        <v>C/USN/IV/P3/1</v>
      </c>
      <c r="AF427" s="154" t="str">
        <f t="shared" ca="1" si="620"/>
        <v>Poprawa bezpieczeństwa - zakup systemu monitoringu i montaż kamer na terenach przeznaczonych do rekreacji i zabaw</v>
      </c>
      <c r="AG427" s="155">
        <f t="shared" ca="1" si="621"/>
        <v>75495</v>
      </c>
      <c r="AH427" s="155" t="str">
        <f t="shared" ca="1" si="622"/>
        <v>6050</v>
      </c>
      <c r="AI427" s="156" t="str">
        <f t="shared" ca="1" si="623"/>
        <v>GMMW</v>
      </c>
      <c r="AJ427" s="157" t="str">
        <f t="shared" ca="1" si="624"/>
        <v>WPF, w tym</v>
      </c>
      <c r="AK427" s="158" t="str">
        <f t="shared" ca="1" si="656"/>
        <v>C/USN/IV/P3/1 75495 6050 GMMW</v>
      </c>
      <c r="AL427" s="158" t="str">
        <f t="shared" ca="1" si="657"/>
        <v>C/USN/IV/P3/1 75495 6050 WPF, w tym</v>
      </c>
      <c r="AM427" s="159" t="str">
        <f t="shared" ca="1" si="658"/>
        <v>C/USN/IV/P3/1 75495 6050 GMMW WPF, w tym</v>
      </c>
      <c r="AN427" s="160">
        <f t="shared" ca="1" si="625"/>
        <v>570000</v>
      </c>
      <c r="AO427" s="161">
        <f t="shared" ca="1" si="626"/>
        <v>0</v>
      </c>
      <c r="AP427" s="162">
        <f t="shared" ca="1" si="627"/>
        <v>179115</v>
      </c>
      <c r="AQ427" s="163">
        <f t="shared" ca="1" si="628"/>
        <v>270885</v>
      </c>
      <c r="AR427" s="164">
        <f t="shared" ca="1" si="629"/>
        <v>60000</v>
      </c>
      <c r="AS427" s="164">
        <f t="shared" ca="1" si="630"/>
        <v>60000</v>
      </c>
      <c r="AT427" s="164">
        <f t="shared" ca="1" si="631"/>
        <v>0</v>
      </c>
      <c r="AU427" s="164">
        <f t="shared" ca="1" si="632"/>
        <v>0</v>
      </c>
      <c r="AV427" s="164">
        <f t="shared" ca="1" si="633"/>
        <v>0</v>
      </c>
      <c r="AW427" s="164">
        <f t="shared" ca="1" si="634"/>
        <v>0</v>
      </c>
      <c r="AX427" s="164">
        <f t="shared" ca="1" si="635"/>
        <v>0</v>
      </c>
      <c r="AY427" s="164">
        <f t="shared" ca="1" si="636"/>
        <v>0</v>
      </c>
      <c r="AZ427" s="164">
        <f t="shared" ca="1" si="637"/>
        <v>0</v>
      </c>
      <c r="BA427" s="165" t="str">
        <f t="shared" ca="1" si="638"/>
        <v>nie</v>
      </c>
      <c r="BB427" s="166" t="str">
        <f t="shared" ca="1" si="659"/>
        <v>-</v>
      </c>
      <c r="BC427" s="165" t="str">
        <f t="shared" ca="1" si="660"/>
        <v>nie</v>
      </c>
    </row>
    <row r="428" spans="1:55" s="167" customFormat="1" ht="14.45" hidden="1" customHeight="1" x14ac:dyDescent="0.25">
      <c r="A428" s="493"/>
      <c r="B428" s="493"/>
      <c r="C428" s="494"/>
      <c r="D428" s="509"/>
      <c r="E428" s="497"/>
      <c r="F428" s="497"/>
      <c r="G428" s="497"/>
      <c r="H428" s="498"/>
      <c r="I428" s="499"/>
      <c r="J428" s="177" t="s">
        <v>103</v>
      </c>
      <c r="K428" s="178">
        <f>SUM(N428:O428)</f>
        <v>390885</v>
      </c>
      <c r="L428" s="179"/>
      <c r="M428" s="180"/>
      <c r="N428" s="172">
        <f>SUM(L428:M428)</f>
        <v>0</v>
      </c>
      <c r="O428" s="178">
        <f>SUM(P428:Y428)</f>
        <v>390885</v>
      </c>
      <c r="P428" s="181">
        <f>120000+150885</f>
        <v>270885</v>
      </c>
      <c r="Q428" s="180">
        <f>60000</f>
        <v>60000</v>
      </c>
      <c r="R428" s="182">
        <f>60000</f>
        <v>60000</v>
      </c>
      <c r="S428" s="183"/>
      <c r="T428" s="180"/>
      <c r="U428" s="180"/>
      <c r="V428" s="180"/>
      <c r="W428" s="180"/>
      <c r="X428" s="180"/>
      <c r="Y428" s="182"/>
      <c r="Z428" s="149" t="str">
        <f t="shared" ca="1" si="653"/>
        <v>nie</v>
      </c>
      <c r="AA428" s="384"/>
      <c r="AB428" s="150" t="str">
        <f t="shared" ca="1" si="654"/>
        <v>-</v>
      </c>
      <c r="AC428" s="151" t="str">
        <f t="shared" ca="1" si="618"/>
        <v>PO ZMIANIE</v>
      </c>
      <c r="AD428" s="152" t="str">
        <f t="shared" ca="1" si="655"/>
        <v>PO ZMIANIE</v>
      </c>
      <c r="AE428" s="153" t="str">
        <f t="shared" ca="1" si="619"/>
        <v>C/USN/IV/P3/1</v>
      </c>
      <c r="AF428" s="154" t="str">
        <f t="shared" ca="1" si="620"/>
        <v>Poprawa bezpieczeństwa - zakup systemu monitoringu i montaż kamer na terenach przeznaczonych do rekreacji i zabaw</v>
      </c>
      <c r="AG428" s="155">
        <f t="shared" ca="1" si="621"/>
        <v>75495</v>
      </c>
      <c r="AH428" s="155" t="str">
        <f t="shared" ca="1" si="622"/>
        <v>6050</v>
      </c>
      <c r="AI428" s="156" t="str">
        <f t="shared" ca="1" si="623"/>
        <v>GMMW</v>
      </c>
      <c r="AJ428" s="157" t="str">
        <f t="shared" ca="1" si="624"/>
        <v>WPF/PM</v>
      </c>
      <c r="AK428" s="158" t="str">
        <f t="shared" ca="1" si="656"/>
        <v>C/USN/IV/P3/1 75495 6050 GMMW</v>
      </c>
      <c r="AL428" s="158" t="str">
        <f t="shared" ca="1" si="657"/>
        <v>C/USN/IV/P3/1 75495 6050 WPF/PM</v>
      </c>
      <c r="AM428" s="159" t="str">
        <f t="shared" ca="1" si="658"/>
        <v>C/USN/IV/P3/1 75495 6050 GMMW WPF/PM</v>
      </c>
      <c r="AN428" s="160">
        <f t="shared" ca="1" si="625"/>
        <v>390885</v>
      </c>
      <c r="AO428" s="161">
        <f t="shared" ca="1" si="626"/>
        <v>0</v>
      </c>
      <c r="AP428" s="162">
        <f t="shared" ca="1" si="627"/>
        <v>0</v>
      </c>
      <c r="AQ428" s="163">
        <f t="shared" ca="1" si="628"/>
        <v>270885</v>
      </c>
      <c r="AR428" s="164">
        <f t="shared" ca="1" si="629"/>
        <v>60000</v>
      </c>
      <c r="AS428" s="164">
        <f t="shared" ca="1" si="630"/>
        <v>60000</v>
      </c>
      <c r="AT428" s="164">
        <f t="shared" ca="1" si="631"/>
        <v>0</v>
      </c>
      <c r="AU428" s="164">
        <f t="shared" ca="1" si="632"/>
        <v>0</v>
      </c>
      <c r="AV428" s="164">
        <f t="shared" ca="1" si="633"/>
        <v>0</v>
      </c>
      <c r="AW428" s="164">
        <f t="shared" ca="1" si="634"/>
        <v>0</v>
      </c>
      <c r="AX428" s="164">
        <f t="shared" ca="1" si="635"/>
        <v>0</v>
      </c>
      <c r="AY428" s="164">
        <f t="shared" ca="1" si="636"/>
        <v>0</v>
      </c>
      <c r="AZ428" s="164">
        <f t="shared" ca="1" si="637"/>
        <v>0</v>
      </c>
      <c r="BA428" s="165" t="str">
        <f t="shared" ca="1" si="638"/>
        <v>nie</v>
      </c>
      <c r="BB428" s="166" t="str">
        <f t="shared" ca="1" si="659"/>
        <v>-</v>
      </c>
      <c r="BC428" s="165" t="str">
        <f t="shared" ca="1" si="660"/>
        <v>nie</v>
      </c>
    </row>
    <row r="429" spans="1:55" s="167" customFormat="1" ht="14.45" hidden="1" customHeight="1" thickBot="1" x14ac:dyDescent="0.3">
      <c r="A429" s="500"/>
      <c r="B429" s="500"/>
      <c r="C429" s="501"/>
      <c r="D429" s="510"/>
      <c r="E429" s="503"/>
      <c r="F429" s="503"/>
      <c r="G429" s="503"/>
      <c r="H429" s="504"/>
      <c r="I429" s="499"/>
      <c r="J429" s="197" t="s">
        <v>104</v>
      </c>
      <c r="K429" s="198">
        <f>SUM(N429:O429)</f>
        <v>179115</v>
      </c>
      <c r="L429" s="199"/>
      <c r="M429" s="200">
        <f>180000-885</f>
        <v>179115</v>
      </c>
      <c r="N429" s="371">
        <f>SUM(L429:M429)</f>
        <v>179115</v>
      </c>
      <c r="O429" s="198">
        <f>SUM(P429:Y429)</f>
        <v>0</v>
      </c>
      <c r="P429" s="201"/>
      <c r="Q429" s="200"/>
      <c r="R429" s="202"/>
      <c r="S429" s="203"/>
      <c r="T429" s="200"/>
      <c r="U429" s="200"/>
      <c r="V429" s="200"/>
      <c r="W429" s="200"/>
      <c r="X429" s="200"/>
      <c r="Y429" s="202"/>
      <c r="Z429" s="149" t="str">
        <f t="shared" ca="1" si="653"/>
        <v>nie</v>
      </c>
      <c r="AA429" s="384"/>
      <c r="AB429" s="150" t="str">
        <f t="shared" ca="1" si="654"/>
        <v>-</v>
      </c>
      <c r="AC429" s="151" t="str">
        <f t="shared" ca="1" si="618"/>
        <v>PO ZMIANIE</v>
      </c>
      <c r="AD429" s="152" t="str">
        <f t="shared" ca="1" si="655"/>
        <v>PO ZMIANIE</v>
      </c>
      <c r="AE429" s="153" t="str">
        <f t="shared" ca="1" si="619"/>
        <v>C/USN/IV/P3/1</v>
      </c>
      <c r="AF429" s="154" t="str">
        <f t="shared" ca="1" si="620"/>
        <v>Poprawa bezpieczeństwa - zakup systemu monitoringu i montaż kamer na terenach przeznaczonych do rekreacji i zabaw</v>
      </c>
      <c r="AG429" s="155">
        <f t="shared" ca="1" si="621"/>
        <v>75495</v>
      </c>
      <c r="AH429" s="155" t="str">
        <f t="shared" ca="1" si="622"/>
        <v>6050</v>
      </c>
      <c r="AI429" s="156" t="str">
        <f t="shared" ca="1" si="623"/>
        <v>GMMW</v>
      </c>
      <c r="AJ429" s="157" t="str">
        <f t="shared" ca="1" si="624"/>
        <v>WPF/UM</v>
      </c>
      <c r="AK429" s="158" t="str">
        <f t="shared" ca="1" si="656"/>
        <v>C/USN/IV/P3/1 75495 6050 GMMW</v>
      </c>
      <c r="AL429" s="158" t="str">
        <f t="shared" ca="1" si="657"/>
        <v>C/USN/IV/P3/1 75495 6050 WPF/UM</v>
      </c>
      <c r="AM429" s="159" t="str">
        <f t="shared" ca="1" si="658"/>
        <v>C/USN/IV/P3/1 75495 6050 GMMW WPF/UM</v>
      </c>
      <c r="AN429" s="160">
        <f t="shared" ca="1" si="625"/>
        <v>179115</v>
      </c>
      <c r="AO429" s="161">
        <f t="shared" ca="1" si="626"/>
        <v>0</v>
      </c>
      <c r="AP429" s="162">
        <f t="shared" ca="1" si="627"/>
        <v>179115</v>
      </c>
      <c r="AQ429" s="163">
        <f t="shared" ca="1" si="628"/>
        <v>0</v>
      </c>
      <c r="AR429" s="164">
        <f t="shared" ca="1" si="629"/>
        <v>0</v>
      </c>
      <c r="AS429" s="164">
        <f t="shared" ca="1" si="630"/>
        <v>0</v>
      </c>
      <c r="AT429" s="164">
        <f t="shared" ca="1" si="631"/>
        <v>0</v>
      </c>
      <c r="AU429" s="164">
        <f t="shared" ca="1" si="632"/>
        <v>0</v>
      </c>
      <c r="AV429" s="164">
        <f t="shared" ca="1" si="633"/>
        <v>0</v>
      </c>
      <c r="AW429" s="164">
        <f t="shared" ca="1" si="634"/>
        <v>0</v>
      </c>
      <c r="AX429" s="164">
        <f t="shared" ca="1" si="635"/>
        <v>0</v>
      </c>
      <c r="AY429" s="164">
        <f t="shared" ca="1" si="636"/>
        <v>0</v>
      </c>
      <c r="AZ429" s="164">
        <f t="shared" ca="1" si="637"/>
        <v>0</v>
      </c>
      <c r="BA429" s="165" t="str">
        <f t="shared" ca="1" si="638"/>
        <v>nie</v>
      </c>
      <c r="BB429" s="166" t="str">
        <f t="shared" ca="1" si="659"/>
        <v>-</v>
      </c>
      <c r="BC429" s="165" t="str">
        <f t="shared" ca="1" si="660"/>
        <v>nie</v>
      </c>
    </row>
    <row r="430" spans="1:55" ht="14.45" hidden="1" customHeight="1" x14ac:dyDescent="0.25">
      <c r="A430" s="143" t="s">
        <v>91</v>
      </c>
      <c r="B430" s="144"/>
      <c r="C430" s="145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6"/>
      <c r="S430" s="147"/>
      <c r="T430" s="147"/>
      <c r="U430" s="147"/>
      <c r="V430" s="147"/>
      <c r="W430" s="147"/>
      <c r="X430" s="147"/>
      <c r="Y430" s="148"/>
      <c r="Z430" s="149" t="str">
        <f t="shared" ca="1" si="653"/>
        <v>nie</v>
      </c>
      <c r="AA430" s="366"/>
      <c r="AB430" s="150" t="str">
        <f t="shared" ca="1" si="654"/>
        <v>-</v>
      </c>
      <c r="AC430" s="151" t="str">
        <f t="shared" ca="1" si="618"/>
        <v>PRZED ZMIANĄ</v>
      </c>
      <c r="AD430" s="152" t="str">
        <f t="shared" ca="1" si="655"/>
        <v/>
      </c>
      <c r="AE430" s="153" t="str">
        <f t="shared" ca="1" si="619"/>
        <v/>
      </c>
      <c r="AF430" s="154" t="str">
        <f t="shared" ca="1" si="620"/>
        <v/>
      </c>
      <c r="AG430" s="155" t="str">
        <f t="shared" ca="1" si="621"/>
        <v/>
      </c>
      <c r="AH430" s="155" t="str">
        <f t="shared" ca="1" si="622"/>
        <v/>
      </c>
      <c r="AI430" s="156" t="str">
        <f t="shared" ca="1" si="623"/>
        <v/>
      </c>
      <c r="AJ430" s="157" t="str">
        <f t="shared" ca="1" si="624"/>
        <v/>
      </c>
      <c r="AK430" s="158" t="str">
        <f t="shared" ca="1" si="656"/>
        <v/>
      </c>
      <c r="AL430" s="158" t="str">
        <f t="shared" ca="1" si="657"/>
        <v/>
      </c>
      <c r="AM430" s="159" t="str">
        <f t="shared" ca="1" si="658"/>
        <v/>
      </c>
      <c r="AN430" s="160" t="str">
        <f t="shared" ca="1" si="625"/>
        <v/>
      </c>
      <c r="AO430" s="161" t="str">
        <f t="shared" ca="1" si="626"/>
        <v/>
      </c>
      <c r="AP430" s="162" t="str">
        <f t="shared" ca="1" si="627"/>
        <v/>
      </c>
      <c r="AQ430" s="163" t="str">
        <f t="shared" ca="1" si="628"/>
        <v/>
      </c>
      <c r="AR430" s="164" t="str">
        <f t="shared" ca="1" si="629"/>
        <v/>
      </c>
      <c r="AS430" s="164" t="str">
        <f t="shared" ca="1" si="630"/>
        <v/>
      </c>
      <c r="AT430" s="164" t="str">
        <f t="shared" ca="1" si="631"/>
        <v/>
      </c>
      <c r="AU430" s="164" t="str">
        <f t="shared" ca="1" si="632"/>
        <v/>
      </c>
      <c r="AV430" s="164" t="str">
        <f t="shared" ca="1" si="633"/>
        <v/>
      </c>
      <c r="AW430" s="164" t="str">
        <f t="shared" ca="1" si="634"/>
        <v/>
      </c>
      <c r="AX430" s="164" t="str">
        <f t="shared" ca="1" si="635"/>
        <v/>
      </c>
      <c r="AY430" s="164" t="str">
        <f t="shared" ca="1" si="636"/>
        <v/>
      </c>
      <c r="AZ430" s="164" t="str">
        <f t="shared" ca="1" si="637"/>
        <v/>
      </c>
      <c r="BA430" s="165" t="str">
        <f t="shared" ca="1" si="638"/>
        <v>nie</v>
      </c>
      <c r="BB430" s="166" t="str">
        <f t="shared" ca="1" si="659"/>
        <v>-</v>
      </c>
      <c r="BC430" s="165" t="str">
        <f t="shared" ca="1" si="660"/>
        <v>nie</v>
      </c>
    </row>
    <row r="431" spans="1:55" ht="14.45" hidden="1" customHeight="1" x14ac:dyDescent="0.25">
      <c r="A431" s="493" t="s">
        <v>159</v>
      </c>
      <c r="B431" s="493" t="s">
        <v>26</v>
      </c>
      <c r="C431" s="494" t="s">
        <v>160</v>
      </c>
      <c r="D431" s="505" t="s">
        <v>161</v>
      </c>
      <c r="E431" s="497">
        <v>801</v>
      </c>
      <c r="F431" s="497">
        <v>80104</v>
      </c>
      <c r="G431" s="497">
        <v>6060</v>
      </c>
      <c r="H431" s="498" t="s">
        <v>162</v>
      </c>
      <c r="I431" s="499" t="str">
        <f ca="1">IF(COUNTIF(OFFSET(I431,-1,-8),"*propon*")&gt;0,OFFSET(I431,4,0),IF(Y431&gt;0,"2033",IF(X431&gt;0,"2032",IF(W431&gt;0,"2031",IF(V431&gt;0,"2030",IF(U431&gt;0,"2029",IF(T431&gt;0,"2028",IF(S431&gt;0,"2027",IF(R431&gt;0,"2026",IF(Q431&gt;0,"2025",IF(P431&gt;0,"2024",IF(M431&gt;0,"2023",IF(L431&gt;0,"2022","")))))))))))))</f>
        <v>2024</v>
      </c>
      <c r="J431" s="168" t="s">
        <v>94</v>
      </c>
      <c r="K431" s="169">
        <f>SUM(N431:O431)</f>
        <v>484044</v>
      </c>
      <c r="L431" s="170">
        <f t="shared" ref="L431:M431" si="701">SUM(L432:L433)</f>
        <v>0</v>
      </c>
      <c r="M431" s="171">
        <f t="shared" si="701"/>
        <v>154044</v>
      </c>
      <c r="N431" s="172">
        <f>SUM(L431:M431)</f>
        <v>154044</v>
      </c>
      <c r="O431" s="169">
        <f>SUM(P431:Y431)</f>
        <v>330000</v>
      </c>
      <c r="P431" s="173">
        <f t="shared" ref="P431:R431" si="702">SUM(P432:P433)</f>
        <v>330000</v>
      </c>
      <c r="Q431" s="171">
        <f t="shared" si="702"/>
        <v>0</v>
      </c>
      <c r="R431" s="174">
        <f t="shared" si="702"/>
        <v>0</v>
      </c>
      <c r="S431" s="175">
        <f t="shared" ref="S431:Y431" si="703">SUM(S432:S433)</f>
        <v>0</v>
      </c>
      <c r="T431" s="171">
        <f t="shared" si="703"/>
        <v>0</v>
      </c>
      <c r="U431" s="171">
        <f t="shared" si="703"/>
        <v>0</v>
      </c>
      <c r="V431" s="171">
        <f t="shared" si="703"/>
        <v>0</v>
      </c>
      <c r="W431" s="171">
        <f t="shared" si="703"/>
        <v>0</v>
      </c>
      <c r="X431" s="171">
        <f t="shared" si="703"/>
        <v>0</v>
      </c>
      <c r="Y431" s="174">
        <f t="shared" si="703"/>
        <v>0</v>
      </c>
      <c r="Z431" s="149" t="str">
        <f t="shared" ca="1" si="653"/>
        <v>nie</v>
      </c>
      <c r="AA431" s="366"/>
      <c r="AB431" s="150" t="str">
        <f t="shared" ca="1" si="654"/>
        <v>-</v>
      </c>
      <c r="AC431" s="151" t="str">
        <f t="shared" ca="1" si="618"/>
        <v>PRZED ZMIANĄ</v>
      </c>
      <c r="AD431" s="152" t="str">
        <f t="shared" ca="1" si="655"/>
        <v>PRZED ZMIANĄ</v>
      </c>
      <c r="AE431" s="153" t="str">
        <f t="shared" ca="1" si="619"/>
        <v>C/USN/V/P1/4</v>
      </c>
      <c r="AF431" s="154" t="str">
        <f t="shared" ca="1" si="620"/>
        <v>Zakupy inwestycyjne dla przedszkoli</v>
      </c>
      <c r="AG431" s="155">
        <f t="shared" ca="1" si="621"/>
        <v>80104</v>
      </c>
      <c r="AH431" s="155" t="str">
        <f t="shared" ca="1" si="622"/>
        <v>6060</v>
      </c>
      <c r="AI431" s="156" t="str">
        <f t="shared" ca="1" si="623"/>
        <v>GMMW</v>
      </c>
      <c r="AJ431" s="157" t="str">
        <f t="shared" ca="1" si="624"/>
        <v>WPF, w tym</v>
      </c>
      <c r="AK431" s="158" t="str">
        <f t="shared" ca="1" si="656"/>
        <v>C/USN/V/P1/4 80104 6060 GMMW</v>
      </c>
      <c r="AL431" s="158" t="str">
        <f t="shared" ca="1" si="657"/>
        <v>C/USN/V/P1/4 80104 6060 WPF, w tym</v>
      </c>
      <c r="AM431" s="159" t="str">
        <f t="shared" ca="1" si="658"/>
        <v>C/USN/V/P1/4 80104 6060 GMMW WPF, w tym</v>
      </c>
      <c r="AN431" s="160">
        <f t="shared" ca="1" si="625"/>
        <v>484044</v>
      </c>
      <c r="AO431" s="161">
        <f t="shared" ca="1" si="626"/>
        <v>0</v>
      </c>
      <c r="AP431" s="162">
        <f t="shared" ca="1" si="627"/>
        <v>154044</v>
      </c>
      <c r="AQ431" s="163">
        <f t="shared" ca="1" si="628"/>
        <v>330000</v>
      </c>
      <c r="AR431" s="164">
        <f t="shared" ca="1" si="629"/>
        <v>0</v>
      </c>
      <c r="AS431" s="164">
        <f t="shared" ca="1" si="630"/>
        <v>0</v>
      </c>
      <c r="AT431" s="164">
        <f t="shared" ca="1" si="631"/>
        <v>0</v>
      </c>
      <c r="AU431" s="164">
        <f t="shared" ca="1" si="632"/>
        <v>0</v>
      </c>
      <c r="AV431" s="164">
        <f t="shared" ca="1" si="633"/>
        <v>0</v>
      </c>
      <c r="AW431" s="164">
        <f t="shared" ca="1" si="634"/>
        <v>0</v>
      </c>
      <c r="AX431" s="164">
        <f t="shared" ca="1" si="635"/>
        <v>0</v>
      </c>
      <c r="AY431" s="164">
        <f t="shared" ca="1" si="636"/>
        <v>0</v>
      </c>
      <c r="AZ431" s="164">
        <f t="shared" ca="1" si="637"/>
        <v>0</v>
      </c>
      <c r="BA431" s="165" t="str">
        <f t="shared" ca="1" si="638"/>
        <v>nie</v>
      </c>
      <c r="BB431" s="166" t="str">
        <f t="shared" ca="1" si="659"/>
        <v>-</v>
      </c>
      <c r="BC431" s="165" t="str">
        <f t="shared" ca="1" si="660"/>
        <v>nie</v>
      </c>
    </row>
    <row r="432" spans="1:55" ht="14.45" hidden="1" customHeight="1" x14ac:dyDescent="0.25">
      <c r="A432" s="493"/>
      <c r="B432" s="493"/>
      <c r="C432" s="494"/>
      <c r="D432" s="506"/>
      <c r="E432" s="497"/>
      <c r="F432" s="497"/>
      <c r="G432" s="497"/>
      <c r="H432" s="498"/>
      <c r="I432" s="499"/>
      <c r="J432" s="177" t="s">
        <v>95</v>
      </c>
      <c r="K432" s="178">
        <f>SUM(N432:O432)</f>
        <v>330000</v>
      </c>
      <c r="L432" s="179"/>
      <c r="M432" s="180"/>
      <c r="N432" s="172">
        <f>SUM(L432:M432)</f>
        <v>0</v>
      </c>
      <c r="O432" s="178">
        <f>SUM(P432:Y432)</f>
        <v>330000</v>
      </c>
      <c r="P432" s="181">
        <v>330000</v>
      </c>
      <c r="Q432" s="180"/>
      <c r="R432" s="182"/>
      <c r="S432" s="183"/>
      <c r="T432" s="180"/>
      <c r="U432" s="180"/>
      <c r="V432" s="180"/>
      <c r="W432" s="180"/>
      <c r="X432" s="180"/>
      <c r="Y432" s="182"/>
      <c r="Z432" s="149" t="str">
        <f t="shared" ca="1" si="653"/>
        <v>nie</v>
      </c>
      <c r="AA432" s="366"/>
      <c r="AB432" s="150" t="str">
        <f t="shared" ca="1" si="654"/>
        <v>-</v>
      </c>
      <c r="AC432" s="151" t="str">
        <f t="shared" ca="1" si="618"/>
        <v>PRZED ZMIANĄ</v>
      </c>
      <c r="AD432" s="152" t="str">
        <f t="shared" ca="1" si="655"/>
        <v>PRZED ZMIANĄ</v>
      </c>
      <c r="AE432" s="153" t="str">
        <f t="shared" ca="1" si="619"/>
        <v>C/USN/V/P1/4</v>
      </c>
      <c r="AF432" s="154" t="str">
        <f t="shared" ca="1" si="620"/>
        <v>Zakupy inwestycyjne dla przedszkoli</v>
      </c>
      <c r="AG432" s="155">
        <f t="shared" ca="1" si="621"/>
        <v>80104</v>
      </c>
      <c r="AH432" s="155" t="str">
        <f t="shared" ca="1" si="622"/>
        <v>6060</v>
      </c>
      <c r="AI432" s="156" t="str">
        <f t="shared" ca="1" si="623"/>
        <v>GMMW</v>
      </c>
      <c r="AJ432" s="157" t="str">
        <f t="shared" ca="1" si="624"/>
        <v>WPF/PM</v>
      </c>
      <c r="AK432" s="158" t="str">
        <f t="shared" ca="1" si="656"/>
        <v>C/USN/V/P1/4 80104 6060 GMMW</v>
      </c>
      <c r="AL432" s="158" t="str">
        <f t="shared" ca="1" si="657"/>
        <v>C/USN/V/P1/4 80104 6060 WPF/PM</v>
      </c>
      <c r="AM432" s="159" t="str">
        <f t="shared" ca="1" si="658"/>
        <v>C/USN/V/P1/4 80104 6060 GMMW WPF/PM</v>
      </c>
      <c r="AN432" s="160">
        <f t="shared" ca="1" si="625"/>
        <v>330000</v>
      </c>
      <c r="AO432" s="161">
        <f t="shared" ca="1" si="626"/>
        <v>0</v>
      </c>
      <c r="AP432" s="162">
        <f t="shared" ca="1" si="627"/>
        <v>0</v>
      </c>
      <c r="AQ432" s="163">
        <f t="shared" ca="1" si="628"/>
        <v>330000</v>
      </c>
      <c r="AR432" s="164">
        <f t="shared" ca="1" si="629"/>
        <v>0</v>
      </c>
      <c r="AS432" s="164">
        <f t="shared" ca="1" si="630"/>
        <v>0</v>
      </c>
      <c r="AT432" s="164">
        <f t="shared" ca="1" si="631"/>
        <v>0</v>
      </c>
      <c r="AU432" s="164">
        <f t="shared" ca="1" si="632"/>
        <v>0</v>
      </c>
      <c r="AV432" s="164">
        <f t="shared" ca="1" si="633"/>
        <v>0</v>
      </c>
      <c r="AW432" s="164">
        <f t="shared" ca="1" si="634"/>
        <v>0</v>
      </c>
      <c r="AX432" s="164">
        <f t="shared" ca="1" si="635"/>
        <v>0</v>
      </c>
      <c r="AY432" s="164">
        <f t="shared" ca="1" si="636"/>
        <v>0</v>
      </c>
      <c r="AZ432" s="164">
        <f t="shared" ca="1" si="637"/>
        <v>0</v>
      </c>
      <c r="BA432" s="165" t="str">
        <f t="shared" ca="1" si="638"/>
        <v>nie</v>
      </c>
      <c r="BB432" s="166" t="str">
        <f t="shared" ca="1" si="659"/>
        <v>-</v>
      </c>
      <c r="BC432" s="165" t="str">
        <f t="shared" ca="1" si="660"/>
        <v>nie</v>
      </c>
    </row>
    <row r="433" spans="1:55" ht="14.45" hidden="1" customHeight="1" x14ac:dyDescent="0.25">
      <c r="A433" s="493"/>
      <c r="B433" s="493"/>
      <c r="C433" s="494"/>
      <c r="D433" s="506"/>
      <c r="E433" s="497"/>
      <c r="F433" s="497"/>
      <c r="G433" s="497"/>
      <c r="H433" s="498"/>
      <c r="I433" s="499"/>
      <c r="J433" s="177" t="s">
        <v>96</v>
      </c>
      <c r="K433" s="178">
        <f>SUM(N433:O433)</f>
        <v>154044</v>
      </c>
      <c r="L433" s="184"/>
      <c r="M433" s="180">
        <v>154044</v>
      </c>
      <c r="N433" s="172">
        <f>SUM(L433:M433)</f>
        <v>154044</v>
      </c>
      <c r="O433" s="178">
        <f>SUM(P433:Y433)</f>
        <v>0</v>
      </c>
      <c r="P433" s="181"/>
      <c r="Q433" s="180"/>
      <c r="R433" s="182"/>
      <c r="S433" s="183"/>
      <c r="T433" s="180"/>
      <c r="U433" s="180"/>
      <c r="V433" s="180"/>
      <c r="W433" s="180"/>
      <c r="X433" s="180"/>
      <c r="Y433" s="182"/>
      <c r="Z433" s="149" t="str">
        <f t="shared" ca="1" si="653"/>
        <v>nie</v>
      </c>
      <c r="AA433" s="366"/>
      <c r="AB433" s="150" t="str">
        <f t="shared" ca="1" si="654"/>
        <v>-</v>
      </c>
      <c r="AC433" s="151" t="str">
        <f t="shared" ca="1" si="618"/>
        <v>PRZED ZMIANĄ</v>
      </c>
      <c r="AD433" s="152" t="str">
        <f t="shared" ca="1" si="655"/>
        <v>PRZED ZMIANĄ</v>
      </c>
      <c r="AE433" s="153" t="str">
        <f t="shared" ca="1" si="619"/>
        <v>C/USN/V/P1/4</v>
      </c>
      <c r="AF433" s="154" t="str">
        <f t="shared" ca="1" si="620"/>
        <v>Zakupy inwestycyjne dla przedszkoli</v>
      </c>
      <c r="AG433" s="155">
        <f t="shared" ca="1" si="621"/>
        <v>80104</v>
      </c>
      <c r="AH433" s="155" t="str">
        <f t="shared" ca="1" si="622"/>
        <v>6060</v>
      </c>
      <c r="AI433" s="156" t="str">
        <f t="shared" ca="1" si="623"/>
        <v>GMMW</v>
      </c>
      <c r="AJ433" s="157" t="str">
        <f t="shared" ca="1" si="624"/>
        <v>WPF/UM</v>
      </c>
      <c r="AK433" s="158" t="str">
        <f t="shared" ca="1" si="656"/>
        <v>C/USN/V/P1/4 80104 6060 GMMW</v>
      </c>
      <c r="AL433" s="158" t="str">
        <f t="shared" ca="1" si="657"/>
        <v>C/USN/V/P1/4 80104 6060 WPF/UM</v>
      </c>
      <c r="AM433" s="159" t="str">
        <f t="shared" ca="1" si="658"/>
        <v>C/USN/V/P1/4 80104 6060 GMMW WPF/UM</v>
      </c>
      <c r="AN433" s="160">
        <f t="shared" ca="1" si="625"/>
        <v>154044</v>
      </c>
      <c r="AO433" s="161">
        <f t="shared" ca="1" si="626"/>
        <v>0</v>
      </c>
      <c r="AP433" s="162">
        <f t="shared" ca="1" si="627"/>
        <v>154044</v>
      </c>
      <c r="AQ433" s="163">
        <f t="shared" ca="1" si="628"/>
        <v>0</v>
      </c>
      <c r="AR433" s="164">
        <f t="shared" ca="1" si="629"/>
        <v>0</v>
      </c>
      <c r="AS433" s="164">
        <f t="shared" ca="1" si="630"/>
        <v>0</v>
      </c>
      <c r="AT433" s="164">
        <f t="shared" ca="1" si="631"/>
        <v>0</v>
      </c>
      <c r="AU433" s="164">
        <f t="shared" ca="1" si="632"/>
        <v>0</v>
      </c>
      <c r="AV433" s="164">
        <f t="shared" ca="1" si="633"/>
        <v>0</v>
      </c>
      <c r="AW433" s="164">
        <f t="shared" ca="1" si="634"/>
        <v>0</v>
      </c>
      <c r="AX433" s="164">
        <f t="shared" ca="1" si="635"/>
        <v>0</v>
      </c>
      <c r="AY433" s="164">
        <f t="shared" ca="1" si="636"/>
        <v>0</v>
      </c>
      <c r="AZ433" s="164">
        <f t="shared" ca="1" si="637"/>
        <v>0</v>
      </c>
      <c r="BA433" s="165" t="str">
        <f t="shared" ca="1" si="638"/>
        <v>nie</v>
      </c>
      <c r="BB433" s="166" t="str">
        <f t="shared" ca="1" si="659"/>
        <v>-</v>
      </c>
      <c r="BC433" s="165" t="str">
        <f t="shared" ca="1" si="660"/>
        <v>nie</v>
      </c>
    </row>
    <row r="434" spans="1:55" ht="14.45" hidden="1" customHeight="1" x14ac:dyDescent="0.25">
      <c r="A434" s="185" t="s">
        <v>97</v>
      </c>
      <c r="B434" s="186"/>
      <c r="C434" s="187"/>
      <c r="D434" s="186"/>
      <c r="E434" s="186"/>
      <c r="F434" s="186"/>
      <c r="G434" s="186"/>
      <c r="H434" s="186"/>
      <c r="I434" s="186"/>
      <c r="J434" s="186"/>
      <c r="K434" s="186"/>
      <c r="L434" s="186"/>
      <c r="M434" s="186"/>
      <c r="N434" s="186"/>
      <c r="O434" s="186"/>
      <c r="P434" s="186"/>
      <c r="Q434" s="186"/>
      <c r="R434" s="188"/>
      <c r="S434" s="189"/>
      <c r="T434" s="189"/>
      <c r="U434" s="189"/>
      <c r="V434" s="189"/>
      <c r="W434" s="189"/>
      <c r="X434" s="189"/>
      <c r="Y434" s="190"/>
      <c r="Z434" s="149" t="str">
        <f t="shared" ca="1" si="653"/>
        <v>nie</v>
      </c>
      <c r="AA434" s="366"/>
      <c r="AB434" s="150" t="str">
        <f t="shared" ca="1" si="654"/>
        <v>-</v>
      </c>
      <c r="AC434" s="151" t="str">
        <f t="shared" ca="1" si="618"/>
        <v>PROPONOWANA ZMIANA</v>
      </c>
      <c r="AD434" s="152" t="str">
        <f t="shared" ca="1" si="655"/>
        <v/>
      </c>
      <c r="AE434" s="153" t="str">
        <f t="shared" ca="1" si="619"/>
        <v/>
      </c>
      <c r="AF434" s="154" t="str">
        <f t="shared" ca="1" si="620"/>
        <v/>
      </c>
      <c r="AG434" s="155" t="str">
        <f t="shared" ca="1" si="621"/>
        <v/>
      </c>
      <c r="AH434" s="155" t="str">
        <f t="shared" ca="1" si="622"/>
        <v/>
      </c>
      <c r="AI434" s="156" t="str">
        <f t="shared" ca="1" si="623"/>
        <v/>
      </c>
      <c r="AJ434" s="157" t="str">
        <f t="shared" ca="1" si="624"/>
        <v/>
      </c>
      <c r="AK434" s="158" t="str">
        <f t="shared" ca="1" si="656"/>
        <v/>
      </c>
      <c r="AL434" s="158" t="str">
        <f t="shared" ca="1" si="657"/>
        <v/>
      </c>
      <c r="AM434" s="159" t="str">
        <f t="shared" ca="1" si="658"/>
        <v/>
      </c>
      <c r="AN434" s="160" t="str">
        <f t="shared" ca="1" si="625"/>
        <v/>
      </c>
      <c r="AO434" s="161" t="str">
        <f t="shared" ca="1" si="626"/>
        <v/>
      </c>
      <c r="AP434" s="162" t="str">
        <f t="shared" ca="1" si="627"/>
        <v/>
      </c>
      <c r="AQ434" s="163" t="str">
        <f t="shared" ca="1" si="628"/>
        <v/>
      </c>
      <c r="AR434" s="164" t="str">
        <f t="shared" ca="1" si="629"/>
        <v/>
      </c>
      <c r="AS434" s="164" t="str">
        <f t="shared" ca="1" si="630"/>
        <v/>
      </c>
      <c r="AT434" s="164" t="str">
        <f t="shared" ca="1" si="631"/>
        <v/>
      </c>
      <c r="AU434" s="164" t="str">
        <f t="shared" ca="1" si="632"/>
        <v/>
      </c>
      <c r="AV434" s="164" t="str">
        <f t="shared" ca="1" si="633"/>
        <v/>
      </c>
      <c r="AW434" s="164" t="str">
        <f t="shared" ca="1" si="634"/>
        <v/>
      </c>
      <c r="AX434" s="164" t="str">
        <f t="shared" ca="1" si="635"/>
        <v/>
      </c>
      <c r="AY434" s="164" t="str">
        <f t="shared" ca="1" si="636"/>
        <v/>
      </c>
      <c r="AZ434" s="164" t="str">
        <f t="shared" ca="1" si="637"/>
        <v/>
      </c>
      <c r="BA434" s="165" t="str">
        <f t="shared" ca="1" si="638"/>
        <v>nie</v>
      </c>
      <c r="BB434" s="166" t="str">
        <f t="shared" ca="1" si="659"/>
        <v>-</v>
      </c>
      <c r="BC434" s="165" t="str">
        <f t="shared" ca="1" si="660"/>
        <v>nie</v>
      </c>
    </row>
    <row r="435" spans="1:55" ht="14.45" hidden="1" customHeight="1" x14ac:dyDescent="0.25">
      <c r="A435" s="493" t="s">
        <v>159</v>
      </c>
      <c r="B435" s="493" t="s">
        <v>26</v>
      </c>
      <c r="C435" s="494" t="s">
        <v>160</v>
      </c>
      <c r="D435" s="505" t="s">
        <v>161</v>
      </c>
      <c r="E435" s="497">
        <v>801</v>
      </c>
      <c r="F435" s="497">
        <v>80104</v>
      </c>
      <c r="G435" s="497">
        <v>6060</v>
      </c>
      <c r="H435" s="498" t="s">
        <v>162</v>
      </c>
      <c r="I435" s="499" t="str">
        <f ca="1">IF(COUNTIF(OFFSET(I435,-1,-8),"*propon*")&gt;0,OFFSET(I435,4,0),IF(Y435&gt;0,"2033",IF(X435&gt;0,"2032",IF(W435&gt;0,"2031",IF(V435&gt;0,"2030",IF(U435&gt;0,"2029",IF(T435&gt;0,"2028",IF(S435&gt;0,"2027",IF(R435&gt;0,"2026",IF(Q435&gt;0,"2025",IF(P435&gt;0,"2024",IF(M435&gt;0,"2023",IF(L435&gt;0,"2022","")))))))))))))</f>
        <v>2024</v>
      </c>
      <c r="J435" s="168" t="s">
        <v>98</v>
      </c>
      <c r="K435" s="169">
        <f>SUM(N435:O435)</f>
        <v>0</v>
      </c>
      <c r="L435" s="170">
        <f t="shared" ref="L435:M435" si="704">SUM(L436:L437)</f>
        <v>0</v>
      </c>
      <c r="M435" s="171">
        <f t="shared" si="704"/>
        <v>0</v>
      </c>
      <c r="N435" s="172">
        <f>SUM(L435:M435)</f>
        <v>0</v>
      </c>
      <c r="O435" s="169">
        <f>SUM(P435:Y435)</f>
        <v>0</v>
      </c>
      <c r="P435" s="173">
        <f t="shared" ref="P435:R435" si="705">SUM(P436:P437)</f>
        <v>0</v>
      </c>
      <c r="Q435" s="171">
        <f t="shared" si="705"/>
        <v>0</v>
      </c>
      <c r="R435" s="174">
        <f t="shared" si="705"/>
        <v>0</v>
      </c>
      <c r="S435" s="175">
        <f t="shared" ref="S435:Y435" si="706">SUM(S436:S437)</f>
        <v>0</v>
      </c>
      <c r="T435" s="171">
        <f t="shared" si="706"/>
        <v>0</v>
      </c>
      <c r="U435" s="171">
        <f t="shared" si="706"/>
        <v>0</v>
      </c>
      <c r="V435" s="171">
        <f t="shared" si="706"/>
        <v>0</v>
      </c>
      <c r="W435" s="171">
        <f t="shared" si="706"/>
        <v>0</v>
      </c>
      <c r="X435" s="171">
        <f t="shared" si="706"/>
        <v>0</v>
      </c>
      <c r="Y435" s="174">
        <f t="shared" si="706"/>
        <v>0</v>
      </c>
      <c r="Z435" s="149" t="str">
        <f t="shared" ca="1" si="653"/>
        <v>nie</v>
      </c>
      <c r="AA435" s="366"/>
      <c r="AB435" s="150" t="str">
        <f t="shared" ca="1" si="654"/>
        <v>-</v>
      </c>
      <c r="AC435" s="151" t="str">
        <f t="shared" ca="1" si="618"/>
        <v>PROPONOWANA ZMIANA</v>
      </c>
      <c r="AD435" s="152" t="str">
        <f t="shared" ca="1" si="655"/>
        <v>PROPONOWANA ZMIANA</v>
      </c>
      <c r="AE435" s="153" t="str">
        <f t="shared" ca="1" si="619"/>
        <v>C/USN/V/P1/4</v>
      </c>
      <c r="AF435" s="154" t="str">
        <f t="shared" ca="1" si="620"/>
        <v>Zakupy inwestycyjne dla przedszkoli</v>
      </c>
      <c r="AG435" s="155">
        <f t="shared" ca="1" si="621"/>
        <v>80104</v>
      </c>
      <c r="AH435" s="155" t="str">
        <f t="shared" ca="1" si="622"/>
        <v>6060</v>
      </c>
      <c r="AI435" s="156" t="str">
        <f t="shared" ca="1" si="623"/>
        <v>GMMW</v>
      </c>
      <c r="AJ435" s="157" t="str">
        <f t="shared" ca="1" si="624"/>
        <v>WPF, w tym</v>
      </c>
      <c r="AK435" s="158" t="str">
        <f t="shared" ca="1" si="656"/>
        <v>C/USN/V/P1/4 80104 6060 GMMW</v>
      </c>
      <c r="AL435" s="158" t="str">
        <f t="shared" ca="1" si="657"/>
        <v>C/USN/V/P1/4 80104 6060 WPF, w tym</v>
      </c>
      <c r="AM435" s="159" t="str">
        <f t="shared" ca="1" si="658"/>
        <v>C/USN/V/P1/4 80104 6060 GMMW WPF, w tym</v>
      </c>
      <c r="AN435" s="160">
        <f t="shared" ca="1" si="625"/>
        <v>0</v>
      </c>
      <c r="AO435" s="161">
        <f t="shared" ca="1" si="626"/>
        <v>0</v>
      </c>
      <c r="AP435" s="162">
        <f t="shared" ca="1" si="627"/>
        <v>0</v>
      </c>
      <c r="AQ435" s="163">
        <f t="shared" ca="1" si="628"/>
        <v>0</v>
      </c>
      <c r="AR435" s="164">
        <f t="shared" ca="1" si="629"/>
        <v>0</v>
      </c>
      <c r="AS435" s="164">
        <f t="shared" ca="1" si="630"/>
        <v>0</v>
      </c>
      <c r="AT435" s="164">
        <f t="shared" ca="1" si="631"/>
        <v>0</v>
      </c>
      <c r="AU435" s="164">
        <f t="shared" ca="1" si="632"/>
        <v>0</v>
      </c>
      <c r="AV435" s="164">
        <f t="shared" ca="1" si="633"/>
        <v>0</v>
      </c>
      <c r="AW435" s="164">
        <f t="shared" ca="1" si="634"/>
        <v>0</v>
      </c>
      <c r="AX435" s="164">
        <f t="shared" ca="1" si="635"/>
        <v>0</v>
      </c>
      <c r="AY435" s="164">
        <f t="shared" ca="1" si="636"/>
        <v>0</v>
      </c>
      <c r="AZ435" s="164">
        <f t="shared" ca="1" si="637"/>
        <v>0</v>
      </c>
      <c r="BA435" s="165" t="str">
        <f t="shared" ca="1" si="638"/>
        <v>nie</v>
      </c>
      <c r="BB435" s="166" t="str">
        <f t="shared" ca="1" si="659"/>
        <v>-</v>
      </c>
      <c r="BC435" s="165" t="str">
        <f t="shared" ca="1" si="660"/>
        <v>nie</v>
      </c>
    </row>
    <row r="436" spans="1:55" ht="14.45" hidden="1" customHeight="1" x14ac:dyDescent="0.25">
      <c r="A436" s="493"/>
      <c r="B436" s="493"/>
      <c r="C436" s="494"/>
      <c r="D436" s="506"/>
      <c r="E436" s="497"/>
      <c r="F436" s="497"/>
      <c r="G436" s="497"/>
      <c r="H436" s="498"/>
      <c r="I436" s="499"/>
      <c r="J436" s="177" t="s">
        <v>99</v>
      </c>
      <c r="K436" s="178">
        <f>SUM(N436:O436)</f>
        <v>0</v>
      </c>
      <c r="L436" s="179">
        <f t="shared" ref="L436:M436" si="707">L440-L432</f>
        <v>0</v>
      </c>
      <c r="M436" s="180">
        <f t="shared" si="707"/>
        <v>0</v>
      </c>
      <c r="N436" s="172">
        <f>SUM(L436:M436)</f>
        <v>0</v>
      </c>
      <c r="O436" s="178">
        <f>SUM(P436:Y436)</f>
        <v>0</v>
      </c>
      <c r="P436" s="181">
        <f t="shared" ref="P436:R436" si="708">P440-P432</f>
        <v>0</v>
      </c>
      <c r="Q436" s="180">
        <f t="shared" si="708"/>
        <v>0</v>
      </c>
      <c r="R436" s="182">
        <f t="shared" si="708"/>
        <v>0</v>
      </c>
      <c r="S436" s="183">
        <f t="shared" ref="S436:Y437" si="709">S440-S432</f>
        <v>0</v>
      </c>
      <c r="T436" s="180">
        <f t="shared" si="709"/>
        <v>0</v>
      </c>
      <c r="U436" s="180">
        <f t="shared" si="709"/>
        <v>0</v>
      </c>
      <c r="V436" s="180">
        <f t="shared" si="709"/>
        <v>0</v>
      </c>
      <c r="W436" s="180">
        <f t="shared" si="709"/>
        <v>0</v>
      </c>
      <c r="X436" s="180">
        <f t="shared" si="709"/>
        <v>0</v>
      </c>
      <c r="Y436" s="182">
        <f t="shared" si="709"/>
        <v>0</v>
      </c>
      <c r="Z436" s="149" t="str">
        <f t="shared" ca="1" si="653"/>
        <v>nie</v>
      </c>
      <c r="AA436" s="366"/>
      <c r="AB436" s="150" t="str">
        <f t="shared" ca="1" si="654"/>
        <v>-</v>
      </c>
      <c r="AC436" s="151" t="str">
        <f t="shared" ca="1" si="618"/>
        <v>PROPONOWANA ZMIANA</v>
      </c>
      <c r="AD436" s="152" t="str">
        <f t="shared" ca="1" si="655"/>
        <v>PROPONOWANA ZMIANA</v>
      </c>
      <c r="AE436" s="153" t="str">
        <f t="shared" ca="1" si="619"/>
        <v>C/USN/V/P1/4</v>
      </c>
      <c r="AF436" s="154" t="str">
        <f t="shared" ca="1" si="620"/>
        <v>Zakupy inwestycyjne dla przedszkoli</v>
      </c>
      <c r="AG436" s="155">
        <f t="shared" ca="1" si="621"/>
        <v>80104</v>
      </c>
      <c r="AH436" s="155" t="str">
        <f t="shared" ca="1" si="622"/>
        <v>6060</v>
      </c>
      <c r="AI436" s="156" t="str">
        <f t="shared" ca="1" si="623"/>
        <v>GMMW</v>
      </c>
      <c r="AJ436" s="157" t="str">
        <f t="shared" ca="1" si="624"/>
        <v>WPF/PM</v>
      </c>
      <c r="AK436" s="158" t="str">
        <f t="shared" ca="1" si="656"/>
        <v>C/USN/V/P1/4 80104 6060 GMMW</v>
      </c>
      <c r="AL436" s="158" t="str">
        <f t="shared" ca="1" si="657"/>
        <v>C/USN/V/P1/4 80104 6060 WPF/PM</v>
      </c>
      <c r="AM436" s="159" t="str">
        <f t="shared" ca="1" si="658"/>
        <v>C/USN/V/P1/4 80104 6060 GMMW WPF/PM</v>
      </c>
      <c r="AN436" s="160">
        <f t="shared" ca="1" si="625"/>
        <v>0</v>
      </c>
      <c r="AO436" s="161">
        <f t="shared" ca="1" si="626"/>
        <v>0</v>
      </c>
      <c r="AP436" s="162">
        <f t="shared" ca="1" si="627"/>
        <v>0</v>
      </c>
      <c r="AQ436" s="163">
        <f t="shared" ca="1" si="628"/>
        <v>0</v>
      </c>
      <c r="AR436" s="164">
        <f t="shared" ca="1" si="629"/>
        <v>0</v>
      </c>
      <c r="AS436" s="164">
        <f t="shared" ca="1" si="630"/>
        <v>0</v>
      </c>
      <c r="AT436" s="164">
        <f t="shared" ca="1" si="631"/>
        <v>0</v>
      </c>
      <c r="AU436" s="164">
        <f t="shared" ca="1" si="632"/>
        <v>0</v>
      </c>
      <c r="AV436" s="164">
        <f t="shared" ca="1" si="633"/>
        <v>0</v>
      </c>
      <c r="AW436" s="164">
        <f t="shared" ca="1" si="634"/>
        <v>0</v>
      </c>
      <c r="AX436" s="164">
        <f t="shared" ca="1" si="635"/>
        <v>0</v>
      </c>
      <c r="AY436" s="164">
        <f t="shared" ca="1" si="636"/>
        <v>0</v>
      </c>
      <c r="AZ436" s="164">
        <f t="shared" ca="1" si="637"/>
        <v>0</v>
      </c>
      <c r="BA436" s="165" t="str">
        <f t="shared" ca="1" si="638"/>
        <v>nie</v>
      </c>
      <c r="BB436" s="166" t="str">
        <f t="shared" ca="1" si="659"/>
        <v>-</v>
      </c>
      <c r="BC436" s="165" t="str">
        <f t="shared" ca="1" si="660"/>
        <v>nie</v>
      </c>
    </row>
    <row r="437" spans="1:55" ht="14.45" hidden="1" customHeight="1" x14ac:dyDescent="0.25">
      <c r="A437" s="493"/>
      <c r="B437" s="493"/>
      <c r="C437" s="494"/>
      <c r="D437" s="506"/>
      <c r="E437" s="497"/>
      <c r="F437" s="497"/>
      <c r="G437" s="497"/>
      <c r="H437" s="498"/>
      <c r="I437" s="499"/>
      <c r="J437" s="177" t="s">
        <v>100</v>
      </c>
      <c r="K437" s="178">
        <f>SUM(N437:O437)</f>
        <v>0</v>
      </c>
      <c r="L437" s="179">
        <f t="shared" ref="L437:M437" si="710">L441-L433</f>
        <v>0</v>
      </c>
      <c r="M437" s="180">
        <f t="shared" si="710"/>
        <v>0</v>
      </c>
      <c r="N437" s="172">
        <f>SUM(L437:M437)</f>
        <v>0</v>
      </c>
      <c r="O437" s="178">
        <f>SUM(P437:Y437)</f>
        <v>0</v>
      </c>
      <c r="P437" s="181">
        <f t="shared" ref="P437:R437" si="711">P441-P433</f>
        <v>0</v>
      </c>
      <c r="Q437" s="180">
        <f t="shared" si="711"/>
        <v>0</v>
      </c>
      <c r="R437" s="182">
        <f t="shared" si="711"/>
        <v>0</v>
      </c>
      <c r="S437" s="183">
        <f t="shared" si="709"/>
        <v>0</v>
      </c>
      <c r="T437" s="180">
        <f t="shared" si="709"/>
        <v>0</v>
      </c>
      <c r="U437" s="180">
        <f t="shared" si="709"/>
        <v>0</v>
      </c>
      <c r="V437" s="180">
        <f t="shared" si="709"/>
        <v>0</v>
      </c>
      <c r="W437" s="180">
        <f t="shared" si="709"/>
        <v>0</v>
      </c>
      <c r="X437" s="180">
        <f t="shared" si="709"/>
        <v>0</v>
      </c>
      <c r="Y437" s="182">
        <f t="shared" si="709"/>
        <v>0</v>
      </c>
      <c r="Z437" s="149" t="str">
        <f t="shared" ca="1" si="653"/>
        <v>nie</v>
      </c>
      <c r="AA437" s="366"/>
      <c r="AB437" s="150" t="str">
        <f t="shared" ca="1" si="654"/>
        <v>-</v>
      </c>
      <c r="AC437" s="151" t="str">
        <f t="shared" ca="1" si="618"/>
        <v>PROPONOWANA ZMIANA</v>
      </c>
      <c r="AD437" s="152" t="str">
        <f t="shared" ca="1" si="655"/>
        <v>PROPONOWANA ZMIANA</v>
      </c>
      <c r="AE437" s="153" t="str">
        <f t="shared" ca="1" si="619"/>
        <v>C/USN/V/P1/4</v>
      </c>
      <c r="AF437" s="154" t="str">
        <f t="shared" ca="1" si="620"/>
        <v>Zakupy inwestycyjne dla przedszkoli</v>
      </c>
      <c r="AG437" s="155">
        <f t="shared" ca="1" si="621"/>
        <v>80104</v>
      </c>
      <c r="AH437" s="155" t="str">
        <f t="shared" ca="1" si="622"/>
        <v>6060</v>
      </c>
      <c r="AI437" s="156" t="str">
        <f t="shared" ca="1" si="623"/>
        <v>GMMW</v>
      </c>
      <c r="AJ437" s="157" t="str">
        <f t="shared" ca="1" si="624"/>
        <v>WPF/UM</v>
      </c>
      <c r="AK437" s="158" t="str">
        <f t="shared" ca="1" si="656"/>
        <v>C/USN/V/P1/4 80104 6060 GMMW</v>
      </c>
      <c r="AL437" s="158" t="str">
        <f t="shared" ca="1" si="657"/>
        <v>C/USN/V/P1/4 80104 6060 WPF/UM</v>
      </c>
      <c r="AM437" s="159" t="str">
        <f t="shared" ca="1" si="658"/>
        <v>C/USN/V/P1/4 80104 6060 GMMW WPF/UM</v>
      </c>
      <c r="AN437" s="160">
        <f t="shared" ca="1" si="625"/>
        <v>0</v>
      </c>
      <c r="AO437" s="161">
        <f t="shared" ca="1" si="626"/>
        <v>0</v>
      </c>
      <c r="AP437" s="162">
        <f t="shared" ca="1" si="627"/>
        <v>0</v>
      </c>
      <c r="AQ437" s="163">
        <f t="shared" ca="1" si="628"/>
        <v>0</v>
      </c>
      <c r="AR437" s="164">
        <f t="shared" ca="1" si="629"/>
        <v>0</v>
      </c>
      <c r="AS437" s="164">
        <f t="shared" ca="1" si="630"/>
        <v>0</v>
      </c>
      <c r="AT437" s="164">
        <f t="shared" ca="1" si="631"/>
        <v>0</v>
      </c>
      <c r="AU437" s="164">
        <f t="shared" ca="1" si="632"/>
        <v>0</v>
      </c>
      <c r="AV437" s="164">
        <f t="shared" ca="1" si="633"/>
        <v>0</v>
      </c>
      <c r="AW437" s="164">
        <f t="shared" ca="1" si="634"/>
        <v>0</v>
      </c>
      <c r="AX437" s="164">
        <f t="shared" ca="1" si="635"/>
        <v>0</v>
      </c>
      <c r="AY437" s="164">
        <f t="shared" ca="1" si="636"/>
        <v>0</v>
      </c>
      <c r="AZ437" s="164">
        <f t="shared" ca="1" si="637"/>
        <v>0</v>
      </c>
      <c r="BA437" s="165" t="str">
        <f t="shared" ca="1" si="638"/>
        <v>nie</v>
      </c>
      <c r="BB437" s="166" t="str">
        <f t="shared" ca="1" si="659"/>
        <v>-</v>
      </c>
      <c r="BC437" s="165" t="str">
        <f t="shared" ca="1" si="660"/>
        <v>nie</v>
      </c>
    </row>
    <row r="438" spans="1:55" ht="14.45" hidden="1" customHeight="1" x14ac:dyDescent="0.25">
      <c r="A438" s="191" t="s">
        <v>101</v>
      </c>
      <c r="B438" s="192"/>
      <c r="C438" s="193"/>
      <c r="D438" s="192"/>
      <c r="E438" s="192"/>
      <c r="F438" s="192"/>
      <c r="G438" s="192"/>
      <c r="H438" s="192"/>
      <c r="I438" s="192"/>
      <c r="J438" s="192"/>
      <c r="K438" s="192"/>
      <c r="L438" s="192"/>
      <c r="M438" s="192"/>
      <c r="N438" s="192"/>
      <c r="O438" s="192"/>
      <c r="P438" s="192"/>
      <c r="Q438" s="192"/>
      <c r="R438" s="194"/>
      <c r="S438" s="195"/>
      <c r="T438" s="195"/>
      <c r="U438" s="195"/>
      <c r="V438" s="195"/>
      <c r="W438" s="195"/>
      <c r="X438" s="195"/>
      <c r="Y438" s="196"/>
      <c r="Z438" s="149" t="str">
        <f t="shared" ca="1" si="653"/>
        <v>nie</v>
      </c>
      <c r="AA438" s="366"/>
      <c r="AB438" s="150" t="str">
        <f t="shared" ca="1" si="654"/>
        <v>-</v>
      </c>
      <c r="AC438" s="151" t="str">
        <f t="shared" ca="1" si="618"/>
        <v>PO ZMIANIE</v>
      </c>
      <c r="AD438" s="152" t="str">
        <f t="shared" ca="1" si="655"/>
        <v/>
      </c>
      <c r="AE438" s="153" t="str">
        <f t="shared" ca="1" si="619"/>
        <v/>
      </c>
      <c r="AF438" s="154" t="str">
        <f t="shared" ca="1" si="620"/>
        <v/>
      </c>
      <c r="AG438" s="155" t="str">
        <f t="shared" ca="1" si="621"/>
        <v/>
      </c>
      <c r="AH438" s="155" t="str">
        <f t="shared" ca="1" si="622"/>
        <v/>
      </c>
      <c r="AI438" s="156" t="str">
        <f t="shared" ca="1" si="623"/>
        <v/>
      </c>
      <c r="AJ438" s="157" t="str">
        <f t="shared" ca="1" si="624"/>
        <v/>
      </c>
      <c r="AK438" s="158" t="str">
        <f t="shared" ca="1" si="656"/>
        <v/>
      </c>
      <c r="AL438" s="158" t="str">
        <f t="shared" ca="1" si="657"/>
        <v/>
      </c>
      <c r="AM438" s="159" t="str">
        <f t="shared" ca="1" si="658"/>
        <v/>
      </c>
      <c r="AN438" s="160" t="str">
        <f t="shared" ca="1" si="625"/>
        <v/>
      </c>
      <c r="AO438" s="161" t="str">
        <f t="shared" ca="1" si="626"/>
        <v/>
      </c>
      <c r="AP438" s="162" t="str">
        <f t="shared" ca="1" si="627"/>
        <v/>
      </c>
      <c r="AQ438" s="163" t="str">
        <f t="shared" ca="1" si="628"/>
        <v/>
      </c>
      <c r="AR438" s="164" t="str">
        <f t="shared" ca="1" si="629"/>
        <v/>
      </c>
      <c r="AS438" s="164" t="str">
        <f t="shared" ca="1" si="630"/>
        <v/>
      </c>
      <c r="AT438" s="164" t="str">
        <f t="shared" ca="1" si="631"/>
        <v/>
      </c>
      <c r="AU438" s="164" t="str">
        <f t="shared" ca="1" si="632"/>
        <v/>
      </c>
      <c r="AV438" s="164" t="str">
        <f t="shared" ca="1" si="633"/>
        <v/>
      </c>
      <c r="AW438" s="164" t="str">
        <f t="shared" ca="1" si="634"/>
        <v/>
      </c>
      <c r="AX438" s="164" t="str">
        <f t="shared" ca="1" si="635"/>
        <v/>
      </c>
      <c r="AY438" s="164" t="str">
        <f t="shared" ca="1" si="636"/>
        <v/>
      </c>
      <c r="AZ438" s="164" t="str">
        <f t="shared" ca="1" si="637"/>
        <v/>
      </c>
      <c r="BA438" s="165" t="str">
        <f t="shared" ca="1" si="638"/>
        <v>nie</v>
      </c>
      <c r="BB438" s="166" t="str">
        <f t="shared" ca="1" si="659"/>
        <v>-</v>
      </c>
      <c r="BC438" s="165" t="str">
        <f t="shared" ca="1" si="660"/>
        <v>nie</v>
      </c>
    </row>
    <row r="439" spans="1:55" ht="14.45" hidden="1" customHeight="1" x14ac:dyDescent="0.25">
      <c r="A439" s="493" t="s">
        <v>159</v>
      </c>
      <c r="B439" s="493" t="s">
        <v>26</v>
      </c>
      <c r="C439" s="494" t="s">
        <v>160</v>
      </c>
      <c r="D439" s="505" t="s">
        <v>161</v>
      </c>
      <c r="E439" s="497">
        <v>801</v>
      </c>
      <c r="F439" s="497">
        <v>80104</v>
      </c>
      <c r="G439" s="497">
        <v>6060</v>
      </c>
      <c r="H439" s="498" t="s">
        <v>162</v>
      </c>
      <c r="I439" s="499" t="str">
        <f ca="1">IF(COUNTIF(OFFSET(I439,-1,-8),"*propon*")&gt;0,OFFSET(I439,4,0),IF(Y439&gt;0,"2033",IF(X439&gt;0,"2032",IF(W439&gt;0,"2031",IF(V439&gt;0,"2030",IF(U439&gt;0,"2029",IF(T439&gt;0,"2028",IF(S439&gt;0,"2027",IF(R439&gt;0,"2026",IF(Q439&gt;0,"2025",IF(P439&gt;0,"2024",IF(M439&gt;0,"2023",IF(L439&gt;0,"2022","")))))))))))))</f>
        <v>2024</v>
      </c>
      <c r="J439" s="168" t="s">
        <v>102</v>
      </c>
      <c r="K439" s="169">
        <f>SUM(N439:O439)</f>
        <v>484044</v>
      </c>
      <c r="L439" s="170">
        <f t="shared" ref="L439:M439" si="712">SUM(L440:L441)</f>
        <v>0</v>
      </c>
      <c r="M439" s="171">
        <f t="shared" si="712"/>
        <v>154044</v>
      </c>
      <c r="N439" s="172">
        <f>SUM(L439:M439)</f>
        <v>154044</v>
      </c>
      <c r="O439" s="169">
        <f>SUM(P439:Y439)</f>
        <v>330000</v>
      </c>
      <c r="P439" s="173">
        <f t="shared" ref="P439:R439" si="713">SUM(P440:P441)</f>
        <v>330000</v>
      </c>
      <c r="Q439" s="171">
        <f t="shared" si="713"/>
        <v>0</v>
      </c>
      <c r="R439" s="174">
        <f t="shared" si="713"/>
        <v>0</v>
      </c>
      <c r="S439" s="175">
        <f t="shared" ref="S439:Y439" si="714">SUM(S440:S441)</f>
        <v>0</v>
      </c>
      <c r="T439" s="171">
        <f t="shared" si="714"/>
        <v>0</v>
      </c>
      <c r="U439" s="171">
        <f t="shared" si="714"/>
        <v>0</v>
      </c>
      <c r="V439" s="171">
        <f t="shared" si="714"/>
        <v>0</v>
      </c>
      <c r="W439" s="171">
        <f t="shared" si="714"/>
        <v>0</v>
      </c>
      <c r="X439" s="171">
        <f t="shared" si="714"/>
        <v>0</v>
      </c>
      <c r="Y439" s="174">
        <f t="shared" si="714"/>
        <v>0</v>
      </c>
      <c r="Z439" s="149" t="str">
        <f t="shared" ca="1" si="653"/>
        <v>nie</v>
      </c>
      <c r="AA439" s="368"/>
      <c r="AB439" s="150" t="str">
        <f t="shared" ca="1" si="654"/>
        <v>-</v>
      </c>
      <c r="AC439" s="151" t="str">
        <f t="shared" ca="1" si="618"/>
        <v>PO ZMIANIE</v>
      </c>
      <c r="AD439" s="152" t="str">
        <f t="shared" ca="1" si="655"/>
        <v>PO ZMIANIE</v>
      </c>
      <c r="AE439" s="153" t="str">
        <f t="shared" ca="1" si="619"/>
        <v>C/USN/V/P1/4</v>
      </c>
      <c r="AF439" s="154" t="str">
        <f t="shared" ca="1" si="620"/>
        <v>Zakupy inwestycyjne dla przedszkoli</v>
      </c>
      <c r="AG439" s="155">
        <f t="shared" ca="1" si="621"/>
        <v>80104</v>
      </c>
      <c r="AH439" s="155" t="str">
        <f t="shared" ca="1" si="622"/>
        <v>6060</v>
      </c>
      <c r="AI439" s="156" t="str">
        <f t="shared" ca="1" si="623"/>
        <v>GMMW</v>
      </c>
      <c r="AJ439" s="157" t="str">
        <f t="shared" ca="1" si="624"/>
        <v>WPF, w tym</v>
      </c>
      <c r="AK439" s="158" t="str">
        <f t="shared" ca="1" si="656"/>
        <v>C/USN/V/P1/4 80104 6060 GMMW</v>
      </c>
      <c r="AL439" s="158" t="str">
        <f t="shared" ca="1" si="657"/>
        <v>C/USN/V/P1/4 80104 6060 WPF, w tym</v>
      </c>
      <c r="AM439" s="159" t="str">
        <f t="shared" ca="1" si="658"/>
        <v>C/USN/V/P1/4 80104 6060 GMMW WPF, w tym</v>
      </c>
      <c r="AN439" s="160">
        <f t="shared" ca="1" si="625"/>
        <v>484044</v>
      </c>
      <c r="AO439" s="161">
        <f t="shared" ca="1" si="626"/>
        <v>0</v>
      </c>
      <c r="AP439" s="162">
        <f t="shared" ca="1" si="627"/>
        <v>154044</v>
      </c>
      <c r="AQ439" s="163">
        <f t="shared" ca="1" si="628"/>
        <v>330000</v>
      </c>
      <c r="AR439" s="164">
        <f t="shared" ca="1" si="629"/>
        <v>0</v>
      </c>
      <c r="AS439" s="164">
        <f t="shared" ca="1" si="630"/>
        <v>0</v>
      </c>
      <c r="AT439" s="164">
        <f t="shared" ca="1" si="631"/>
        <v>0</v>
      </c>
      <c r="AU439" s="164">
        <f t="shared" ca="1" si="632"/>
        <v>0</v>
      </c>
      <c r="AV439" s="164">
        <f t="shared" ca="1" si="633"/>
        <v>0</v>
      </c>
      <c r="AW439" s="164">
        <f t="shared" ca="1" si="634"/>
        <v>0</v>
      </c>
      <c r="AX439" s="164">
        <f t="shared" ca="1" si="635"/>
        <v>0</v>
      </c>
      <c r="AY439" s="164">
        <f t="shared" ca="1" si="636"/>
        <v>0</v>
      </c>
      <c r="AZ439" s="164">
        <f t="shared" ca="1" si="637"/>
        <v>0</v>
      </c>
      <c r="BA439" s="165" t="str">
        <f t="shared" ca="1" si="638"/>
        <v>nie</v>
      </c>
      <c r="BB439" s="166" t="str">
        <f t="shared" ca="1" si="659"/>
        <v>-</v>
      </c>
      <c r="BC439" s="165" t="str">
        <f t="shared" ca="1" si="660"/>
        <v>nie</v>
      </c>
    </row>
    <row r="440" spans="1:55" ht="14.45" hidden="1" customHeight="1" x14ac:dyDescent="0.25">
      <c r="A440" s="493"/>
      <c r="B440" s="493"/>
      <c r="C440" s="494"/>
      <c r="D440" s="506"/>
      <c r="E440" s="497"/>
      <c r="F440" s="497"/>
      <c r="G440" s="497"/>
      <c r="H440" s="498"/>
      <c r="I440" s="499"/>
      <c r="J440" s="177" t="s">
        <v>103</v>
      </c>
      <c r="K440" s="178">
        <f>SUM(N440:O440)</f>
        <v>330000</v>
      </c>
      <c r="L440" s="179"/>
      <c r="M440" s="180"/>
      <c r="N440" s="172">
        <f>SUM(L440:M440)</f>
        <v>0</v>
      </c>
      <c r="O440" s="178">
        <f>SUM(P440:Y440)</f>
        <v>330000</v>
      </c>
      <c r="P440" s="181">
        <f>130000+200000</f>
        <v>330000</v>
      </c>
      <c r="Q440" s="180"/>
      <c r="R440" s="182"/>
      <c r="S440" s="183"/>
      <c r="T440" s="180"/>
      <c r="U440" s="180"/>
      <c r="V440" s="180"/>
      <c r="W440" s="180"/>
      <c r="X440" s="180"/>
      <c r="Y440" s="182"/>
      <c r="Z440" s="149" t="str">
        <f t="shared" ca="1" si="653"/>
        <v>nie</v>
      </c>
      <c r="AA440" s="384"/>
      <c r="AB440" s="150" t="str">
        <f t="shared" ca="1" si="654"/>
        <v>-</v>
      </c>
      <c r="AC440" s="151" t="str">
        <f t="shared" ca="1" si="618"/>
        <v>PO ZMIANIE</v>
      </c>
      <c r="AD440" s="152" t="str">
        <f t="shared" ca="1" si="655"/>
        <v>PO ZMIANIE</v>
      </c>
      <c r="AE440" s="153" t="str">
        <f t="shared" ca="1" si="619"/>
        <v>C/USN/V/P1/4</v>
      </c>
      <c r="AF440" s="154" t="str">
        <f t="shared" ca="1" si="620"/>
        <v>Zakupy inwestycyjne dla przedszkoli</v>
      </c>
      <c r="AG440" s="155">
        <f t="shared" ca="1" si="621"/>
        <v>80104</v>
      </c>
      <c r="AH440" s="155" t="str">
        <f t="shared" ca="1" si="622"/>
        <v>6060</v>
      </c>
      <c r="AI440" s="156" t="str">
        <f t="shared" ca="1" si="623"/>
        <v>GMMW</v>
      </c>
      <c r="AJ440" s="157" t="str">
        <f t="shared" ca="1" si="624"/>
        <v>WPF/PM</v>
      </c>
      <c r="AK440" s="158" t="str">
        <f t="shared" ca="1" si="656"/>
        <v>C/USN/V/P1/4 80104 6060 GMMW</v>
      </c>
      <c r="AL440" s="158" t="str">
        <f t="shared" ca="1" si="657"/>
        <v>C/USN/V/P1/4 80104 6060 WPF/PM</v>
      </c>
      <c r="AM440" s="159" t="str">
        <f t="shared" ca="1" si="658"/>
        <v>C/USN/V/P1/4 80104 6060 GMMW WPF/PM</v>
      </c>
      <c r="AN440" s="160">
        <f t="shared" ca="1" si="625"/>
        <v>330000</v>
      </c>
      <c r="AO440" s="161">
        <f t="shared" ca="1" si="626"/>
        <v>0</v>
      </c>
      <c r="AP440" s="162">
        <f t="shared" ca="1" si="627"/>
        <v>0</v>
      </c>
      <c r="AQ440" s="163">
        <f t="shared" ca="1" si="628"/>
        <v>330000</v>
      </c>
      <c r="AR440" s="164">
        <f t="shared" ca="1" si="629"/>
        <v>0</v>
      </c>
      <c r="AS440" s="164">
        <f t="shared" ca="1" si="630"/>
        <v>0</v>
      </c>
      <c r="AT440" s="164">
        <f t="shared" ca="1" si="631"/>
        <v>0</v>
      </c>
      <c r="AU440" s="164">
        <f t="shared" ca="1" si="632"/>
        <v>0</v>
      </c>
      <c r="AV440" s="164">
        <f t="shared" ca="1" si="633"/>
        <v>0</v>
      </c>
      <c r="AW440" s="164">
        <f t="shared" ca="1" si="634"/>
        <v>0</v>
      </c>
      <c r="AX440" s="164">
        <f t="shared" ca="1" si="635"/>
        <v>0</v>
      </c>
      <c r="AY440" s="164">
        <f t="shared" ca="1" si="636"/>
        <v>0</v>
      </c>
      <c r="AZ440" s="164">
        <f t="shared" ca="1" si="637"/>
        <v>0</v>
      </c>
      <c r="BA440" s="165" t="str">
        <f t="shared" ca="1" si="638"/>
        <v>nie</v>
      </c>
      <c r="BB440" s="166" t="str">
        <f t="shared" ca="1" si="659"/>
        <v>-</v>
      </c>
      <c r="BC440" s="165" t="str">
        <f t="shared" ca="1" si="660"/>
        <v>nie</v>
      </c>
    </row>
    <row r="441" spans="1:55" ht="14.45" hidden="1" customHeight="1" thickBot="1" x14ac:dyDescent="0.3">
      <c r="A441" s="500"/>
      <c r="B441" s="500"/>
      <c r="C441" s="501"/>
      <c r="D441" s="513"/>
      <c r="E441" s="503"/>
      <c r="F441" s="503"/>
      <c r="G441" s="503"/>
      <c r="H441" s="504"/>
      <c r="I441" s="499"/>
      <c r="J441" s="197" t="s">
        <v>104</v>
      </c>
      <c r="K441" s="198">
        <f>SUM(N441:O441)</f>
        <v>154044</v>
      </c>
      <c r="L441" s="199"/>
      <c r="M441" s="200">
        <f>115000+40000-956</f>
        <v>154044</v>
      </c>
      <c r="N441" s="371">
        <f>SUM(L441:M441)</f>
        <v>154044</v>
      </c>
      <c r="O441" s="198">
        <f>SUM(P441:Y441)</f>
        <v>0</v>
      </c>
      <c r="P441" s="201"/>
      <c r="Q441" s="200"/>
      <c r="R441" s="202"/>
      <c r="S441" s="203"/>
      <c r="T441" s="200"/>
      <c r="U441" s="200"/>
      <c r="V441" s="200"/>
      <c r="W441" s="200"/>
      <c r="X441" s="200"/>
      <c r="Y441" s="202"/>
      <c r="Z441" s="149" t="str">
        <f t="shared" ca="1" si="653"/>
        <v>nie</v>
      </c>
      <c r="AA441" s="384"/>
      <c r="AB441" s="150" t="str">
        <f t="shared" ca="1" si="654"/>
        <v>-</v>
      </c>
      <c r="AC441" s="151" t="str">
        <f t="shared" ca="1" si="618"/>
        <v>PO ZMIANIE</v>
      </c>
      <c r="AD441" s="152" t="str">
        <f t="shared" ca="1" si="655"/>
        <v>PO ZMIANIE</v>
      </c>
      <c r="AE441" s="153" t="str">
        <f t="shared" ca="1" si="619"/>
        <v>C/USN/V/P1/4</v>
      </c>
      <c r="AF441" s="154" t="str">
        <f t="shared" ca="1" si="620"/>
        <v>Zakupy inwestycyjne dla przedszkoli</v>
      </c>
      <c r="AG441" s="155">
        <f t="shared" ca="1" si="621"/>
        <v>80104</v>
      </c>
      <c r="AH441" s="155" t="str">
        <f t="shared" ca="1" si="622"/>
        <v>6060</v>
      </c>
      <c r="AI441" s="156" t="str">
        <f t="shared" ca="1" si="623"/>
        <v>GMMW</v>
      </c>
      <c r="AJ441" s="157" t="str">
        <f t="shared" ca="1" si="624"/>
        <v>WPF/UM</v>
      </c>
      <c r="AK441" s="158" t="str">
        <f t="shared" ca="1" si="656"/>
        <v>C/USN/V/P1/4 80104 6060 GMMW</v>
      </c>
      <c r="AL441" s="158" t="str">
        <f t="shared" ca="1" si="657"/>
        <v>C/USN/V/P1/4 80104 6060 WPF/UM</v>
      </c>
      <c r="AM441" s="159" t="str">
        <f t="shared" ca="1" si="658"/>
        <v>C/USN/V/P1/4 80104 6060 GMMW WPF/UM</v>
      </c>
      <c r="AN441" s="160">
        <f t="shared" ca="1" si="625"/>
        <v>154044</v>
      </c>
      <c r="AO441" s="161">
        <f t="shared" ca="1" si="626"/>
        <v>0</v>
      </c>
      <c r="AP441" s="162">
        <f t="shared" ca="1" si="627"/>
        <v>154044</v>
      </c>
      <c r="AQ441" s="163">
        <f t="shared" ca="1" si="628"/>
        <v>0</v>
      </c>
      <c r="AR441" s="164">
        <f t="shared" ca="1" si="629"/>
        <v>0</v>
      </c>
      <c r="AS441" s="164">
        <f t="shared" ca="1" si="630"/>
        <v>0</v>
      </c>
      <c r="AT441" s="164">
        <f t="shared" ca="1" si="631"/>
        <v>0</v>
      </c>
      <c r="AU441" s="164">
        <f t="shared" ca="1" si="632"/>
        <v>0</v>
      </c>
      <c r="AV441" s="164">
        <f t="shared" ca="1" si="633"/>
        <v>0</v>
      </c>
      <c r="AW441" s="164">
        <f t="shared" ca="1" si="634"/>
        <v>0</v>
      </c>
      <c r="AX441" s="164">
        <f t="shared" ca="1" si="635"/>
        <v>0</v>
      </c>
      <c r="AY441" s="164">
        <f t="shared" ca="1" si="636"/>
        <v>0</v>
      </c>
      <c r="AZ441" s="164">
        <f t="shared" ca="1" si="637"/>
        <v>0</v>
      </c>
      <c r="BA441" s="165" t="str">
        <f t="shared" ca="1" si="638"/>
        <v>nie</v>
      </c>
      <c r="BB441" s="166" t="str">
        <f t="shared" ca="1" si="659"/>
        <v>-</v>
      </c>
      <c r="BC441" s="165" t="str">
        <f t="shared" ca="1" si="660"/>
        <v>nie</v>
      </c>
    </row>
    <row r="442" spans="1:55" s="167" customFormat="1" ht="14.45" hidden="1" customHeight="1" x14ac:dyDescent="0.25">
      <c r="A442" s="143" t="s">
        <v>91</v>
      </c>
      <c r="B442" s="144"/>
      <c r="C442" s="145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6"/>
      <c r="S442" s="147"/>
      <c r="T442" s="147"/>
      <c r="U442" s="147"/>
      <c r="V442" s="147"/>
      <c r="W442" s="147"/>
      <c r="X442" s="147"/>
      <c r="Y442" s="148"/>
      <c r="Z442" s="149" t="str">
        <f t="shared" ca="1" si="653"/>
        <v>nie</v>
      </c>
      <c r="AA442" s="366"/>
      <c r="AB442" s="150" t="str">
        <f t="shared" ca="1" si="654"/>
        <v>-</v>
      </c>
      <c r="AC442" s="151" t="str">
        <f t="shared" ca="1" si="618"/>
        <v>PRZED ZMIANĄ</v>
      </c>
      <c r="AD442" s="152" t="str">
        <f t="shared" ref="AD442:AD478" ca="1" si="715">IF(AE442="","",AC442)</f>
        <v/>
      </c>
      <c r="AE442" s="153" t="str">
        <f t="shared" ca="1" si="619"/>
        <v/>
      </c>
      <c r="AF442" s="154" t="str">
        <f t="shared" ca="1" si="620"/>
        <v/>
      </c>
      <c r="AG442" s="155" t="str">
        <f t="shared" ca="1" si="621"/>
        <v/>
      </c>
      <c r="AH442" s="155" t="str">
        <f t="shared" ca="1" si="622"/>
        <v/>
      </c>
      <c r="AI442" s="156" t="str">
        <f t="shared" ca="1" si="623"/>
        <v/>
      </c>
      <c r="AJ442" s="157" t="str">
        <f t="shared" ca="1" si="624"/>
        <v/>
      </c>
      <c r="AK442" s="158" t="str">
        <f t="shared" ref="AK442:AK478" ca="1" si="716">IF(AH442="","",AE442&amp;" "&amp;AG442&amp;" "&amp;AH442&amp;" "&amp;AI442)</f>
        <v/>
      </c>
      <c r="AL442" s="158" t="str">
        <f t="shared" ref="AL442:AL478" ca="1" si="717">IF(AH442="","",AE442&amp;" "&amp;AG442&amp;" "&amp;AH442&amp;" "&amp;AJ442)</f>
        <v/>
      </c>
      <c r="AM442" s="159" t="str">
        <f t="shared" ref="AM442:AM478" ca="1" si="718">IF(AH442="","",AE442&amp;" "&amp;AG442&amp;" "&amp;AH442&amp;" "&amp;AI442&amp;" "&amp;AJ442)</f>
        <v/>
      </c>
      <c r="AN442" s="160" t="str">
        <f t="shared" ca="1" si="625"/>
        <v/>
      </c>
      <c r="AO442" s="161" t="str">
        <f t="shared" ca="1" si="626"/>
        <v/>
      </c>
      <c r="AP442" s="162" t="str">
        <f t="shared" ca="1" si="627"/>
        <v/>
      </c>
      <c r="AQ442" s="163" t="str">
        <f t="shared" ca="1" si="628"/>
        <v/>
      </c>
      <c r="AR442" s="164" t="str">
        <f t="shared" ca="1" si="629"/>
        <v/>
      </c>
      <c r="AS442" s="164" t="str">
        <f t="shared" ca="1" si="630"/>
        <v/>
      </c>
      <c r="AT442" s="164" t="str">
        <f t="shared" ca="1" si="631"/>
        <v/>
      </c>
      <c r="AU442" s="164" t="str">
        <f t="shared" ca="1" si="632"/>
        <v/>
      </c>
      <c r="AV442" s="164" t="str">
        <f t="shared" ca="1" si="633"/>
        <v/>
      </c>
      <c r="AW442" s="164" t="str">
        <f t="shared" ca="1" si="634"/>
        <v/>
      </c>
      <c r="AX442" s="164" t="str">
        <f t="shared" ca="1" si="635"/>
        <v/>
      </c>
      <c r="AY442" s="164" t="str">
        <f t="shared" ca="1" si="636"/>
        <v/>
      </c>
      <c r="AZ442" s="164" t="str">
        <f t="shared" ca="1" si="637"/>
        <v/>
      </c>
      <c r="BA442" s="165" t="str">
        <f t="shared" ca="1" si="638"/>
        <v>nie</v>
      </c>
      <c r="BB442" s="166" t="str">
        <f t="shared" ca="1" si="659"/>
        <v>-</v>
      </c>
      <c r="BC442" s="165" t="str">
        <f t="shared" ca="1" si="660"/>
        <v>nie</v>
      </c>
    </row>
    <row r="443" spans="1:55" s="176" customFormat="1" ht="14.45" hidden="1" customHeight="1" x14ac:dyDescent="0.25">
      <c r="A443" s="493" t="s">
        <v>24</v>
      </c>
      <c r="B443" s="493" t="s">
        <v>26</v>
      </c>
      <c r="C443" s="494" t="s">
        <v>163</v>
      </c>
      <c r="D443" s="540" t="s">
        <v>164</v>
      </c>
      <c r="E443" s="497">
        <v>801</v>
      </c>
      <c r="F443" s="497">
        <v>80101</v>
      </c>
      <c r="G443" s="497">
        <v>6050</v>
      </c>
      <c r="H443" s="507">
        <v>2021</v>
      </c>
      <c r="I443" s="499" t="str">
        <f ca="1">IF(COUNTIF(OFFSET(I443,-1,-8),"*propon*")&gt;0,OFFSET(I443,4,0),IF(Y443&gt;0,"2033",IF(X443&gt;0,"2032",IF(W443&gt;0,"2031",IF(V443&gt;0,"2030",IF(U443&gt;0,"2029",IF(T443&gt;0,"2028",IF(S443&gt;0,"2027",IF(R443&gt;0,"2026",IF(Q443&gt;0,"2025",IF(P443&gt;0,"2024",IF(M443&gt;0,"2023",IF(L443&gt;0,"2022","")))))))))))))</f>
        <v>2024</v>
      </c>
      <c r="J443" s="168" t="s">
        <v>94</v>
      </c>
      <c r="K443" s="169">
        <f>SUM(N443:O443)</f>
        <v>15283331</v>
      </c>
      <c r="L443" s="170">
        <f t="shared" ref="L443:M443" si="719">SUM(L444:L445)</f>
        <v>11316530</v>
      </c>
      <c r="M443" s="171">
        <f t="shared" si="719"/>
        <v>2805801</v>
      </c>
      <c r="N443" s="172">
        <f>SUM(L443:M443)</f>
        <v>14122331</v>
      </c>
      <c r="O443" s="169">
        <f>SUM(P443:Y443)</f>
        <v>1161000</v>
      </c>
      <c r="P443" s="173">
        <f t="shared" ref="P443:R443" si="720">SUM(P444:P445)</f>
        <v>1161000</v>
      </c>
      <c r="Q443" s="171">
        <f t="shared" si="720"/>
        <v>0</v>
      </c>
      <c r="R443" s="174">
        <f t="shared" si="720"/>
        <v>0</v>
      </c>
      <c r="S443" s="175">
        <f t="shared" ref="S443:Y443" si="721">SUM(S444:S445)</f>
        <v>0</v>
      </c>
      <c r="T443" s="171">
        <f t="shared" si="721"/>
        <v>0</v>
      </c>
      <c r="U443" s="171">
        <f t="shared" si="721"/>
        <v>0</v>
      </c>
      <c r="V443" s="171">
        <f t="shared" si="721"/>
        <v>0</v>
      </c>
      <c r="W443" s="171">
        <f t="shared" si="721"/>
        <v>0</v>
      </c>
      <c r="X443" s="171">
        <f t="shared" si="721"/>
        <v>0</v>
      </c>
      <c r="Y443" s="174">
        <f t="shared" si="721"/>
        <v>0</v>
      </c>
      <c r="Z443" s="149" t="str">
        <f t="shared" ca="1" si="653"/>
        <v>nie</v>
      </c>
      <c r="AA443" s="366"/>
      <c r="AB443" s="150" t="str">
        <f t="shared" ca="1" si="654"/>
        <v>-</v>
      </c>
      <c r="AC443" s="151" t="str">
        <f t="shared" ca="1" si="618"/>
        <v>PRZED ZMIANĄ</v>
      </c>
      <c r="AD443" s="152" t="str">
        <f t="shared" ca="1" si="715"/>
        <v>PRZED ZMIANĄ</v>
      </c>
      <c r="AE443" s="153" t="str">
        <f t="shared" ca="1" si="619"/>
        <v>C/USN/V/P1/65</v>
      </c>
      <c r="AF443" s="154" t="str">
        <f t="shared" ca="1" si="620"/>
        <v>Modernizacja budynku B Szkoły Podstawowej nr 340 wraz z adaptacją pomieszczeń na potrzeby Poradni Psychologiczno - Pedagogicznej nr 19 wraz z termomodernizacją</v>
      </c>
      <c r="AG443" s="155">
        <f t="shared" ca="1" si="621"/>
        <v>80101</v>
      </c>
      <c r="AH443" s="155" t="str">
        <f t="shared" ca="1" si="622"/>
        <v>6050</v>
      </c>
      <c r="AI443" s="156" t="str">
        <f t="shared" ca="1" si="623"/>
        <v>GMMW</v>
      </c>
      <c r="AJ443" s="157" t="str">
        <f t="shared" ca="1" si="624"/>
        <v>WPF, w tym</v>
      </c>
      <c r="AK443" s="158" t="str">
        <f t="shared" ca="1" si="716"/>
        <v>C/USN/V/P1/65 80101 6050 GMMW</v>
      </c>
      <c r="AL443" s="158" t="str">
        <f t="shared" ca="1" si="717"/>
        <v>C/USN/V/P1/65 80101 6050 WPF, w tym</v>
      </c>
      <c r="AM443" s="159" t="str">
        <f t="shared" ca="1" si="718"/>
        <v>C/USN/V/P1/65 80101 6050 GMMW WPF, w tym</v>
      </c>
      <c r="AN443" s="160">
        <f t="shared" ca="1" si="625"/>
        <v>15283331</v>
      </c>
      <c r="AO443" s="161">
        <f t="shared" ca="1" si="626"/>
        <v>11316530</v>
      </c>
      <c r="AP443" s="162">
        <f t="shared" ca="1" si="627"/>
        <v>2805801</v>
      </c>
      <c r="AQ443" s="163">
        <f t="shared" ca="1" si="628"/>
        <v>1161000</v>
      </c>
      <c r="AR443" s="164">
        <f t="shared" ca="1" si="629"/>
        <v>0</v>
      </c>
      <c r="AS443" s="164">
        <f t="shared" ca="1" si="630"/>
        <v>0</v>
      </c>
      <c r="AT443" s="164">
        <f t="shared" ca="1" si="631"/>
        <v>0</v>
      </c>
      <c r="AU443" s="164">
        <f t="shared" ca="1" si="632"/>
        <v>0</v>
      </c>
      <c r="AV443" s="164">
        <f t="shared" ca="1" si="633"/>
        <v>0</v>
      </c>
      <c r="AW443" s="164">
        <f t="shared" ca="1" si="634"/>
        <v>0</v>
      </c>
      <c r="AX443" s="164">
        <f t="shared" ca="1" si="635"/>
        <v>0</v>
      </c>
      <c r="AY443" s="164">
        <f t="shared" ca="1" si="636"/>
        <v>0</v>
      </c>
      <c r="AZ443" s="164">
        <f t="shared" ca="1" si="637"/>
        <v>0</v>
      </c>
      <c r="BA443" s="165" t="str">
        <f t="shared" ca="1" si="638"/>
        <v>nie</v>
      </c>
      <c r="BB443" s="166" t="str">
        <f t="shared" ca="1" si="659"/>
        <v>-</v>
      </c>
      <c r="BC443" s="165" t="str">
        <f t="shared" ca="1" si="660"/>
        <v>nie</v>
      </c>
    </row>
    <row r="444" spans="1:55" s="167" customFormat="1" ht="14.45" hidden="1" customHeight="1" x14ac:dyDescent="0.25">
      <c r="A444" s="493"/>
      <c r="B444" s="493"/>
      <c r="C444" s="494"/>
      <c r="D444" s="540"/>
      <c r="E444" s="497"/>
      <c r="F444" s="497"/>
      <c r="G444" s="497"/>
      <c r="H444" s="498"/>
      <c r="I444" s="499"/>
      <c r="J444" s="177" t="s">
        <v>95</v>
      </c>
      <c r="K444" s="178">
        <f>SUM(N444:O444)</f>
        <v>1161000</v>
      </c>
      <c r="L444" s="179"/>
      <c r="M444" s="180"/>
      <c r="N444" s="172">
        <f>SUM(L444:M444)</f>
        <v>0</v>
      </c>
      <c r="O444" s="178">
        <f>SUM(P444:Y444)</f>
        <v>1161000</v>
      </c>
      <c r="P444" s="181">
        <v>1161000</v>
      </c>
      <c r="Q444" s="180"/>
      <c r="R444" s="182"/>
      <c r="S444" s="183"/>
      <c r="T444" s="180"/>
      <c r="U444" s="180"/>
      <c r="V444" s="180"/>
      <c r="W444" s="180"/>
      <c r="X444" s="180"/>
      <c r="Y444" s="182"/>
      <c r="Z444" s="149" t="str">
        <f t="shared" ca="1" si="653"/>
        <v>nie</v>
      </c>
      <c r="AA444" s="366"/>
      <c r="AB444" s="150" t="str">
        <f t="shared" ca="1" si="654"/>
        <v>-</v>
      </c>
      <c r="AC444" s="151" t="str">
        <f t="shared" ca="1" si="618"/>
        <v>PRZED ZMIANĄ</v>
      </c>
      <c r="AD444" s="152" t="str">
        <f t="shared" ca="1" si="715"/>
        <v>PRZED ZMIANĄ</v>
      </c>
      <c r="AE444" s="153" t="str">
        <f t="shared" ca="1" si="619"/>
        <v>C/USN/V/P1/65</v>
      </c>
      <c r="AF444" s="154" t="str">
        <f t="shared" ca="1" si="620"/>
        <v>Modernizacja budynku B Szkoły Podstawowej nr 340 wraz z adaptacją pomieszczeń na potrzeby Poradni Psychologiczno - Pedagogicznej nr 19 wraz z termomodernizacją</v>
      </c>
      <c r="AG444" s="155">
        <f t="shared" ca="1" si="621"/>
        <v>80101</v>
      </c>
      <c r="AH444" s="155" t="str">
        <f t="shared" ca="1" si="622"/>
        <v>6050</v>
      </c>
      <c r="AI444" s="156" t="str">
        <f t="shared" ca="1" si="623"/>
        <v>GMMW</v>
      </c>
      <c r="AJ444" s="157" t="str">
        <f t="shared" ca="1" si="624"/>
        <v>WPF/PM</v>
      </c>
      <c r="AK444" s="158" t="str">
        <f t="shared" ca="1" si="716"/>
        <v>C/USN/V/P1/65 80101 6050 GMMW</v>
      </c>
      <c r="AL444" s="158" t="str">
        <f t="shared" ca="1" si="717"/>
        <v>C/USN/V/P1/65 80101 6050 WPF/PM</v>
      </c>
      <c r="AM444" s="159" t="str">
        <f t="shared" ca="1" si="718"/>
        <v>C/USN/V/P1/65 80101 6050 GMMW WPF/PM</v>
      </c>
      <c r="AN444" s="160">
        <f t="shared" ca="1" si="625"/>
        <v>1161000</v>
      </c>
      <c r="AO444" s="161">
        <f t="shared" ca="1" si="626"/>
        <v>0</v>
      </c>
      <c r="AP444" s="162">
        <f t="shared" ca="1" si="627"/>
        <v>0</v>
      </c>
      <c r="AQ444" s="163">
        <f t="shared" ca="1" si="628"/>
        <v>1161000</v>
      </c>
      <c r="AR444" s="164">
        <f t="shared" ca="1" si="629"/>
        <v>0</v>
      </c>
      <c r="AS444" s="164">
        <f t="shared" ca="1" si="630"/>
        <v>0</v>
      </c>
      <c r="AT444" s="164">
        <f t="shared" ca="1" si="631"/>
        <v>0</v>
      </c>
      <c r="AU444" s="164">
        <f t="shared" ca="1" si="632"/>
        <v>0</v>
      </c>
      <c r="AV444" s="164">
        <f t="shared" ca="1" si="633"/>
        <v>0</v>
      </c>
      <c r="AW444" s="164">
        <f t="shared" ca="1" si="634"/>
        <v>0</v>
      </c>
      <c r="AX444" s="164">
        <f t="shared" ca="1" si="635"/>
        <v>0</v>
      </c>
      <c r="AY444" s="164">
        <f t="shared" ca="1" si="636"/>
        <v>0</v>
      </c>
      <c r="AZ444" s="164">
        <f t="shared" ca="1" si="637"/>
        <v>0</v>
      </c>
      <c r="BA444" s="165" t="str">
        <f t="shared" ca="1" si="638"/>
        <v>nie</v>
      </c>
      <c r="BB444" s="166" t="str">
        <f t="shared" ca="1" si="659"/>
        <v>-</v>
      </c>
      <c r="BC444" s="165" t="str">
        <f t="shared" ca="1" si="660"/>
        <v>nie</v>
      </c>
    </row>
    <row r="445" spans="1:55" s="167" customFormat="1" ht="14.45" hidden="1" customHeight="1" x14ac:dyDescent="0.25">
      <c r="A445" s="493"/>
      <c r="B445" s="493"/>
      <c r="C445" s="494"/>
      <c r="D445" s="540"/>
      <c r="E445" s="497"/>
      <c r="F445" s="497"/>
      <c r="G445" s="497"/>
      <c r="H445" s="498"/>
      <c r="I445" s="499"/>
      <c r="J445" s="177" t="s">
        <v>96</v>
      </c>
      <c r="K445" s="178">
        <f>SUM(N445:O445)</f>
        <v>14122331</v>
      </c>
      <c r="L445" s="184">
        <v>11316530</v>
      </c>
      <c r="M445" s="180">
        <v>2805801</v>
      </c>
      <c r="N445" s="172">
        <f>SUM(L445:M445)</f>
        <v>14122331</v>
      </c>
      <c r="O445" s="178">
        <f>SUM(P445:Y445)</f>
        <v>0</v>
      </c>
      <c r="P445" s="181"/>
      <c r="Q445" s="180"/>
      <c r="R445" s="182"/>
      <c r="S445" s="183"/>
      <c r="T445" s="180"/>
      <c r="U445" s="180"/>
      <c r="V445" s="180"/>
      <c r="W445" s="180"/>
      <c r="X445" s="180"/>
      <c r="Y445" s="182"/>
      <c r="Z445" s="149" t="str">
        <f t="shared" ca="1" si="653"/>
        <v>nie</v>
      </c>
      <c r="AA445" s="366"/>
      <c r="AB445" s="150" t="str">
        <f t="shared" ca="1" si="654"/>
        <v>-</v>
      </c>
      <c r="AC445" s="151" t="str">
        <f t="shared" ca="1" si="618"/>
        <v>PRZED ZMIANĄ</v>
      </c>
      <c r="AD445" s="152" t="str">
        <f t="shared" ca="1" si="715"/>
        <v>PRZED ZMIANĄ</v>
      </c>
      <c r="AE445" s="153" t="str">
        <f t="shared" ca="1" si="619"/>
        <v>C/USN/V/P1/65</v>
      </c>
      <c r="AF445" s="154" t="str">
        <f t="shared" ca="1" si="620"/>
        <v>Modernizacja budynku B Szkoły Podstawowej nr 340 wraz z adaptacją pomieszczeń na potrzeby Poradni Psychologiczno - Pedagogicznej nr 19 wraz z termomodernizacją</v>
      </c>
      <c r="AG445" s="155">
        <f t="shared" ca="1" si="621"/>
        <v>80101</v>
      </c>
      <c r="AH445" s="155" t="str">
        <f t="shared" ca="1" si="622"/>
        <v>6050</v>
      </c>
      <c r="AI445" s="156" t="str">
        <f t="shared" ca="1" si="623"/>
        <v>GMMW</v>
      </c>
      <c r="AJ445" s="157" t="str">
        <f t="shared" ca="1" si="624"/>
        <v>WPF/UM</v>
      </c>
      <c r="AK445" s="158" t="str">
        <f t="shared" ca="1" si="716"/>
        <v>C/USN/V/P1/65 80101 6050 GMMW</v>
      </c>
      <c r="AL445" s="158" t="str">
        <f t="shared" ca="1" si="717"/>
        <v>C/USN/V/P1/65 80101 6050 WPF/UM</v>
      </c>
      <c r="AM445" s="159" t="str">
        <f t="shared" ca="1" si="718"/>
        <v>C/USN/V/P1/65 80101 6050 GMMW WPF/UM</v>
      </c>
      <c r="AN445" s="160">
        <f t="shared" ca="1" si="625"/>
        <v>14122331</v>
      </c>
      <c r="AO445" s="161">
        <f t="shared" ca="1" si="626"/>
        <v>11316530</v>
      </c>
      <c r="AP445" s="162">
        <f t="shared" ca="1" si="627"/>
        <v>2805801</v>
      </c>
      <c r="AQ445" s="163">
        <f t="shared" ca="1" si="628"/>
        <v>0</v>
      </c>
      <c r="AR445" s="164">
        <f t="shared" ca="1" si="629"/>
        <v>0</v>
      </c>
      <c r="AS445" s="164">
        <f t="shared" ca="1" si="630"/>
        <v>0</v>
      </c>
      <c r="AT445" s="164">
        <f t="shared" ca="1" si="631"/>
        <v>0</v>
      </c>
      <c r="AU445" s="164">
        <f t="shared" ca="1" si="632"/>
        <v>0</v>
      </c>
      <c r="AV445" s="164">
        <f t="shared" ca="1" si="633"/>
        <v>0</v>
      </c>
      <c r="AW445" s="164">
        <f t="shared" ca="1" si="634"/>
        <v>0</v>
      </c>
      <c r="AX445" s="164">
        <f t="shared" ca="1" si="635"/>
        <v>0</v>
      </c>
      <c r="AY445" s="164">
        <f t="shared" ca="1" si="636"/>
        <v>0</v>
      </c>
      <c r="AZ445" s="164">
        <f t="shared" ca="1" si="637"/>
        <v>0</v>
      </c>
      <c r="BA445" s="165" t="str">
        <f t="shared" ca="1" si="638"/>
        <v>nie</v>
      </c>
      <c r="BB445" s="166" t="str">
        <f t="shared" ca="1" si="659"/>
        <v>-</v>
      </c>
      <c r="BC445" s="165" t="str">
        <f t="shared" ca="1" si="660"/>
        <v>nie</v>
      </c>
    </row>
    <row r="446" spans="1:55" s="167" customFormat="1" ht="14.45" hidden="1" customHeight="1" x14ac:dyDescent="0.25">
      <c r="A446" s="185" t="s">
        <v>97</v>
      </c>
      <c r="B446" s="186"/>
      <c r="C446" s="187"/>
      <c r="D446" s="186"/>
      <c r="E446" s="186"/>
      <c r="F446" s="186"/>
      <c r="G446" s="186"/>
      <c r="H446" s="186"/>
      <c r="I446" s="186"/>
      <c r="J446" s="186"/>
      <c r="K446" s="186"/>
      <c r="L446" s="186"/>
      <c r="M446" s="186"/>
      <c r="N446" s="186"/>
      <c r="O446" s="186"/>
      <c r="P446" s="186"/>
      <c r="Q446" s="186"/>
      <c r="R446" s="188"/>
      <c r="S446" s="189"/>
      <c r="T446" s="189"/>
      <c r="U446" s="189"/>
      <c r="V446" s="189"/>
      <c r="W446" s="189"/>
      <c r="X446" s="189"/>
      <c r="Y446" s="190"/>
      <c r="Z446" s="149" t="str">
        <f t="shared" ca="1" si="653"/>
        <v>nie</v>
      </c>
      <c r="AA446" s="366"/>
      <c r="AB446" s="150" t="str">
        <f t="shared" ca="1" si="654"/>
        <v>-</v>
      </c>
      <c r="AC446" s="151" t="str">
        <f t="shared" ref="AC446:AC489" ca="1" si="722">IF(OR(A446="",COUNTIF(A446,"*12.000*")&gt;0),OFFSET(AC446,-1,0),A446)</f>
        <v>PROPONOWANA ZMIANA</v>
      </c>
      <c r="AD446" s="152" t="str">
        <f t="shared" ca="1" si="715"/>
        <v/>
      </c>
      <c r="AE446" s="153" t="str">
        <f t="shared" ref="AE446:AE489" ca="1" si="723">IF(COUNTIF(A446,"*bilans*")&gt;0,"Bilans zmian",IF(COUNTIF(A446,"*zmi*")&gt;0,"",IF(COUNTIF(A446:C446,"")=0,C446,IF(AND(COUNTIF(C446,"")=1,COUNTIF(OFFSET(A446,-1,0),"*przed*")=1,COUNTIF(OFFSET(AE446,4,0),"")=0),OFFSET(AE446,4,0),IF(AND(COUNTIF(A446:B446,"")=0,COUNTIF(OFFSET(A446,-1,0),"*zmi*")=1),"nowe:"&amp;" "&amp;AF446,OFFSET(AE446,-1,0))))))</f>
        <v/>
      </c>
      <c r="AF446" s="154" t="str">
        <f t="shared" ref="AF446:AF489" ca="1" si="724">IF(COUNTIF(A446,"*zmi*")&gt;0,"",IF(COUNTIF(A446:C446,"")=0,D446,IF(AND(COUNTIF(C446,"")=1,COUNTIF(OFFSET(A446,-1,0),"*przed*")=1),OFFSET(AF446,4,0),IF(AND(COUNTIF(A446:B446,"")=0,COUNTIF(OFFSET(A446,-1,0),"*zmi*")=1),D446,OFFSET(AF446,-1,0)))))</f>
        <v/>
      </c>
      <c r="AG446" s="155" t="str">
        <f t="shared" ref="AG446:AG489" ca="1" si="725">IF(COUNTIF($A446,"*zmi*")&gt;0,"",IF(COUNTIF($A446:$C446,"")=0,F446,IF(AND(COUNTIF($C446,"")=1,COUNTIF(OFFSET($A446,-1,0),"*przed*")=1),OFFSET(AG446,4,0),IF(AND(COUNTIF($A446:$B446,"")=0,COUNTIF(OFFSET($A446,-1,0),"*zmi*")=1),F446,OFFSET(AG446,-1,0)))))</f>
        <v/>
      </c>
      <c r="AH446" s="155" t="str">
        <f t="shared" ref="AH446:AH489" ca="1" si="726">IF(COUNTIF($A446,"*zmi*")&gt;0,"",IF(COUNTIF($A446:$C446,"")=0,LEFT(G446,4),IF(AND(COUNTIF($C446,"")=1,COUNTIF(OFFSET($A446,-1,0),"*przed*")=1),OFFSET(AH446,4,0),IF(AND(COUNTIF($A446:$B446,"")=0,COUNTIF(OFFSET($A446,-1,0),"*zmi*")=1),LEFT(G446,4),OFFSET(AH446,-1,0)))))</f>
        <v/>
      </c>
      <c r="AI446" s="156" t="str">
        <f t="shared" ref="AI446:AI489" ca="1" si="727">IF(COUNTIF($A446,"*zmi*")&gt;0,"",IF(COUNTIF($A446:$C446,"")=0,B446,IF(AND(COUNTIF($C446,"")=1,COUNTIF(OFFSET($A446,-1,0),"*przed*")=1),OFFSET(AI446,4,0),IF(AND(COUNTIF($A446:$B446,"")=0,COUNTIF(OFFSET($A446,-1,0),"*zmi*")=1),B446,OFFSET(AI446,-1,0)))))</f>
        <v/>
      </c>
      <c r="AJ446" s="157" t="str">
        <f t="shared" ref="AJ446:AJ489" ca="1" si="728">IF(AH446="","",IF(COUNTIF(A446,"*zmi*")&gt;0,"",SUBSTITUTE(SUBSTITUTE(J446,";",""),":","")))</f>
        <v/>
      </c>
      <c r="AK446" s="158" t="str">
        <f t="shared" ca="1" si="716"/>
        <v/>
      </c>
      <c r="AL446" s="158" t="str">
        <f t="shared" ca="1" si="717"/>
        <v/>
      </c>
      <c r="AM446" s="159" t="str">
        <f t="shared" ca="1" si="718"/>
        <v/>
      </c>
      <c r="AN446" s="160" t="str">
        <f t="shared" ref="AN446:AN489" ca="1" si="729">IF(COUNTIF($AE446,"*bilans*")&gt;0,K446,IF(OR(COUNTIF($A446,"*zmi*")&gt;0,$AI446=""),"",K446))</f>
        <v/>
      </c>
      <c r="AO446" s="161" t="str">
        <f t="shared" ref="AO446:AO489" ca="1" si="730">IF(COUNTIF($AE446,"*bilans*")&gt;0,L446,IF(OR(COUNTIF($A446,"*zmi*")&gt;0,$AI446=""),"",L446))</f>
        <v/>
      </c>
      <c r="AP446" s="162" t="str">
        <f t="shared" ref="AP446:AP489" ca="1" si="731">IF(COUNTIF($AE446,"*bilans*")&gt;0,M446,IF(OR(COUNTIF($A446,"*zmi*")&gt;0,$AI446=""),"",M446))</f>
        <v/>
      </c>
      <c r="AQ446" s="163" t="str">
        <f t="shared" ref="AQ446:AQ489" ca="1" si="732">IF(COUNTIF($AE446,"*bilans*")&gt;0,P446,IF(OR(COUNTIF($A446,"*zmi*")&gt;0,$AI446=""),"",P446))</f>
        <v/>
      </c>
      <c r="AR446" s="164" t="str">
        <f t="shared" ref="AR446:AR489" ca="1" si="733">IF(COUNTIF($AE446,"*bilans*")&gt;0,Q446,IF(OR(COUNTIF($A446,"*zmi*")&gt;0,$AI446=""),"",Q446))</f>
        <v/>
      </c>
      <c r="AS446" s="164" t="str">
        <f t="shared" ref="AS446:AS489" ca="1" si="734">IF(COUNTIF($AE446,"*bilans*")&gt;0,R446,IF(OR(COUNTIF($A446,"*zmi*")&gt;0,$AI446=""),"",R446))</f>
        <v/>
      </c>
      <c r="AT446" s="164" t="str">
        <f t="shared" ref="AT446:AT489" ca="1" si="735">IF(COUNTIF($AE446,"*bilans*")&gt;0,S446,IF(OR(COUNTIF($A446,"*zmi*")&gt;0,$AI446=""),"",S446))</f>
        <v/>
      </c>
      <c r="AU446" s="164" t="str">
        <f t="shared" ref="AU446:AU489" ca="1" si="736">IF(COUNTIF($AE446,"*bilans*")&gt;0,T446,IF(OR(COUNTIF($A446,"*zmi*")&gt;0,$AI446=""),"",T446))</f>
        <v/>
      </c>
      <c r="AV446" s="164" t="str">
        <f t="shared" ref="AV446:AV489" ca="1" si="737">IF(COUNTIF($AE446,"*bilans*")&gt;0,U446,IF(OR(COUNTIF($A446,"*zmi*")&gt;0,$AI446=""),"",U446))</f>
        <v/>
      </c>
      <c r="AW446" s="164" t="str">
        <f t="shared" ref="AW446:AW489" ca="1" si="738">IF(COUNTIF($AE446,"*bilans*")&gt;0,V446,IF(OR(COUNTIF($A446,"*zmi*")&gt;0,$AI446=""),"",V446))</f>
        <v/>
      </c>
      <c r="AX446" s="164" t="str">
        <f t="shared" ref="AX446:AX489" ca="1" si="739">IF(COUNTIF($AE446,"*bilans*")&gt;0,W446,IF(OR(COUNTIF($A446,"*zmi*")&gt;0,$AI446=""),"",W446))</f>
        <v/>
      </c>
      <c r="AY446" s="164" t="str">
        <f t="shared" ref="AY446:AY489" ca="1" si="740">IF(COUNTIF($AE446,"*bilans*")&gt;0,X446,IF(OR(COUNTIF($A446,"*zmi*")&gt;0,$AI446=""),"",X446))</f>
        <v/>
      </c>
      <c r="AZ446" s="164" t="str">
        <f t="shared" ref="AZ446:AZ489" ca="1" si="741">IF(COUNTIF($AE446,"*bilans*")&gt;0,Y446,IF(OR(COUNTIF($A446,"*zmi*")&gt;0,$AI446=""),"",Y446))</f>
        <v/>
      </c>
      <c r="BA446" s="165" t="str">
        <f t="shared" ref="BA446:BA489" ca="1" si="742">Z446</f>
        <v>nie</v>
      </c>
      <c r="BB446" s="166" t="str">
        <f t="shared" ca="1" si="659"/>
        <v>-</v>
      </c>
      <c r="BC446" s="165" t="str">
        <f t="shared" ca="1" si="660"/>
        <v>nie</v>
      </c>
    </row>
    <row r="447" spans="1:55" s="176" customFormat="1" ht="14.45" hidden="1" customHeight="1" x14ac:dyDescent="0.25">
      <c r="A447" s="493" t="s">
        <v>24</v>
      </c>
      <c r="B447" s="493" t="s">
        <v>26</v>
      </c>
      <c r="C447" s="494" t="s">
        <v>163</v>
      </c>
      <c r="D447" s="540" t="s">
        <v>164</v>
      </c>
      <c r="E447" s="497">
        <v>801</v>
      </c>
      <c r="F447" s="497">
        <v>80101</v>
      </c>
      <c r="G447" s="497">
        <v>6050</v>
      </c>
      <c r="H447" s="507">
        <v>2021</v>
      </c>
      <c r="I447" s="499" t="str">
        <f ca="1">IF(COUNTIF(OFFSET(I447,-1,-8),"*propon*")&gt;0,OFFSET(I447,4,0),IF(Y447&gt;0,"2033",IF(X447&gt;0,"2032",IF(W447&gt;0,"2031",IF(V447&gt;0,"2030",IF(U447&gt;0,"2029",IF(T447&gt;0,"2028",IF(S447&gt;0,"2027",IF(R447&gt;0,"2026",IF(Q447&gt;0,"2025",IF(P447&gt;0,"2024",IF(M447&gt;0,"2023",IF(L447&gt;0,"2022","")))))))))))))</f>
        <v>2024</v>
      </c>
      <c r="J447" s="168" t="s">
        <v>98</v>
      </c>
      <c r="K447" s="169">
        <f>SUM(N447:O447)</f>
        <v>0</v>
      </c>
      <c r="L447" s="170">
        <f t="shared" ref="L447:M447" si="743">SUM(L448:L449)</f>
        <v>0</v>
      </c>
      <c r="M447" s="171">
        <f t="shared" si="743"/>
        <v>0</v>
      </c>
      <c r="N447" s="172">
        <f>SUM(L447:M447)</f>
        <v>0</v>
      </c>
      <c r="O447" s="169">
        <f>SUM(P447:Y447)</f>
        <v>0</v>
      </c>
      <c r="P447" s="173">
        <f t="shared" ref="P447:R447" si="744">SUM(P448:P449)</f>
        <v>0</v>
      </c>
      <c r="Q447" s="171">
        <f t="shared" si="744"/>
        <v>0</v>
      </c>
      <c r="R447" s="174">
        <f t="shared" si="744"/>
        <v>0</v>
      </c>
      <c r="S447" s="175">
        <f t="shared" ref="S447:Y447" si="745">SUM(S448:S449)</f>
        <v>0</v>
      </c>
      <c r="T447" s="171">
        <f t="shared" si="745"/>
        <v>0</v>
      </c>
      <c r="U447" s="171">
        <f t="shared" si="745"/>
        <v>0</v>
      </c>
      <c r="V447" s="171">
        <f t="shared" si="745"/>
        <v>0</v>
      </c>
      <c r="W447" s="171">
        <f t="shared" si="745"/>
        <v>0</v>
      </c>
      <c r="X447" s="171">
        <f t="shared" si="745"/>
        <v>0</v>
      </c>
      <c r="Y447" s="174">
        <f t="shared" si="745"/>
        <v>0</v>
      </c>
      <c r="Z447" s="149" t="str">
        <f t="shared" ca="1" si="653"/>
        <v>nie</v>
      </c>
      <c r="AA447" s="366"/>
      <c r="AB447" s="150" t="str">
        <f t="shared" ref="AB447:AB486" ca="1" si="746">IF(IF(OR(COUNTIF(AD447,"*bilans*")&gt;0,COUNTIF(AD447,"*prop*")&gt;0),COUNTIF(AO447:AZ447,"")+COUNTIF(AO447:AZ447,"0"),"")&lt;12,AE447,"-")</f>
        <v>-</v>
      </c>
      <c r="AC447" s="151" t="str">
        <f t="shared" ca="1" si="722"/>
        <v>PROPONOWANA ZMIANA</v>
      </c>
      <c r="AD447" s="152" t="str">
        <f t="shared" ca="1" si="715"/>
        <v>PROPONOWANA ZMIANA</v>
      </c>
      <c r="AE447" s="153" t="str">
        <f t="shared" ca="1" si="723"/>
        <v>C/USN/V/P1/65</v>
      </c>
      <c r="AF447" s="154" t="str">
        <f t="shared" ca="1" si="724"/>
        <v>Modernizacja budynku B Szkoły Podstawowej nr 340 wraz z adaptacją pomieszczeń na potrzeby Poradni Psychologiczno - Pedagogicznej nr 19 wraz z termomodernizacją</v>
      </c>
      <c r="AG447" s="155">
        <f t="shared" ca="1" si="725"/>
        <v>80101</v>
      </c>
      <c r="AH447" s="155" t="str">
        <f t="shared" ca="1" si="726"/>
        <v>6050</v>
      </c>
      <c r="AI447" s="156" t="str">
        <f t="shared" ca="1" si="727"/>
        <v>GMMW</v>
      </c>
      <c r="AJ447" s="157" t="str">
        <f t="shared" ca="1" si="728"/>
        <v>WPF, w tym</v>
      </c>
      <c r="AK447" s="158" t="str">
        <f t="shared" ca="1" si="716"/>
        <v>C/USN/V/P1/65 80101 6050 GMMW</v>
      </c>
      <c r="AL447" s="158" t="str">
        <f t="shared" ca="1" si="717"/>
        <v>C/USN/V/P1/65 80101 6050 WPF, w tym</v>
      </c>
      <c r="AM447" s="159" t="str">
        <f t="shared" ca="1" si="718"/>
        <v>C/USN/V/P1/65 80101 6050 GMMW WPF, w tym</v>
      </c>
      <c r="AN447" s="160">
        <f t="shared" ca="1" si="729"/>
        <v>0</v>
      </c>
      <c r="AO447" s="161">
        <f t="shared" ca="1" si="730"/>
        <v>0</v>
      </c>
      <c r="AP447" s="162">
        <f t="shared" ca="1" si="731"/>
        <v>0</v>
      </c>
      <c r="AQ447" s="163">
        <f t="shared" ca="1" si="732"/>
        <v>0</v>
      </c>
      <c r="AR447" s="164">
        <f t="shared" ca="1" si="733"/>
        <v>0</v>
      </c>
      <c r="AS447" s="164">
        <f t="shared" ca="1" si="734"/>
        <v>0</v>
      </c>
      <c r="AT447" s="164">
        <f t="shared" ca="1" si="735"/>
        <v>0</v>
      </c>
      <c r="AU447" s="164">
        <f t="shared" ca="1" si="736"/>
        <v>0</v>
      </c>
      <c r="AV447" s="164">
        <f t="shared" ca="1" si="737"/>
        <v>0</v>
      </c>
      <c r="AW447" s="164">
        <f t="shared" ca="1" si="738"/>
        <v>0</v>
      </c>
      <c r="AX447" s="164">
        <f t="shared" ca="1" si="739"/>
        <v>0</v>
      </c>
      <c r="AY447" s="164">
        <f t="shared" ca="1" si="740"/>
        <v>0</v>
      </c>
      <c r="AZ447" s="164">
        <f t="shared" ca="1" si="741"/>
        <v>0</v>
      </c>
      <c r="BA447" s="165" t="str">
        <f t="shared" ca="1" si="742"/>
        <v>nie</v>
      </c>
      <c r="BB447" s="166" t="str">
        <f t="shared" ref="BB447:BB486" ca="1" si="747">IF(COUNTIF(AD447,"*bilans*")&gt;0,"-",IF(IF(COUNTIF(AD447,"*prop*")&gt;0,COUNTIF(AO447:AZ447,"")+COUNTIF(AO447:AZ447,"0"),"")&lt;12,AK447,"-"))</f>
        <v>-</v>
      </c>
      <c r="BC447" s="165" t="str">
        <f t="shared" ca="1" si="660"/>
        <v>nie</v>
      </c>
    </row>
    <row r="448" spans="1:55" s="167" customFormat="1" ht="14.45" hidden="1" customHeight="1" x14ac:dyDescent="0.25">
      <c r="A448" s="493"/>
      <c r="B448" s="493"/>
      <c r="C448" s="494"/>
      <c r="D448" s="540"/>
      <c r="E448" s="497"/>
      <c r="F448" s="497"/>
      <c r="G448" s="497"/>
      <c r="H448" s="498"/>
      <c r="I448" s="499"/>
      <c r="J448" s="177" t="s">
        <v>99</v>
      </c>
      <c r="K448" s="178">
        <f>SUM(N448:O448)</f>
        <v>0</v>
      </c>
      <c r="L448" s="179">
        <f t="shared" ref="L448:M448" si="748">L452-L444</f>
        <v>0</v>
      </c>
      <c r="M448" s="180">
        <f t="shared" si="748"/>
        <v>0</v>
      </c>
      <c r="N448" s="172">
        <f>SUM(L448:M448)</f>
        <v>0</v>
      </c>
      <c r="O448" s="178">
        <f>SUM(P448:Y448)</f>
        <v>0</v>
      </c>
      <c r="P448" s="181">
        <f t="shared" ref="P448:R448" si="749">P452-P444</f>
        <v>0</v>
      </c>
      <c r="Q448" s="180">
        <f t="shared" si="749"/>
        <v>0</v>
      </c>
      <c r="R448" s="182">
        <f t="shared" si="749"/>
        <v>0</v>
      </c>
      <c r="S448" s="183">
        <f t="shared" ref="S448:Y449" si="750">S452-S444</f>
        <v>0</v>
      </c>
      <c r="T448" s="180">
        <f t="shared" si="750"/>
        <v>0</v>
      </c>
      <c r="U448" s="180">
        <f t="shared" si="750"/>
        <v>0</v>
      </c>
      <c r="V448" s="180">
        <f t="shared" si="750"/>
        <v>0</v>
      </c>
      <c r="W448" s="180">
        <f t="shared" si="750"/>
        <v>0</v>
      </c>
      <c r="X448" s="180">
        <f t="shared" si="750"/>
        <v>0</v>
      </c>
      <c r="Y448" s="182">
        <f t="shared" si="750"/>
        <v>0</v>
      </c>
      <c r="Z448" s="149" t="str">
        <f t="shared" ca="1" si="653"/>
        <v>nie</v>
      </c>
      <c r="AA448" s="366"/>
      <c r="AB448" s="150" t="str">
        <f t="shared" ca="1" si="746"/>
        <v>-</v>
      </c>
      <c r="AC448" s="151" t="str">
        <f t="shared" ca="1" si="722"/>
        <v>PROPONOWANA ZMIANA</v>
      </c>
      <c r="AD448" s="152" t="str">
        <f t="shared" ca="1" si="715"/>
        <v>PROPONOWANA ZMIANA</v>
      </c>
      <c r="AE448" s="153" t="str">
        <f t="shared" ca="1" si="723"/>
        <v>C/USN/V/P1/65</v>
      </c>
      <c r="AF448" s="154" t="str">
        <f t="shared" ca="1" si="724"/>
        <v>Modernizacja budynku B Szkoły Podstawowej nr 340 wraz z adaptacją pomieszczeń na potrzeby Poradni Psychologiczno - Pedagogicznej nr 19 wraz z termomodernizacją</v>
      </c>
      <c r="AG448" s="155">
        <f t="shared" ca="1" si="725"/>
        <v>80101</v>
      </c>
      <c r="AH448" s="155" t="str">
        <f t="shared" ca="1" si="726"/>
        <v>6050</v>
      </c>
      <c r="AI448" s="156" t="str">
        <f t="shared" ca="1" si="727"/>
        <v>GMMW</v>
      </c>
      <c r="AJ448" s="157" t="str">
        <f t="shared" ca="1" si="728"/>
        <v>WPF/PM</v>
      </c>
      <c r="AK448" s="158" t="str">
        <f t="shared" ca="1" si="716"/>
        <v>C/USN/V/P1/65 80101 6050 GMMW</v>
      </c>
      <c r="AL448" s="158" t="str">
        <f t="shared" ca="1" si="717"/>
        <v>C/USN/V/P1/65 80101 6050 WPF/PM</v>
      </c>
      <c r="AM448" s="159" t="str">
        <f t="shared" ca="1" si="718"/>
        <v>C/USN/V/P1/65 80101 6050 GMMW WPF/PM</v>
      </c>
      <c r="AN448" s="160">
        <f t="shared" ca="1" si="729"/>
        <v>0</v>
      </c>
      <c r="AO448" s="161">
        <f t="shared" ca="1" si="730"/>
        <v>0</v>
      </c>
      <c r="AP448" s="162">
        <f t="shared" ca="1" si="731"/>
        <v>0</v>
      </c>
      <c r="AQ448" s="163">
        <f t="shared" ca="1" si="732"/>
        <v>0</v>
      </c>
      <c r="AR448" s="164">
        <f t="shared" ca="1" si="733"/>
        <v>0</v>
      </c>
      <c r="AS448" s="164">
        <f t="shared" ca="1" si="734"/>
        <v>0</v>
      </c>
      <c r="AT448" s="164">
        <f t="shared" ca="1" si="735"/>
        <v>0</v>
      </c>
      <c r="AU448" s="164">
        <f t="shared" ca="1" si="736"/>
        <v>0</v>
      </c>
      <c r="AV448" s="164">
        <f t="shared" ca="1" si="737"/>
        <v>0</v>
      </c>
      <c r="AW448" s="164">
        <f t="shared" ca="1" si="738"/>
        <v>0</v>
      </c>
      <c r="AX448" s="164">
        <f t="shared" ca="1" si="739"/>
        <v>0</v>
      </c>
      <c r="AY448" s="164">
        <f t="shared" ca="1" si="740"/>
        <v>0</v>
      </c>
      <c r="AZ448" s="164">
        <f t="shared" ca="1" si="741"/>
        <v>0</v>
      </c>
      <c r="BA448" s="165" t="str">
        <f t="shared" ca="1" si="742"/>
        <v>nie</v>
      </c>
      <c r="BB448" s="166" t="str">
        <f t="shared" ca="1" si="747"/>
        <v>-</v>
      </c>
      <c r="BC448" s="165" t="str">
        <f t="shared" ca="1" si="660"/>
        <v>nie</v>
      </c>
    </row>
    <row r="449" spans="1:55" s="167" customFormat="1" ht="14.45" hidden="1" customHeight="1" x14ac:dyDescent="0.25">
      <c r="A449" s="493"/>
      <c r="B449" s="493"/>
      <c r="C449" s="494"/>
      <c r="D449" s="540"/>
      <c r="E449" s="497"/>
      <c r="F449" s="497"/>
      <c r="G449" s="497"/>
      <c r="H449" s="498"/>
      <c r="I449" s="499"/>
      <c r="J449" s="177" t="s">
        <v>100</v>
      </c>
      <c r="K449" s="178">
        <f>SUM(N449:O449)</f>
        <v>0</v>
      </c>
      <c r="L449" s="179">
        <f t="shared" ref="L449:M449" si="751">L453-L445</f>
        <v>0</v>
      </c>
      <c r="M449" s="180">
        <f t="shared" si="751"/>
        <v>0</v>
      </c>
      <c r="N449" s="172">
        <f>SUM(L449:M449)</f>
        <v>0</v>
      </c>
      <c r="O449" s="178">
        <f>SUM(P449:Y449)</f>
        <v>0</v>
      </c>
      <c r="P449" s="181">
        <f t="shared" ref="P449:R449" si="752">P453-P445</f>
        <v>0</v>
      </c>
      <c r="Q449" s="180">
        <f t="shared" si="752"/>
        <v>0</v>
      </c>
      <c r="R449" s="182">
        <f t="shared" si="752"/>
        <v>0</v>
      </c>
      <c r="S449" s="183">
        <f t="shared" si="750"/>
        <v>0</v>
      </c>
      <c r="T449" s="180">
        <f t="shared" si="750"/>
        <v>0</v>
      </c>
      <c r="U449" s="180">
        <f t="shared" si="750"/>
        <v>0</v>
      </c>
      <c r="V449" s="180">
        <f t="shared" si="750"/>
        <v>0</v>
      </c>
      <c r="W449" s="180">
        <f t="shared" si="750"/>
        <v>0</v>
      </c>
      <c r="X449" s="180">
        <f t="shared" si="750"/>
        <v>0</v>
      </c>
      <c r="Y449" s="182">
        <f t="shared" si="750"/>
        <v>0</v>
      </c>
      <c r="Z449" s="149" t="str">
        <f t="shared" ca="1" si="653"/>
        <v>nie</v>
      </c>
      <c r="AA449" s="366"/>
      <c r="AB449" s="150" t="str">
        <f t="shared" ca="1" si="746"/>
        <v>-</v>
      </c>
      <c r="AC449" s="151" t="str">
        <f t="shared" ca="1" si="722"/>
        <v>PROPONOWANA ZMIANA</v>
      </c>
      <c r="AD449" s="152" t="str">
        <f t="shared" ca="1" si="715"/>
        <v>PROPONOWANA ZMIANA</v>
      </c>
      <c r="AE449" s="153" t="str">
        <f t="shared" ca="1" si="723"/>
        <v>C/USN/V/P1/65</v>
      </c>
      <c r="AF449" s="154" t="str">
        <f t="shared" ca="1" si="724"/>
        <v>Modernizacja budynku B Szkoły Podstawowej nr 340 wraz z adaptacją pomieszczeń na potrzeby Poradni Psychologiczno - Pedagogicznej nr 19 wraz z termomodernizacją</v>
      </c>
      <c r="AG449" s="155">
        <f t="shared" ca="1" si="725"/>
        <v>80101</v>
      </c>
      <c r="AH449" s="155" t="str">
        <f t="shared" ca="1" si="726"/>
        <v>6050</v>
      </c>
      <c r="AI449" s="156" t="str">
        <f t="shared" ca="1" si="727"/>
        <v>GMMW</v>
      </c>
      <c r="AJ449" s="157" t="str">
        <f t="shared" ca="1" si="728"/>
        <v>WPF/UM</v>
      </c>
      <c r="AK449" s="158" t="str">
        <f t="shared" ca="1" si="716"/>
        <v>C/USN/V/P1/65 80101 6050 GMMW</v>
      </c>
      <c r="AL449" s="158" t="str">
        <f t="shared" ca="1" si="717"/>
        <v>C/USN/V/P1/65 80101 6050 WPF/UM</v>
      </c>
      <c r="AM449" s="159" t="str">
        <f t="shared" ca="1" si="718"/>
        <v>C/USN/V/P1/65 80101 6050 GMMW WPF/UM</v>
      </c>
      <c r="AN449" s="160">
        <f t="shared" ca="1" si="729"/>
        <v>0</v>
      </c>
      <c r="AO449" s="161">
        <f t="shared" ca="1" si="730"/>
        <v>0</v>
      </c>
      <c r="AP449" s="162">
        <f t="shared" ca="1" si="731"/>
        <v>0</v>
      </c>
      <c r="AQ449" s="163">
        <f t="shared" ca="1" si="732"/>
        <v>0</v>
      </c>
      <c r="AR449" s="164">
        <f t="shared" ca="1" si="733"/>
        <v>0</v>
      </c>
      <c r="AS449" s="164">
        <f t="shared" ca="1" si="734"/>
        <v>0</v>
      </c>
      <c r="AT449" s="164">
        <f t="shared" ca="1" si="735"/>
        <v>0</v>
      </c>
      <c r="AU449" s="164">
        <f t="shared" ca="1" si="736"/>
        <v>0</v>
      </c>
      <c r="AV449" s="164">
        <f t="shared" ca="1" si="737"/>
        <v>0</v>
      </c>
      <c r="AW449" s="164">
        <f t="shared" ca="1" si="738"/>
        <v>0</v>
      </c>
      <c r="AX449" s="164">
        <f t="shared" ca="1" si="739"/>
        <v>0</v>
      </c>
      <c r="AY449" s="164">
        <f t="shared" ca="1" si="740"/>
        <v>0</v>
      </c>
      <c r="AZ449" s="164">
        <f t="shared" ca="1" si="741"/>
        <v>0</v>
      </c>
      <c r="BA449" s="165" t="str">
        <f t="shared" ca="1" si="742"/>
        <v>nie</v>
      </c>
      <c r="BB449" s="166" t="str">
        <f t="shared" ca="1" si="747"/>
        <v>-</v>
      </c>
      <c r="BC449" s="165" t="str">
        <f t="shared" ca="1" si="660"/>
        <v>nie</v>
      </c>
    </row>
    <row r="450" spans="1:55" s="167" customFormat="1" ht="14.45" hidden="1" customHeight="1" x14ac:dyDescent="0.25">
      <c r="A450" s="191" t="s">
        <v>101</v>
      </c>
      <c r="B450" s="192"/>
      <c r="C450" s="193"/>
      <c r="D450" s="192"/>
      <c r="E450" s="192"/>
      <c r="F450" s="192"/>
      <c r="G450" s="192"/>
      <c r="H450" s="192"/>
      <c r="I450" s="192"/>
      <c r="J450" s="192"/>
      <c r="K450" s="192"/>
      <c r="L450" s="192"/>
      <c r="M450" s="192"/>
      <c r="N450" s="192"/>
      <c r="O450" s="192"/>
      <c r="P450" s="192"/>
      <c r="Q450" s="192"/>
      <c r="R450" s="194"/>
      <c r="S450" s="195"/>
      <c r="T450" s="195"/>
      <c r="U450" s="195"/>
      <c r="V450" s="195"/>
      <c r="W450" s="195"/>
      <c r="X450" s="195"/>
      <c r="Y450" s="196"/>
      <c r="Z450" s="149" t="str">
        <f t="shared" ca="1" si="653"/>
        <v>nie</v>
      </c>
      <c r="AA450" s="366"/>
      <c r="AB450" s="150" t="str">
        <f t="shared" ca="1" si="746"/>
        <v>-</v>
      </c>
      <c r="AC450" s="151" t="str">
        <f t="shared" ca="1" si="722"/>
        <v>PO ZMIANIE</v>
      </c>
      <c r="AD450" s="152" t="str">
        <f t="shared" ca="1" si="715"/>
        <v/>
      </c>
      <c r="AE450" s="153" t="str">
        <f t="shared" ca="1" si="723"/>
        <v/>
      </c>
      <c r="AF450" s="154" t="str">
        <f t="shared" ca="1" si="724"/>
        <v/>
      </c>
      <c r="AG450" s="155" t="str">
        <f t="shared" ca="1" si="725"/>
        <v/>
      </c>
      <c r="AH450" s="155" t="str">
        <f t="shared" ca="1" si="726"/>
        <v/>
      </c>
      <c r="AI450" s="156" t="str">
        <f t="shared" ca="1" si="727"/>
        <v/>
      </c>
      <c r="AJ450" s="157" t="str">
        <f t="shared" ca="1" si="728"/>
        <v/>
      </c>
      <c r="AK450" s="158" t="str">
        <f t="shared" ca="1" si="716"/>
        <v/>
      </c>
      <c r="AL450" s="158" t="str">
        <f t="shared" ca="1" si="717"/>
        <v/>
      </c>
      <c r="AM450" s="159" t="str">
        <f t="shared" ca="1" si="718"/>
        <v/>
      </c>
      <c r="AN450" s="160" t="str">
        <f t="shared" ca="1" si="729"/>
        <v/>
      </c>
      <c r="AO450" s="161" t="str">
        <f t="shared" ca="1" si="730"/>
        <v/>
      </c>
      <c r="AP450" s="162" t="str">
        <f t="shared" ca="1" si="731"/>
        <v/>
      </c>
      <c r="AQ450" s="163" t="str">
        <f t="shared" ca="1" si="732"/>
        <v/>
      </c>
      <c r="AR450" s="164" t="str">
        <f t="shared" ca="1" si="733"/>
        <v/>
      </c>
      <c r="AS450" s="164" t="str">
        <f t="shared" ca="1" si="734"/>
        <v/>
      </c>
      <c r="AT450" s="164" t="str">
        <f t="shared" ca="1" si="735"/>
        <v/>
      </c>
      <c r="AU450" s="164" t="str">
        <f t="shared" ca="1" si="736"/>
        <v/>
      </c>
      <c r="AV450" s="164" t="str">
        <f t="shared" ca="1" si="737"/>
        <v/>
      </c>
      <c r="AW450" s="164" t="str">
        <f t="shared" ca="1" si="738"/>
        <v/>
      </c>
      <c r="AX450" s="164" t="str">
        <f t="shared" ca="1" si="739"/>
        <v/>
      </c>
      <c r="AY450" s="164" t="str">
        <f t="shared" ca="1" si="740"/>
        <v/>
      </c>
      <c r="AZ450" s="164" t="str">
        <f t="shared" ca="1" si="741"/>
        <v/>
      </c>
      <c r="BA450" s="165" t="str">
        <f t="shared" ca="1" si="742"/>
        <v>nie</v>
      </c>
      <c r="BB450" s="166" t="str">
        <f t="shared" ca="1" si="747"/>
        <v>-</v>
      </c>
      <c r="BC450" s="165" t="str">
        <f t="shared" ca="1" si="660"/>
        <v>nie</v>
      </c>
    </row>
    <row r="451" spans="1:55" s="176" customFormat="1" ht="14.45" hidden="1" customHeight="1" x14ac:dyDescent="0.25">
      <c r="A451" s="493" t="s">
        <v>24</v>
      </c>
      <c r="B451" s="493" t="s">
        <v>26</v>
      </c>
      <c r="C451" s="494" t="s">
        <v>163</v>
      </c>
      <c r="D451" s="540" t="s">
        <v>164</v>
      </c>
      <c r="E451" s="497">
        <v>801</v>
      </c>
      <c r="F451" s="497">
        <v>80101</v>
      </c>
      <c r="G451" s="497">
        <v>6050</v>
      </c>
      <c r="H451" s="507">
        <v>2021</v>
      </c>
      <c r="I451" s="499" t="str">
        <f ca="1">IF(COUNTIF(OFFSET(I451,-1,-8),"*propon*")&gt;0,OFFSET(I451,4,0),IF(Y451&gt;0,"2033",IF(X451&gt;0,"2032",IF(W451&gt;0,"2031",IF(V451&gt;0,"2030",IF(U451&gt;0,"2029",IF(T451&gt;0,"2028",IF(S451&gt;0,"2027",IF(R451&gt;0,"2026",IF(Q451&gt;0,"2025",IF(P451&gt;0,"2024",IF(M451&gt;0,"2023",IF(L451&gt;0,"2022","")))))))))))))</f>
        <v>2024</v>
      </c>
      <c r="J451" s="168" t="s">
        <v>102</v>
      </c>
      <c r="K451" s="169">
        <f>SUM(N451:O451)</f>
        <v>15283331</v>
      </c>
      <c r="L451" s="170">
        <f t="shared" ref="L451:M451" si="753">SUM(L452:L453)</f>
        <v>11316530</v>
      </c>
      <c r="M451" s="171">
        <f t="shared" si="753"/>
        <v>2805801</v>
      </c>
      <c r="N451" s="172">
        <f>SUM(L451:M451)</f>
        <v>14122331</v>
      </c>
      <c r="O451" s="169">
        <f>SUM(P451:Y451)</f>
        <v>1161000</v>
      </c>
      <c r="P451" s="173">
        <f t="shared" ref="P451:R451" si="754">SUM(P452:P453)</f>
        <v>1161000</v>
      </c>
      <c r="Q451" s="171">
        <f t="shared" si="754"/>
        <v>0</v>
      </c>
      <c r="R451" s="174">
        <f t="shared" si="754"/>
        <v>0</v>
      </c>
      <c r="S451" s="175">
        <f t="shared" ref="S451:Y451" si="755">SUM(S452:S453)</f>
        <v>0</v>
      </c>
      <c r="T451" s="171">
        <f t="shared" si="755"/>
        <v>0</v>
      </c>
      <c r="U451" s="171">
        <f t="shared" si="755"/>
        <v>0</v>
      </c>
      <c r="V451" s="171">
        <f t="shared" si="755"/>
        <v>0</v>
      </c>
      <c r="W451" s="171">
        <f t="shared" si="755"/>
        <v>0</v>
      </c>
      <c r="X451" s="171">
        <f t="shared" si="755"/>
        <v>0</v>
      </c>
      <c r="Y451" s="174">
        <f t="shared" si="755"/>
        <v>0</v>
      </c>
      <c r="Z451" s="149" t="str">
        <f t="shared" ca="1" si="653"/>
        <v>nie</v>
      </c>
      <c r="AA451" s="366"/>
      <c r="AB451" s="150" t="str">
        <f t="shared" ca="1" si="746"/>
        <v>-</v>
      </c>
      <c r="AC451" s="151" t="str">
        <f t="shared" ca="1" si="722"/>
        <v>PO ZMIANIE</v>
      </c>
      <c r="AD451" s="152" t="str">
        <f t="shared" ca="1" si="715"/>
        <v>PO ZMIANIE</v>
      </c>
      <c r="AE451" s="153" t="str">
        <f t="shared" ca="1" si="723"/>
        <v>C/USN/V/P1/65</v>
      </c>
      <c r="AF451" s="154" t="str">
        <f t="shared" ca="1" si="724"/>
        <v>Modernizacja budynku B Szkoły Podstawowej nr 340 wraz z adaptacją pomieszczeń na potrzeby Poradni Psychologiczno - Pedagogicznej nr 19 wraz z termomodernizacją</v>
      </c>
      <c r="AG451" s="155">
        <f t="shared" ca="1" si="725"/>
        <v>80101</v>
      </c>
      <c r="AH451" s="155" t="str">
        <f t="shared" ca="1" si="726"/>
        <v>6050</v>
      </c>
      <c r="AI451" s="156" t="str">
        <f t="shared" ca="1" si="727"/>
        <v>GMMW</v>
      </c>
      <c r="AJ451" s="157" t="str">
        <f t="shared" ca="1" si="728"/>
        <v>WPF, w tym</v>
      </c>
      <c r="AK451" s="158" t="str">
        <f t="shared" ca="1" si="716"/>
        <v>C/USN/V/P1/65 80101 6050 GMMW</v>
      </c>
      <c r="AL451" s="158" t="str">
        <f t="shared" ca="1" si="717"/>
        <v>C/USN/V/P1/65 80101 6050 WPF, w tym</v>
      </c>
      <c r="AM451" s="159" t="str">
        <f t="shared" ca="1" si="718"/>
        <v>C/USN/V/P1/65 80101 6050 GMMW WPF, w tym</v>
      </c>
      <c r="AN451" s="160">
        <f t="shared" ca="1" si="729"/>
        <v>15283331</v>
      </c>
      <c r="AO451" s="161">
        <f t="shared" ca="1" si="730"/>
        <v>11316530</v>
      </c>
      <c r="AP451" s="162">
        <f t="shared" ca="1" si="731"/>
        <v>2805801</v>
      </c>
      <c r="AQ451" s="163">
        <f t="shared" ca="1" si="732"/>
        <v>1161000</v>
      </c>
      <c r="AR451" s="164">
        <f t="shared" ca="1" si="733"/>
        <v>0</v>
      </c>
      <c r="AS451" s="164">
        <f t="shared" ca="1" si="734"/>
        <v>0</v>
      </c>
      <c r="AT451" s="164">
        <f t="shared" ca="1" si="735"/>
        <v>0</v>
      </c>
      <c r="AU451" s="164">
        <f t="shared" ca="1" si="736"/>
        <v>0</v>
      </c>
      <c r="AV451" s="164">
        <f t="shared" ca="1" si="737"/>
        <v>0</v>
      </c>
      <c r="AW451" s="164">
        <f t="shared" ca="1" si="738"/>
        <v>0</v>
      </c>
      <c r="AX451" s="164">
        <f t="shared" ca="1" si="739"/>
        <v>0</v>
      </c>
      <c r="AY451" s="164">
        <f t="shared" ca="1" si="740"/>
        <v>0</v>
      </c>
      <c r="AZ451" s="164">
        <f t="shared" ca="1" si="741"/>
        <v>0</v>
      </c>
      <c r="BA451" s="165" t="str">
        <f t="shared" ca="1" si="742"/>
        <v>nie</v>
      </c>
      <c r="BB451" s="166" t="str">
        <f t="shared" ca="1" si="747"/>
        <v>-</v>
      </c>
      <c r="BC451" s="165" t="str">
        <f t="shared" ca="1" si="660"/>
        <v>nie</v>
      </c>
    </row>
    <row r="452" spans="1:55" s="167" customFormat="1" ht="14.45" hidden="1" customHeight="1" x14ac:dyDescent="0.25">
      <c r="A452" s="493"/>
      <c r="B452" s="493"/>
      <c r="C452" s="494"/>
      <c r="D452" s="540"/>
      <c r="E452" s="497"/>
      <c r="F452" s="497"/>
      <c r="G452" s="497"/>
      <c r="H452" s="498"/>
      <c r="I452" s="499"/>
      <c r="J452" s="177" t="s">
        <v>103</v>
      </c>
      <c r="K452" s="178">
        <f>SUM(N452:O452)</f>
        <v>1161000</v>
      </c>
      <c r="L452" s="179"/>
      <c r="M452" s="180"/>
      <c r="N452" s="172">
        <f>SUM(L452:M452)</f>
        <v>0</v>
      </c>
      <c r="O452" s="178">
        <f>SUM(P452:Y452)</f>
        <v>1161000</v>
      </c>
      <c r="P452" s="181">
        <f>1460000-299000</f>
        <v>1161000</v>
      </c>
      <c r="Q452" s="180"/>
      <c r="R452" s="182"/>
      <c r="S452" s="183"/>
      <c r="T452" s="180"/>
      <c r="U452" s="180"/>
      <c r="V452" s="180"/>
      <c r="W452" s="180"/>
      <c r="X452" s="180"/>
      <c r="Y452" s="182"/>
      <c r="Z452" s="149" t="str">
        <f t="shared" ca="1" si="653"/>
        <v>nie</v>
      </c>
      <c r="AA452" s="384"/>
      <c r="AB452" s="150" t="str">
        <f t="shared" ca="1" si="746"/>
        <v>-</v>
      </c>
      <c r="AC452" s="151" t="str">
        <f t="shared" ca="1" si="722"/>
        <v>PO ZMIANIE</v>
      </c>
      <c r="AD452" s="152" t="str">
        <f t="shared" ca="1" si="715"/>
        <v>PO ZMIANIE</v>
      </c>
      <c r="AE452" s="153" t="str">
        <f t="shared" ca="1" si="723"/>
        <v>C/USN/V/P1/65</v>
      </c>
      <c r="AF452" s="154" t="str">
        <f t="shared" ca="1" si="724"/>
        <v>Modernizacja budynku B Szkoły Podstawowej nr 340 wraz z adaptacją pomieszczeń na potrzeby Poradni Psychologiczno - Pedagogicznej nr 19 wraz z termomodernizacją</v>
      </c>
      <c r="AG452" s="155">
        <f t="shared" ca="1" si="725"/>
        <v>80101</v>
      </c>
      <c r="AH452" s="155" t="str">
        <f t="shared" ca="1" si="726"/>
        <v>6050</v>
      </c>
      <c r="AI452" s="156" t="str">
        <f t="shared" ca="1" si="727"/>
        <v>GMMW</v>
      </c>
      <c r="AJ452" s="157" t="str">
        <f t="shared" ca="1" si="728"/>
        <v>WPF/PM</v>
      </c>
      <c r="AK452" s="158" t="str">
        <f t="shared" ca="1" si="716"/>
        <v>C/USN/V/P1/65 80101 6050 GMMW</v>
      </c>
      <c r="AL452" s="158" t="str">
        <f t="shared" ca="1" si="717"/>
        <v>C/USN/V/P1/65 80101 6050 WPF/PM</v>
      </c>
      <c r="AM452" s="159" t="str">
        <f t="shared" ca="1" si="718"/>
        <v>C/USN/V/P1/65 80101 6050 GMMW WPF/PM</v>
      </c>
      <c r="AN452" s="160">
        <f t="shared" ca="1" si="729"/>
        <v>1161000</v>
      </c>
      <c r="AO452" s="161">
        <f t="shared" ca="1" si="730"/>
        <v>0</v>
      </c>
      <c r="AP452" s="162">
        <f t="shared" ca="1" si="731"/>
        <v>0</v>
      </c>
      <c r="AQ452" s="163">
        <f t="shared" ca="1" si="732"/>
        <v>1161000</v>
      </c>
      <c r="AR452" s="164">
        <f t="shared" ca="1" si="733"/>
        <v>0</v>
      </c>
      <c r="AS452" s="164">
        <f t="shared" ca="1" si="734"/>
        <v>0</v>
      </c>
      <c r="AT452" s="164">
        <f t="shared" ca="1" si="735"/>
        <v>0</v>
      </c>
      <c r="AU452" s="164">
        <f t="shared" ca="1" si="736"/>
        <v>0</v>
      </c>
      <c r="AV452" s="164">
        <f t="shared" ca="1" si="737"/>
        <v>0</v>
      </c>
      <c r="AW452" s="164">
        <f t="shared" ca="1" si="738"/>
        <v>0</v>
      </c>
      <c r="AX452" s="164">
        <f t="shared" ca="1" si="739"/>
        <v>0</v>
      </c>
      <c r="AY452" s="164">
        <f t="shared" ca="1" si="740"/>
        <v>0</v>
      </c>
      <c r="AZ452" s="164">
        <f t="shared" ca="1" si="741"/>
        <v>0</v>
      </c>
      <c r="BA452" s="165" t="str">
        <f t="shared" ca="1" si="742"/>
        <v>nie</v>
      </c>
      <c r="BB452" s="166" t="str">
        <f t="shared" ca="1" si="747"/>
        <v>-</v>
      </c>
      <c r="BC452" s="165" t="str">
        <f t="shared" ca="1" si="660"/>
        <v>nie</v>
      </c>
    </row>
    <row r="453" spans="1:55" s="167" customFormat="1" ht="14.45" hidden="1" customHeight="1" thickBot="1" x14ac:dyDescent="0.3">
      <c r="A453" s="500"/>
      <c r="B453" s="500"/>
      <c r="C453" s="501"/>
      <c r="D453" s="541"/>
      <c r="E453" s="503"/>
      <c r="F453" s="503"/>
      <c r="G453" s="503"/>
      <c r="H453" s="504"/>
      <c r="I453" s="499"/>
      <c r="J453" s="197" t="s">
        <v>104</v>
      </c>
      <c r="K453" s="198">
        <f>SUM(N453:O453)</f>
        <v>14122331</v>
      </c>
      <c r="L453" s="199">
        <v>11316530</v>
      </c>
      <c r="M453" s="200">
        <f>3105477-299676</f>
        <v>2805801</v>
      </c>
      <c r="N453" s="371">
        <f>SUM(L453:M453)</f>
        <v>14122331</v>
      </c>
      <c r="O453" s="198">
        <f>SUM(P453:Y453)</f>
        <v>0</v>
      </c>
      <c r="P453" s="201"/>
      <c r="Q453" s="200"/>
      <c r="R453" s="202"/>
      <c r="S453" s="203"/>
      <c r="T453" s="200"/>
      <c r="U453" s="200"/>
      <c r="V453" s="200"/>
      <c r="W453" s="200"/>
      <c r="X453" s="200"/>
      <c r="Y453" s="202"/>
      <c r="Z453" s="149" t="str">
        <f t="shared" ca="1" si="653"/>
        <v>nie</v>
      </c>
      <c r="AA453" s="384"/>
      <c r="AB453" s="150" t="str">
        <f t="shared" ca="1" si="746"/>
        <v>-</v>
      </c>
      <c r="AC453" s="151" t="str">
        <f t="shared" ca="1" si="722"/>
        <v>PO ZMIANIE</v>
      </c>
      <c r="AD453" s="152" t="str">
        <f t="shared" ca="1" si="715"/>
        <v>PO ZMIANIE</v>
      </c>
      <c r="AE453" s="153" t="str">
        <f t="shared" ca="1" si="723"/>
        <v>C/USN/V/P1/65</v>
      </c>
      <c r="AF453" s="154" t="str">
        <f t="shared" ca="1" si="724"/>
        <v>Modernizacja budynku B Szkoły Podstawowej nr 340 wraz z adaptacją pomieszczeń na potrzeby Poradni Psychologiczno - Pedagogicznej nr 19 wraz z termomodernizacją</v>
      </c>
      <c r="AG453" s="155">
        <f t="shared" ca="1" si="725"/>
        <v>80101</v>
      </c>
      <c r="AH453" s="155" t="str">
        <f t="shared" ca="1" si="726"/>
        <v>6050</v>
      </c>
      <c r="AI453" s="156" t="str">
        <f t="shared" ca="1" si="727"/>
        <v>GMMW</v>
      </c>
      <c r="AJ453" s="157" t="str">
        <f t="shared" ca="1" si="728"/>
        <v>WPF/UM</v>
      </c>
      <c r="AK453" s="158" t="str">
        <f t="shared" ca="1" si="716"/>
        <v>C/USN/V/P1/65 80101 6050 GMMW</v>
      </c>
      <c r="AL453" s="158" t="str">
        <f t="shared" ca="1" si="717"/>
        <v>C/USN/V/P1/65 80101 6050 WPF/UM</v>
      </c>
      <c r="AM453" s="159" t="str">
        <f t="shared" ca="1" si="718"/>
        <v>C/USN/V/P1/65 80101 6050 GMMW WPF/UM</v>
      </c>
      <c r="AN453" s="160">
        <f t="shared" ca="1" si="729"/>
        <v>14122331</v>
      </c>
      <c r="AO453" s="161">
        <f t="shared" ca="1" si="730"/>
        <v>11316530</v>
      </c>
      <c r="AP453" s="162">
        <f t="shared" ca="1" si="731"/>
        <v>2805801</v>
      </c>
      <c r="AQ453" s="163">
        <f t="shared" ca="1" si="732"/>
        <v>0</v>
      </c>
      <c r="AR453" s="164">
        <f t="shared" ca="1" si="733"/>
        <v>0</v>
      </c>
      <c r="AS453" s="164">
        <f t="shared" ca="1" si="734"/>
        <v>0</v>
      </c>
      <c r="AT453" s="164">
        <f t="shared" ca="1" si="735"/>
        <v>0</v>
      </c>
      <c r="AU453" s="164">
        <f t="shared" ca="1" si="736"/>
        <v>0</v>
      </c>
      <c r="AV453" s="164">
        <f t="shared" ca="1" si="737"/>
        <v>0</v>
      </c>
      <c r="AW453" s="164">
        <f t="shared" ca="1" si="738"/>
        <v>0</v>
      </c>
      <c r="AX453" s="164">
        <f t="shared" ca="1" si="739"/>
        <v>0</v>
      </c>
      <c r="AY453" s="164">
        <f t="shared" ca="1" si="740"/>
        <v>0</v>
      </c>
      <c r="AZ453" s="164">
        <f t="shared" ca="1" si="741"/>
        <v>0</v>
      </c>
      <c r="BA453" s="165" t="str">
        <f t="shared" ca="1" si="742"/>
        <v>nie</v>
      </c>
      <c r="BB453" s="166" t="str">
        <f t="shared" ca="1" si="747"/>
        <v>-</v>
      </c>
      <c r="BC453" s="165" t="str">
        <f t="shared" ca="1" si="660"/>
        <v>nie</v>
      </c>
    </row>
    <row r="454" spans="1:55" s="167" customFormat="1" ht="14.45" hidden="1" customHeight="1" x14ac:dyDescent="0.25">
      <c r="A454" s="143" t="s">
        <v>91</v>
      </c>
      <c r="B454" s="144"/>
      <c r="C454" s="145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6"/>
      <c r="S454" s="147"/>
      <c r="T454" s="147"/>
      <c r="U454" s="147"/>
      <c r="V454" s="147"/>
      <c r="W454" s="147"/>
      <c r="X454" s="147"/>
      <c r="Y454" s="148"/>
      <c r="Z454" s="149" t="str">
        <f t="shared" ca="1" si="653"/>
        <v>nie</v>
      </c>
      <c r="AA454" s="366"/>
      <c r="AB454" s="150" t="str">
        <f t="shared" ca="1" si="746"/>
        <v>-</v>
      </c>
      <c r="AC454" s="151" t="str">
        <f t="shared" ca="1" si="722"/>
        <v>PRZED ZMIANĄ</v>
      </c>
      <c r="AD454" s="152" t="str">
        <f t="shared" ca="1" si="715"/>
        <v/>
      </c>
      <c r="AE454" s="153" t="str">
        <f t="shared" ca="1" si="723"/>
        <v/>
      </c>
      <c r="AF454" s="154" t="str">
        <f t="shared" ca="1" si="724"/>
        <v/>
      </c>
      <c r="AG454" s="155" t="str">
        <f t="shared" ca="1" si="725"/>
        <v/>
      </c>
      <c r="AH454" s="155" t="str">
        <f t="shared" ca="1" si="726"/>
        <v/>
      </c>
      <c r="AI454" s="156" t="str">
        <f t="shared" ca="1" si="727"/>
        <v/>
      </c>
      <c r="AJ454" s="157" t="str">
        <f t="shared" ca="1" si="728"/>
        <v/>
      </c>
      <c r="AK454" s="158" t="str">
        <f t="shared" ca="1" si="716"/>
        <v/>
      </c>
      <c r="AL454" s="158" t="str">
        <f t="shared" ca="1" si="717"/>
        <v/>
      </c>
      <c r="AM454" s="159" t="str">
        <f t="shared" ca="1" si="718"/>
        <v/>
      </c>
      <c r="AN454" s="160" t="str">
        <f t="shared" ca="1" si="729"/>
        <v/>
      </c>
      <c r="AO454" s="161" t="str">
        <f t="shared" ca="1" si="730"/>
        <v/>
      </c>
      <c r="AP454" s="162" t="str">
        <f t="shared" ca="1" si="731"/>
        <v/>
      </c>
      <c r="AQ454" s="163" t="str">
        <f t="shared" ca="1" si="732"/>
        <v/>
      </c>
      <c r="AR454" s="164" t="str">
        <f t="shared" ca="1" si="733"/>
        <v/>
      </c>
      <c r="AS454" s="164" t="str">
        <f t="shared" ca="1" si="734"/>
        <v/>
      </c>
      <c r="AT454" s="164" t="str">
        <f t="shared" ca="1" si="735"/>
        <v/>
      </c>
      <c r="AU454" s="164" t="str">
        <f t="shared" ca="1" si="736"/>
        <v/>
      </c>
      <c r="AV454" s="164" t="str">
        <f t="shared" ca="1" si="737"/>
        <v/>
      </c>
      <c r="AW454" s="164" t="str">
        <f t="shared" ca="1" si="738"/>
        <v/>
      </c>
      <c r="AX454" s="164" t="str">
        <f t="shared" ca="1" si="739"/>
        <v/>
      </c>
      <c r="AY454" s="164" t="str">
        <f t="shared" ca="1" si="740"/>
        <v/>
      </c>
      <c r="AZ454" s="164" t="str">
        <f t="shared" ca="1" si="741"/>
        <v/>
      </c>
      <c r="BA454" s="165" t="str">
        <f t="shared" ca="1" si="742"/>
        <v>nie</v>
      </c>
      <c r="BB454" s="166" t="str">
        <f t="shared" ca="1" si="747"/>
        <v>-</v>
      </c>
      <c r="BC454" s="165" t="str">
        <f t="shared" ca="1" si="660"/>
        <v>nie</v>
      </c>
    </row>
    <row r="455" spans="1:55" s="176" customFormat="1" ht="14.45" hidden="1" customHeight="1" x14ac:dyDescent="0.25">
      <c r="A455" s="493" t="s">
        <v>24</v>
      </c>
      <c r="B455" s="493" t="s">
        <v>26</v>
      </c>
      <c r="C455" s="494" t="s">
        <v>165</v>
      </c>
      <c r="D455" s="505" t="s">
        <v>166</v>
      </c>
      <c r="E455" s="497">
        <v>801</v>
      </c>
      <c r="F455" s="497">
        <v>80101</v>
      </c>
      <c r="G455" s="497">
        <v>6050</v>
      </c>
      <c r="H455" s="507">
        <v>2021</v>
      </c>
      <c r="I455" s="499" t="str">
        <f ca="1">IF(COUNTIF(OFFSET(I455,-1,-8),"*propon*")&gt;0,OFFSET(I455,4,0),IF(Y455&gt;0,"2033",IF(X455&gt;0,"2032",IF(W455&gt;0,"2031",IF(V455&gt;0,"2030",IF(U455&gt;0,"2029",IF(T455&gt;0,"2028",IF(S455&gt;0,"2027",IF(R455&gt;0,"2026",IF(Q455&gt;0,"2025",IF(P455&gt;0,"2024",IF(M455&gt;0,"2023",IF(L455&gt;0,"2022","")))))))))))))</f>
        <v>2024</v>
      </c>
      <c r="J455" s="168" t="s">
        <v>94</v>
      </c>
      <c r="K455" s="169">
        <f>SUM(N455:O455)</f>
        <v>4069001</v>
      </c>
      <c r="L455" s="170">
        <f t="shared" ref="L455:M455" si="756">SUM(L456:L457)</f>
        <v>1539806</v>
      </c>
      <c r="M455" s="171">
        <f t="shared" si="756"/>
        <v>1458499</v>
      </c>
      <c r="N455" s="172">
        <f>SUM(L455:M455)</f>
        <v>2998305</v>
      </c>
      <c r="O455" s="169">
        <f>SUM(P455:Y455)</f>
        <v>1070696</v>
      </c>
      <c r="P455" s="173">
        <f t="shared" ref="P455:R455" si="757">SUM(P456:P457)</f>
        <v>1070696</v>
      </c>
      <c r="Q455" s="171">
        <f t="shared" si="757"/>
        <v>0</v>
      </c>
      <c r="R455" s="174">
        <f t="shared" si="757"/>
        <v>0</v>
      </c>
      <c r="S455" s="175">
        <f t="shared" ref="S455:Y455" si="758">SUM(S456:S457)</f>
        <v>0</v>
      </c>
      <c r="T455" s="171">
        <f t="shared" si="758"/>
        <v>0</v>
      </c>
      <c r="U455" s="171">
        <f t="shared" si="758"/>
        <v>0</v>
      </c>
      <c r="V455" s="171">
        <f t="shared" si="758"/>
        <v>0</v>
      </c>
      <c r="W455" s="171">
        <f t="shared" si="758"/>
        <v>0</v>
      </c>
      <c r="X455" s="171">
        <f t="shared" si="758"/>
        <v>0</v>
      </c>
      <c r="Y455" s="174">
        <f t="shared" si="758"/>
        <v>0</v>
      </c>
      <c r="Z455" s="149" t="str">
        <f t="shared" ca="1" si="653"/>
        <v>nie</v>
      </c>
      <c r="AA455" s="366"/>
      <c r="AB455" s="150" t="str">
        <f t="shared" ca="1" si="746"/>
        <v>-</v>
      </c>
      <c r="AC455" s="151" t="str">
        <f t="shared" ca="1" si="722"/>
        <v>PRZED ZMIANĄ</v>
      </c>
      <c r="AD455" s="152" t="str">
        <f t="shared" ca="1" si="715"/>
        <v>PRZED ZMIANĄ</v>
      </c>
      <c r="AE455" s="153" t="str">
        <f t="shared" ca="1" si="723"/>
        <v>C/USN/V/P1/66</v>
      </c>
      <c r="AF455" s="154" t="str">
        <f t="shared" ca="1" si="724"/>
        <v>Modernizacja budynku Szkoły Podstawowej nr 319 przy ul. Wokalnej</v>
      </c>
      <c r="AG455" s="155">
        <f t="shared" ca="1" si="725"/>
        <v>80101</v>
      </c>
      <c r="AH455" s="155" t="str">
        <f t="shared" ca="1" si="726"/>
        <v>6050</v>
      </c>
      <c r="AI455" s="156" t="str">
        <f t="shared" ca="1" si="727"/>
        <v>GMMW</v>
      </c>
      <c r="AJ455" s="157" t="str">
        <f t="shared" ca="1" si="728"/>
        <v>WPF, w tym</v>
      </c>
      <c r="AK455" s="158" t="str">
        <f t="shared" ca="1" si="716"/>
        <v>C/USN/V/P1/66 80101 6050 GMMW</v>
      </c>
      <c r="AL455" s="158" t="str">
        <f t="shared" ca="1" si="717"/>
        <v>C/USN/V/P1/66 80101 6050 WPF, w tym</v>
      </c>
      <c r="AM455" s="159" t="str">
        <f t="shared" ca="1" si="718"/>
        <v>C/USN/V/P1/66 80101 6050 GMMW WPF, w tym</v>
      </c>
      <c r="AN455" s="160">
        <f t="shared" ca="1" si="729"/>
        <v>4069001</v>
      </c>
      <c r="AO455" s="161">
        <f t="shared" ca="1" si="730"/>
        <v>1539806</v>
      </c>
      <c r="AP455" s="162">
        <f t="shared" ca="1" si="731"/>
        <v>1458499</v>
      </c>
      <c r="AQ455" s="163">
        <f t="shared" ca="1" si="732"/>
        <v>1070696</v>
      </c>
      <c r="AR455" s="164">
        <f t="shared" ca="1" si="733"/>
        <v>0</v>
      </c>
      <c r="AS455" s="164">
        <f t="shared" ca="1" si="734"/>
        <v>0</v>
      </c>
      <c r="AT455" s="164">
        <f t="shared" ca="1" si="735"/>
        <v>0</v>
      </c>
      <c r="AU455" s="164">
        <f t="shared" ca="1" si="736"/>
        <v>0</v>
      </c>
      <c r="AV455" s="164">
        <f t="shared" ca="1" si="737"/>
        <v>0</v>
      </c>
      <c r="AW455" s="164">
        <f t="shared" ca="1" si="738"/>
        <v>0</v>
      </c>
      <c r="AX455" s="164">
        <f t="shared" ca="1" si="739"/>
        <v>0</v>
      </c>
      <c r="AY455" s="164">
        <f t="shared" ca="1" si="740"/>
        <v>0</v>
      </c>
      <c r="AZ455" s="164">
        <f t="shared" ca="1" si="741"/>
        <v>0</v>
      </c>
      <c r="BA455" s="165" t="str">
        <f t="shared" ca="1" si="742"/>
        <v>nie</v>
      </c>
      <c r="BB455" s="166" t="str">
        <f t="shared" ca="1" si="747"/>
        <v>-</v>
      </c>
      <c r="BC455" s="165" t="str">
        <f t="shared" ca="1" si="660"/>
        <v>nie</v>
      </c>
    </row>
    <row r="456" spans="1:55" s="167" customFormat="1" ht="14.45" hidden="1" customHeight="1" x14ac:dyDescent="0.25">
      <c r="A456" s="493"/>
      <c r="B456" s="493"/>
      <c r="C456" s="494"/>
      <c r="D456" s="505"/>
      <c r="E456" s="497"/>
      <c r="F456" s="497"/>
      <c r="G456" s="497"/>
      <c r="H456" s="498"/>
      <c r="I456" s="499"/>
      <c r="J456" s="177" t="s">
        <v>95</v>
      </c>
      <c r="K456" s="178">
        <f>SUM(N456:O456)</f>
        <v>1070696</v>
      </c>
      <c r="L456" s="179"/>
      <c r="M456" s="180"/>
      <c r="N456" s="172">
        <f>SUM(L456:M456)</f>
        <v>0</v>
      </c>
      <c r="O456" s="178">
        <f>SUM(P456:Y456)</f>
        <v>1070696</v>
      </c>
      <c r="P456" s="181">
        <v>1070696</v>
      </c>
      <c r="Q456" s="180"/>
      <c r="R456" s="182"/>
      <c r="S456" s="183"/>
      <c r="T456" s="180"/>
      <c r="U456" s="180"/>
      <c r="V456" s="180"/>
      <c r="W456" s="180"/>
      <c r="X456" s="180"/>
      <c r="Y456" s="182"/>
      <c r="Z456" s="149" t="str">
        <f t="shared" ca="1" si="653"/>
        <v>nie</v>
      </c>
      <c r="AA456" s="366"/>
      <c r="AB456" s="150" t="str">
        <f t="shared" ca="1" si="746"/>
        <v>-</v>
      </c>
      <c r="AC456" s="151" t="str">
        <f t="shared" ca="1" si="722"/>
        <v>PRZED ZMIANĄ</v>
      </c>
      <c r="AD456" s="152" t="str">
        <f t="shared" ca="1" si="715"/>
        <v>PRZED ZMIANĄ</v>
      </c>
      <c r="AE456" s="153" t="str">
        <f t="shared" ca="1" si="723"/>
        <v>C/USN/V/P1/66</v>
      </c>
      <c r="AF456" s="154" t="str">
        <f t="shared" ca="1" si="724"/>
        <v>Modernizacja budynku Szkoły Podstawowej nr 319 przy ul. Wokalnej</v>
      </c>
      <c r="AG456" s="155">
        <f t="shared" ca="1" si="725"/>
        <v>80101</v>
      </c>
      <c r="AH456" s="155" t="str">
        <f t="shared" ca="1" si="726"/>
        <v>6050</v>
      </c>
      <c r="AI456" s="156" t="str">
        <f t="shared" ca="1" si="727"/>
        <v>GMMW</v>
      </c>
      <c r="AJ456" s="157" t="str">
        <f t="shared" ca="1" si="728"/>
        <v>WPF/PM</v>
      </c>
      <c r="AK456" s="158" t="str">
        <f t="shared" ca="1" si="716"/>
        <v>C/USN/V/P1/66 80101 6050 GMMW</v>
      </c>
      <c r="AL456" s="158" t="str">
        <f t="shared" ca="1" si="717"/>
        <v>C/USN/V/P1/66 80101 6050 WPF/PM</v>
      </c>
      <c r="AM456" s="159" t="str">
        <f t="shared" ca="1" si="718"/>
        <v>C/USN/V/P1/66 80101 6050 GMMW WPF/PM</v>
      </c>
      <c r="AN456" s="160">
        <f t="shared" ca="1" si="729"/>
        <v>1070696</v>
      </c>
      <c r="AO456" s="161">
        <f t="shared" ca="1" si="730"/>
        <v>0</v>
      </c>
      <c r="AP456" s="162">
        <f t="shared" ca="1" si="731"/>
        <v>0</v>
      </c>
      <c r="AQ456" s="163">
        <f t="shared" ca="1" si="732"/>
        <v>1070696</v>
      </c>
      <c r="AR456" s="164">
        <f t="shared" ca="1" si="733"/>
        <v>0</v>
      </c>
      <c r="AS456" s="164">
        <f t="shared" ca="1" si="734"/>
        <v>0</v>
      </c>
      <c r="AT456" s="164">
        <f t="shared" ca="1" si="735"/>
        <v>0</v>
      </c>
      <c r="AU456" s="164">
        <f t="shared" ca="1" si="736"/>
        <v>0</v>
      </c>
      <c r="AV456" s="164">
        <f t="shared" ca="1" si="737"/>
        <v>0</v>
      </c>
      <c r="AW456" s="164">
        <f t="shared" ca="1" si="738"/>
        <v>0</v>
      </c>
      <c r="AX456" s="164">
        <f t="shared" ca="1" si="739"/>
        <v>0</v>
      </c>
      <c r="AY456" s="164">
        <f t="shared" ca="1" si="740"/>
        <v>0</v>
      </c>
      <c r="AZ456" s="164">
        <f t="shared" ca="1" si="741"/>
        <v>0</v>
      </c>
      <c r="BA456" s="165" t="str">
        <f t="shared" ca="1" si="742"/>
        <v>nie</v>
      </c>
      <c r="BB456" s="166" t="str">
        <f t="shared" ca="1" si="747"/>
        <v>-</v>
      </c>
      <c r="BC456" s="165" t="str">
        <f t="shared" ca="1" si="660"/>
        <v>nie</v>
      </c>
    </row>
    <row r="457" spans="1:55" s="167" customFormat="1" ht="14.45" hidden="1" customHeight="1" x14ac:dyDescent="0.25">
      <c r="A457" s="493"/>
      <c r="B457" s="493"/>
      <c r="C457" s="494"/>
      <c r="D457" s="505"/>
      <c r="E457" s="497"/>
      <c r="F457" s="497"/>
      <c r="G457" s="497"/>
      <c r="H457" s="498"/>
      <c r="I457" s="499"/>
      <c r="J457" s="177" t="s">
        <v>96</v>
      </c>
      <c r="K457" s="178">
        <f>SUM(N457:O457)</f>
        <v>2998305</v>
      </c>
      <c r="L457" s="184">
        <v>1539806</v>
      </c>
      <c r="M457" s="180">
        <v>1458499</v>
      </c>
      <c r="N457" s="172">
        <f>SUM(L457:M457)</f>
        <v>2998305</v>
      </c>
      <c r="O457" s="178">
        <f>SUM(P457:Y457)</f>
        <v>0</v>
      </c>
      <c r="P457" s="181"/>
      <c r="Q457" s="180"/>
      <c r="R457" s="182"/>
      <c r="S457" s="183"/>
      <c r="T457" s="180"/>
      <c r="U457" s="180"/>
      <c r="V457" s="180"/>
      <c r="W457" s="180"/>
      <c r="X457" s="180"/>
      <c r="Y457" s="182"/>
      <c r="Z457" s="149" t="str">
        <f t="shared" ca="1" si="653"/>
        <v>nie</v>
      </c>
      <c r="AA457" s="366"/>
      <c r="AB457" s="150" t="str">
        <f t="shared" ca="1" si="746"/>
        <v>-</v>
      </c>
      <c r="AC457" s="151" t="str">
        <f t="shared" ca="1" si="722"/>
        <v>PRZED ZMIANĄ</v>
      </c>
      <c r="AD457" s="152" t="str">
        <f t="shared" ca="1" si="715"/>
        <v>PRZED ZMIANĄ</v>
      </c>
      <c r="AE457" s="153" t="str">
        <f t="shared" ca="1" si="723"/>
        <v>C/USN/V/P1/66</v>
      </c>
      <c r="AF457" s="154" t="str">
        <f t="shared" ca="1" si="724"/>
        <v>Modernizacja budynku Szkoły Podstawowej nr 319 przy ul. Wokalnej</v>
      </c>
      <c r="AG457" s="155">
        <f t="shared" ca="1" si="725"/>
        <v>80101</v>
      </c>
      <c r="AH457" s="155" t="str">
        <f t="shared" ca="1" si="726"/>
        <v>6050</v>
      </c>
      <c r="AI457" s="156" t="str">
        <f t="shared" ca="1" si="727"/>
        <v>GMMW</v>
      </c>
      <c r="AJ457" s="157" t="str">
        <f t="shared" ca="1" si="728"/>
        <v>WPF/UM</v>
      </c>
      <c r="AK457" s="158" t="str">
        <f t="shared" ca="1" si="716"/>
        <v>C/USN/V/P1/66 80101 6050 GMMW</v>
      </c>
      <c r="AL457" s="158" t="str">
        <f t="shared" ca="1" si="717"/>
        <v>C/USN/V/P1/66 80101 6050 WPF/UM</v>
      </c>
      <c r="AM457" s="159" t="str">
        <f t="shared" ca="1" si="718"/>
        <v>C/USN/V/P1/66 80101 6050 GMMW WPF/UM</v>
      </c>
      <c r="AN457" s="160">
        <f t="shared" ca="1" si="729"/>
        <v>2998305</v>
      </c>
      <c r="AO457" s="161">
        <f t="shared" ca="1" si="730"/>
        <v>1539806</v>
      </c>
      <c r="AP457" s="162">
        <f t="shared" ca="1" si="731"/>
        <v>1458499</v>
      </c>
      <c r="AQ457" s="163">
        <f t="shared" ca="1" si="732"/>
        <v>0</v>
      </c>
      <c r="AR457" s="164">
        <f t="shared" ca="1" si="733"/>
        <v>0</v>
      </c>
      <c r="AS457" s="164">
        <f t="shared" ca="1" si="734"/>
        <v>0</v>
      </c>
      <c r="AT457" s="164">
        <f t="shared" ca="1" si="735"/>
        <v>0</v>
      </c>
      <c r="AU457" s="164">
        <f t="shared" ca="1" si="736"/>
        <v>0</v>
      </c>
      <c r="AV457" s="164">
        <f t="shared" ca="1" si="737"/>
        <v>0</v>
      </c>
      <c r="AW457" s="164">
        <f t="shared" ca="1" si="738"/>
        <v>0</v>
      </c>
      <c r="AX457" s="164">
        <f t="shared" ca="1" si="739"/>
        <v>0</v>
      </c>
      <c r="AY457" s="164">
        <f t="shared" ca="1" si="740"/>
        <v>0</v>
      </c>
      <c r="AZ457" s="164">
        <f t="shared" ca="1" si="741"/>
        <v>0</v>
      </c>
      <c r="BA457" s="165" t="str">
        <f t="shared" ca="1" si="742"/>
        <v>nie</v>
      </c>
      <c r="BB457" s="166" t="str">
        <f t="shared" ca="1" si="747"/>
        <v>-</v>
      </c>
      <c r="BC457" s="165" t="str">
        <f t="shared" ca="1" si="660"/>
        <v>nie</v>
      </c>
    </row>
    <row r="458" spans="1:55" s="167" customFormat="1" ht="14.45" hidden="1" customHeight="1" x14ac:dyDescent="0.25">
      <c r="A458" s="185" t="s">
        <v>97</v>
      </c>
      <c r="B458" s="186"/>
      <c r="C458" s="187"/>
      <c r="D458" s="186"/>
      <c r="E458" s="186"/>
      <c r="F458" s="186"/>
      <c r="G458" s="186"/>
      <c r="H458" s="186"/>
      <c r="I458" s="186"/>
      <c r="J458" s="186"/>
      <c r="K458" s="186"/>
      <c r="L458" s="186"/>
      <c r="M458" s="186"/>
      <c r="N458" s="186"/>
      <c r="O458" s="186"/>
      <c r="P458" s="186"/>
      <c r="Q458" s="186"/>
      <c r="R458" s="188"/>
      <c r="S458" s="189"/>
      <c r="T458" s="189"/>
      <c r="U458" s="189"/>
      <c r="V458" s="189"/>
      <c r="W458" s="189"/>
      <c r="X458" s="189"/>
      <c r="Y458" s="190"/>
      <c r="Z458" s="149" t="str">
        <f t="shared" ref="Z458:Z521" ca="1" si="759">IF(COUNTIF(A458,"*zmia*")&gt;0,OFFSET(Z458,1,0),IF(COUNTIF($AB$10:$AB$888,AE458)&gt;0,"tak","nie"))</f>
        <v>nie</v>
      </c>
      <c r="AA458" s="366"/>
      <c r="AB458" s="150" t="str">
        <f t="shared" ca="1" si="746"/>
        <v>-</v>
      </c>
      <c r="AC458" s="151" t="str">
        <f t="shared" ca="1" si="722"/>
        <v>PROPONOWANA ZMIANA</v>
      </c>
      <c r="AD458" s="152" t="str">
        <f t="shared" ca="1" si="715"/>
        <v/>
      </c>
      <c r="AE458" s="153" t="str">
        <f t="shared" ca="1" si="723"/>
        <v/>
      </c>
      <c r="AF458" s="154" t="str">
        <f t="shared" ca="1" si="724"/>
        <v/>
      </c>
      <c r="AG458" s="155" t="str">
        <f t="shared" ca="1" si="725"/>
        <v/>
      </c>
      <c r="AH458" s="155" t="str">
        <f t="shared" ca="1" si="726"/>
        <v/>
      </c>
      <c r="AI458" s="156" t="str">
        <f t="shared" ca="1" si="727"/>
        <v/>
      </c>
      <c r="AJ458" s="157" t="str">
        <f t="shared" ca="1" si="728"/>
        <v/>
      </c>
      <c r="AK458" s="158" t="str">
        <f t="shared" ca="1" si="716"/>
        <v/>
      </c>
      <c r="AL458" s="158" t="str">
        <f t="shared" ca="1" si="717"/>
        <v/>
      </c>
      <c r="AM458" s="159" t="str">
        <f t="shared" ca="1" si="718"/>
        <v/>
      </c>
      <c r="AN458" s="160" t="str">
        <f t="shared" ca="1" si="729"/>
        <v/>
      </c>
      <c r="AO458" s="161" t="str">
        <f t="shared" ca="1" si="730"/>
        <v/>
      </c>
      <c r="AP458" s="162" t="str">
        <f t="shared" ca="1" si="731"/>
        <v/>
      </c>
      <c r="AQ458" s="163" t="str">
        <f t="shared" ca="1" si="732"/>
        <v/>
      </c>
      <c r="AR458" s="164" t="str">
        <f t="shared" ca="1" si="733"/>
        <v/>
      </c>
      <c r="AS458" s="164" t="str">
        <f t="shared" ca="1" si="734"/>
        <v/>
      </c>
      <c r="AT458" s="164" t="str">
        <f t="shared" ca="1" si="735"/>
        <v/>
      </c>
      <c r="AU458" s="164" t="str">
        <f t="shared" ca="1" si="736"/>
        <v/>
      </c>
      <c r="AV458" s="164" t="str">
        <f t="shared" ca="1" si="737"/>
        <v/>
      </c>
      <c r="AW458" s="164" t="str">
        <f t="shared" ca="1" si="738"/>
        <v/>
      </c>
      <c r="AX458" s="164" t="str">
        <f t="shared" ca="1" si="739"/>
        <v/>
      </c>
      <c r="AY458" s="164" t="str">
        <f t="shared" ca="1" si="740"/>
        <v/>
      </c>
      <c r="AZ458" s="164" t="str">
        <f t="shared" ca="1" si="741"/>
        <v/>
      </c>
      <c r="BA458" s="165" t="str">
        <f t="shared" ca="1" si="742"/>
        <v>nie</v>
      </c>
      <c r="BB458" s="166" t="str">
        <f t="shared" ca="1" si="747"/>
        <v>-</v>
      </c>
      <c r="BC458" s="165" t="str">
        <f t="shared" ref="BC458:BC521" ca="1" si="760">IF(AND(COUNTIF(AD458,"*zmi*")&gt;0,COUNTIF($BB$10:$BB$888,AK458)&gt;0),"tak","nie")</f>
        <v>nie</v>
      </c>
    </row>
    <row r="459" spans="1:55" s="176" customFormat="1" ht="14.45" hidden="1" customHeight="1" x14ac:dyDescent="0.25">
      <c r="A459" s="493" t="s">
        <v>24</v>
      </c>
      <c r="B459" s="493" t="s">
        <v>26</v>
      </c>
      <c r="C459" s="494" t="s">
        <v>165</v>
      </c>
      <c r="D459" s="505" t="s">
        <v>166</v>
      </c>
      <c r="E459" s="497">
        <v>801</v>
      </c>
      <c r="F459" s="497">
        <v>80101</v>
      </c>
      <c r="G459" s="497">
        <v>6050</v>
      </c>
      <c r="H459" s="507">
        <v>2021</v>
      </c>
      <c r="I459" s="499" t="str">
        <f ca="1">IF(COUNTIF(OFFSET(I459,-1,-8),"*propon*")&gt;0,OFFSET(I459,4,0),IF(Y459&gt;0,"2033",IF(X459&gt;0,"2032",IF(W459&gt;0,"2031",IF(V459&gt;0,"2030",IF(U459&gt;0,"2029",IF(T459&gt;0,"2028",IF(S459&gt;0,"2027",IF(R459&gt;0,"2026",IF(Q459&gt;0,"2025",IF(P459&gt;0,"2024",IF(M459&gt;0,"2023",IF(L459&gt;0,"2022","")))))))))))))</f>
        <v>2024</v>
      </c>
      <c r="J459" s="168" t="s">
        <v>98</v>
      </c>
      <c r="K459" s="169">
        <f>SUM(N459:O459)</f>
        <v>0</v>
      </c>
      <c r="L459" s="170">
        <f t="shared" ref="L459:M459" si="761">SUM(L460:L461)</f>
        <v>0</v>
      </c>
      <c r="M459" s="171">
        <f t="shared" si="761"/>
        <v>0</v>
      </c>
      <c r="N459" s="172">
        <f>SUM(L459:M459)</f>
        <v>0</v>
      </c>
      <c r="O459" s="169">
        <f>SUM(P459:Y459)</f>
        <v>0</v>
      </c>
      <c r="P459" s="173">
        <f t="shared" ref="P459:R459" si="762">SUM(P460:P461)</f>
        <v>0</v>
      </c>
      <c r="Q459" s="171">
        <f t="shared" si="762"/>
        <v>0</v>
      </c>
      <c r="R459" s="174">
        <f t="shared" si="762"/>
        <v>0</v>
      </c>
      <c r="S459" s="175">
        <f t="shared" ref="S459:Y459" si="763">SUM(S460:S461)</f>
        <v>0</v>
      </c>
      <c r="T459" s="171">
        <f t="shared" si="763"/>
        <v>0</v>
      </c>
      <c r="U459" s="171">
        <f t="shared" si="763"/>
        <v>0</v>
      </c>
      <c r="V459" s="171">
        <f t="shared" si="763"/>
        <v>0</v>
      </c>
      <c r="W459" s="171">
        <f t="shared" si="763"/>
        <v>0</v>
      </c>
      <c r="X459" s="171">
        <f t="shared" si="763"/>
        <v>0</v>
      </c>
      <c r="Y459" s="174">
        <f t="shared" si="763"/>
        <v>0</v>
      </c>
      <c r="Z459" s="149" t="str">
        <f t="shared" ca="1" si="759"/>
        <v>nie</v>
      </c>
      <c r="AA459" s="366"/>
      <c r="AB459" s="150" t="str">
        <f t="shared" ca="1" si="746"/>
        <v>-</v>
      </c>
      <c r="AC459" s="151" t="str">
        <f t="shared" ca="1" si="722"/>
        <v>PROPONOWANA ZMIANA</v>
      </c>
      <c r="AD459" s="152" t="str">
        <f t="shared" ca="1" si="715"/>
        <v>PROPONOWANA ZMIANA</v>
      </c>
      <c r="AE459" s="153" t="str">
        <f t="shared" ca="1" si="723"/>
        <v>C/USN/V/P1/66</v>
      </c>
      <c r="AF459" s="154" t="str">
        <f t="shared" ca="1" si="724"/>
        <v>Modernizacja budynku Szkoły Podstawowej nr 319 przy ul. Wokalnej</v>
      </c>
      <c r="AG459" s="155">
        <f t="shared" ca="1" si="725"/>
        <v>80101</v>
      </c>
      <c r="AH459" s="155" t="str">
        <f t="shared" ca="1" si="726"/>
        <v>6050</v>
      </c>
      <c r="AI459" s="156" t="str">
        <f t="shared" ca="1" si="727"/>
        <v>GMMW</v>
      </c>
      <c r="AJ459" s="157" t="str">
        <f t="shared" ca="1" si="728"/>
        <v>WPF, w tym</v>
      </c>
      <c r="AK459" s="158" t="str">
        <f t="shared" ca="1" si="716"/>
        <v>C/USN/V/P1/66 80101 6050 GMMW</v>
      </c>
      <c r="AL459" s="158" t="str">
        <f t="shared" ca="1" si="717"/>
        <v>C/USN/V/P1/66 80101 6050 WPF, w tym</v>
      </c>
      <c r="AM459" s="159" t="str">
        <f t="shared" ca="1" si="718"/>
        <v>C/USN/V/P1/66 80101 6050 GMMW WPF, w tym</v>
      </c>
      <c r="AN459" s="160">
        <f t="shared" ca="1" si="729"/>
        <v>0</v>
      </c>
      <c r="AO459" s="161">
        <f t="shared" ca="1" si="730"/>
        <v>0</v>
      </c>
      <c r="AP459" s="162">
        <f t="shared" ca="1" si="731"/>
        <v>0</v>
      </c>
      <c r="AQ459" s="163">
        <f t="shared" ca="1" si="732"/>
        <v>0</v>
      </c>
      <c r="AR459" s="164">
        <f t="shared" ca="1" si="733"/>
        <v>0</v>
      </c>
      <c r="AS459" s="164">
        <f t="shared" ca="1" si="734"/>
        <v>0</v>
      </c>
      <c r="AT459" s="164">
        <f t="shared" ca="1" si="735"/>
        <v>0</v>
      </c>
      <c r="AU459" s="164">
        <f t="shared" ca="1" si="736"/>
        <v>0</v>
      </c>
      <c r="AV459" s="164">
        <f t="shared" ca="1" si="737"/>
        <v>0</v>
      </c>
      <c r="AW459" s="164">
        <f t="shared" ca="1" si="738"/>
        <v>0</v>
      </c>
      <c r="AX459" s="164">
        <f t="shared" ca="1" si="739"/>
        <v>0</v>
      </c>
      <c r="AY459" s="164">
        <f t="shared" ca="1" si="740"/>
        <v>0</v>
      </c>
      <c r="AZ459" s="164">
        <f t="shared" ca="1" si="741"/>
        <v>0</v>
      </c>
      <c r="BA459" s="165" t="str">
        <f t="shared" ca="1" si="742"/>
        <v>nie</v>
      </c>
      <c r="BB459" s="166" t="str">
        <f t="shared" ca="1" si="747"/>
        <v>-</v>
      </c>
      <c r="BC459" s="165" t="str">
        <f t="shared" ca="1" si="760"/>
        <v>nie</v>
      </c>
    </row>
    <row r="460" spans="1:55" s="167" customFormat="1" ht="14.45" hidden="1" customHeight="1" x14ac:dyDescent="0.25">
      <c r="A460" s="493"/>
      <c r="B460" s="493"/>
      <c r="C460" s="494"/>
      <c r="D460" s="505"/>
      <c r="E460" s="497"/>
      <c r="F460" s="497"/>
      <c r="G460" s="497"/>
      <c r="H460" s="498"/>
      <c r="I460" s="499"/>
      <c r="J460" s="177" t="s">
        <v>99</v>
      </c>
      <c r="K460" s="178">
        <f>SUM(N460:O460)</f>
        <v>0</v>
      </c>
      <c r="L460" s="179">
        <f t="shared" ref="L460:M460" si="764">L464-L456</f>
        <v>0</v>
      </c>
      <c r="M460" s="180">
        <f t="shared" si="764"/>
        <v>0</v>
      </c>
      <c r="N460" s="172">
        <f>SUM(L460:M460)</f>
        <v>0</v>
      </c>
      <c r="O460" s="178">
        <f>SUM(P460:Y460)</f>
        <v>0</v>
      </c>
      <c r="P460" s="181">
        <f t="shared" ref="P460:R460" si="765">P464-P456</f>
        <v>0</v>
      </c>
      <c r="Q460" s="180">
        <f t="shared" si="765"/>
        <v>0</v>
      </c>
      <c r="R460" s="182">
        <f t="shared" si="765"/>
        <v>0</v>
      </c>
      <c r="S460" s="183">
        <f t="shared" ref="S460:Y461" si="766">S464-S456</f>
        <v>0</v>
      </c>
      <c r="T460" s="180">
        <f t="shared" si="766"/>
        <v>0</v>
      </c>
      <c r="U460" s="180">
        <f t="shared" si="766"/>
        <v>0</v>
      </c>
      <c r="V460" s="180">
        <f t="shared" si="766"/>
        <v>0</v>
      </c>
      <c r="W460" s="180">
        <f t="shared" si="766"/>
        <v>0</v>
      </c>
      <c r="X460" s="180">
        <f t="shared" si="766"/>
        <v>0</v>
      </c>
      <c r="Y460" s="182">
        <f t="shared" si="766"/>
        <v>0</v>
      </c>
      <c r="Z460" s="149" t="str">
        <f t="shared" ca="1" si="759"/>
        <v>nie</v>
      </c>
      <c r="AA460" s="366"/>
      <c r="AB460" s="150" t="str">
        <f t="shared" ca="1" si="746"/>
        <v>-</v>
      </c>
      <c r="AC460" s="151" t="str">
        <f t="shared" ca="1" si="722"/>
        <v>PROPONOWANA ZMIANA</v>
      </c>
      <c r="AD460" s="152" t="str">
        <f t="shared" ca="1" si="715"/>
        <v>PROPONOWANA ZMIANA</v>
      </c>
      <c r="AE460" s="153" t="str">
        <f t="shared" ca="1" si="723"/>
        <v>C/USN/V/P1/66</v>
      </c>
      <c r="AF460" s="154" t="str">
        <f t="shared" ca="1" si="724"/>
        <v>Modernizacja budynku Szkoły Podstawowej nr 319 przy ul. Wokalnej</v>
      </c>
      <c r="AG460" s="155">
        <f t="shared" ca="1" si="725"/>
        <v>80101</v>
      </c>
      <c r="AH460" s="155" t="str">
        <f t="shared" ca="1" si="726"/>
        <v>6050</v>
      </c>
      <c r="AI460" s="156" t="str">
        <f t="shared" ca="1" si="727"/>
        <v>GMMW</v>
      </c>
      <c r="AJ460" s="157" t="str">
        <f t="shared" ca="1" si="728"/>
        <v>WPF/PM</v>
      </c>
      <c r="AK460" s="158" t="str">
        <f t="shared" ca="1" si="716"/>
        <v>C/USN/V/P1/66 80101 6050 GMMW</v>
      </c>
      <c r="AL460" s="158" t="str">
        <f t="shared" ca="1" si="717"/>
        <v>C/USN/V/P1/66 80101 6050 WPF/PM</v>
      </c>
      <c r="AM460" s="159" t="str">
        <f t="shared" ca="1" si="718"/>
        <v>C/USN/V/P1/66 80101 6050 GMMW WPF/PM</v>
      </c>
      <c r="AN460" s="160">
        <f t="shared" ca="1" si="729"/>
        <v>0</v>
      </c>
      <c r="AO460" s="161">
        <f t="shared" ca="1" si="730"/>
        <v>0</v>
      </c>
      <c r="AP460" s="162">
        <f t="shared" ca="1" si="731"/>
        <v>0</v>
      </c>
      <c r="AQ460" s="163">
        <f t="shared" ca="1" si="732"/>
        <v>0</v>
      </c>
      <c r="AR460" s="164">
        <f t="shared" ca="1" si="733"/>
        <v>0</v>
      </c>
      <c r="AS460" s="164">
        <f t="shared" ca="1" si="734"/>
        <v>0</v>
      </c>
      <c r="AT460" s="164">
        <f t="shared" ca="1" si="735"/>
        <v>0</v>
      </c>
      <c r="AU460" s="164">
        <f t="shared" ca="1" si="736"/>
        <v>0</v>
      </c>
      <c r="AV460" s="164">
        <f t="shared" ca="1" si="737"/>
        <v>0</v>
      </c>
      <c r="AW460" s="164">
        <f t="shared" ca="1" si="738"/>
        <v>0</v>
      </c>
      <c r="AX460" s="164">
        <f t="shared" ca="1" si="739"/>
        <v>0</v>
      </c>
      <c r="AY460" s="164">
        <f t="shared" ca="1" si="740"/>
        <v>0</v>
      </c>
      <c r="AZ460" s="164">
        <f t="shared" ca="1" si="741"/>
        <v>0</v>
      </c>
      <c r="BA460" s="165" t="str">
        <f t="shared" ca="1" si="742"/>
        <v>nie</v>
      </c>
      <c r="BB460" s="166" t="str">
        <f t="shared" ca="1" si="747"/>
        <v>-</v>
      </c>
      <c r="BC460" s="165" t="str">
        <f t="shared" ca="1" si="760"/>
        <v>nie</v>
      </c>
    </row>
    <row r="461" spans="1:55" s="167" customFormat="1" ht="14.45" hidden="1" customHeight="1" x14ac:dyDescent="0.25">
      <c r="A461" s="493"/>
      <c r="B461" s="493"/>
      <c r="C461" s="494"/>
      <c r="D461" s="505"/>
      <c r="E461" s="497"/>
      <c r="F461" s="497"/>
      <c r="G461" s="497"/>
      <c r="H461" s="498"/>
      <c r="I461" s="499"/>
      <c r="J461" s="177" t="s">
        <v>100</v>
      </c>
      <c r="K461" s="178">
        <f>SUM(N461:O461)</f>
        <v>0</v>
      </c>
      <c r="L461" s="179">
        <f t="shared" ref="L461:M461" si="767">L465-L457</f>
        <v>0</v>
      </c>
      <c r="M461" s="180">
        <f t="shared" si="767"/>
        <v>0</v>
      </c>
      <c r="N461" s="172">
        <f>SUM(L461:M461)</f>
        <v>0</v>
      </c>
      <c r="O461" s="178">
        <f>SUM(P461:Y461)</f>
        <v>0</v>
      </c>
      <c r="P461" s="181">
        <f t="shared" ref="P461:R461" si="768">P465-P457</f>
        <v>0</v>
      </c>
      <c r="Q461" s="180">
        <f t="shared" si="768"/>
        <v>0</v>
      </c>
      <c r="R461" s="182">
        <f t="shared" si="768"/>
        <v>0</v>
      </c>
      <c r="S461" s="183">
        <f t="shared" si="766"/>
        <v>0</v>
      </c>
      <c r="T461" s="180">
        <f t="shared" si="766"/>
        <v>0</v>
      </c>
      <c r="U461" s="180">
        <f t="shared" si="766"/>
        <v>0</v>
      </c>
      <c r="V461" s="180">
        <f t="shared" si="766"/>
        <v>0</v>
      </c>
      <c r="W461" s="180">
        <f t="shared" si="766"/>
        <v>0</v>
      </c>
      <c r="X461" s="180">
        <f t="shared" si="766"/>
        <v>0</v>
      </c>
      <c r="Y461" s="182">
        <f t="shared" si="766"/>
        <v>0</v>
      </c>
      <c r="Z461" s="149" t="str">
        <f t="shared" ca="1" si="759"/>
        <v>nie</v>
      </c>
      <c r="AA461" s="366"/>
      <c r="AB461" s="150" t="str">
        <f t="shared" ca="1" si="746"/>
        <v>-</v>
      </c>
      <c r="AC461" s="151" t="str">
        <f t="shared" ca="1" si="722"/>
        <v>PROPONOWANA ZMIANA</v>
      </c>
      <c r="AD461" s="152" t="str">
        <f t="shared" ca="1" si="715"/>
        <v>PROPONOWANA ZMIANA</v>
      </c>
      <c r="AE461" s="153" t="str">
        <f t="shared" ca="1" si="723"/>
        <v>C/USN/V/P1/66</v>
      </c>
      <c r="AF461" s="154" t="str">
        <f t="shared" ca="1" si="724"/>
        <v>Modernizacja budynku Szkoły Podstawowej nr 319 przy ul. Wokalnej</v>
      </c>
      <c r="AG461" s="155">
        <f t="shared" ca="1" si="725"/>
        <v>80101</v>
      </c>
      <c r="AH461" s="155" t="str">
        <f t="shared" ca="1" si="726"/>
        <v>6050</v>
      </c>
      <c r="AI461" s="156" t="str">
        <f t="shared" ca="1" si="727"/>
        <v>GMMW</v>
      </c>
      <c r="AJ461" s="157" t="str">
        <f t="shared" ca="1" si="728"/>
        <v>WPF/UM</v>
      </c>
      <c r="AK461" s="158" t="str">
        <f t="shared" ca="1" si="716"/>
        <v>C/USN/V/P1/66 80101 6050 GMMW</v>
      </c>
      <c r="AL461" s="158" t="str">
        <f t="shared" ca="1" si="717"/>
        <v>C/USN/V/P1/66 80101 6050 WPF/UM</v>
      </c>
      <c r="AM461" s="159" t="str">
        <f t="shared" ca="1" si="718"/>
        <v>C/USN/V/P1/66 80101 6050 GMMW WPF/UM</v>
      </c>
      <c r="AN461" s="160">
        <f t="shared" ca="1" si="729"/>
        <v>0</v>
      </c>
      <c r="AO461" s="161">
        <f t="shared" ca="1" si="730"/>
        <v>0</v>
      </c>
      <c r="AP461" s="162">
        <f t="shared" ca="1" si="731"/>
        <v>0</v>
      </c>
      <c r="AQ461" s="163">
        <f t="shared" ca="1" si="732"/>
        <v>0</v>
      </c>
      <c r="AR461" s="164">
        <f t="shared" ca="1" si="733"/>
        <v>0</v>
      </c>
      <c r="AS461" s="164">
        <f t="shared" ca="1" si="734"/>
        <v>0</v>
      </c>
      <c r="AT461" s="164">
        <f t="shared" ca="1" si="735"/>
        <v>0</v>
      </c>
      <c r="AU461" s="164">
        <f t="shared" ca="1" si="736"/>
        <v>0</v>
      </c>
      <c r="AV461" s="164">
        <f t="shared" ca="1" si="737"/>
        <v>0</v>
      </c>
      <c r="AW461" s="164">
        <f t="shared" ca="1" si="738"/>
        <v>0</v>
      </c>
      <c r="AX461" s="164">
        <f t="shared" ca="1" si="739"/>
        <v>0</v>
      </c>
      <c r="AY461" s="164">
        <f t="shared" ca="1" si="740"/>
        <v>0</v>
      </c>
      <c r="AZ461" s="164">
        <f t="shared" ca="1" si="741"/>
        <v>0</v>
      </c>
      <c r="BA461" s="165" t="str">
        <f t="shared" ca="1" si="742"/>
        <v>nie</v>
      </c>
      <c r="BB461" s="166" t="str">
        <f t="shared" ca="1" si="747"/>
        <v>-</v>
      </c>
      <c r="BC461" s="165" t="str">
        <f t="shared" ca="1" si="760"/>
        <v>nie</v>
      </c>
    </row>
    <row r="462" spans="1:55" s="167" customFormat="1" ht="14.45" hidden="1" customHeight="1" x14ac:dyDescent="0.25">
      <c r="A462" s="191" t="s">
        <v>101</v>
      </c>
      <c r="B462" s="192"/>
      <c r="C462" s="193"/>
      <c r="D462" s="192"/>
      <c r="E462" s="192"/>
      <c r="F462" s="192"/>
      <c r="G462" s="192"/>
      <c r="H462" s="192"/>
      <c r="I462" s="192"/>
      <c r="J462" s="192"/>
      <c r="K462" s="192"/>
      <c r="L462" s="192"/>
      <c r="M462" s="192"/>
      <c r="N462" s="192"/>
      <c r="O462" s="192"/>
      <c r="P462" s="192"/>
      <c r="Q462" s="192"/>
      <c r="R462" s="194"/>
      <c r="S462" s="195"/>
      <c r="T462" s="195"/>
      <c r="U462" s="195"/>
      <c r="V462" s="195"/>
      <c r="W462" s="195"/>
      <c r="X462" s="195"/>
      <c r="Y462" s="196"/>
      <c r="Z462" s="149" t="str">
        <f t="shared" ca="1" si="759"/>
        <v>nie</v>
      </c>
      <c r="AA462" s="366"/>
      <c r="AB462" s="150" t="str">
        <f t="shared" ca="1" si="746"/>
        <v>-</v>
      </c>
      <c r="AC462" s="151" t="str">
        <f t="shared" ca="1" si="722"/>
        <v>PO ZMIANIE</v>
      </c>
      <c r="AD462" s="152" t="str">
        <f t="shared" ca="1" si="715"/>
        <v/>
      </c>
      <c r="AE462" s="153" t="str">
        <f t="shared" ca="1" si="723"/>
        <v/>
      </c>
      <c r="AF462" s="154" t="str">
        <f t="shared" ca="1" si="724"/>
        <v/>
      </c>
      <c r="AG462" s="155" t="str">
        <f t="shared" ca="1" si="725"/>
        <v/>
      </c>
      <c r="AH462" s="155" t="str">
        <f t="shared" ca="1" si="726"/>
        <v/>
      </c>
      <c r="AI462" s="156" t="str">
        <f t="shared" ca="1" si="727"/>
        <v/>
      </c>
      <c r="AJ462" s="157" t="str">
        <f t="shared" ca="1" si="728"/>
        <v/>
      </c>
      <c r="AK462" s="158" t="str">
        <f t="shared" ca="1" si="716"/>
        <v/>
      </c>
      <c r="AL462" s="158" t="str">
        <f t="shared" ca="1" si="717"/>
        <v/>
      </c>
      <c r="AM462" s="159" t="str">
        <f t="shared" ca="1" si="718"/>
        <v/>
      </c>
      <c r="AN462" s="160" t="str">
        <f t="shared" ca="1" si="729"/>
        <v/>
      </c>
      <c r="AO462" s="161" t="str">
        <f t="shared" ca="1" si="730"/>
        <v/>
      </c>
      <c r="AP462" s="162" t="str">
        <f t="shared" ca="1" si="731"/>
        <v/>
      </c>
      <c r="AQ462" s="163" t="str">
        <f t="shared" ca="1" si="732"/>
        <v/>
      </c>
      <c r="AR462" s="164" t="str">
        <f t="shared" ca="1" si="733"/>
        <v/>
      </c>
      <c r="AS462" s="164" t="str">
        <f t="shared" ca="1" si="734"/>
        <v/>
      </c>
      <c r="AT462" s="164" t="str">
        <f t="shared" ca="1" si="735"/>
        <v/>
      </c>
      <c r="AU462" s="164" t="str">
        <f t="shared" ca="1" si="736"/>
        <v/>
      </c>
      <c r="AV462" s="164" t="str">
        <f t="shared" ca="1" si="737"/>
        <v/>
      </c>
      <c r="AW462" s="164" t="str">
        <f t="shared" ca="1" si="738"/>
        <v/>
      </c>
      <c r="AX462" s="164" t="str">
        <f t="shared" ca="1" si="739"/>
        <v/>
      </c>
      <c r="AY462" s="164" t="str">
        <f t="shared" ca="1" si="740"/>
        <v/>
      </c>
      <c r="AZ462" s="164" t="str">
        <f t="shared" ca="1" si="741"/>
        <v/>
      </c>
      <c r="BA462" s="165" t="str">
        <f t="shared" ca="1" si="742"/>
        <v>nie</v>
      </c>
      <c r="BB462" s="166" t="str">
        <f t="shared" ca="1" si="747"/>
        <v>-</v>
      </c>
      <c r="BC462" s="165" t="str">
        <f t="shared" ca="1" si="760"/>
        <v>nie</v>
      </c>
    </row>
    <row r="463" spans="1:55" s="176" customFormat="1" ht="14.45" hidden="1" customHeight="1" x14ac:dyDescent="0.25">
      <c r="A463" s="493" t="s">
        <v>24</v>
      </c>
      <c r="B463" s="493" t="s">
        <v>26</v>
      </c>
      <c r="C463" s="494" t="s">
        <v>165</v>
      </c>
      <c r="D463" s="505" t="s">
        <v>166</v>
      </c>
      <c r="E463" s="497">
        <v>801</v>
      </c>
      <c r="F463" s="497">
        <v>80101</v>
      </c>
      <c r="G463" s="497">
        <v>6050</v>
      </c>
      <c r="H463" s="507">
        <v>2021</v>
      </c>
      <c r="I463" s="499" t="str">
        <f ca="1">IF(COUNTIF(OFFSET(I463,-1,-8),"*propon*")&gt;0,OFFSET(I463,4,0),IF(Y463&gt;0,"2033",IF(X463&gt;0,"2032",IF(W463&gt;0,"2031",IF(V463&gt;0,"2030",IF(U463&gt;0,"2029",IF(T463&gt;0,"2028",IF(S463&gt;0,"2027",IF(R463&gt;0,"2026",IF(Q463&gt;0,"2025",IF(P463&gt;0,"2024",IF(M463&gt;0,"2023",IF(L463&gt;0,"2022","")))))))))))))</f>
        <v>2024</v>
      </c>
      <c r="J463" s="168" t="s">
        <v>102</v>
      </c>
      <c r="K463" s="169">
        <f>SUM(N463:O463)</f>
        <v>4069001</v>
      </c>
      <c r="L463" s="170">
        <f t="shared" ref="L463:M463" si="769">SUM(L464:L465)</f>
        <v>1539806</v>
      </c>
      <c r="M463" s="171">
        <f t="shared" si="769"/>
        <v>1458499</v>
      </c>
      <c r="N463" s="172">
        <f>SUM(L463:M463)</f>
        <v>2998305</v>
      </c>
      <c r="O463" s="169">
        <f>SUM(P463:Y463)</f>
        <v>1070696</v>
      </c>
      <c r="P463" s="173">
        <f t="shared" ref="P463:R463" si="770">SUM(P464:P465)</f>
        <v>1070696</v>
      </c>
      <c r="Q463" s="171">
        <f t="shared" si="770"/>
        <v>0</v>
      </c>
      <c r="R463" s="174">
        <f t="shared" si="770"/>
        <v>0</v>
      </c>
      <c r="S463" s="175">
        <f t="shared" ref="S463:Y463" si="771">SUM(S464:S465)</f>
        <v>0</v>
      </c>
      <c r="T463" s="171">
        <f t="shared" si="771"/>
        <v>0</v>
      </c>
      <c r="U463" s="171">
        <f t="shared" si="771"/>
        <v>0</v>
      </c>
      <c r="V463" s="171">
        <f t="shared" si="771"/>
        <v>0</v>
      </c>
      <c r="W463" s="171">
        <f t="shared" si="771"/>
        <v>0</v>
      </c>
      <c r="X463" s="171">
        <f t="shared" si="771"/>
        <v>0</v>
      </c>
      <c r="Y463" s="174">
        <f t="shared" si="771"/>
        <v>0</v>
      </c>
      <c r="Z463" s="149" t="str">
        <f t="shared" ca="1" si="759"/>
        <v>nie</v>
      </c>
      <c r="AA463" s="366"/>
      <c r="AB463" s="150" t="str">
        <f t="shared" ca="1" si="746"/>
        <v>-</v>
      </c>
      <c r="AC463" s="151" t="str">
        <f t="shared" ca="1" si="722"/>
        <v>PO ZMIANIE</v>
      </c>
      <c r="AD463" s="152" t="str">
        <f t="shared" ca="1" si="715"/>
        <v>PO ZMIANIE</v>
      </c>
      <c r="AE463" s="153" t="str">
        <f t="shared" ca="1" si="723"/>
        <v>C/USN/V/P1/66</v>
      </c>
      <c r="AF463" s="154" t="str">
        <f t="shared" ca="1" si="724"/>
        <v>Modernizacja budynku Szkoły Podstawowej nr 319 przy ul. Wokalnej</v>
      </c>
      <c r="AG463" s="155">
        <f t="shared" ca="1" si="725"/>
        <v>80101</v>
      </c>
      <c r="AH463" s="155" t="str">
        <f t="shared" ca="1" si="726"/>
        <v>6050</v>
      </c>
      <c r="AI463" s="156" t="str">
        <f t="shared" ca="1" si="727"/>
        <v>GMMW</v>
      </c>
      <c r="AJ463" s="157" t="str">
        <f t="shared" ca="1" si="728"/>
        <v>WPF, w tym</v>
      </c>
      <c r="AK463" s="158" t="str">
        <f t="shared" ca="1" si="716"/>
        <v>C/USN/V/P1/66 80101 6050 GMMW</v>
      </c>
      <c r="AL463" s="158" t="str">
        <f t="shared" ca="1" si="717"/>
        <v>C/USN/V/P1/66 80101 6050 WPF, w tym</v>
      </c>
      <c r="AM463" s="159" t="str">
        <f t="shared" ca="1" si="718"/>
        <v>C/USN/V/P1/66 80101 6050 GMMW WPF, w tym</v>
      </c>
      <c r="AN463" s="160">
        <f t="shared" ca="1" si="729"/>
        <v>4069001</v>
      </c>
      <c r="AO463" s="161">
        <f t="shared" ca="1" si="730"/>
        <v>1539806</v>
      </c>
      <c r="AP463" s="162">
        <f t="shared" ca="1" si="731"/>
        <v>1458499</v>
      </c>
      <c r="AQ463" s="163">
        <f t="shared" ca="1" si="732"/>
        <v>1070696</v>
      </c>
      <c r="AR463" s="164">
        <f t="shared" ca="1" si="733"/>
        <v>0</v>
      </c>
      <c r="AS463" s="164">
        <f t="shared" ca="1" si="734"/>
        <v>0</v>
      </c>
      <c r="AT463" s="164">
        <f t="shared" ca="1" si="735"/>
        <v>0</v>
      </c>
      <c r="AU463" s="164">
        <f t="shared" ca="1" si="736"/>
        <v>0</v>
      </c>
      <c r="AV463" s="164">
        <f t="shared" ca="1" si="737"/>
        <v>0</v>
      </c>
      <c r="AW463" s="164">
        <f t="shared" ca="1" si="738"/>
        <v>0</v>
      </c>
      <c r="AX463" s="164">
        <f t="shared" ca="1" si="739"/>
        <v>0</v>
      </c>
      <c r="AY463" s="164">
        <f t="shared" ca="1" si="740"/>
        <v>0</v>
      </c>
      <c r="AZ463" s="164">
        <f t="shared" ca="1" si="741"/>
        <v>0</v>
      </c>
      <c r="BA463" s="165" t="str">
        <f t="shared" ca="1" si="742"/>
        <v>nie</v>
      </c>
      <c r="BB463" s="166" t="str">
        <f t="shared" ca="1" si="747"/>
        <v>-</v>
      </c>
      <c r="BC463" s="165" t="str">
        <f t="shared" ca="1" si="760"/>
        <v>nie</v>
      </c>
    </row>
    <row r="464" spans="1:55" s="167" customFormat="1" ht="14.45" hidden="1" customHeight="1" x14ac:dyDescent="0.25">
      <c r="A464" s="493"/>
      <c r="B464" s="493"/>
      <c r="C464" s="494"/>
      <c r="D464" s="505"/>
      <c r="E464" s="497"/>
      <c r="F464" s="497"/>
      <c r="G464" s="497"/>
      <c r="H464" s="498"/>
      <c r="I464" s="499"/>
      <c r="J464" s="177" t="s">
        <v>103</v>
      </c>
      <c r="K464" s="178">
        <f>SUM(N464:O464)</f>
        <v>1070696</v>
      </c>
      <c r="L464" s="179"/>
      <c r="M464" s="180"/>
      <c r="N464" s="172">
        <f>SUM(L464:M464)</f>
        <v>0</v>
      </c>
      <c r="O464" s="178">
        <f>SUM(P464:Y464)</f>
        <v>1070696</v>
      </c>
      <c r="P464" s="181">
        <f>367996+702700</f>
        <v>1070696</v>
      </c>
      <c r="Q464" s="180"/>
      <c r="R464" s="182"/>
      <c r="S464" s="183"/>
      <c r="T464" s="180"/>
      <c r="U464" s="180"/>
      <c r="V464" s="180"/>
      <c r="W464" s="180"/>
      <c r="X464" s="180"/>
      <c r="Y464" s="182"/>
      <c r="Z464" s="149" t="str">
        <f t="shared" ca="1" si="759"/>
        <v>nie</v>
      </c>
      <c r="AA464" s="384"/>
      <c r="AB464" s="150" t="str">
        <f t="shared" ca="1" si="746"/>
        <v>-</v>
      </c>
      <c r="AC464" s="151" t="str">
        <f t="shared" ca="1" si="722"/>
        <v>PO ZMIANIE</v>
      </c>
      <c r="AD464" s="152" t="str">
        <f t="shared" ca="1" si="715"/>
        <v>PO ZMIANIE</v>
      </c>
      <c r="AE464" s="153" t="str">
        <f t="shared" ca="1" si="723"/>
        <v>C/USN/V/P1/66</v>
      </c>
      <c r="AF464" s="154" t="str">
        <f t="shared" ca="1" si="724"/>
        <v>Modernizacja budynku Szkoły Podstawowej nr 319 przy ul. Wokalnej</v>
      </c>
      <c r="AG464" s="155">
        <f t="shared" ca="1" si="725"/>
        <v>80101</v>
      </c>
      <c r="AH464" s="155" t="str">
        <f t="shared" ca="1" si="726"/>
        <v>6050</v>
      </c>
      <c r="AI464" s="156" t="str">
        <f t="shared" ca="1" si="727"/>
        <v>GMMW</v>
      </c>
      <c r="AJ464" s="157" t="str">
        <f t="shared" ca="1" si="728"/>
        <v>WPF/PM</v>
      </c>
      <c r="AK464" s="158" t="str">
        <f t="shared" ca="1" si="716"/>
        <v>C/USN/V/P1/66 80101 6050 GMMW</v>
      </c>
      <c r="AL464" s="158" t="str">
        <f t="shared" ca="1" si="717"/>
        <v>C/USN/V/P1/66 80101 6050 WPF/PM</v>
      </c>
      <c r="AM464" s="159" t="str">
        <f t="shared" ca="1" si="718"/>
        <v>C/USN/V/P1/66 80101 6050 GMMW WPF/PM</v>
      </c>
      <c r="AN464" s="160">
        <f t="shared" ca="1" si="729"/>
        <v>1070696</v>
      </c>
      <c r="AO464" s="161">
        <f t="shared" ca="1" si="730"/>
        <v>0</v>
      </c>
      <c r="AP464" s="162">
        <f t="shared" ca="1" si="731"/>
        <v>0</v>
      </c>
      <c r="AQ464" s="163">
        <f t="shared" ca="1" si="732"/>
        <v>1070696</v>
      </c>
      <c r="AR464" s="164">
        <f t="shared" ca="1" si="733"/>
        <v>0</v>
      </c>
      <c r="AS464" s="164">
        <f t="shared" ca="1" si="734"/>
        <v>0</v>
      </c>
      <c r="AT464" s="164">
        <f t="shared" ca="1" si="735"/>
        <v>0</v>
      </c>
      <c r="AU464" s="164">
        <f t="shared" ca="1" si="736"/>
        <v>0</v>
      </c>
      <c r="AV464" s="164">
        <f t="shared" ca="1" si="737"/>
        <v>0</v>
      </c>
      <c r="AW464" s="164">
        <f t="shared" ca="1" si="738"/>
        <v>0</v>
      </c>
      <c r="AX464" s="164">
        <f t="shared" ca="1" si="739"/>
        <v>0</v>
      </c>
      <c r="AY464" s="164">
        <f t="shared" ca="1" si="740"/>
        <v>0</v>
      </c>
      <c r="AZ464" s="164">
        <f t="shared" ca="1" si="741"/>
        <v>0</v>
      </c>
      <c r="BA464" s="165" t="str">
        <f t="shared" ca="1" si="742"/>
        <v>nie</v>
      </c>
      <c r="BB464" s="166" t="str">
        <f t="shared" ca="1" si="747"/>
        <v>-</v>
      </c>
      <c r="BC464" s="165" t="str">
        <f t="shared" ca="1" si="760"/>
        <v>nie</v>
      </c>
    </row>
    <row r="465" spans="1:55" s="167" customFormat="1" ht="14.45" hidden="1" customHeight="1" thickBot="1" x14ac:dyDescent="0.3">
      <c r="A465" s="500"/>
      <c r="B465" s="500"/>
      <c r="C465" s="501"/>
      <c r="D465" s="542"/>
      <c r="E465" s="503"/>
      <c r="F465" s="503"/>
      <c r="G465" s="503"/>
      <c r="H465" s="504"/>
      <c r="I465" s="499"/>
      <c r="J465" s="197" t="s">
        <v>104</v>
      </c>
      <c r="K465" s="198">
        <f>SUM(N465:O465)</f>
        <v>2998305</v>
      </c>
      <c r="L465" s="199">
        <v>1539806</v>
      </c>
      <c r="M465" s="200">
        <f>1461199-2700</f>
        <v>1458499</v>
      </c>
      <c r="N465" s="371">
        <f>SUM(L465:M465)</f>
        <v>2998305</v>
      </c>
      <c r="O465" s="198">
        <f>SUM(P465:Y465)</f>
        <v>0</v>
      </c>
      <c r="P465" s="201"/>
      <c r="Q465" s="200"/>
      <c r="R465" s="202"/>
      <c r="S465" s="203"/>
      <c r="T465" s="200"/>
      <c r="U465" s="200"/>
      <c r="V465" s="200"/>
      <c r="W465" s="200"/>
      <c r="X465" s="200"/>
      <c r="Y465" s="202"/>
      <c r="Z465" s="149" t="str">
        <f t="shared" ca="1" si="759"/>
        <v>nie</v>
      </c>
      <c r="AA465" s="384"/>
      <c r="AB465" s="150" t="str">
        <f t="shared" ca="1" si="746"/>
        <v>-</v>
      </c>
      <c r="AC465" s="151" t="str">
        <f t="shared" ca="1" si="722"/>
        <v>PO ZMIANIE</v>
      </c>
      <c r="AD465" s="152" t="str">
        <f t="shared" ca="1" si="715"/>
        <v>PO ZMIANIE</v>
      </c>
      <c r="AE465" s="153" t="str">
        <f t="shared" ca="1" si="723"/>
        <v>C/USN/V/P1/66</v>
      </c>
      <c r="AF465" s="154" t="str">
        <f t="shared" ca="1" si="724"/>
        <v>Modernizacja budynku Szkoły Podstawowej nr 319 przy ul. Wokalnej</v>
      </c>
      <c r="AG465" s="155">
        <f t="shared" ca="1" si="725"/>
        <v>80101</v>
      </c>
      <c r="AH465" s="155" t="str">
        <f t="shared" ca="1" si="726"/>
        <v>6050</v>
      </c>
      <c r="AI465" s="156" t="str">
        <f t="shared" ca="1" si="727"/>
        <v>GMMW</v>
      </c>
      <c r="AJ465" s="157" t="str">
        <f t="shared" ca="1" si="728"/>
        <v>WPF/UM</v>
      </c>
      <c r="AK465" s="158" t="str">
        <f t="shared" ca="1" si="716"/>
        <v>C/USN/V/P1/66 80101 6050 GMMW</v>
      </c>
      <c r="AL465" s="158" t="str">
        <f t="shared" ca="1" si="717"/>
        <v>C/USN/V/P1/66 80101 6050 WPF/UM</v>
      </c>
      <c r="AM465" s="159" t="str">
        <f t="shared" ca="1" si="718"/>
        <v>C/USN/V/P1/66 80101 6050 GMMW WPF/UM</v>
      </c>
      <c r="AN465" s="160">
        <f t="shared" ca="1" si="729"/>
        <v>2998305</v>
      </c>
      <c r="AO465" s="161">
        <f t="shared" ca="1" si="730"/>
        <v>1539806</v>
      </c>
      <c r="AP465" s="162">
        <f t="shared" ca="1" si="731"/>
        <v>1458499</v>
      </c>
      <c r="AQ465" s="163">
        <f t="shared" ca="1" si="732"/>
        <v>0</v>
      </c>
      <c r="AR465" s="164">
        <f t="shared" ca="1" si="733"/>
        <v>0</v>
      </c>
      <c r="AS465" s="164">
        <f t="shared" ca="1" si="734"/>
        <v>0</v>
      </c>
      <c r="AT465" s="164">
        <f t="shared" ca="1" si="735"/>
        <v>0</v>
      </c>
      <c r="AU465" s="164">
        <f t="shared" ca="1" si="736"/>
        <v>0</v>
      </c>
      <c r="AV465" s="164">
        <f t="shared" ca="1" si="737"/>
        <v>0</v>
      </c>
      <c r="AW465" s="164">
        <f t="shared" ca="1" si="738"/>
        <v>0</v>
      </c>
      <c r="AX465" s="164">
        <f t="shared" ca="1" si="739"/>
        <v>0</v>
      </c>
      <c r="AY465" s="164">
        <f t="shared" ca="1" si="740"/>
        <v>0</v>
      </c>
      <c r="AZ465" s="164">
        <f t="shared" ca="1" si="741"/>
        <v>0</v>
      </c>
      <c r="BA465" s="165" t="str">
        <f t="shared" ca="1" si="742"/>
        <v>nie</v>
      </c>
      <c r="BB465" s="166" t="str">
        <f t="shared" ca="1" si="747"/>
        <v>-</v>
      </c>
      <c r="BC465" s="165" t="str">
        <f t="shared" ca="1" si="760"/>
        <v>nie</v>
      </c>
    </row>
    <row r="466" spans="1:55" s="167" customFormat="1" ht="14.45" hidden="1" customHeight="1" x14ac:dyDescent="0.25">
      <c r="A466" s="143" t="s">
        <v>91</v>
      </c>
      <c r="B466" s="144"/>
      <c r="C466" s="145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6"/>
      <c r="S466" s="147"/>
      <c r="T466" s="147"/>
      <c r="U466" s="147"/>
      <c r="V466" s="147"/>
      <c r="W466" s="147"/>
      <c r="X466" s="147"/>
      <c r="Y466" s="148"/>
      <c r="Z466" s="149" t="str">
        <f t="shared" ca="1" si="759"/>
        <v>nie</v>
      </c>
      <c r="AA466" s="366"/>
      <c r="AB466" s="150" t="str">
        <f t="shared" ref="AB466:AB477" ca="1" si="772">IF(IF(OR(COUNTIF(AD466,"*bilans*")&gt;0,COUNTIF(AD466,"*prop*")&gt;0),COUNTIF(AO466:AZ466,"")+COUNTIF(AO466:AZ466,"0"),"")&lt;12,AE466,"-")</f>
        <v>-</v>
      </c>
      <c r="AC466" s="151" t="str">
        <f t="shared" ca="1" si="722"/>
        <v>PRZED ZMIANĄ</v>
      </c>
      <c r="AD466" s="152" t="str">
        <f t="shared" ref="AD466:AD477" ca="1" si="773">IF(AE466="","",AC466)</f>
        <v/>
      </c>
      <c r="AE466" s="153" t="str">
        <f t="shared" ca="1" si="723"/>
        <v/>
      </c>
      <c r="AF466" s="154" t="str">
        <f t="shared" ca="1" si="724"/>
        <v/>
      </c>
      <c r="AG466" s="155" t="str">
        <f t="shared" ca="1" si="725"/>
        <v/>
      </c>
      <c r="AH466" s="155" t="str">
        <f t="shared" ca="1" si="726"/>
        <v/>
      </c>
      <c r="AI466" s="156" t="str">
        <f t="shared" ca="1" si="727"/>
        <v/>
      </c>
      <c r="AJ466" s="157" t="str">
        <f t="shared" ca="1" si="728"/>
        <v/>
      </c>
      <c r="AK466" s="158" t="str">
        <f t="shared" ref="AK466:AK477" ca="1" si="774">IF(AH466="","",AE466&amp;" "&amp;AG466&amp;" "&amp;AH466&amp;" "&amp;AI466)</f>
        <v/>
      </c>
      <c r="AL466" s="158" t="str">
        <f t="shared" ref="AL466:AL477" ca="1" si="775">IF(AH466="","",AE466&amp;" "&amp;AG466&amp;" "&amp;AH466&amp;" "&amp;AJ466)</f>
        <v/>
      </c>
      <c r="AM466" s="159" t="str">
        <f t="shared" ref="AM466:AM477" ca="1" si="776">IF(AH466="","",AE466&amp;" "&amp;AG466&amp;" "&amp;AH466&amp;" "&amp;AI466&amp;" "&amp;AJ466)</f>
        <v/>
      </c>
      <c r="AN466" s="160" t="str">
        <f t="shared" ca="1" si="729"/>
        <v/>
      </c>
      <c r="AO466" s="161" t="str">
        <f t="shared" ca="1" si="730"/>
        <v/>
      </c>
      <c r="AP466" s="162" t="str">
        <f t="shared" ca="1" si="731"/>
        <v/>
      </c>
      <c r="AQ466" s="163" t="str">
        <f t="shared" ca="1" si="732"/>
        <v/>
      </c>
      <c r="AR466" s="164" t="str">
        <f t="shared" ca="1" si="733"/>
        <v/>
      </c>
      <c r="AS466" s="164" t="str">
        <f t="shared" ca="1" si="734"/>
        <v/>
      </c>
      <c r="AT466" s="164" t="str">
        <f t="shared" ca="1" si="735"/>
        <v/>
      </c>
      <c r="AU466" s="164" t="str">
        <f t="shared" ca="1" si="736"/>
        <v/>
      </c>
      <c r="AV466" s="164" t="str">
        <f t="shared" ca="1" si="737"/>
        <v/>
      </c>
      <c r="AW466" s="164" t="str">
        <f t="shared" ca="1" si="738"/>
        <v/>
      </c>
      <c r="AX466" s="164" t="str">
        <f t="shared" ca="1" si="739"/>
        <v/>
      </c>
      <c r="AY466" s="164" t="str">
        <f t="shared" ca="1" si="740"/>
        <v/>
      </c>
      <c r="AZ466" s="164" t="str">
        <f t="shared" ca="1" si="741"/>
        <v/>
      </c>
      <c r="BA466" s="165" t="str">
        <f t="shared" ca="1" si="742"/>
        <v>nie</v>
      </c>
      <c r="BB466" s="166" t="str">
        <f t="shared" ref="BB466:BB477" ca="1" si="777">IF(COUNTIF(AD466,"*bilans*")&gt;0,"-",IF(IF(COUNTIF(AD466,"*prop*")&gt;0,COUNTIF(AO466:AZ466,"")+COUNTIF(AO466:AZ466,"0"),"")&lt;12,AK466,"-"))</f>
        <v>-</v>
      </c>
      <c r="BC466" s="165" t="str">
        <f t="shared" ca="1" si="760"/>
        <v>nie</v>
      </c>
    </row>
    <row r="467" spans="1:55" s="176" customFormat="1" ht="14.45" hidden="1" customHeight="1" x14ac:dyDescent="0.25">
      <c r="A467" s="493" t="s">
        <v>24</v>
      </c>
      <c r="B467" s="493" t="s">
        <v>417</v>
      </c>
      <c r="C467" s="494" t="s">
        <v>165</v>
      </c>
      <c r="D467" s="505" t="s">
        <v>166</v>
      </c>
      <c r="E467" s="497">
        <v>801</v>
      </c>
      <c r="F467" s="497">
        <v>80101</v>
      </c>
      <c r="G467" s="497">
        <v>6050</v>
      </c>
      <c r="H467" s="498" t="s">
        <v>468</v>
      </c>
      <c r="I467" s="499" t="str">
        <f ca="1">IF(COUNTIF(OFFSET(I467,-1,-8),"*propon*")&gt;0,OFFSET(I467,4,0),IF(Y467&gt;0,"2033",IF(X467&gt;0,"2032",IF(W467&gt;0,"2031",IF(V467&gt;0,"2030",IF(U467&gt;0,"2029",IF(T467&gt;0,"2028",IF(S467&gt;0,"2027",IF(R467&gt;0,"2026",IF(Q467&gt;0,"2025",IF(P467&gt;0,"2024",IF(M467&gt;0,"2023",IF(L467&gt;0,"2022","")))))))))))))</f>
        <v>2024</v>
      </c>
      <c r="J467" s="168" t="s">
        <v>94</v>
      </c>
      <c r="K467" s="169">
        <f>SUM(N467:O467)</f>
        <v>1000000</v>
      </c>
      <c r="L467" s="170">
        <f t="shared" ref="L467:M467" si="778">SUM(L468:L469)</f>
        <v>0</v>
      </c>
      <c r="M467" s="171">
        <f t="shared" si="778"/>
        <v>0</v>
      </c>
      <c r="N467" s="172">
        <f>SUM(L467:M467)</f>
        <v>0</v>
      </c>
      <c r="O467" s="169">
        <f>SUM(P467:Y467)</f>
        <v>1000000</v>
      </c>
      <c r="P467" s="173">
        <f t="shared" ref="P467:Y467" si="779">SUM(P468:P469)</f>
        <v>1000000</v>
      </c>
      <c r="Q467" s="171">
        <f t="shared" si="779"/>
        <v>0</v>
      </c>
      <c r="R467" s="174">
        <f t="shared" si="779"/>
        <v>0</v>
      </c>
      <c r="S467" s="175">
        <f t="shared" si="779"/>
        <v>0</v>
      </c>
      <c r="T467" s="171">
        <f t="shared" si="779"/>
        <v>0</v>
      </c>
      <c r="U467" s="171">
        <f t="shared" si="779"/>
        <v>0</v>
      </c>
      <c r="V467" s="171">
        <f t="shared" si="779"/>
        <v>0</v>
      </c>
      <c r="W467" s="171">
        <f t="shared" si="779"/>
        <v>0</v>
      </c>
      <c r="X467" s="171">
        <f t="shared" si="779"/>
        <v>0</v>
      </c>
      <c r="Y467" s="174">
        <f t="shared" si="779"/>
        <v>0</v>
      </c>
      <c r="Z467" s="149" t="str">
        <f t="shared" ca="1" si="759"/>
        <v>nie</v>
      </c>
      <c r="AA467" s="366"/>
      <c r="AB467" s="150" t="str">
        <f t="shared" ca="1" si="772"/>
        <v>-</v>
      </c>
      <c r="AC467" s="151" t="str">
        <f t="shared" ca="1" si="722"/>
        <v>PRZED ZMIANĄ</v>
      </c>
      <c r="AD467" s="152" t="str">
        <f t="shared" ca="1" si="773"/>
        <v>PRZED ZMIANĄ</v>
      </c>
      <c r="AE467" s="153" t="str">
        <f t="shared" ca="1" si="723"/>
        <v>C/USN/V/P1/66</v>
      </c>
      <c r="AF467" s="154" t="str">
        <f t="shared" ca="1" si="724"/>
        <v>Modernizacja budynku Szkoły Podstawowej nr 319 przy ul. Wokalnej</v>
      </c>
      <c r="AG467" s="155">
        <f t="shared" ca="1" si="725"/>
        <v>80101</v>
      </c>
      <c r="AH467" s="155" t="str">
        <f t="shared" ca="1" si="726"/>
        <v>6050</v>
      </c>
      <c r="AI467" s="156" t="str">
        <f t="shared" ca="1" si="727"/>
        <v>MWPO/0021</v>
      </c>
      <c r="AJ467" s="157" t="str">
        <f t="shared" ca="1" si="728"/>
        <v>WPF, w tym</v>
      </c>
      <c r="AK467" s="158" t="str">
        <f t="shared" ca="1" si="774"/>
        <v>C/USN/V/P1/66 80101 6050 MWPO/0021</v>
      </c>
      <c r="AL467" s="158" t="str">
        <f t="shared" ca="1" si="775"/>
        <v>C/USN/V/P1/66 80101 6050 WPF, w tym</v>
      </c>
      <c r="AM467" s="159" t="str">
        <f t="shared" ca="1" si="776"/>
        <v>C/USN/V/P1/66 80101 6050 MWPO/0021 WPF, w tym</v>
      </c>
      <c r="AN467" s="160">
        <f t="shared" ca="1" si="729"/>
        <v>1000000</v>
      </c>
      <c r="AO467" s="161">
        <f t="shared" ca="1" si="730"/>
        <v>0</v>
      </c>
      <c r="AP467" s="162">
        <f t="shared" ca="1" si="731"/>
        <v>0</v>
      </c>
      <c r="AQ467" s="163">
        <f t="shared" ca="1" si="732"/>
        <v>1000000</v>
      </c>
      <c r="AR467" s="164">
        <f t="shared" ca="1" si="733"/>
        <v>0</v>
      </c>
      <c r="AS467" s="164">
        <f t="shared" ca="1" si="734"/>
        <v>0</v>
      </c>
      <c r="AT467" s="164">
        <f t="shared" ca="1" si="735"/>
        <v>0</v>
      </c>
      <c r="AU467" s="164">
        <f t="shared" ca="1" si="736"/>
        <v>0</v>
      </c>
      <c r="AV467" s="164">
        <f t="shared" ca="1" si="737"/>
        <v>0</v>
      </c>
      <c r="AW467" s="164">
        <f t="shared" ca="1" si="738"/>
        <v>0</v>
      </c>
      <c r="AX467" s="164">
        <f t="shared" ca="1" si="739"/>
        <v>0</v>
      </c>
      <c r="AY467" s="164">
        <f t="shared" ca="1" si="740"/>
        <v>0</v>
      </c>
      <c r="AZ467" s="164">
        <f t="shared" ca="1" si="741"/>
        <v>0</v>
      </c>
      <c r="BA467" s="165" t="str">
        <f t="shared" ca="1" si="742"/>
        <v>nie</v>
      </c>
      <c r="BB467" s="166" t="str">
        <f t="shared" ca="1" si="777"/>
        <v>-</v>
      </c>
      <c r="BC467" s="165" t="str">
        <f t="shared" ca="1" si="760"/>
        <v>nie</v>
      </c>
    </row>
    <row r="468" spans="1:55" s="167" customFormat="1" ht="14.45" hidden="1" customHeight="1" x14ac:dyDescent="0.25">
      <c r="A468" s="493"/>
      <c r="B468" s="493"/>
      <c r="C468" s="565"/>
      <c r="D468" s="506"/>
      <c r="E468" s="497"/>
      <c r="F468" s="497"/>
      <c r="G468" s="497"/>
      <c r="H468" s="498"/>
      <c r="I468" s="499"/>
      <c r="J468" s="177" t="s">
        <v>95</v>
      </c>
      <c r="K468" s="178">
        <f>SUM(N468:O468)</f>
        <v>1000000</v>
      </c>
      <c r="L468" s="179"/>
      <c r="M468" s="180"/>
      <c r="N468" s="172">
        <f>SUM(L468:M468)</f>
        <v>0</v>
      </c>
      <c r="O468" s="178">
        <f>SUM(P468:Y468)</f>
        <v>1000000</v>
      </c>
      <c r="P468" s="181">
        <v>1000000</v>
      </c>
      <c r="Q468" s="180"/>
      <c r="R468" s="182"/>
      <c r="S468" s="183"/>
      <c r="T468" s="180"/>
      <c r="U468" s="180"/>
      <c r="V468" s="180"/>
      <c r="W468" s="180"/>
      <c r="X468" s="180"/>
      <c r="Y468" s="182"/>
      <c r="Z468" s="149" t="str">
        <f t="shared" ca="1" si="759"/>
        <v>nie</v>
      </c>
      <c r="AA468" s="366"/>
      <c r="AB468" s="150" t="str">
        <f t="shared" ca="1" si="772"/>
        <v>-</v>
      </c>
      <c r="AC468" s="151" t="str">
        <f t="shared" ca="1" si="722"/>
        <v>PRZED ZMIANĄ</v>
      </c>
      <c r="AD468" s="152" t="str">
        <f t="shared" ca="1" si="773"/>
        <v>PRZED ZMIANĄ</v>
      </c>
      <c r="AE468" s="153" t="str">
        <f t="shared" ca="1" si="723"/>
        <v>C/USN/V/P1/66</v>
      </c>
      <c r="AF468" s="154" t="str">
        <f t="shared" ca="1" si="724"/>
        <v>Modernizacja budynku Szkoły Podstawowej nr 319 przy ul. Wokalnej</v>
      </c>
      <c r="AG468" s="155">
        <f t="shared" ca="1" si="725"/>
        <v>80101</v>
      </c>
      <c r="AH468" s="155" t="str">
        <f t="shared" ca="1" si="726"/>
        <v>6050</v>
      </c>
      <c r="AI468" s="156" t="str">
        <f t="shared" ca="1" si="727"/>
        <v>MWPO/0021</v>
      </c>
      <c r="AJ468" s="157" t="str">
        <f t="shared" ca="1" si="728"/>
        <v>WPF/PM</v>
      </c>
      <c r="AK468" s="158" t="str">
        <f t="shared" ca="1" si="774"/>
        <v>C/USN/V/P1/66 80101 6050 MWPO/0021</v>
      </c>
      <c r="AL468" s="158" t="str">
        <f t="shared" ca="1" si="775"/>
        <v>C/USN/V/P1/66 80101 6050 WPF/PM</v>
      </c>
      <c r="AM468" s="159" t="str">
        <f t="shared" ca="1" si="776"/>
        <v>C/USN/V/P1/66 80101 6050 MWPO/0021 WPF/PM</v>
      </c>
      <c r="AN468" s="160">
        <f t="shared" ca="1" si="729"/>
        <v>1000000</v>
      </c>
      <c r="AO468" s="161">
        <f t="shared" ca="1" si="730"/>
        <v>0</v>
      </c>
      <c r="AP468" s="162">
        <f t="shared" ca="1" si="731"/>
        <v>0</v>
      </c>
      <c r="AQ468" s="163">
        <f t="shared" ca="1" si="732"/>
        <v>1000000</v>
      </c>
      <c r="AR468" s="164">
        <f t="shared" ca="1" si="733"/>
        <v>0</v>
      </c>
      <c r="AS468" s="164">
        <f t="shared" ca="1" si="734"/>
        <v>0</v>
      </c>
      <c r="AT468" s="164">
        <f t="shared" ca="1" si="735"/>
        <v>0</v>
      </c>
      <c r="AU468" s="164">
        <f t="shared" ca="1" si="736"/>
        <v>0</v>
      </c>
      <c r="AV468" s="164">
        <f t="shared" ca="1" si="737"/>
        <v>0</v>
      </c>
      <c r="AW468" s="164">
        <f t="shared" ca="1" si="738"/>
        <v>0</v>
      </c>
      <c r="AX468" s="164">
        <f t="shared" ca="1" si="739"/>
        <v>0</v>
      </c>
      <c r="AY468" s="164">
        <f t="shared" ca="1" si="740"/>
        <v>0</v>
      </c>
      <c r="AZ468" s="164">
        <f t="shared" ca="1" si="741"/>
        <v>0</v>
      </c>
      <c r="BA468" s="165" t="str">
        <f t="shared" ca="1" si="742"/>
        <v>nie</v>
      </c>
      <c r="BB468" s="166" t="str">
        <f t="shared" ca="1" si="777"/>
        <v>-</v>
      </c>
      <c r="BC468" s="165" t="str">
        <f t="shared" ca="1" si="760"/>
        <v>nie</v>
      </c>
    </row>
    <row r="469" spans="1:55" s="167" customFormat="1" ht="14.45" hidden="1" customHeight="1" x14ac:dyDescent="0.25">
      <c r="A469" s="493"/>
      <c r="B469" s="493"/>
      <c r="C469" s="565"/>
      <c r="D469" s="506"/>
      <c r="E469" s="497"/>
      <c r="F469" s="497"/>
      <c r="G469" s="497"/>
      <c r="H469" s="498"/>
      <c r="I469" s="499"/>
      <c r="J469" s="177" t="s">
        <v>96</v>
      </c>
      <c r="K469" s="178">
        <f>SUM(N469:O469)</f>
        <v>0</v>
      </c>
      <c r="L469" s="184"/>
      <c r="M469" s="180"/>
      <c r="N469" s="172">
        <f>SUM(L469:M469)</f>
        <v>0</v>
      </c>
      <c r="O469" s="178">
        <f>SUM(P469:Y469)</f>
        <v>0</v>
      </c>
      <c r="P469" s="181"/>
      <c r="Q469" s="180"/>
      <c r="R469" s="182"/>
      <c r="S469" s="183"/>
      <c r="T469" s="180"/>
      <c r="U469" s="180"/>
      <c r="V469" s="180"/>
      <c r="W469" s="180"/>
      <c r="X469" s="180"/>
      <c r="Y469" s="182"/>
      <c r="Z469" s="149" t="str">
        <f t="shared" ca="1" si="759"/>
        <v>nie</v>
      </c>
      <c r="AA469" s="366"/>
      <c r="AB469" s="150" t="str">
        <f t="shared" ca="1" si="772"/>
        <v>-</v>
      </c>
      <c r="AC469" s="151" t="str">
        <f t="shared" ca="1" si="722"/>
        <v>PRZED ZMIANĄ</v>
      </c>
      <c r="AD469" s="152" t="str">
        <f t="shared" ca="1" si="773"/>
        <v>PRZED ZMIANĄ</v>
      </c>
      <c r="AE469" s="153" t="str">
        <f t="shared" ca="1" si="723"/>
        <v>C/USN/V/P1/66</v>
      </c>
      <c r="AF469" s="154" t="str">
        <f t="shared" ca="1" si="724"/>
        <v>Modernizacja budynku Szkoły Podstawowej nr 319 przy ul. Wokalnej</v>
      </c>
      <c r="AG469" s="155">
        <f t="shared" ca="1" si="725"/>
        <v>80101</v>
      </c>
      <c r="AH469" s="155" t="str">
        <f t="shared" ca="1" si="726"/>
        <v>6050</v>
      </c>
      <c r="AI469" s="156" t="str">
        <f t="shared" ca="1" si="727"/>
        <v>MWPO/0021</v>
      </c>
      <c r="AJ469" s="157" t="str">
        <f t="shared" ca="1" si="728"/>
        <v>WPF/UM</v>
      </c>
      <c r="AK469" s="158" t="str">
        <f t="shared" ca="1" si="774"/>
        <v>C/USN/V/P1/66 80101 6050 MWPO/0021</v>
      </c>
      <c r="AL469" s="158" t="str">
        <f t="shared" ca="1" si="775"/>
        <v>C/USN/V/P1/66 80101 6050 WPF/UM</v>
      </c>
      <c r="AM469" s="159" t="str">
        <f t="shared" ca="1" si="776"/>
        <v>C/USN/V/P1/66 80101 6050 MWPO/0021 WPF/UM</v>
      </c>
      <c r="AN469" s="160">
        <f t="shared" ca="1" si="729"/>
        <v>0</v>
      </c>
      <c r="AO469" s="161">
        <f t="shared" ca="1" si="730"/>
        <v>0</v>
      </c>
      <c r="AP469" s="162">
        <f t="shared" ca="1" si="731"/>
        <v>0</v>
      </c>
      <c r="AQ469" s="163">
        <f t="shared" ca="1" si="732"/>
        <v>0</v>
      </c>
      <c r="AR469" s="164">
        <f t="shared" ca="1" si="733"/>
        <v>0</v>
      </c>
      <c r="AS469" s="164">
        <f t="shared" ca="1" si="734"/>
        <v>0</v>
      </c>
      <c r="AT469" s="164">
        <f t="shared" ca="1" si="735"/>
        <v>0</v>
      </c>
      <c r="AU469" s="164">
        <f t="shared" ca="1" si="736"/>
        <v>0</v>
      </c>
      <c r="AV469" s="164">
        <f t="shared" ca="1" si="737"/>
        <v>0</v>
      </c>
      <c r="AW469" s="164">
        <f t="shared" ca="1" si="738"/>
        <v>0</v>
      </c>
      <c r="AX469" s="164">
        <f t="shared" ca="1" si="739"/>
        <v>0</v>
      </c>
      <c r="AY469" s="164">
        <f t="shared" ca="1" si="740"/>
        <v>0</v>
      </c>
      <c r="AZ469" s="164">
        <f t="shared" ca="1" si="741"/>
        <v>0</v>
      </c>
      <c r="BA469" s="165" t="str">
        <f t="shared" ca="1" si="742"/>
        <v>nie</v>
      </c>
      <c r="BB469" s="166" t="str">
        <f t="shared" ca="1" si="777"/>
        <v>-</v>
      </c>
      <c r="BC469" s="165" t="str">
        <f t="shared" ca="1" si="760"/>
        <v>nie</v>
      </c>
    </row>
    <row r="470" spans="1:55" s="167" customFormat="1" ht="14.45" hidden="1" customHeight="1" x14ac:dyDescent="0.25">
      <c r="A470" s="185" t="s">
        <v>97</v>
      </c>
      <c r="B470" s="186"/>
      <c r="C470" s="187"/>
      <c r="D470" s="186"/>
      <c r="E470" s="186"/>
      <c r="F470" s="186"/>
      <c r="G470" s="186"/>
      <c r="H470" s="186"/>
      <c r="I470" s="186"/>
      <c r="J470" s="186"/>
      <c r="K470" s="186"/>
      <c r="L470" s="186"/>
      <c r="M470" s="186"/>
      <c r="N470" s="186"/>
      <c r="O470" s="186"/>
      <c r="P470" s="186"/>
      <c r="Q470" s="186"/>
      <c r="R470" s="188"/>
      <c r="S470" s="189"/>
      <c r="T470" s="189"/>
      <c r="U470" s="189"/>
      <c r="V470" s="189"/>
      <c r="W470" s="189"/>
      <c r="X470" s="189"/>
      <c r="Y470" s="190"/>
      <c r="Z470" s="149" t="str">
        <f t="shared" ca="1" si="759"/>
        <v>nie</v>
      </c>
      <c r="AA470" s="366"/>
      <c r="AB470" s="150" t="str">
        <f t="shared" ca="1" si="772"/>
        <v>-</v>
      </c>
      <c r="AC470" s="151" t="str">
        <f t="shared" ca="1" si="722"/>
        <v>PROPONOWANA ZMIANA</v>
      </c>
      <c r="AD470" s="152" t="str">
        <f t="shared" ca="1" si="773"/>
        <v/>
      </c>
      <c r="AE470" s="153" t="str">
        <f t="shared" ca="1" si="723"/>
        <v/>
      </c>
      <c r="AF470" s="154" t="str">
        <f t="shared" ca="1" si="724"/>
        <v/>
      </c>
      <c r="AG470" s="155" t="str">
        <f t="shared" ca="1" si="725"/>
        <v/>
      </c>
      <c r="AH470" s="155" t="str">
        <f t="shared" ca="1" si="726"/>
        <v/>
      </c>
      <c r="AI470" s="156" t="str">
        <f t="shared" ca="1" si="727"/>
        <v/>
      </c>
      <c r="AJ470" s="157" t="str">
        <f t="shared" ca="1" si="728"/>
        <v/>
      </c>
      <c r="AK470" s="158" t="str">
        <f t="shared" ca="1" si="774"/>
        <v/>
      </c>
      <c r="AL470" s="158" t="str">
        <f t="shared" ca="1" si="775"/>
        <v/>
      </c>
      <c r="AM470" s="159" t="str">
        <f t="shared" ca="1" si="776"/>
        <v/>
      </c>
      <c r="AN470" s="160" t="str">
        <f t="shared" ca="1" si="729"/>
        <v/>
      </c>
      <c r="AO470" s="161" t="str">
        <f t="shared" ca="1" si="730"/>
        <v/>
      </c>
      <c r="AP470" s="162" t="str">
        <f t="shared" ca="1" si="731"/>
        <v/>
      </c>
      <c r="AQ470" s="163" t="str">
        <f t="shared" ca="1" si="732"/>
        <v/>
      </c>
      <c r="AR470" s="164" t="str">
        <f t="shared" ca="1" si="733"/>
        <v/>
      </c>
      <c r="AS470" s="164" t="str">
        <f t="shared" ca="1" si="734"/>
        <v/>
      </c>
      <c r="AT470" s="164" t="str">
        <f t="shared" ca="1" si="735"/>
        <v/>
      </c>
      <c r="AU470" s="164" t="str">
        <f t="shared" ca="1" si="736"/>
        <v/>
      </c>
      <c r="AV470" s="164" t="str">
        <f t="shared" ca="1" si="737"/>
        <v/>
      </c>
      <c r="AW470" s="164" t="str">
        <f t="shared" ca="1" si="738"/>
        <v/>
      </c>
      <c r="AX470" s="164" t="str">
        <f t="shared" ca="1" si="739"/>
        <v/>
      </c>
      <c r="AY470" s="164" t="str">
        <f t="shared" ca="1" si="740"/>
        <v/>
      </c>
      <c r="AZ470" s="164" t="str">
        <f t="shared" ca="1" si="741"/>
        <v/>
      </c>
      <c r="BA470" s="165" t="str">
        <f t="shared" ca="1" si="742"/>
        <v>nie</v>
      </c>
      <c r="BB470" s="166" t="str">
        <f t="shared" ca="1" si="777"/>
        <v>-</v>
      </c>
      <c r="BC470" s="165" t="str">
        <f t="shared" ca="1" si="760"/>
        <v>nie</v>
      </c>
    </row>
    <row r="471" spans="1:55" s="176" customFormat="1" ht="14.45" hidden="1" customHeight="1" x14ac:dyDescent="0.25">
      <c r="A471" s="493" t="s">
        <v>24</v>
      </c>
      <c r="B471" s="493" t="s">
        <v>417</v>
      </c>
      <c r="C471" s="494" t="s">
        <v>165</v>
      </c>
      <c r="D471" s="505" t="s">
        <v>166</v>
      </c>
      <c r="E471" s="497">
        <v>801</v>
      </c>
      <c r="F471" s="497">
        <v>80101</v>
      </c>
      <c r="G471" s="497">
        <v>6050</v>
      </c>
      <c r="H471" s="507">
        <v>2021</v>
      </c>
      <c r="I471" s="499" t="str">
        <f ca="1">IF(COUNTIF(OFFSET(I471,-1,-8),"*propon*")&gt;0,OFFSET(I471,4,0),IF(Y471&gt;0,"2033",IF(X471&gt;0,"2032",IF(W471&gt;0,"2031",IF(V471&gt;0,"2030",IF(U471&gt;0,"2029",IF(T471&gt;0,"2028",IF(S471&gt;0,"2027",IF(R471&gt;0,"2026",IF(Q471&gt;0,"2025",IF(P471&gt;0,"2024",IF(M471&gt;0,"2023",IF(L471&gt;0,"2022","")))))))))))))</f>
        <v>2024</v>
      </c>
      <c r="J471" s="168" t="s">
        <v>98</v>
      </c>
      <c r="K471" s="169">
        <f>SUM(N471:O471)</f>
        <v>0</v>
      </c>
      <c r="L471" s="170">
        <f t="shared" ref="L471:M471" si="780">SUM(L472:L473)</f>
        <v>0</v>
      </c>
      <c r="M471" s="171">
        <f t="shared" si="780"/>
        <v>0</v>
      </c>
      <c r="N471" s="172">
        <f>SUM(L471:M471)</f>
        <v>0</v>
      </c>
      <c r="O471" s="169">
        <f>SUM(P471:Y471)</f>
        <v>0</v>
      </c>
      <c r="P471" s="173">
        <f t="shared" ref="P471:Y471" si="781">SUM(P472:P473)</f>
        <v>0</v>
      </c>
      <c r="Q471" s="171">
        <f t="shared" si="781"/>
        <v>0</v>
      </c>
      <c r="R471" s="174">
        <f t="shared" si="781"/>
        <v>0</v>
      </c>
      <c r="S471" s="175">
        <f t="shared" si="781"/>
        <v>0</v>
      </c>
      <c r="T471" s="171">
        <f t="shared" si="781"/>
        <v>0</v>
      </c>
      <c r="U471" s="171">
        <f t="shared" si="781"/>
        <v>0</v>
      </c>
      <c r="V471" s="171">
        <f t="shared" si="781"/>
        <v>0</v>
      </c>
      <c r="W471" s="171">
        <f t="shared" si="781"/>
        <v>0</v>
      </c>
      <c r="X471" s="171">
        <f t="shared" si="781"/>
        <v>0</v>
      </c>
      <c r="Y471" s="174">
        <f t="shared" si="781"/>
        <v>0</v>
      </c>
      <c r="Z471" s="149" t="str">
        <f t="shared" ca="1" si="759"/>
        <v>nie</v>
      </c>
      <c r="AA471" s="366"/>
      <c r="AB471" s="150" t="str">
        <f t="shared" ca="1" si="772"/>
        <v>-</v>
      </c>
      <c r="AC471" s="151" t="str">
        <f t="shared" ca="1" si="722"/>
        <v>PROPONOWANA ZMIANA</v>
      </c>
      <c r="AD471" s="152" t="str">
        <f t="shared" ca="1" si="773"/>
        <v>PROPONOWANA ZMIANA</v>
      </c>
      <c r="AE471" s="153" t="str">
        <f t="shared" ca="1" si="723"/>
        <v>C/USN/V/P1/66</v>
      </c>
      <c r="AF471" s="154" t="str">
        <f t="shared" ca="1" si="724"/>
        <v>Modernizacja budynku Szkoły Podstawowej nr 319 przy ul. Wokalnej</v>
      </c>
      <c r="AG471" s="155">
        <f t="shared" ca="1" si="725"/>
        <v>80101</v>
      </c>
      <c r="AH471" s="155" t="str">
        <f t="shared" ca="1" si="726"/>
        <v>6050</v>
      </c>
      <c r="AI471" s="156" t="str">
        <f t="shared" ca="1" si="727"/>
        <v>MWPO/0021</v>
      </c>
      <c r="AJ471" s="157" t="str">
        <f t="shared" ca="1" si="728"/>
        <v>WPF, w tym</v>
      </c>
      <c r="AK471" s="158" t="str">
        <f t="shared" ca="1" si="774"/>
        <v>C/USN/V/P1/66 80101 6050 MWPO/0021</v>
      </c>
      <c r="AL471" s="158" t="str">
        <f t="shared" ca="1" si="775"/>
        <v>C/USN/V/P1/66 80101 6050 WPF, w tym</v>
      </c>
      <c r="AM471" s="159" t="str">
        <f t="shared" ca="1" si="776"/>
        <v>C/USN/V/P1/66 80101 6050 MWPO/0021 WPF, w tym</v>
      </c>
      <c r="AN471" s="160">
        <f t="shared" ca="1" si="729"/>
        <v>0</v>
      </c>
      <c r="AO471" s="161">
        <f t="shared" ca="1" si="730"/>
        <v>0</v>
      </c>
      <c r="AP471" s="162">
        <f t="shared" ca="1" si="731"/>
        <v>0</v>
      </c>
      <c r="AQ471" s="163">
        <f t="shared" ca="1" si="732"/>
        <v>0</v>
      </c>
      <c r="AR471" s="164">
        <f t="shared" ca="1" si="733"/>
        <v>0</v>
      </c>
      <c r="AS471" s="164">
        <f t="shared" ca="1" si="734"/>
        <v>0</v>
      </c>
      <c r="AT471" s="164">
        <f t="shared" ca="1" si="735"/>
        <v>0</v>
      </c>
      <c r="AU471" s="164">
        <f t="shared" ca="1" si="736"/>
        <v>0</v>
      </c>
      <c r="AV471" s="164">
        <f t="shared" ca="1" si="737"/>
        <v>0</v>
      </c>
      <c r="AW471" s="164">
        <f t="shared" ca="1" si="738"/>
        <v>0</v>
      </c>
      <c r="AX471" s="164">
        <f t="shared" ca="1" si="739"/>
        <v>0</v>
      </c>
      <c r="AY471" s="164">
        <f t="shared" ca="1" si="740"/>
        <v>0</v>
      </c>
      <c r="AZ471" s="164">
        <f t="shared" ca="1" si="741"/>
        <v>0</v>
      </c>
      <c r="BA471" s="165" t="str">
        <f t="shared" ca="1" si="742"/>
        <v>nie</v>
      </c>
      <c r="BB471" s="166" t="str">
        <f t="shared" ca="1" si="777"/>
        <v>-</v>
      </c>
      <c r="BC471" s="165" t="str">
        <f t="shared" ca="1" si="760"/>
        <v>nie</v>
      </c>
    </row>
    <row r="472" spans="1:55" s="167" customFormat="1" ht="14.45" hidden="1" customHeight="1" x14ac:dyDescent="0.25">
      <c r="A472" s="493"/>
      <c r="B472" s="493"/>
      <c r="C472" s="565"/>
      <c r="D472" s="506"/>
      <c r="E472" s="497"/>
      <c r="F472" s="497"/>
      <c r="G472" s="497"/>
      <c r="H472" s="498"/>
      <c r="I472" s="499"/>
      <c r="J472" s="177" t="s">
        <v>99</v>
      </c>
      <c r="K472" s="178">
        <f>SUM(N472:O472)</f>
        <v>0</v>
      </c>
      <c r="L472" s="179">
        <f t="shared" ref="L472:M472" si="782">L476-L468</f>
        <v>0</v>
      </c>
      <c r="M472" s="180">
        <f t="shared" si="782"/>
        <v>0</v>
      </c>
      <c r="N472" s="172">
        <f>SUM(L472:M472)</f>
        <v>0</v>
      </c>
      <c r="O472" s="178">
        <f>SUM(P472:Y472)</f>
        <v>0</v>
      </c>
      <c r="P472" s="181">
        <f t="shared" ref="P472:Y472" si="783">P476-P468</f>
        <v>0</v>
      </c>
      <c r="Q472" s="180">
        <f t="shared" si="783"/>
        <v>0</v>
      </c>
      <c r="R472" s="182">
        <f t="shared" si="783"/>
        <v>0</v>
      </c>
      <c r="S472" s="183">
        <f t="shared" si="783"/>
        <v>0</v>
      </c>
      <c r="T472" s="180">
        <f t="shared" si="783"/>
        <v>0</v>
      </c>
      <c r="U472" s="180">
        <f t="shared" si="783"/>
        <v>0</v>
      </c>
      <c r="V472" s="180">
        <f t="shared" si="783"/>
        <v>0</v>
      </c>
      <c r="W472" s="180">
        <f t="shared" si="783"/>
        <v>0</v>
      </c>
      <c r="X472" s="180">
        <f t="shared" si="783"/>
        <v>0</v>
      </c>
      <c r="Y472" s="182">
        <f t="shared" si="783"/>
        <v>0</v>
      </c>
      <c r="Z472" s="149" t="str">
        <f t="shared" ca="1" si="759"/>
        <v>nie</v>
      </c>
      <c r="AA472" s="366"/>
      <c r="AB472" s="150" t="str">
        <f t="shared" ca="1" si="772"/>
        <v>-</v>
      </c>
      <c r="AC472" s="151" t="str">
        <f t="shared" ca="1" si="722"/>
        <v>PROPONOWANA ZMIANA</v>
      </c>
      <c r="AD472" s="152" t="str">
        <f t="shared" ca="1" si="773"/>
        <v>PROPONOWANA ZMIANA</v>
      </c>
      <c r="AE472" s="153" t="str">
        <f t="shared" ca="1" si="723"/>
        <v>C/USN/V/P1/66</v>
      </c>
      <c r="AF472" s="154" t="str">
        <f t="shared" ca="1" si="724"/>
        <v>Modernizacja budynku Szkoły Podstawowej nr 319 przy ul. Wokalnej</v>
      </c>
      <c r="AG472" s="155">
        <f t="shared" ca="1" si="725"/>
        <v>80101</v>
      </c>
      <c r="AH472" s="155" t="str">
        <f t="shared" ca="1" si="726"/>
        <v>6050</v>
      </c>
      <c r="AI472" s="156" t="str">
        <f t="shared" ca="1" si="727"/>
        <v>MWPO/0021</v>
      </c>
      <c r="AJ472" s="157" t="str">
        <f t="shared" ca="1" si="728"/>
        <v>WPF/PM</v>
      </c>
      <c r="AK472" s="158" t="str">
        <f t="shared" ca="1" si="774"/>
        <v>C/USN/V/P1/66 80101 6050 MWPO/0021</v>
      </c>
      <c r="AL472" s="158" t="str">
        <f t="shared" ca="1" si="775"/>
        <v>C/USN/V/P1/66 80101 6050 WPF/PM</v>
      </c>
      <c r="AM472" s="159" t="str">
        <f t="shared" ca="1" si="776"/>
        <v>C/USN/V/P1/66 80101 6050 MWPO/0021 WPF/PM</v>
      </c>
      <c r="AN472" s="160">
        <f t="shared" ca="1" si="729"/>
        <v>0</v>
      </c>
      <c r="AO472" s="161">
        <f t="shared" ca="1" si="730"/>
        <v>0</v>
      </c>
      <c r="AP472" s="162">
        <f t="shared" ca="1" si="731"/>
        <v>0</v>
      </c>
      <c r="AQ472" s="163">
        <f t="shared" ca="1" si="732"/>
        <v>0</v>
      </c>
      <c r="AR472" s="164">
        <f t="shared" ca="1" si="733"/>
        <v>0</v>
      </c>
      <c r="AS472" s="164">
        <f t="shared" ca="1" si="734"/>
        <v>0</v>
      </c>
      <c r="AT472" s="164">
        <f t="shared" ca="1" si="735"/>
        <v>0</v>
      </c>
      <c r="AU472" s="164">
        <f t="shared" ca="1" si="736"/>
        <v>0</v>
      </c>
      <c r="AV472" s="164">
        <f t="shared" ca="1" si="737"/>
        <v>0</v>
      </c>
      <c r="AW472" s="164">
        <f t="shared" ca="1" si="738"/>
        <v>0</v>
      </c>
      <c r="AX472" s="164">
        <f t="shared" ca="1" si="739"/>
        <v>0</v>
      </c>
      <c r="AY472" s="164">
        <f t="shared" ca="1" si="740"/>
        <v>0</v>
      </c>
      <c r="AZ472" s="164">
        <f t="shared" ca="1" si="741"/>
        <v>0</v>
      </c>
      <c r="BA472" s="165" t="str">
        <f t="shared" ca="1" si="742"/>
        <v>nie</v>
      </c>
      <c r="BB472" s="166" t="str">
        <f t="shared" ca="1" si="777"/>
        <v>-</v>
      </c>
      <c r="BC472" s="165" t="str">
        <f t="shared" ca="1" si="760"/>
        <v>nie</v>
      </c>
    </row>
    <row r="473" spans="1:55" s="167" customFormat="1" ht="14.45" hidden="1" customHeight="1" x14ac:dyDescent="0.25">
      <c r="A473" s="493"/>
      <c r="B473" s="493"/>
      <c r="C473" s="565"/>
      <c r="D473" s="506"/>
      <c r="E473" s="497"/>
      <c r="F473" s="497"/>
      <c r="G473" s="497"/>
      <c r="H473" s="498"/>
      <c r="I473" s="499"/>
      <c r="J473" s="177" t="s">
        <v>100</v>
      </c>
      <c r="K473" s="178">
        <f>SUM(N473:O473)</f>
        <v>0</v>
      </c>
      <c r="L473" s="179">
        <f t="shared" ref="L473:M473" si="784">L477-L469</f>
        <v>0</v>
      </c>
      <c r="M473" s="180">
        <f t="shared" si="784"/>
        <v>0</v>
      </c>
      <c r="N473" s="172">
        <f>SUM(L473:M473)</f>
        <v>0</v>
      </c>
      <c r="O473" s="178">
        <f>SUM(P473:Y473)</f>
        <v>0</v>
      </c>
      <c r="P473" s="181">
        <f t="shared" ref="P473:Y473" si="785">P477-P469</f>
        <v>0</v>
      </c>
      <c r="Q473" s="180">
        <f t="shared" si="785"/>
        <v>0</v>
      </c>
      <c r="R473" s="182">
        <f t="shared" si="785"/>
        <v>0</v>
      </c>
      <c r="S473" s="183">
        <f t="shared" si="785"/>
        <v>0</v>
      </c>
      <c r="T473" s="180">
        <f t="shared" si="785"/>
        <v>0</v>
      </c>
      <c r="U473" s="180">
        <f t="shared" si="785"/>
        <v>0</v>
      </c>
      <c r="V473" s="180">
        <f t="shared" si="785"/>
        <v>0</v>
      </c>
      <c r="W473" s="180">
        <f t="shared" si="785"/>
        <v>0</v>
      </c>
      <c r="X473" s="180">
        <f t="shared" si="785"/>
        <v>0</v>
      </c>
      <c r="Y473" s="182">
        <f t="shared" si="785"/>
        <v>0</v>
      </c>
      <c r="Z473" s="149" t="str">
        <f t="shared" ca="1" si="759"/>
        <v>nie</v>
      </c>
      <c r="AA473" s="366"/>
      <c r="AB473" s="150" t="str">
        <f t="shared" ca="1" si="772"/>
        <v>-</v>
      </c>
      <c r="AC473" s="151" t="str">
        <f t="shared" ca="1" si="722"/>
        <v>PROPONOWANA ZMIANA</v>
      </c>
      <c r="AD473" s="152" t="str">
        <f t="shared" ca="1" si="773"/>
        <v>PROPONOWANA ZMIANA</v>
      </c>
      <c r="AE473" s="153" t="str">
        <f t="shared" ca="1" si="723"/>
        <v>C/USN/V/P1/66</v>
      </c>
      <c r="AF473" s="154" t="str">
        <f t="shared" ca="1" si="724"/>
        <v>Modernizacja budynku Szkoły Podstawowej nr 319 przy ul. Wokalnej</v>
      </c>
      <c r="AG473" s="155">
        <f t="shared" ca="1" si="725"/>
        <v>80101</v>
      </c>
      <c r="AH473" s="155" t="str">
        <f t="shared" ca="1" si="726"/>
        <v>6050</v>
      </c>
      <c r="AI473" s="156" t="str">
        <f t="shared" ca="1" si="727"/>
        <v>MWPO/0021</v>
      </c>
      <c r="AJ473" s="157" t="str">
        <f t="shared" ca="1" si="728"/>
        <v>WPF/UM</v>
      </c>
      <c r="AK473" s="158" t="str">
        <f t="shared" ca="1" si="774"/>
        <v>C/USN/V/P1/66 80101 6050 MWPO/0021</v>
      </c>
      <c r="AL473" s="158" t="str">
        <f t="shared" ca="1" si="775"/>
        <v>C/USN/V/P1/66 80101 6050 WPF/UM</v>
      </c>
      <c r="AM473" s="159" t="str">
        <f t="shared" ca="1" si="776"/>
        <v>C/USN/V/P1/66 80101 6050 MWPO/0021 WPF/UM</v>
      </c>
      <c r="AN473" s="160">
        <f t="shared" ca="1" si="729"/>
        <v>0</v>
      </c>
      <c r="AO473" s="161">
        <f t="shared" ca="1" si="730"/>
        <v>0</v>
      </c>
      <c r="AP473" s="162">
        <f t="shared" ca="1" si="731"/>
        <v>0</v>
      </c>
      <c r="AQ473" s="163">
        <f t="shared" ca="1" si="732"/>
        <v>0</v>
      </c>
      <c r="AR473" s="164">
        <f t="shared" ca="1" si="733"/>
        <v>0</v>
      </c>
      <c r="AS473" s="164">
        <f t="shared" ca="1" si="734"/>
        <v>0</v>
      </c>
      <c r="AT473" s="164">
        <f t="shared" ca="1" si="735"/>
        <v>0</v>
      </c>
      <c r="AU473" s="164">
        <f t="shared" ca="1" si="736"/>
        <v>0</v>
      </c>
      <c r="AV473" s="164">
        <f t="shared" ca="1" si="737"/>
        <v>0</v>
      </c>
      <c r="AW473" s="164">
        <f t="shared" ca="1" si="738"/>
        <v>0</v>
      </c>
      <c r="AX473" s="164">
        <f t="shared" ca="1" si="739"/>
        <v>0</v>
      </c>
      <c r="AY473" s="164">
        <f t="shared" ca="1" si="740"/>
        <v>0</v>
      </c>
      <c r="AZ473" s="164">
        <f t="shared" ca="1" si="741"/>
        <v>0</v>
      </c>
      <c r="BA473" s="165" t="str">
        <f t="shared" ca="1" si="742"/>
        <v>nie</v>
      </c>
      <c r="BB473" s="166" t="str">
        <f t="shared" ca="1" si="777"/>
        <v>-</v>
      </c>
      <c r="BC473" s="165" t="str">
        <f t="shared" ca="1" si="760"/>
        <v>nie</v>
      </c>
    </row>
    <row r="474" spans="1:55" s="167" customFormat="1" ht="14.45" hidden="1" customHeight="1" x14ac:dyDescent="0.25">
      <c r="A474" s="191" t="s">
        <v>101</v>
      </c>
      <c r="B474" s="192"/>
      <c r="C474" s="193"/>
      <c r="D474" s="192"/>
      <c r="E474" s="192"/>
      <c r="F474" s="192"/>
      <c r="G474" s="192"/>
      <c r="H474" s="192"/>
      <c r="I474" s="192"/>
      <c r="J474" s="192"/>
      <c r="K474" s="192"/>
      <c r="L474" s="192"/>
      <c r="M474" s="192"/>
      <c r="N474" s="192"/>
      <c r="O474" s="192"/>
      <c r="P474" s="192"/>
      <c r="Q474" s="192"/>
      <c r="R474" s="194"/>
      <c r="S474" s="195"/>
      <c r="T474" s="195"/>
      <c r="U474" s="195"/>
      <c r="V474" s="195"/>
      <c r="W474" s="195"/>
      <c r="X474" s="195"/>
      <c r="Y474" s="196"/>
      <c r="Z474" s="149" t="str">
        <f t="shared" ca="1" si="759"/>
        <v>nie</v>
      </c>
      <c r="AA474" s="366"/>
      <c r="AB474" s="150" t="str">
        <f t="shared" ca="1" si="772"/>
        <v>-</v>
      </c>
      <c r="AC474" s="151" t="str">
        <f t="shared" ca="1" si="722"/>
        <v>PO ZMIANIE</v>
      </c>
      <c r="AD474" s="152" t="str">
        <f t="shared" ca="1" si="773"/>
        <v/>
      </c>
      <c r="AE474" s="153" t="str">
        <f t="shared" ca="1" si="723"/>
        <v/>
      </c>
      <c r="AF474" s="154" t="str">
        <f t="shared" ca="1" si="724"/>
        <v/>
      </c>
      <c r="AG474" s="155" t="str">
        <f t="shared" ca="1" si="725"/>
        <v/>
      </c>
      <c r="AH474" s="155" t="str">
        <f t="shared" ca="1" si="726"/>
        <v/>
      </c>
      <c r="AI474" s="156" t="str">
        <f t="shared" ca="1" si="727"/>
        <v/>
      </c>
      <c r="AJ474" s="157" t="str">
        <f t="shared" ca="1" si="728"/>
        <v/>
      </c>
      <c r="AK474" s="158" t="str">
        <f t="shared" ca="1" si="774"/>
        <v/>
      </c>
      <c r="AL474" s="158" t="str">
        <f t="shared" ca="1" si="775"/>
        <v/>
      </c>
      <c r="AM474" s="159" t="str">
        <f t="shared" ca="1" si="776"/>
        <v/>
      </c>
      <c r="AN474" s="160" t="str">
        <f t="shared" ca="1" si="729"/>
        <v/>
      </c>
      <c r="AO474" s="161" t="str">
        <f t="shared" ca="1" si="730"/>
        <v/>
      </c>
      <c r="AP474" s="162" t="str">
        <f t="shared" ca="1" si="731"/>
        <v/>
      </c>
      <c r="AQ474" s="163" t="str">
        <f t="shared" ca="1" si="732"/>
        <v/>
      </c>
      <c r="AR474" s="164" t="str">
        <f t="shared" ca="1" si="733"/>
        <v/>
      </c>
      <c r="AS474" s="164" t="str">
        <f t="shared" ca="1" si="734"/>
        <v/>
      </c>
      <c r="AT474" s="164" t="str">
        <f t="shared" ca="1" si="735"/>
        <v/>
      </c>
      <c r="AU474" s="164" t="str">
        <f t="shared" ca="1" si="736"/>
        <v/>
      </c>
      <c r="AV474" s="164" t="str">
        <f t="shared" ca="1" si="737"/>
        <v/>
      </c>
      <c r="AW474" s="164" t="str">
        <f t="shared" ca="1" si="738"/>
        <v/>
      </c>
      <c r="AX474" s="164" t="str">
        <f t="shared" ca="1" si="739"/>
        <v/>
      </c>
      <c r="AY474" s="164" t="str">
        <f t="shared" ca="1" si="740"/>
        <v/>
      </c>
      <c r="AZ474" s="164" t="str">
        <f t="shared" ca="1" si="741"/>
        <v/>
      </c>
      <c r="BA474" s="165" t="str">
        <f t="shared" ca="1" si="742"/>
        <v>nie</v>
      </c>
      <c r="BB474" s="166" t="str">
        <f t="shared" ca="1" si="777"/>
        <v>-</v>
      </c>
      <c r="BC474" s="165" t="str">
        <f t="shared" ca="1" si="760"/>
        <v>nie</v>
      </c>
    </row>
    <row r="475" spans="1:55" s="176" customFormat="1" ht="14.45" hidden="1" customHeight="1" x14ac:dyDescent="0.25">
      <c r="A475" s="493" t="s">
        <v>24</v>
      </c>
      <c r="B475" s="493" t="s">
        <v>417</v>
      </c>
      <c r="C475" s="494" t="s">
        <v>165</v>
      </c>
      <c r="D475" s="505" t="s">
        <v>166</v>
      </c>
      <c r="E475" s="497">
        <v>801</v>
      </c>
      <c r="F475" s="497">
        <v>80101</v>
      </c>
      <c r="G475" s="497">
        <v>6050</v>
      </c>
      <c r="H475" s="507">
        <v>2021</v>
      </c>
      <c r="I475" s="499" t="str">
        <f ca="1">IF(COUNTIF(OFFSET(I475,-1,-8),"*propon*")&gt;0,OFFSET(I475,4,0),IF(Y475&gt;0,"2033",IF(X475&gt;0,"2032",IF(W475&gt;0,"2031",IF(V475&gt;0,"2030",IF(U475&gt;0,"2029",IF(T475&gt;0,"2028",IF(S475&gt;0,"2027",IF(R475&gt;0,"2026",IF(Q475&gt;0,"2025",IF(P475&gt;0,"2024",IF(M475&gt;0,"2023",IF(L475&gt;0,"2022","")))))))))))))</f>
        <v>2024</v>
      </c>
      <c r="J475" s="168" t="s">
        <v>102</v>
      </c>
      <c r="K475" s="169">
        <f>SUM(N475:O475)</f>
        <v>1000000</v>
      </c>
      <c r="L475" s="170">
        <f t="shared" ref="L475:M475" si="786">SUM(L476:L477)</f>
        <v>0</v>
      </c>
      <c r="M475" s="171">
        <f t="shared" si="786"/>
        <v>0</v>
      </c>
      <c r="N475" s="172">
        <f>SUM(L475:M475)</f>
        <v>0</v>
      </c>
      <c r="O475" s="169">
        <f>SUM(P475:Y475)</f>
        <v>1000000</v>
      </c>
      <c r="P475" s="173">
        <f t="shared" ref="P475:Y475" si="787">SUM(P476:P477)</f>
        <v>1000000</v>
      </c>
      <c r="Q475" s="171">
        <f t="shared" si="787"/>
        <v>0</v>
      </c>
      <c r="R475" s="174">
        <f t="shared" si="787"/>
        <v>0</v>
      </c>
      <c r="S475" s="175">
        <f t="shared" si="787"/>
        <v>0</v>
      </c>
      <c r="T475" s="171">
        <f t="shared" si="787"/>
        <v>0</v>
      </c>
      <c r="U475" s="171">
        <f t="shared" si="787"/>
        <v>0</v>
      </c>
      <c r="V475" s="171">
        <f t="shared" si="787"/>
        <v>0</v>
      </c>
      <c r="W475" s="171">
        <f t="shared" si="787"/>
        <v>0</v>
      </c>
      <c r="X475" s="171">
        <f t="shared" si="787"/>
        <v>0</v>
      </c>
      <c r="Y475" s="174">
        <f t="shared" si="787"/>
        <v>0</v>
      </c>
      <c r="Z475" s="149" t="str">
        <f t="shared" ca="1" si="759"/>
        <v>nie</v>
      </c>
      <c r="AA475" s="366"/>
      <c r="AB475" s="150" t="str">
        <f t="shared" ca="1" si="772"/>
        <v>-</v>
      </c>
      <c r="AC475" s="151" t="str">
        <f t="shared" ca="1" si="722"/>
        <v>PO ZMIANIE</v>
      </c>
      <c r="AD475" s="152" t="str">
        <f t="shared" ca="1" si="773"/>
        <v>PO ZMIANIE</v>
      </c>
      <c r="AE475" s="153" t="str">
        <f t="shared" ca="1" si="723"/>
        <v>C/USN/V/P1/66</v>
      </c>
      <c r="AF475" s="154" t="str">
        <f t="shared" ca="1" si="724"/>
        <v>Modernizacja budynku Szkoły Podstawowej nr 319 przy ul. Wokalnej</v>
      </c>
      <c r="AG475" s="155">
        <f t="shared" ca="1" si="725"/>
        <v>80101</v>
      </c>
      <c r="AH475" s="155" t="str">
        <f t="shared" ca="1" si="726"/>
        <v>6050</v>
      </c>
      <c r="AI475" s="156" t="str">
        <f t="shared" ca="1" si="727"/>
        <v>MWPO/0021</v>
      </c>
      <c r="AJ475" s="157" t="str">
        <f t="shared" ca="1" si="728"/>
        <v>WPF, w tym</v>
      </c>
      <c r="AK475" s="158" t="str">
        <f t="shared" ca="1" si="774"/>
        <v>C/USN/V/P1/66 80101 6050 MWPO/0021</v>
      </c>
      <c r="AL475" s="158" t="str">
        <f t="shared" ca="1" si="775"/>
        <v>C/USN/V/P1/66 80101 6050 WPF, w tym</v>
      </c>
      <c r="AM475" s="159" t="str">
        <f t="shared" ca="1" si="776"/>
        <v>C/USN/V/P1/66 80101 6050 MWPO/0021 WPF, w tym</v>
      </c>
      <c r="AN475" s="160">
        <f t="shared" ca="1" si="729"/>
        <v>1000000</v>
      </c>
      <c r="AO475" s="161">
        <f t="shared" ca="1" si="730"/>
        <v>0</v>
      </c>
      <c r="AP475" s="162">
        <f t="shared" ca="1" si="731"/>
        <v>0</v>
      </c>
      <c r="AQ475" s="163">
        <f t="shared" ca="1" si="732"/>
        <v>1000000</v>
      </c>
      <c r="AR475" s="164">
        <f t="shared" ca="1" si="733"/>
        <v>0</v>
      </c>
      <c r="AS475" s="164">
        <f t="shared" ca="1" si="734"/>
        <v>0</v>
      </c>
      <c r="AT475" s="164">
        <f t="shared" ca="1" si="735"/>
        <v>0</v>
      </c>
      <c r="AU475" s="164">
        <f t="shared" ca="1" si="736"/>
        <v>0</v>
      </c>
      <c r="AV475" s="164">
        <f t="shared" ca="1" si="737"/>
        <v>0</v>
      </c>
      <c r="AW475" s="164">
        <f t="shared" ca="1" si="738"/>
        <v>0</v>
      </c>
      <c r="AX475" s="164">
        <f t="shared" ca="1" si="739"/>
        <v>0</v>
      </c>
      <c r="AY475" s="164">
        <f t="shared" ca="1" si="740"/>
        <v>0</v>
      </c>
      <c r="AZ475" s="164">
        <f t="shared" ca="1" si="741"/>
        <v>0</v>
      </c>
      <c r="BA475" s="165" t="str">
        <f t="shared" ca="1" si="742"/>
        <v>nie</v>
      </c>
      <c r="BB475" s="166" t="str">
        <f t="shared" ca="1" si="777"/>
        <v>-</v>
      </c>
      <c r="BC475" s="165" t="str">
        <f t="shared" ca="1" si="760"/>
        <v>nie</v>
      </c>
    </row>
    <row r="476" spans="1:55" s="167" customFormat="1" ht="14.45" hidden="1" customHeight="1" x14ac:dyDescent="0.25">
      <c r="A476" s="493"/>
      <c r="B476" s="493"/>
      <c r="C476" s="565"/>
      <c r="D476" s="506"/>
      <c r="E476" s="497"/>
      <c r="F476" s="497"/>
      <c r="G476" s="497"/>
      <c r="H476" s="498"/>
      <c r="I476" s="499"/>
      <c r="J476" s="177" t="s">
        <v>103</v>
      </c>
      <c r="K476" s="178">
        <f>SUM(N476:O476)</f>
        <v>1000000</v>
      </c>
      <c r="L476" s="179"/>
      <c r="M476" s="180"/>
      <c r="N476" s="172">
        <f>SUM(L476:M476)</f>
        <v>0</v>
      </c>
      <c r="O476" s="178">
        <f>SUM(P476:Y476)</f>
        <v>1000000</v>
      </c>
      <c r="P476" s="181">
        <f>1000000</f>
        <v>1000000</v>
      </c>
      <c r="Q476" s="180"/>
      <c r="R476" s="182"/>
      <c r="S476" s="183"/>
      <c r="T476" s="180"/>
      <c r="U476" s="180"/>
      <c r="V476" s="180"/>
      <c r="W476" s="180"/>
      <c r="X476" s="180"/>
      <c r="Y476" s="182"/>
      <c r="Z476" s="149" t="str">
        <f t="shared" ca="1" si="759"/>
        <v>nie</v>
      </c>
      <c r="AA476" s="384"/>
      <c r="AB476" s="150" t="str">
        <f t="shared" ca="1" si="772"/>
        <v>-</v>
      </c>
      <c r="AC476" s="151" t="str">
        <f t="shared" ca="1" si="722"/>
        <v>PO ZMIANIE</v>
      </c>
      <c r="AD476" s="152" t="str">
        <f t="shared" ca="1" si="773"/>
        <v>PO ZMIANIE</v>
      </c>
      <c r="AE476" s="153" t="str">
        <f t="shared" ca="1" si="723"/>
        <v>C/USN/V/P1/66</v>
      </c>
      <c r="AF476" s="154" t="str">
        <f t="shared" ca="1" si="724"/>
        <v>Modernizacja budynku Szkoły Podstawowej nr 319 przy ul. Wokalnej</v>
      </c>
      <c r="AG476" s="155">
        <f t="shared" ca="1" si="725"/>
        <v>80101</v>
      </c>
      <c r="AH476" s="155" t="str">
        <f t="shared" ca="1" si="726"/>
        <v>6050</v>
      </c>
      <c r="AI476" s="156" t="str">
        <f t="shared" ca="1" si="727"/>
        <v>MWPO/0021</v>
      </c>
      <c r="AJ476" s="157" t="str">
        <f t="shared" ca="1" si="728"/>
        <v>WPF/PM</v>
      </c>
      <c r="AK476" s="158" t="str">
        <f t="shared" ca="1" si="774"/>
        <v>C/USN/V/P1/66 80101 6050 MWPO/0021</v>
      </c>
      <c r="AL476" s="158" t="str">
        <f t="shared" ca="1" si="775"/>
        <v>C/USN/V/P1/66 80101 6050 WPF/PM</v>
      </c>
      <c r="AM476" s="159" t="str">
        <f t="shared" ca="1" si="776"/>
        <v>C/USN/V/P1/66 80101 6050 MWPO/0021 WPF/PM</v>
      </c>
      <c r="AN476" s="160">
        <f t="shared" ca="1" si="729"/>
        <v>1000000</v>
      </c>
      <c r="AO476" s="161">
        <f t="shared" ca="1" si="730"/>
        <v>0</v>
      </c>
      <c r="AP476" s="162">
        <f t="shared" ca="1" si="731"/>
        <v>0</v>
      </c>
      <c r="AQ476" s="163">
        <f t="shared" ca="1" si="732"/>
        <v>1000000</v>
      </c>
      <c r="AR476" s="164">
        <f t="shared" ca="1" si="733"/>
        <v>0</v>
      </c>
      <c r="AS476" s="164">
        <f t="shared" ca="1" si="734"/>
        <v>0</v>
      </c>
      <c r="AT476" s="164">
        <f t="shared" ca="1" si="735"/>
        <v>0</v>
      </c>
      <c r="AU476" s="164">
        <f t="shared" ca="1" si="736"/>
        <v>0</v>
      </c>
      <c r="AV476" s="164">
        <f t="shared" ca="1" si="737"/>
        <v>0</v>
      </c>
      <c r="AW476" s="164">
        <f t="shared" ca="1" si="738"/>
        <v>0</v>
      </c>
      <c r="AX476" s="164">
        <f t="shared" ca="1" si="739"/>
        <v>0</v>
      </c>
      <c r="AY476" s="164">
        <f t="shared" ca="1" si="740"/>
        <v>0</v>
      </c>
      <c r="AZ476" s="164">
        <f t="shared" ca="1" si="741"/>
        <v>0</v>
      </c>
      <c r="BA476" s="165" t="str">
        <f t="shared" ca="1" si="742"/>
        <v>nie</v>
      </c>
      <c r="BB476" s="166" t="str">
        <f t="shared" ca="1" si="777"/>
        <v>-</v>
      </c>
      <c r="BC476" s="165" t="str">
        <f t="shared" ca="1" si="760"/>
        <v>nie</v>
      </c>
    </row>
    <row r="477" spans="1:55" s="167" customFormat="1" ht="14.45" hidden="1" customHeight="1" thickBot="1" x14ac:dyDescent="0.3">
      <c r="A477" s="500"/>
      <c r="B477" s="500"/>
      <c r="C477" s="566"/>
      <c r="D477" s="513"/>
      <c r="E477" s="503"/>
      <c r="F477" s="503"/>
      <c r="G477" s="503"/>
      <c r="H477" s="504"/>
      <c r="I477" s="499"/>
      <c r="J477" s="197" t="s">
        <v>104</v>
      </c>
      <c r="K477" s="198">
        <f>SUM(N477:O477)</f>
        <v>0</v>
      </c>
      <c r="L477" s="199"/>
      <c r="M477" s="200"/>
      <c r="N477" s="371">
        <f>SUM(L477:M477)</f>
        <v>0</v>
      </c>
      <c r="O477" s="198">
        <f>SUM(P477:Y477)</f>
        <v>0</v>
      </c>
      <c r="P477" s="201"/>
      <c r="Q477" s="200"/>
      <c r="R477" s="202"/>
      <c r="S477" s="203"/>
      <c r="T477" s="200"/>
      <c r="U477" s="200"/>
      <c r="V477" s="200"/>
      <c r="W477" s="200"/>
      <c r="X477" s="200"/>
      <c r="Y477" s="202"/>
      <c r="Z477" s="149" t="str">
        <f t="shared" ca="1" si="759"/>
        <v>nie</v>
      </c>
      <c r="AA477" s="384"/>
      <c r="AB477" s="150" t="str">
        <f t="shared" ca="1" si="772"/>
        <v>-</v>
      </c>
      <c r="AC477" s="151" t="str">
        <f t="shared" ca="1" si="722"/>
        <v>PO ZMIANIE</v>
      </c>
      <c r="AD477" s="152" t="str">
        <f t="shared" ca="1" si="773"/>
        <v>PO ZMIANIE</v>
      </c>
      <c r="AE477" s="153" t="str">
        <f t="shared" ca="1" si="723"/>
        <v>C/USN/V/P1/66</v>
      </c>
      <c r="AF477" s="154" t="str">
        <f t="shared" ca="1" si="724"/>
        <v>Modernizacja budynku Szkoły Podstawowej nr 319 przy ul. Wokalnej</v>
      </c>
      <c r="AG477" s="155">
        <f t="shared" ca="1" si="725"/>
        <v>80101</v>
      </c>
      <c r="AH477" s="155" t="str">
        <f t="shared" ca="1" si="726"/>
        <v>6050</v>
      </c>
      <c r="AI477" s="156" t="str">
        <f t="shared" ca="1" si="727"/>
        <v>MWPO/0021</v>
      </c>
      <c r="AJ477" s="157" t="str">
        <f t="shared" ca="1" si="728"/>
        <v>WPF/UM</v>
      </c>
      <c r="AK477" s="158" t="str">
        <f t="shared" ca="1" si="774"/>
        <v>C/USN/V/P1/66 80101 6050 MWPO/0021</v>
      </c>
      <c r="AL477" s="158" t="str">
        <f t="shared" ca="1" si="775"/>
        <v>C/USN/V/P1/66 80101 6050 WPF/UM</v>
      </c>
      <c r="AM477" s="159" t="str">
        <f t="shared" ca="1" si="776"/>
        <v>C/USN/V/P1/66 80101 6050 MWPO/0021 WPF/UM</v>
      </c>
      <c r="AN477" s="160">
        <f t="shared" ca="1" si="729"/>
        <v>0</v>
      </c>
      <c r="AO477" s="161">
        <f t="shared" ca="1" si="730"/>
        <v>0</v>
      </c>
      <c r="AP477" s="162">
        <f t="shared" ca="1" si="731"/>
        <v>0</v>
      </c>
      <c r="AQ477" s="163">
        <f t="shared" ca="1" si="732"/>
        <v>0</v>
      </c>
      <c r="AR477" s="164">
        <f t="shared" ca="1" si="733"/>
        <v>0</v>
      </c>
      <c r="AS477" s="164">
        <f t="shared" ca="1" si="734"/>
        <v>0</v>
      </c>
      <c r="AT477" s="164">
        <f t="shared" ca="1" si="735"/>
        <v>0</v>
      </c>
      <c r="AU477" s="164">
        <f t="shared" ca="1" si="736"/>
        <v>0</v>
      </c>
      <c r="AV477" s="164">
        <f t="shared" ca="1" si="737"/>
        <v>0</v>
      </c>
      <c r="AW477" s="164">
        <f t="shared" ca="1" si="738"/>
        <v>0</v>
      </c>
      <c r="AX477" s="164">
        <f t="shared" ca="1" si="739"/>
        <v>0</v>
      </c>
      <c r="AY477" s="164">
        <f t="shared" ca="1" si="740"/>
        <v>0</v>
      </c>
      <c r="AZ477" s="164">
        <f t="shared" ca="1" si="741"/>
        <v>0</v>
      </c>
      <c r="BA477" s="165" t="str">
        <f t="shared" ca="1" si="742"/>
        <v>nie</v>
      </c>
      <c r="BB477" s="166" t="str">
        <f t="shared" ca="1" si="777"/>
        <v>-</v>
      </c>
      <c r="BC477" s="165" t="str">
        <f t="shared" ca="1" si="760"/>
        <v>nie</v>
      </c>
    </row>
    <row r="478" spans="1:55" ht="14.45" hidden="1" customHeight="1" x14ac:dyDescent="0.25">
      <c r="A478" s="143" t="s">
        <v>91</v>
      </c>
      <c r="B478" s="144"/>
      <c r="C478" s="145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6"/>
      <c r="S478" s="147"/>
      <c r="T478" s="147"/>
      <c r="U478" s="147"/>
      <c r="V478" s="147"/>
      <c r="W478" s="147"/>
      <c r="X478" s="147"/>
      <c r="Y478" s="148"/>
      <c r="Z478" s="149" t="str">
        <f t="shared" ca="1" si="759"/>
        <v>nie</v>
      </c>
      <c r="AA478" s="366"/>
      <c r="AB478" s="150" t="str">
        <f t="shared" ca="1" si="746"/>
        <v>-</v>
      </c>
      <c r="AC478" s="151" t="str">
        <f t="shared" ca="1" si="722"/>
        <v>PRZED ZMIANĄ</v>
      </c>
      <c r="AD478" s="152" t="str">
        <f t="shared" ca="1" si="715"/>
        <v/>
      </c>
      <c r="AE478" s="153" t="str">
        <f t="shared" ca="1" si="723"/>
        <v/>
      </c>
      <c r="AF478" s="154" t="str">
        <f t="shared" ca="1" si="724"/>
        <v/>
      </c>
      <c r="AG478" s="155" t="str">
        <f t="shared" ca="1" si="725"/>
        <v/>
      </c>
      <c r="AH478" s="155" t="str">
        <f t="shared" ca="1" si="726"/>
        <v/>
      </c>
      <c r="AI478" s="156" t="str">
        <f t="shared" ca="1" si="727"/>
        <v/>
      </c>
      <c r="AJ478" s="157" t="str">
        <f t="shared" ca="1" si="728"/>
        <v/>
      </c>
      <c r="AK478" s="158" t="str">
        <f t="shared" ca="1" si="716"/>
        <v/>
      </c>
      <c r="AL478" s="158" t="str">
        <f t="shared" ca="1" si="717"/>
        <v/>
      </c>
      <c r="AM478" s="159" t="str">
        <f t="shared" ca="1" si="718"/>
        <v/>
      </c>
      <c r="AN478" s="160" t="str">
        <f t="shared" ca="1" si="729"/>
        <v/>
      </c>
      <c r="AO478" s="161" t="str">
        <f t="shared" ca="1" si="730"/>
        <v/>
      </c>
      <c r="AP478" s="162" t="str">
        <f t="shared" ca="1" si="731"/>
        <v/>
      </c>
      <c r="AQ478" s="163" t="str">
        <f t="shared" ca="1" si="732"/>
        <v/>
      </c>
      <c r="AR478" s="164" t="str">
        <f t="shared" ca="1" si="733"/>
        <v/>
      </c>
      <c r="AS478" s="164" t="str">
        <f t="shared" ca="1" si="734"/>
        <v/>
      </c>
      <c r="AT478" s="164" t="str">
        <f t="shared" ca="1" si="735"/>
        <v/>
      </c>
      <c r="AU478" s="164" t="str">
        <f t="shared" ca="1" si="736"/>
        <v/>
      </c>
      <c r="AV478" s="164" t="str">
        <f t="shared" ca="1" si="737"/>
        <v/>
      </c>
      <c r="AW478" s="164" t="str">
        <f t="shared" ca="1" si="738"/>
        <v/>
      </c>
      <c r="AX478" s="164" t="str">
        <f t="shared" ca="1" si="739"/>
        <v/>
      </c>
      <c r="AY478" s="164" t="str">
        <f t="shared" ca="1" si="740"/>
        <v/>
      </c>
      <c r="AZ478" s="164" t="str">
        <f t="shared" ca="1" si="741"/>
        <v/>
      </c>
      <c r="BA478" s="165" t="str">
        <f t="shared" ca="1" si="742"/>
        <v>nie</v>
      </c>
      <c r="BB478" s="166" t="str">
        <f t="shared" ca="1" si="747"/>
        <v>-</v>
      </c>
      <c r="BC478" s="165" t="str">
        <f t="shared" ca="1" si="760"/>
        <v>nie</v>
      </c>
    </row>
    <row r="479" spans="1:55" ht="14.45" hidden="1" customHeight="1" x14ac:dyDescent="0.25">
      <c r="A479" s="493" t="s">
        <v>24</v>
      </c>
      <c r="B479" s="493" t="s">
        <v>26</v>
      </c>
      <c r="C479" s="494" t="s">
        <v>167</v>
      </c>
      <c r="D479" s="505" t="s">
        <v>168</v>
      </c>
      <c r="E479" s="497">
        <v>801</v>
      </c>
      <c r="F479" s="497">
        <v>80101</v>
      </c>
      <c r="G479" s="497">
        <v>6050</v>
      </c>
      <c r="H479" s="507">
        <v>2022</v>
      </c>
      <c r="I479" s="499" t="str">
        <f ca="1">IF(COUNTIF(OFFSET(I479,-1,-8),"*propon*")&gt;0,OFFSET(I479,4,0),IF(Y479&gt;0,"2033",IF(X479&gt;0,"2032",IF(W479&gt;0,"2031",IF(V479&gt;0,"2030",IF(U479&gt;0,"2029",IF(T479&gt;0,"2028",IF(S479&gt;0,"2027",IF(R479&gt;0,"2026",IF(Q479&gt;0,"2025",IF(P479&gt;0,"2024",IF(M479&gt;0,"2023",IF(L479&gt;0,"2022","")))))))))))))</f>
        <v>2025</v>
      </c>
      <c r="J479" s="168" t="s">
        <v>94</v>
      </c>
      <c r="K479" s="169">
        <f>SUM(N479:O479)</f>
        <v>13657458</v>
      </c>
      <c r="L479" s="170">
        <f t="shared" ref="L479:M479" si="788">SUM(L480:L481)</f>
        <v>317217</v>
      </c>
      <c r="M479" s="171">
        <f t="shared" si="788"/>
        <v>7551438</v>
      </c>
      <c r="N479" s="172">
        <f>SUM(L479:M479)</f>
        <v>7868655</v>
      </c>
      <c r="O479" s="169">
        <f>SUM(P479:Y479)</f>
        <v>5788803</v>
      </c>
      <c r="P479" s="173">
        <f t="shared" ref="P479:R479" si="789">SUM(P480:P481)</f>
        <v>5158782</v>
      </c>
      <c r="Q479" s="171">
        <f t="shared" si="789"/>
        <v>630021</v>
      </c>
      <c r="R479" s="174">
        <f t="shared" si="789"/>
        <v>0</v>
      </c>
      <c r="S479" s="175">
        <f t="shared" ref="S479:Y479" si="790">SUM(S480:S481)</f>
        <v>0</v>
      </c>
      <c r="T479" s="171">
        <f t="shared" si="790"/>
        <v>0</v>
      </c>
      <c r="U479" s="171">
        <f t="shared" si="790"/>
        <v>0</v>
      </c>
      <c r="V479" s="171">
        <f t="shared" si="790"/>
        <v>0</v>
      </c>
      <c r="W479" s="171">
        <f t="shared" si="790"/>
        <v>0</v>
      </c>
      <c r="X479" s="171">
        <f t="shared" si="790"/>
        <v>0</v>
      </c>
      <c r="Y479" s="174">
        <f t="shared" si="790"/>
        <v>0</v>
      </c>
      <c r="Z479" s="149" t="str">
        <f t="shared" ca="1" si="759"/>
        <v>nie</v>
      </c>
      <c r="AA479" s="366"/>
      <c r="AB479" s="150" t="str">
        <f t="shared" ca="1" si="746"/>
        <v>-</v>
      </c>
      <c r="AC479" s="151" t="str">
        <f t="shared" ca="1" si="722"/>
        <v>PRZED ZMIANĄ</v>
      </c>
      <c r="AD479" s="152" t="str">
        <f t="shared" ref="AD479:AD530" ca="1" si="791">IF(AE479="","",AC479)</f>
        <v>PRZED ZMIANĄ</v>
      </c>
      <c r="AE479" s="153" t="str">
        <f t="shared" ca="1" si="723"/>
        <v>C/USN/V/P1/68</v>
      </c>
      <c r="AF479" s="154" t="str">
        <f t="shared" ca="1" si="724"/>
        <v>Modernizacja budynków Szkoły Podstawowej nr 336 przy ul. Małcużyńskiego i Szkoły Podstawowej nr 405 przy ul. Na Uboczu 9</v>
      </c>
      <c r="AG479" s="155">
        <f t="shared" ca="1" si="725"/>
        <v>80101</v>
      </c>
      <c r="AH479" s="155" t="str">
        <f t="shared" ca="1" si="726"/>
        <v>6050</v>
      </c>
      <c r="AI479" s="156" t="str">
        <f t="shared" ca="1" si="727"/>
        <v>GMMW</v>
      </c>
      <c r="AJ479" s="157" t="str">
        <f t="shared" ca="1" si="728"/>
        <v>WPF, w tym</v>
      </c>
      <c r="AK479" s="158" t="str">
        <f t="shared" ref="AK479:AK530" ca="1" si="792">IF(AH479="","",AE479&amp;" "&amp;AG479&amp;" "&amp;AH479&amp;" "&amp;AI479)</f>
        <v>C/USN/V/P1/68 80101 6050 GMMW</v>
      </c>
      <c r="AL479" s="158" t="str">
        <f t="shared" ref="AL479:AL530" ca="1" si="793">IF(AH479="","",AE479&amp;" "&amp;AG479&amp;" "&amp;AH479&amp;" "&amp;AJ479)</f>
        <v>C/USN/V/P1/68 80101 6050 WPF, w tym</v>
      </c>
      <c r="AM479" s="159" t="str">
        <f t="shared" ref="AM479:AM530" ca="1" si="794">IF(AH479="","",AE479&amp;" "&amp;AG479&amp;" "&amp;AH479&amp;" "&amp;AI479&amp;" "&amp;AJ479)</f>
        <v>C/USN/V/P1/68 80101 6050 GMMW WPF, w tym</v>
      </c>
      <c r="AN479" s="160">
        <f t="shared" ca="1" si="729"/>
        <v>13657458</v>
      </c>
      <c r="AO479" s="161">
        <f t="shared" ca="1" si="730"/>
        <v>317217</v>
      </c>
      <c r="AP479" s="162">
        <f t="shared" ca="1" si="731"/>
        <v>7551438</v>
      </c>
      <c r="AQ479" s="163">
        <f t="shared" ca="1" si="732"/>
        <v>5158782</v>
      </c>
      <c r="AR479" s="164">
        <f t="shared" ca="1" si="733"/>
        <v>630021</v>
      </c>
      <c r="AS479" s="164">
        <f t="shared" ca="1" si="734"/>
        <v>0</v>
      </c>
      <c r="AT479" s="164">
        <f t="shared" ca="1" si="735"/>
        <v>0</v>
      </c>
      <c r="AU479" s="164">
        <f t="shared" ca="1" si="736"/>
        <v>0</v>
      </c>
      <c r="AV479" s="164">
        <f t="shared" ca="1" si="737"/>
        <v>0</v>
      </c>
      <c r="AW479" s="164">
        <f t="shared" ca="1" si="738"/>
        <v>0</v>
      </c>
      <c r="AX479" s="164">
        <f t="shared" ca="1" si="739"/>
        <v>0</v>
      </c>
      <c r="AY479" s="164">
        <f t="shared" ca="1" si="740"/>
        <v>0</v>
      </c>
      <c r="AZ479" s="164">
        <f t="shared" ca="1" si="741"/>
        <v>0</v>
      </c>
      <c r="BA479" s="165" t="str">
        <f t="shared" ca="1" si="742"/>
        <v>nie</v>
      </c>
      <c r="BB479" s="166" t="str">
        <f t="shared" ca="1" si="747"/>
        <v>-</v>
      </c>
      <c r="BC479" s="165" t="str">
        <f t="shared" ca="1" si="760"/>
        <v>nie</v>
      </c>
    </row>
    <row r="480" spans="1:55" ht="14.45" hidden="1" customHeight="1" x14ac:dyDescent="0.25">
      <c r="A480" s="493"/>
      <c r="B480" s="493"/>
      <c r="C480" s="494"/>
      <c r="D480" s="506"/>
      <c r="E480" s="497"/>
      <c r="F480" s="497"/>
      <c r="G480" s="497"/>
      <c r="H480" s="498"/>
      <c r="I480" s="499"/>
      <c r="J480" s="177" t="s">
        <v>95</v>
      </c>
      <c r="K480" s="178">
        <f>SUM(N480:O480)</f>
        <v>5788803</v>
      </c>
      <c r="L480" s="179"/>
      <c r="M480" s="180"/>
      <c r="N480" s="172">
        <f>SUM(L480:M480)</f>
        <v>0</v>
      </c>
      <c r="O480" s="178">
        <f>SUM(P480:Y480)</f>
        <v>5788803</v>
      </c>
      <c r="P480" s="181">
        <v>5158782</v>
      </c>
      <c r="Q480" s="180">
        <v>630021</v>
      </c>
      <c r="R480" s="182"/>
      <c r="S480" s="183"/>
      <c r="T480" s="180"/>
      <c r="U480" s="180"/>
      <c r="V480" s="180"/>
      <c r="W480" s="180"/>
      <c r="X480" s="180"/>
      <c r="Y480" s="182"/>
      <c r="Z480" s="149" t="str">
        <f t="shared" ca="1" si="759"/>
        <v>nie</v>
      </c>
      <c r="AA480" s="366"/>
      <c r="AB480" s="150" t="str">
        <f t="shared" ca="1" si="746"/>
        <v>-</v>
      </c>
      <c r="AC480" s="151" t="str">
        <f t="shared" ca="1" si="722"/>
        <v>PRZED ZMIANĄ</v>
      </c>
      <c r="AD480" s="152" t="str">
        <f t="shared" ca="1" si="791"/>
        <v>PRZED ZMIANĄ</v>
      </c>
      <c r="AE480" s="153" t="str">
        <f t="shared" ca="1" si="723"/>
        <v>C/USN/V/P1/68</v>
      </c>
      <c r="AF480" s="154" t="str">
        <f t="shared" ca="1" si="724"/>
        <v>Modernizacja budynków Szkoły Podstawowej nr 336 przy ul. Małcużyńskiego i Szkoły Podstawowej nr 405 przy ul. Na Uboczu 9</v>
      </c>
      <c r="AG480" s="155">
        <f t="shared" ca="1" si="725"/>
        <v>80101</v>
      </c>
      <c r="AH480" s="155" t="str">
        <f t="shared" ca="1" si="726"/>
        <v>6050</v>
      </c>
      <c r="AI480" s="156" t="str">
        <f t="shared" ca="1" si="727"/>
        <v>GMMW</v>
      </c>
      <c r="AJ480" s="157" t="str">
        <f t="shared" ca="1" si="728"/>
        <v>WPF/PM</v>
      </c>
      <c r="AK480" s="158" t="str">
        <f t="shared" ca="1" si="792"/>
        <v>C/USN/V/P1/68 80101 6050 GMMW</v>
      </c>
      <c r="AL480" s="158" t="str">
        <f t="shared" ca="1" si="793"/>
        <v>C/USN/V/P1/68 80101 6050 WPF/PM</v>
      </c>
      <c r="AM480" s="159" t="str">
        <f t="shared" ca="1" si="794"/>
        <v>C/USN/V/P1/68 80101 6050 GMMW WPF/PM</v>
      </c>
      <c r="AN480" s="160">
        <f t="shared" ca="1" si="729"/>
        <v>5788803</v>
      </c>
      <c r="AO480" s="161">
        <f t="shared" ca="1" si="730"/>
        <v>0</v>
      </c>
      <c r="AP480" s="162">
        <f t="shared" ca="1" si="731"/>
        <v>0</v>
      </c>
      <c r="AQ480" s="163">
        <f t="shared" ca="1" si="732"/>
        <v>5158782</v>
      </c>
      <c r="AR480" s="164">
        <f t="shared" ca="1" si="733"/>
        <v>630021</v>
      </c>
      <c r="AS480" s="164">
        <f t="shared" ca="1" si="734"/>
        <v>0</v>
      </c>
      <c r="AT480" s="164">
        <f t="shared" ca="1" si="735"/>
        <v>0</v>
      </c>
      <c r="AU480" s="164">
        <f t="shared" ca="1" si="736"/>
        <v>0</v>
      </c>
      <c r="AV480" s="164">
        <f t="shared" ca="1" si="737"/>
        <v>0</v>
      </c>
      <c r="AW480" s="164">
        <f t="shared" ca="1" si="738"/>
        <v>0</v>
      </c>
      <c r="AX480" s="164">
        <f t="shared" ca="1" si="739"/>
        <v>0</v>
      </c>
      <c r="AY480" s="164">
        <f t="shared" ca="1" si="740"/>
        <v>0</v>
      </c>
      <c r="AZ480" s="164">
        <f t="shared" ca="1" si="741"/>
        <v>0</v>
      </c>
      <c r="BA480" s="165" t="str">
        <f t="shared" ca="1" si="742"/>
        <v>nie</v>
      </c>
      <c r="BB480" s="166" t="str">
        <f t="shared" ca="1" si="747"/>
        <v>-</v>
      </c>
      <c r="BC480" s="165" t="str">
        <f t="shared" ca="1" si="760"/>
        <v>nie</v>
      </c>
    </row>
    <row r="481" spans="1:55" ht="14.45" hidden="1" customHeight="1" x14ac:dyDescent="0.25">
      <c r="A481" s="493"/>
      <c r="B481" s="493"/>
      <c r="C481" s="494"/>
      <c r="D481" s="506"/>
      <c r="E481" s="497"/>
      <c r="F481" s="497"/>
      <c r="G481" s="497"/>
      <c r="H481" s="498"/>
      <c r="I481" s="499"/>
      <c r="J481" s="177" t="s">
        <v>96</v>
      </c>
      <c r="K481" s="178">
        <f>SUM(N481:O481)</f>
        <v>7868655</v>
      </c>
      <c r="L481" s="179">
        <v>317217</v>
      </c>
      <c r="M481" s="180">
        <v>7551438</v>
      </c>
      <c r="N481" s="172">
        <f>SUM(L481:M481)</f>
        <v>7868655</v>
      </c>
      <c r="O481" s="178">
        <f>SUM(P481:Y481)</f>
        <v>0</v>
      </c>
      <c r="P481" s="181"/>
      <c r="Q481" s="180"/>
      <c r="R481" s="182"/>
      <c r="S481" s="183"/>
      <c r="T481" s="180"/>
      <c r="U481" s="180"/>
      <c r="V481" s="180"/>
      <c r="W481" s="180"/>
      <c r="X481" s="180"/>
      <c r="Y481" s="182"/>
      <c r="Z481" s="149" t="str">
        <f t="shared" ca="1" si="759"/>
        <v>nie</v>
      </c>
      <c r="AA481" s="366"/>
      <c r="AB481" s="150" t="str">
        <f t="shared" ca="1" si="746"/>
        <v>-</v>
      </c>
      <c r="AC481" s="151" t="str">
        <f t="shared" ca="1" si="722"/>
        <v>PRZED ZMIANĄ</v>
      </c>
      <c r="AD481" s="152" t="str">
        <f t="shared" ca="1" si="791"/>
        <v>PRZED ZMIANĄ</v>
      </c>
      <c r="AE481" s="153" t="str">
        <f t="shared" ca="1" si="723"/>
        <v>C/USN/V/P1/68</v>
      </c>
      <c r="AF481" s="154" t="str">
        <f t="shared" ca="1" si="724"/>
        <v>Modernizacja budynków Szkoły Podstawowej nr 336 przy ul. Małcużyńskiego i Szkoły Podstawowej nr 405 przy ul. Na Uboczu 9</v>
      </c>
      <c r="AG481" s="155">
        <f t="shared" ca="1" si="725"/>
        <v>80101</v>
      </c>
      <c r="AH481" s="155" t="str">
        <f t="shared" ca="1" si="726"/>
        <v>6050</v>
      </c>
      <c r="AI481" s="156" t="str">
        <f t="shared" ca="1" si="727"/>
        <v>GMMW</v>
      </c>
      <c r="AJ481" s="157" t="str">
        <f t="shared" ca="1" si="728"/>
        <v>WPF/UM</v>
      </c>
      <c r="AK481" s="158" t="str">
        <f t="shared" ca="1" si="792"/>
        <v>C/USN/V/P1/68 80101 6050 GMMW</v>
      </c>
      <c r="AL481" s="158" t="str">
        <f t="shared" ca="1" si="793"/>
        <v>C/USN/V/P1/68 80101 6050 WPF/UM</v>
      </c>
      <c r="AM481" s="159" t="str">
        <f t="shared" ca="1" si="794"/>
        <v>C/USN/V/P1/68 80101 6050 GMMW WPF/UM</v>
      </c>
      <c r="AN481" s="160">
        <f t="shared" ca="1" si="729"/>
        <v>7868655</v>
      </c>
      <c r="AO481" s="161">
        <f t="shared" ca="1" si="730"/>
        <v>317217</v>
      </c>
      <c r="AP481" s="162">
        <f t="shared" ca="1" si="731"/>
        <v>7551438</v>
      </c>
      <c r="AQ481" s="163">
        <f t="shared" ca="1" si="732"/>
        <v>0</v>
      </c>
      <c r="AR481" s="164">
        <f t="shared" ca="1" si="733"/>
        <v>0</v>
      </c>
      <c r="AS481" s="164">
        <f t="shared" ca="1" si="734"/>
        <v>0</v>
      </c>
      <c r="AT481" s="164">
        <f t="shared" ca="1" si="735"/>
        <v>0</v>
      </c>
      <c r="AU481" s="164">
        <f t="shared" ca="1" si="736"/>
        <v>0</v>
      </c>
      <c r="AV481" s="164">
        <f t="shared" ca="1" si="737"/>
        <v>0</v>
      </c>
      <c r="AW481" s="164">
        <f t="shared" ca="1" si="738"/>
        <v>0</v>
      </c>
      <c r="AX481" s="164">
        <f t="shared" ca="1" si="739"/>
        <v>0</v>
      </c>
      <c r="AY481" s="164">
        <f t="shared" ca="1" si="740"/>
        <v>0</v>
      </c>
      <c r="AZ481" s="164">
        <f t="shared" ca="1" si="741"/>
        <v>0</v>
      </c>
      <c r="BA481" s="165" t="str">
        <f t="shared" ca="1" si="742"/>
        <v>nie</v>
      </c>
      <c r="BB481" s="166" t="str">
        <f t="shared" ca="1" si="747"/>
        <v>-</v>
      </c>
      <c r="BC481" s="165" t="str">
        <f t="shared" ca="1" si="760"/>
        <v>nie</v>
      </c>
    </row>
    <row r="482" spans="1:55" ht="14.45" hidden="1" customHeight="1" x14ac:dyDescent="0.25">
      <c r="A482" s="185" t="s">
        <v>97</v>
      </c>
      <c r="B482" s="186"/>
      <c r="C482" s="187"/>
      <c r="D482" s="186"/>
      <c r="E482" s="186"/>
      <c r="F482" s="186"/>
      <c r="G482" s="186"/>
      <c r="H482" s="186"/>
      <c r="I482" s="186"/>
      <c r="J482" s="186"/>
      <c r="K482" s="186"/>
      <c r="L482" s="186"/>
      <c r="M482" s="186"/>
      <c r="N482" s="186"/>
      <c r="O482" s="186"/>
      <c r="P482" s="186"/>
      <c r="Q482" s="186"/>
      <c r="R482" s="188"/>
      <c r="S482" s="189"/>
      <c r="T482" s="189"/>
      <c r="U482" s="189"/>
      <c r="V482" s="189"/>
      <c r="W482" s="189"/>
      <c r="X482" s="189"/>
      <c r="Y482" s="190"/>
      <c r="Z482" s="149" t="str">
        <f t="shared" ca="1" si="759"/>
        <v>nie</v>
      </c>
      <c r="AA482" s="366"/>
      <c r="AB482" s="150" t="str">
        <f t="shared" ca="1" si="746"/>
        <v>-</v>
      </c>
      <c r="AC482" s="151" t="str">
        <f t="shared" ca="1" si="722"/>
        <v>PROPONOWANA ZMIANA</v>
      </c>
      <c r="AD482" s="152" t="str">
        <f t="shared" ca="1" si="791"/>
        <v/>
      </c>
      <c r="AE482" s="153" t="str">
        <f t="shared" ca="1" si="723"/>
        <v/>
      </c>
      <c r="AF482" s="154" t="str">
        <f t="shared" ca="1" si="724"/>
        <v/>
      </c>
      <c r="AG482" s="155" t="str">
        <f t="shared" ca="1" si="725"/>
        <v/>
      </c>
      <c r="AH482" s="155" t="str">
        <f t="shared" ca="1" si="726"/>
        <v/>
      </c>
      <c r="AI482" s="156" t="str">
        <f t="shared" ca="1" si="727"/>
        <v/>
      </c>
      <c r="AJ482" s="157" t="str">
        <f t="shared" ca="1" si="728"/>
        <v/>
      </c>
      <c r="AK482" s="158" t="str">
        <f t="shared" ca="1" si="792"/>
        <v/>
      </c>
      <c r="AL482" s="158" t="str">
        <f t="shared" ca="1" si="793"/>
        <v/>
      </c>
      <c r="AM482" s="159" t="str">
        <f t="shared" ca="1" si="794"/>
        <v/>
      </c>
      <c r="AN482" s="160" t="str">
        <f t="shared" ca="1" si="729"/>
        <v/>
      </c>
      <c r="AO482" s="161" t="str">
        <f t="shared" ca="1" si="730"/>
        <v/>
      </c>
      <c r="AP482" s="162" t="str">
        <f t="shared" ca="1" si="731"/>
        <v/>
      </c>
      <c r="AQ482" s="163" t="str">
        <f t="shared" ca="1" si="732"/>
        <v/>
      </c>
      <c r="AR482" s="164" t="str">
        <f t="shared" ca="1" si="733"/>
        <v/>
      </c>
      <c r="AS482" s="164" t="str">
        <f t="shared" ca="1" si="734"/>
        <v/>
      </c>
      <c r="AT482" s="164" t="str">
        <f t="shared" ca="1" si="735"/>
        <v/>
      </c>
      <c r="AU482" s="164" t="str">
        <f t="shared" ca="1" si="736"/>
        <v/>
      </c>
      <c r="AV482" s="164" t="str">
        <f t="shared" ca="1" si="737"/>
        <v/>
      </c>
      <c r="AW482" s="164" t="str">
        <f t="shared" ca="1" si="738"/>
        <v/>
      </c>
      <c r="AX482" s="164" t="str">
        <f t="shared" ca="1" si="739"/>
        <v/>
      </c>
      <c r="AY482" s="164" t="str">
        <f t="shared" ca="1" si="740"/>
        <v/>
      </c>
      <c r="AZ482" s="164" t="str">
        <f t="shared" ca="1" si="741"/>
        <v/>
      </c>
      <c r="BA482" s="165" t="str">
        <f t="shared" ca="1" si="742"/>
        <v>nie</v>
      </c>
      <c r="BB482" s="166" t="str">
        <f t="shared" ca="1" si="747"/>
        <v>-</v>
      </c>
      <c r="BC482" s="165" t="str">
        <f t="shared" ca="1" si="760"/>
        <v>nie</v>
      </c>
    </row>
    <row r="483" spans="1:55" ht="14.45" hidden="1" customHeight="1" x14ac:dyDescent="0.25">
      <c r="A483" s="493" t="s">
        <v>24</v>
      </c>
      <c r="B483" s="493" t="s">
        <v>26</v>
      </c>
      <c r="C483" s="494" t="s">
        <v>167</v>
      </c>
      <c r="D483" s="505" t="s">
        <v>168</v>
      </c>
      <c r="E483" s="497">
        <v>801</v>
      </c>
      <c r="F483" s="497">
        <v>80101</v>
      </c>
      <c r="G483" s="497">
        <v>6050</v>
      </c>
      <c r="H483" s="507">
        <v>2022</v>
      </c>
      <c r="I483" s="499" t="str">
        <f ca="1">IF(COUNTIF(OFFSET(I483,-1,-8),"*propon*")&gt;0,OFFSET(I483,4,0),IF(Y483&gt;0,"2033",IF(X483&gt;0,"2032",IF(W483&gt;0,"2031",IF(V483&gt;0,"2030",IF(U483&gt;0,"2029",IF(T483&gt;0,"2028",IF(S483&gt;0,"2027",IF(R483&gt;0,"2026",IF(Q483&gt;0,"2025",IF(P483&gt;0,"2024",IF(M483&gt;0,"2023",IF(L483&gt;0,"2022","")))))))))))))</f>
        <v>2025</v>
      </c>
      <c r="J483" s="168" t="s">
        <v>98</v>
      </c>
      <c r="K483" s="169">
        <f>SUM(N483:O483)</f>
        <v>0</v>
      </c>
      <c r="L483" s="170">
        <f t="shared" ref="L483:M483" si="795">SUM(L484:L485)</f>
        <v>0</v>
      </c>
      <c r="M483" s="171">
        <f t="shared" si="795"/>
        <v>0</v>
      </c>
      <c r="N483" s="172">
        <f>SUM(L483:M483)</f>
        <v>0</v>
      </c>
      <c r="O483" s="169">
        <f>SUM(P483:Y483)</f>
        <v>0</v>
      </c>
      <c r="P483" s="173">
        <f t="shared" ref="P483:R483" si="796">SUM(P484:P485)</f>
        <v>0</v>
      </c>
      <c r="Q483" s="171">
        <f t="shared" si="796"/>
        <v>0</v>
      </c>
      <c r="R483" s="174">
        <f t="shared" si="796"/>
        <v>0</v>
      </c>
      <c r="S483" s="175">
        <f t="shared" ref="S483:Y483" si="797">SUM(S484:S485)</f>
        <v>0</v>
      </c>
      <c r="T483" s="171">
        <f t="shared" si="797"/>
        <v>0</v>
      </c>
      <c r="U483" s="171">
        <f t="shared" si="797"/>
        <v>0</v>
      </c>
      <c r="V483" s="171">
        <f t="shared" si="797"/>
        <v>0</v>
      </c>
      <c r="W483" s="171">
        <f t="shared" si="797"/>
        <v>0</v>
      </c>
      <c r="X483" s="171">
        <f t="shared" si="797"/>
        <v>0</v>
      </c>
      <c r="Y483" s="174">
        <f t="shared" si="797"/>
        <v>0</v>
      </c>
      <c r="Z483" s="149" t="str">
        <f t="shared" ca="1" si="759"/>
        <v>nie</v>
      </c>
      <c r="AA483" s="366"/>
      <c r="AB483" s="150" t="str">
        <f t="shared" ca="1" si="746"/>
        <v>-</v>
      </c>
      <c r="AC483" s="151" t="str">
        <f t="shared" ca="1" si="722"/>
        <v>PROPONOWANA ZMIANA</v>
      </c>
      <c r="AD483" s="152" t="str">
        <f t="shared" ca="1" si="791"/>
        <v>PROPONOWANA ZMIANA</v>
      </c>
      <c r="AE483" s="153" t="str">
        <f t="shared" ca="1" si="723"/>
        <v>C/USN/V/P1/68</v>
      </c>
      <c r="AF483" s="154" t="str">
        <f t="shared" ca="1" si="724"/>
        <v>Modernizacja budynków Szkoły Podstawowej nr 336 przy ul. Małcużyńskiego i Szkoły Podstawowej nr 405 przy ul. Na Uboczu 9</v>
      </c>
      <c r="AG483" s="155">
        <f t="shared" ca="1" si="725"/>
        <v>80101</v>
      </c>
      <c r="AH483" s="155" t="str">
        <f t="shared" ca="1" si="726"/>
        <v>6050</v>
      </c>
      <c r="AI483" s="156" t="str">
        <f t="shared" ca="1" si="727"/>
        <v>GMMW</v>
      </c>
      <c r="AJ483" s="157" t="str">
        <f t="shared" ca="1" si="728"/>
        <v>WPF, w tym</v>
      </c>
      <c r="AK483" s="158" t="str">
        <f t="shared" ca="1" si="792"/>
        <v>C/USN/V/P1/68 80101 6050 GMMW</v>
      </c>
      <c r="AL483" s="158" t="str">
        <f t="shared" ca="1" si="793"/>
        <v>C/USN/V/P1/68 80101 6050 WPF, w tym</v>
      </c>
      <c r="AM483" s="159" t="str">
        <f t="shared" ca="1" si="794"/>
        <v>C/USN/V/P1/68 80101 6050 GMMW WPF, w tym</v>
      </c>
      <c r="AN483" s="160">
        <f t="shared" ca="1" si="729"/>
        <v>0</v>
      </c>
      <c r="AO483" s="161">
        <f t="shared" ca="1" si="730"/>
        <v>0</v>
      </c>
      <c r="AP483" s="162">
        <f t="shared" ca="1" si="731"/>
        <v>0</v>
      </c>
      <c r="AQ483" s="163">
        <f t="shared" ca="1" si="732"/>
        <v>0</v>
      </c>
      <c r="AR483" s="164">
        <f t="shared" ca="1" si="733"/>
        <v>0</v>
      </c>
      <c r="AS483" s="164">
        <f t="shared" ca="1" si="734"/>
        <v>0</v>
      </c>
      <c r="AT483" s="164">
        <f t="shared" ca="1" si="735"/>
        <v>0</v>
      </c>
      <c r="AU483" s="164">
        <f t="shared" ca="1" si="736"/>
        <v>0</v>
      </c>
      <c r="AV483" s="164">
        <f t="shared" ca="1" si="737"/>
        <v>0</v>
      </c>
      <c r="AW483" s="164">
        <f t="shared" ca="1" si="738"/>
        <v>0</v>
      </c>
      <c r="AX483" s="164">
        <f t="shared" ca="1" si="739"/>
        <v>0</v>
      </c>
      <c r="AY483" s="164">
        <f t="shared" ca="1" si="740"/>
        <v>0</v>
      </c>
      <c r="AZ483" s="164">
        <f t="shared" ca="1" si="741"/>
        <v>0</v>
      </c>
      <c r="BA483" s="165" t="str">
        <f t="shared" ca="1" si="742"/>
        <v>nie</v>
      </c>
      <c r="BB483" s="166" t="str">
        <f t="shared" ca="1" si="747"/>
        <v>-</v>
      </c>
      <c r="BC483" s="165" t="str">
        <f t="shared" ca="1" si="760"/>
        <v>nie</v>
      </c>
    </row>
    <row r="484" spans="1:55" ht="14.45" hidden="1" customHeight="1" x14ac:dyDescent="0.25">
      <c r="A484" s="493"/>
      <c r="B484" s="493"/>
      <c r="C484" s="494"/>
      <c r="D484" s="506"/>
      <c r="E484" s="497"/>
      <c r="F484" s="497"/>
      <c r="G484" s="497"/>
      <c r="H484" s="498"/>
      <c r="I484" s="499"/>
      <c r="J484" s="177" t="s">
        <v>99</v>
      </c>
      <c r="K484" s="178">
        <f>SUM(N484:O484)</f>
        <v>0</v>
      </c>
      <c r="L484" s="179">
        <f t="shared" ref="L484:M484" si="798">L488-L480</f>
        <v>0</v>
      </c>
      <c r="M484" s="180">
        <f t="shared" si="798"/>
        <v>0</v>
      </c>
      <c r="N484" s="172">
        <f>SUM(L484:M484)</f>
        <v>0</v>
      </c>
      <c r="O484" s="178">
        <f>SUM(P484:Y484)</f>
        <v>0</v>
      </c>
      <c r="P484" s="181">
        <f t="shared" ref="P484:R484" si="799">P488-P480</f>
        <v>0</v>
      </c>
      <c r="Q484" s="180">
        <f t="shared" si="799"/>
        <v>0</v>
      </c>
      <c r="R484" s="182">
        <f t="shared" si="799"/>
        <v>0</v>
      </c>
      <c r="S484" s="183">
        <f t="shared" ref="S484:Y485" si="800">S488-S480</f>
        <v>0</v>
      </c>
      <c r="T484" s="180">
        <f t="shared" si="800"/>
        <v>0</v>
      </c>
      <c r="U484" s="180">
        <f t="shared" si="800"/>
        <v>0</v>
      </c>
      <c r="V484" s="180">
        <f t="shared" si="800"/>
        <v>0</v>
      </c>
      <c r="W484" s="180">
        <f t="shared" si="800"/>
        <v>0</v>
      </c>
      <c r="X484" s="180">
        <f t="shared" si="800"/>
        <v>0</v>
      </c>
      <c r="Y484" s="182">
        <f t="shared" si="800"/>
        <v>0</v>
      </c>
      <c r="Z484" s="149" t="str">
        <f t="shared" ca="1" si="759"/>
        <v>nie</v>
      </c>
      <c r="AA484" s="366"/>
      <c r="AB484" s="150" t="str">
        <f t="shared" ca="1" si="746"/>
        <v>-</v>
      </c>
      <c r="AC484" s="151" t="str">
        <f t="shared" ca="1" si="722"/>
        <v>PROPONOWANA ZMIANA</v>
      </c>
      <c r="AD484" s="152" t="str">
        <f t="shared" ca="1" si="791"/>
        <v>PROPONOWANA ZMIANA</v>
      </c>
      <c r="AE484" s="153" t="str">
        <f t="shared" ca="1" si="723"/>
        <v>C/USN/V/P1/68</v>
      </c>
      <c r="AF484" s="154" t="str">
        <f t="shared" ca="1" si="724"/>
        <v>Modernizacja budynków Szkoły Podstawowej nr 336 przy ul. Małcużyńskiego i Szkoły Podstawowej nr 405 przy ul. Na Uboczu 9</v>
      </c>
      <c r="AG484" s="155">
        <f t="shared" ca="1" si="725"/>
        <v>80101</v>
      </c>
      <c r="AH484" s="155" t="str">
        <f t="shared" ca="1" si="726"/>
        <v>6050</v>
      </c>
      <c r="AI484" s="156" t="str">
        <f t="shared" ca="1" si="727"/>
        <v>GMMW</v>
      </c>
      <c r="AJ484" s="157" t="str">
        <f t="shared" ca="1" si="728"/>
        <v>WPF/PM</v>
      </c>
      <c r="AK484" s="158" t="str">
        <f t="shared" ca="1" si="792"/>
        <v>C/USN/V/P1/68 80101 6050 GMMW</v>
      </c>
      <c r="AL484" s="158" t="str">
        <f t="shared" ca="1" si="793"/>
        <v>C/USN/V/P1/68 80101 6050 WPF/PM</v>
      </c>
      <c r="AM484" s="159" t="str">
        <f t="shared" ca="1" si="794"/>
        <v>C/USN/V/P1/68 80101 6050 GMMW WPF/PM</v>
      </c>
      <c r="AN484" s="160">
        <f t="shared" ca="1" si="729"/>
        <v>0</v>
      </c>
      <c r="AO484" s="161">
        <f t="shared" ca="1" si="730"/>
        <v>0</v>
      </c>
      <c r="AP484" s="162">
        <f t="shared" ca="1" si="731"/>
        <v>0</v>
      </c>
      <c r="AQ484" s="163">
        <f t="shared" ca="1" si="732"/>
        <v>0</v>
      </c>
      <c r="AR484" s="164">
        <f t="shared" ca="1" si="733"/>
        <v>0</v>
      </c>
      <c r="AS484" s="164">
        <f t="shared" ca="1" si="734"/>
        <v>0</v>
      </c>
      <c r="AT484" s="164">
        <f t="shared" ca="1" si="735"/>
        <v>0</v>
      </c>
      <c r="AU484" s="164">
        <f t="shared" ca="1" si="736"/>
        <v>0</v>
      </c>
      <c r="AV484" s="164">
        <f t="shared" ca="1" si="737"/>
        <v>0</v>
      </c>
      <c r="AW484" s="164">
        <f t="shared" ca="1" si="738"/>
        <v>0</v>
      </c>
      <c r="AX484" s="164">
        <f t="shared" ca="1" si="739"/>
        <v>0</v>
      </c>
      <c r="AY484" s="164">
        <f t="shared" ca="1" si="740"/>
        <v>0</v>
      </c>
      <c r="AZ484" s="164">
        <f t="shared" ca="1" si="741"/>
        <v>0</v>
      </c>
      <c r="BA484" s="165" t="str">
        <f t="shared" ca="1" si="742"/>
        <v>nie</v>
      </c>
      <c r="BB484" s="166" t="str">
        <f t="shared" ca="1" si="747"/>
        <v>-</v>
      </c>
      <c r="BC484" s="165" t="str">
        <f t="shared" ca="1" si="760"/>
        <v>nie</v>
      </c>
    </row>
    <row r="485" spans="1:55" ht="14.45" hidden="1" customHeight="1" x14ac:dyDescent="0.25">
      <c r="A485" s="493"/>
      <c r="B485" s="493"/>
      <c r="C485" s="494"/>
      <c r="D485" s="506"/>
      <c r="E485" s="497"/>
      <c r="F485" s="497"/>
      <c r="G485" s="497"/>
      <c r="H485" s="498"/>
      <c r="I485" s="499"/>
      <c r="J485" s="177" t="s">
        <v>100</v>
      </c>
      <c r="K485" s="178">
        <f>SUM(N485:O485)</f>
        <v>0</v>
      </c>
      <c r="L485" s="179">
        <f t="shared" ref="L485:M485" si="801">L489-L481</f>
        <v>0</v>
      </c>
      <c r="M485" s="180">
        <f t="shared" si="801"/>
        <v>0</v>
      </c>
      <c r="N485" s="172">
        <f>SUM(L485:M485)</f>
        <v>0</v>
      </c>
      <c r="O485" s="178">
        <f>SUM(P485:Y485)</f>
        <v>0</v>
      </c>
      <c r="P485" s="181">
        <f t="shared" ref="P485:R485" si="802">P489-P481</f>
        <v>0</v>
      </c>
      <c r="Q485" s="180">
        <f t="shared" si="802"/>
        <v>0</v>
      </c>
      <c r="R485" s="182">
        <f t="shared" si="802"/>
        <v>0</v>
      </c>
      <c r="S485" s="183">
        <f t="shared" si="800"/>
        <v>0</v>
      </c>
      <c r="T485" s="180">
        <f t="shared" si="800"/>
        <v>0</v>
      </c>
      <c r="U485" s="180">
        <f t="shared" si="800"/>
        <v>0</v>
      </c>
      <c r="V485" s="180">
        <f t="shared" si="800"/>
        <v>0</v>
      </c>
      <c r="W485" s="180">
        <f t="shared" si="800"/>
        <v>0</v>
      </c>
      <c r="X485" s="180">
        <f t="shared" si="800"/>
        <v>0</v>
      </c>
      <c r="Y485" s="182">
        <f t="shared" si="800"/>
        <v>0</v>
      </c>
      <c r="Z485" s="149" t="str">
        <f t="shared" ca="1" si="759"/>
        <v>nie</v>
      </c>
      <c r="AA485" s="366"/>
      <c r="AB485" s="150" t="str">
        <f t="shared" ca="1" si="746"/>
        <v>-</v>
      </c>
      <c r="AC485" s="151" t="str">
        <f t="shared" ca="1" si="722"/>
        <v>PROPONOWANA ZMIANA</v>
      </c>
      <c r="AD485" s="152" t="str">
        <f t="shared" ca="1" si="791"/>
        <v>PROPONOWANA ZMIANA</v>
      </c>
      <c r="AE485" s="153" t="str">
        <f t="shared" ca="1" si="723"/>
        <v>C/USN/V/P1/68</v>
      </c>
      <c r="AF485" s="154" t="str">
        <f t="shared" ca="1" si="724"/>
        <v>Modernizacja budynków Szkoły Podstawowej nr 336 przy ul. Małcużyńskiego i Szkoły Podstawowej nr 405 przy ul. Na Uboczu 9</v>
      </c>
      <c r="AG485" s="155">
        <f t="shared" ca="1" si="725"/>
        <v>80101</v>
      </c>
      <c r="AH485" s="155" t="str">
        <f t="shared" ca="1" si="726"/>
        <v>6050</v>
      </c>
      <c r="AI485" s="156" t="str">
        <f t="shared" ca="1" si="727"/>
        <v>GMMW</v>
      </c>
      <c r="AJ485" s="157" t="str">
        <f t="shared" ca="1" si="728"/>
        <v>WPF/UM</v>
      </c>
      <c r="AK485" s="158" t="str">
        <f t="shared" ca="1" si="792"/>
        <v>C/USN/V/P1/68 80101 6050 GMMW</v>
      </c>
      <c r="AL485" s="158" t="str">
        <f t="shared" ca="1" si="793"/>
        <v>C/USN/V/P1/68 80101 6050 WPF/UM</v>
      </c>
      <c r="AM485" s="159" t="str">
        <f t="shared" ca="1" si="794"/>
        <v>C/USN/V/P1/68 80101 6050 GMMW WPF/UM</v>
      </c>
      <c r="AN485" s="160">
        <f t="shared" ca="1" si="729"/>
        <v>0</v>
      </c>
      <c r="AO485" s="161">
        <f t="shared" ca="1" si="730"/>
        <v>0</v>
      </c>
      <c r="AP485" s="162">
        <f t="shared" ca="1" si="731"/>
        <v>0</v>
      </c>
      <c r="AQ485" s="163">
        <f t="shared" ca="1" si="732"/>
        <v>0</v>
      </c>
      <c r="AR485" s="164">
        <f t="shared" ca="1" si="733"/>
        <v>0</v>
      </c>
      <c r="AS485" s="164">
        <f t="shared" ca="1" si="734"/>
        <v>0</v>
      </c>
      <c r="AT485" s="164">
        <f t="shared" ca="1" si="735"/>
        <v>0</v>
      </c>
      <c r="AU485" s="164">
        <f t="shared" ca="1" si="736"/>
        <v>0</v>
      </c>
      <c r="AV485" s="164">
        <f t="shared" ca="1" si="737"/>
        <v>0</v>
      </c>
      <c r="AW485" s="164">
        <f t="shared" ca="1" si="738"/>
        <v>0</v>
      </c>
      <c r="AX485" s="164">
        <f t="shared" ca="1" si="739"/>
        <v>0</v>
      </c>
      <c r="AY485" s="164">
        <f t="shared" ca="1" si="740"/>
        <v>0</v>
      </c>
      <c r="AZ485" s="164">
        <f t="shared" ca="1" si="741"/>
        <v>0</v>
      </c>
      <c r="BA485" s="165" t="str">
        <f t="shared" ca="1" si="742"/>
        <v>nie</v>
      </c>
      <c r="BB485" s="166" t="str">
        <f t="shared" ca="1" si="747"/>
        <v>-</v>
      </c>
      <c r="BC485" s="165" t="str">
        <f t="shared" ca="1" si="760"/>
        <v>nie</v>
      </c>
    </row>
    <row r="486" spans="1:55" ht="14.45" hidden="1" customHeight="1" x14ac:dyDescent="0.25">
      <c r="A486" s="191" t="s">
        <v>101</v>
      </c>
      <c r="B486" s="192"/>
      <c r="C486" s="193"/>
      <c r="D486" s="192"/>
      <c r="E486" s="192"/>
      <c r="F486" s="192"/>
      <c r="G486" s="192"/>
      <c r="H486" s="192"/>
      <c r="I486" s="192"/>
      <c r="J486" s="192"/>
      <c r="K486" s="192"/>
      <c r="L486" s="192"/>
      <c r="M486" s="192"/>
      <c r="N486" s="192"/>
      <c r="O486" s="192"/>
      <c r="P486" s="192"/>
      <c r="Q486" s="192"/>
      <c r="R486" s="194"/>
      <c r="S486" s="195"/>
      <c r="T486" s="195"/>
      <c r="U486" s="195"/>
      <c r="V486" s="195"/>
      <c r="W486" s="195"/>
      <c r="X486" s="195"/>
      <c r="Y486" s="196"/>
      <c r="Z486" s="149" t="str">
        <f t="shared" ca="1" si="759"/>
        <v>nie</v>
      </c>
      <c r="AA486" s="366"/>
      <c r="AB486" s="150" t="str">
        <f t="shared" ca="1" si="746"/>
        <v>-</v>
      </c>
      <c r="AC486" s="151" t="str">
        <f t="shared" ca="1" si="722"/>
        <v>PO ZMIANIE</v>
      </c>
      <c r="AD486" s="152" t="str">
        <f t="shared" ca="1" si="791"/>
        <v/>
      </c>
      <c r="AE486" s="153" t="str">
        <f t="shared" ca="1" si="723"/>
        <v/>
      </c>
      <c r="AF486" s="154" t="str">
        <f t="shared" ca="1" si="724"/>
        <v/>
      </c>
      <c r="AG486" s="155" t="str">
        <f t="shared" ca="1" si="725"/>
        <v/>
      </c>
      <c r="AH486" s="155" t="str">
        <f t="shared" ca="1" si="726"/>
        <v/>
      </c>
      <c r="AI486" s="156" t="str">
        <f t="shared" ca="1" si="727"/>
        <v/>
      </c>
      <c r="AJ486" s="157" t="str">
        <f t="shared" ca="1" si="728"/>
        <v/>
      </c>
      <c r="AK486" s="158" t="str">
        <f t="shared" ca="1" si="792"/>
        <v/>
      </c>
      <c r="AL486" s="158" t="str">
        <f t="shared" ca="1" si="793"/>
        <v/>
      </c>
      <c r="AM486" s="159" t="str">
        <f t="shared" ca="1" si="794"/>
        <v/>
      </c>
      <c r="AN486" s="160" t="str">
        <f t="shared" ca="1" si="729"/>
        <v/>
      </c>
      <c r="AO486" s="161" t="str">
        <f t="shared" ca="1" si="730"/>
        <v/>
      </c>
      <c r="AP486" s="162" t="str">
        <f t="shared" ca="1" si="731"/>
        <v/>
      </c>
      <c r="AQ486" s="163" t="str">
        <f t="shared" ca="1" si="732"/>
        <v/>
      </c>
      <c r="AR486" s="164" t="str">
        <f t="shared" ca="1" si="733"/>
        <v/>
      </c>
      <c r="AS486" s="164" t="str">
        <f t="shared" ca="1" si="734"/>
        <v/>
      </c>
      <c r="AT486" s="164" t="str">
        <f t="shared" ca="1" si="735"/>
        <v/>
      </c>
      <c r="AU486" s="164" t="str">
        <f t="shared" ca="1" si="736"/>
        <v/>
      </c>
      <c r="AV486" s="164" t="str">
        <f t="shared" ca="1" si="737"/>
        <v/>
      </c>
      <c r="AW486" s="164" t="str">
        <f t="shared" ca="1" si="738"/>
        <v/>
      </c>
      <c r="AX486" s="164" t="str">
        <f t="shared" ca="1" si="739"/>
        <v/>
      </c>
      <c r="AY486" s="164" t="str">
        <f t="shared" ca="1" si="740"/>
        <v/>
      </c>
      <c r="AZ486" s="164" t="str">
        <f t="shared" ca="1" si="741"/>
        <v/>
      </c>
      <c r="BA486" s="165" t="str">
        <f t="shared" ca="1" si="742"/>
        <v>nie</v>
      </c>
      <c r="BB486" s="166" t="str">
        <f t="shared" ca="1" si="747"/>
        <v>-</v>
      </c>
      <c r="BC486" s="165" t="str">
        <f t="shared" ca="1" si="760"/>
        <v>nie</v>
      </c>
    </row>
    <row r="487" spans="1:55" ht="14.45" hidden="1" customHeight="1" x14ac:dyDescent="0.25">
      <c r="A487" s="493" t="s">
        <v>24</v>
      </c>
      <c r="B487" s="493" t="s">
        <v>26</v>
      </c>
      <c r="C487" s="494" t="s">
        <v>167</v>
      </c>
      <c r="D487" s="505" t="s">
        <v>168</v>
      </c>
      <c r="E487" s="497">
        <v>801</v>
      </c>
      <c r="F487" s="497">
        <v>80101</v>
      </c>
      <c r="G487" s="497">
        <v>6050</v>
      </c>
      <c r="H487" s="507">
        <v>2022</v>
      </c>
      <c r="I487" s="499" t="str">
        <f ca="1">IF(COUNTIF(OFFSET(I487,-1,-8),"*propon*")&gt;0,OFFSET(I487,4,0),IF(Y487&gt;0,"2033",IF(X487&gt;0,"2032",IF(W487&gt;0,"2031",IF(V487&gt;0,"2030",IF(U487&gt;0,"2029",IF(T487&gt;0,"2028",IF(S487&gt;0,"2027",IF(R487&gt;0,"2026",IF(Q487&gt;0,"2025",IF(P487&gt;0,"2024",IF(M487&gt;0,"2023",IF(L487&gt;0,"2022","")))))))))))))</f>
        <v>2025</v>
      </c>
      <c r="J487" s="168" t="s">
        <v>102</v>
      </c>
      <c r="K487" s="169">
        <f>SUM(N487:O487)</f>
        <v>13657458</v>
      </c>
      <c r="L487" s="170">
        <f t="shared" ref="L487:M487" si="803">SUM(L488:L489)</f>
        <v>317217</v>
      </c>
      <c r="M487" s="171">
        <f t="shared" si="803"/>
        <v>7551438</v>
      </c>
      <c r="N487" s="172">
        <f>SUM(L487:M487)</f>
        <v>7868655</v>
      </c>
      <c r="O487" s="169">
        <f>SUM(P487:Y487)</f>
        <v>5788803</v>
      </c>
      <c r="P487" s="173">
        <f t="shared" ref="P487:R487" si="804">SUM(P488:P489)</f>
        <v>5158782</v>
      </c>
      <c r="Q487" s="171">
        <f t="shared" si="804"/>
        <v>630021</v>
      </c>
      <c r="R487" s="174">
        <f t="shared" si="804"/>
        <v>0</v>
      </c>
      <c r="S487" s="175">
        <f t="shared" ref="S487:Y487" si="805">SUM(S488:S489)</f>
        <v>0</v>
      </c>
      <c r="T487" s="171">
        <f t="shared" si="805"/>
        <v>0</v>
      </c>
      <c r="U487" s="171">
        <f t="shared" si="805"/>
        <v>0</v>
      </c>
      <c r="V487" s="171">
        <f t="shared" si="805"/>
        <v>0</v>
      </c>
      <c r="W487" s="171">
        <f t="shared" si="805"/>
        <v>0</v>
      </c>
      <c r="X487" s="171">
        <f t="shared" si="805"/>
        <v>0</v>
      </c>
      <c r="Y487" s="174">
        <f t="shared" si="805"/>
        <v>0</v>
      </c>
      <c r="Z487" s="149" t="str">
        <f t="shared" ca="1" si="759"/>
        <v>nie</v>
      </c>
      <c r="AA487" s="366"/>
      <c r="AB487" s="150" t="str">
        <f t="shared" ref="AB487:AB537" ca="1" si="806">IF(IF(OR(COUNTIF(AD487,"*bilans*")&gt;0,COUNTIF(AD487,"*prop*")&gt;0),COUNTIF(AO487:AZ487,"")+COUNTIF(AO487:AZ487,"0"),"")&lt;12,AE487,"-")</f>
        <v>-</v>
      </c>
      <c r="AC487" s="151" t="str">
        <f t="shared" ca="1" si="722"/>
        <v>PO ZMIANIE</v>
      </c>
      <c r="AD487" s="152" t="str">
        <f t="shared" ca="1" si="791"/>
        <v>PO ZMIANIE</v>
      </c>
      <c r="AE487" s="153" t="str">
        <f t="shared" ca="1" si="723"/>
        <v>C/USN/V/P1/68</v>
      </c>
      <c r="AF487" s="154" t="str">
        <f t="shared" ca="1" si="724"/>
        <v>Modernizacja budynków Szkoły Podstawowej nr 336 przy ul. Małcużyńskiego i Szkoły Podstawowej nr 405 przy ul. Na Uboczu 9</v>
      </c>
      <c r="AG487" s="155">
        <f t="shared" ca="1" si="725"/>
        <v>80101</v>
      </c>
      <c r="AH487" s="155" t="str">
        <f t="shared" ca="1" si="726"/>
        <v>6050</v>
      </c>
      <c r="AI487" s="156" t="str">
        <f t="shared" ca="1" si="727"/>
        <v>GMMW</v>
      </c>
      <c r="AJ487" s="157" t="str">
        <f t="shared" ca="1" si="728"/>
        <v>WPF, w tym</v>
      </c>
      <c r="AK487" s="158" t="str">
        <f t="shared" ca="1" si="792"/>
        <v>C/USN/V/P1/68 80101 6050 GMMW</v>
      </c>
      <c r="AL487" s="158" t="str">
        <f t="shared" ca="1" si="793"/>
        <v>C/USN/V/P1/68 80101 6050 WPF, w tym</v>
      </c>
      <c r="AM487" s="159" t="str">
        <f t="shared" ca="1" si="794"/>
        <v>C/USN/V/P1/68 80101 6050 GMMW WPF, w tym</v>
      </c>
      <c r="AN487" s="160">
        <f t="shared" ca="1" si="729"/>
        <v>13657458</v>
      </c>
      <c r="AO487" s="161">
        <f t="shared" ca="1" si="730"/>
        <v>317217</v>
      </c>
      <c r="AP487" s="162">
        <f t="shared" ca="1" si="731"/>
        <v>7551438</v>
      </c>
      <c r="AQ487" s="163">
        <f t="shared" ca="1" si="732"/>
        <v>5158782</v>
      </c>
      <c r="AR487" s="164">
        <f t="shared" ca="1" si="733"/>
        <v>630021</v>
      </c>
      <c r="AS487" s="164">
        <f t="shared" ca="1" si="734"/>
        <v>0</v>
      </c>
      <c r="AT487" s="164">
        <f t="shared" ca="1" si="735"/>
        <v>0</v>
      </c>
      <c r="AU487" s="164">
        <f t="shared" ca="1" si="736"/>
        <v>0</v>
      </c>
      <c r="AV487" s="164">
        <f t="shared" ca="1" si="737"/>
        <v>0</v>
      </c>
      <c r="AW487" s="164">
        <f t="shared" ca="1" si="738"/>
        <v>0</v>
      </c>
      <c r="AX487" s="164">
        <f t="shared" ca="1" si="739"/>
        <v>0</v>
      </c>
      <c r="AY487" s="164">
        <f t="shared" ca="1" si="740"/>
        <v>0</v>
      </c>
      <c r="AZ487" s="164">
        <f t="shared" ca="1" si="741"/>
        <v>0</v>
      </c>
      <c r="BA487" s="165" t="str">
        <f t="shared" ca="1" si="742"/>
        <v>nie</v>
      </c>
      <c r="BB487" s="166" t="str">
        <f t="shared" ref="BB487:BB537" ca="1" si="807">IF(COUNTIF(AD487,"*bilans*")&gt;0,"-",IF(IF(COUNTIF(AD487,"*prop*")&gt;0,COUNTIF(AO487:AZ487,"")+COUNTIF(AO487:AZ487,"0"),"")&lt;12,AK487,"-"))</f>
        <v>-</v>
      </c>
      <c r="BC487" s="165" t="str">
        <f t="shared" ca="1" si="760"/>
        <v>nie</v>
      </c>
    </row>
    <row r="488" spans="1:55" ht="14.45" hidden="1" customHeight="1" x14ac:dyDescent="0.25">
      <c r="A488" s="493"/>
      <c r="B488" s="493"/>
      <c r="C488" s="494"/>
      <c r="D488" s="506"/>
      <c r="E488" s="497"/>
      <c r="F488" s="497"/>
      <c r="G488" s="497"/>
      <c r="H488" s="498"/>
      <c r="I488" s="499"/>
      <c r="J488" s="177" t="s">
        <v>103</v>
      </c>
      <c r="K488" s="178">
        <f>SUM(N488:O488)</f>
        <v>5788803</v>
      </c>
      <c r="L488" s="179"/>
      <c r="M488" s="180"/>
      <c r="N488" s="172">
        <f>SUM(L488:M488)</f>
        <v>0</v>
      </c>
      <c r="O488" s="178">
        <f>SUM(P488:Y488)</f>
        <v>5788803</v>
      </c>
      <c r="P488" s="181">
        <f>158782+5000000</f>
        <v>5158782</v>
      </c>
      <c r="Q488" s="180">
        <f>630021</f>
        <v>630021</v>
      </c>
      <c r="R488" s="182"/>
      <c r="S488" s="183"/>
      <c r="T488" s="180"/>
      <c r="U488" s="180"/>
      <c r="V488" s="180"/>
      <c r="W488" s="180"/>
      <c r="X488" s="180"/>
      <c r="Y488" s="182"/>
      <c r="Z488" s="149" t="str">
        <f t="shared" ca="1" si="759"/>
        <v>nie</v>
      </c>
      <c r="AA488" s="384"/>
      <c r="AB488" s="150" t="str">
        <f t="shared" ca="1" si="806"/>
        <v>-</v>
      </c>
      <c r="AC488" s="151" t="str">
        <f t="shared" ca="1" si="722"/>
        <v>PO ZMIANIE</v>
      </c>
      <c r="AD488" s="152" t="str">
        <f t="shared" ca="1" si="791"/>
        <v>PO ZMIANIE</v>
      </c>
      <c r="AE488" s="153" t="str">
        <f t="shared" ca="1" si="723"/>
        <v>C/USN/V/P1/68</v>
      </c>
      <c r="AF488" s="154" t="str">
        <f t="shared" ca="1" si="724"/>
        <v>Modernizacja budynków Szkoły Podstawowej nr 336 przy ul. Małcużyńskiego i Szkoły Podstawowej nr 405 przy ul. Na Uboczu 9</v>
      </c>
      <c r="AG488" s="155">
        <f t="shared" ca="1" si="725"/>
        <v>80101</v>
      </c>
      <c r="AH488" s="155" t="str">
        <f t="shared" ca="1" si="726"/>
        <v>6050</v>
      </c>
      <c r="AI488" s="156" t="str">
        <f t="shared" ca="1" si="727"/>
        <v>GMMW</v>
      </c>
      <c r="AJ488" s="157" t="str">
        <f t="shared" ca="1" si="728"/>
        <v>WPF/PM</v>
      </c>
      <c r="AK488" s="158" t="str">
        <f t="shared" ca="1" si="792"/>
        <v>C/USN/V/P1/68 80101 6050 GMMW</v>
      </c>
      <c r="AL488" s="158" t="str">
        <f t="shared" ca="1" si="793"/>
        <v>C/USN/V/P1/68 80101 6050 WPF/PM</v>
      </c>
      <c r="AM488" s="159" t="str">
        <f t="shared" ca="1" si="794"/>
        <v>C/USN/V/P1/68 80101 6050 GMMW WPF/PM</v>
      </c>
      <c r="AN488" s="160">
        <f t="shared" ca="1" si="729"/>
        <v>5788803</v>
      </c>
      <c r="AO488" s="161">
        <f t="shared" ca="1" si="730"/>
        <v>0</v>
      </c>
      <c r="AP488" s="162">
        <f t="shared" ca="1" si="731"/>
        <v>0</v>
      </c>
      <c r="AQ488" s="163">
        <f t="shared" ca="1" si="732"/>
        <v>5158782</v>
      </c>
      <c r="AR488" s="164">
        <f t="shared" ca="1" si="733"/>
        <v>630021</v>
      </c>
      <c r="AS488" s="164">
        <f t="shared" ca="1" si="734"/>
        <v>0</v>
      </c>
      <c r="AT488" s="164">
        <f t="shared" ca="1" si="735"/>
        <v>0</v>
      </c>
      <c r="AU488" s="164">
        <f t="shared" ca="1" si="736"/>
        <v>0</v>
      </c>
      <c r="AV488" s="164">
        <f t="shared" ca="1" si="737"/>
        <v>0</v>
      </c>
      <c r="AW488" s="164">
        <f t="shared" ca="1" si="738"/>
        <v>0</v>
      </c>
      <c r="AX488" s="164">
        <f t="shared" ca="1" si="739"/>
        <v>0</v>
      </c>
      <c r="AY488" s="164">
        <f t="shared" ca="1" si="740"/>
        <v>0</v>
      </c>
      <c r="AZ488" s="164">
        <f t="shared" ca="1" si="741"/>
        <v>0</v>
      </c>
      <c r="BA488" s="165" t="str">
        <f t="shared" ca="1" si="742"/>
        <v>nie</v>
      </c>
      <c r="BB488" s="166" t="str">
        <f t="shared" ca="1" si="807"/>
        <v>-</v>
      </c>
      <c r="BC488" s="165" t="str">
        <f t="shared" ca="1" si="760"/>
        <v>nie</v>
      </c>
    </row>
    <row r="489" spans="1:55" ht="14.45" hidden="1" customHeight="1" thickBot="1" x14ac:dyDescent="0.3">
      <c r="A489" s="500"/>
      <c r="B489" s="500"/>
      <c r="C489" s="501"/>
      <c r="D489" s="513"/>
      <c r="E489" s="503"/>
      <c r="F489" s="503"/>
      <c r="G489" s="503"/>
      <c r="H489" s="504"/>
      <c r="I489" s="499"/>
      <c r="J489" s="197" t="s">
        <v>104</v>
      </c>
      <c r="K489" s="198">
        <f>SUM(N489:O489)</f>
        <v>7868655</v>
      </c>
      <c r="L489" s="204">
        <v>317217</v>
      </c>
      <c r="M489" s="200">
        <f>7582783-31345</f>
        <v>7551438</v>
      </c>
      <c r="N489" s="371">
        <f>SUM(L489:M489)</f>
        <v>7868655</v>
      </c>
      <c r="O489" s="198">
        <f>SUM(P489:Y489)</f>
        <v>0</v>
      </c>
      <c r="P489" s="201"/>
      <c r="Q489" s="200"/>
      <c r="R489" s="202"/>
      <c r="S489" s="203"/>
      <c r="T489" s="200"/>
      <c r="U489" s="200"/>
      <c r="V489" s="200"/>
      <c r="W489" s="200"/>
      <c r="X489" s="200"/>
      <c r="Y489" s="202"/>
      <c r="Z489" s="149" t="str">
        <f t="shared" ca="1" si="759"/>
        <v>nie</v>
      </c>
      <c r="AA489" s="384"/>
      <c r="AB489" s="150" t="str">
        <f t="shared" ca="1" si="806"/>
        <v>-</v>
      </c>
      <c r="AC489" s="151" t="str">
        <f t="shared" ca="1" si="722"/>
        <v>PO ZMIANIE</v>
      </c>
      <c r="AD489" s="152" t="str">
        <f t="shared" ca="1" si="791"/>
        <v>PO ZMIANIE</v>
      </c>
      <c r="AE489" s="153" t="str">
        <f t="shared" ca="1" si="723"/>
        <v>C/USN/V/P1/68</v>
      </c>
      <c r="AF489" s="154" t="str">
        <f t="shared" ca="1" si="724"/>
        <v>Modernizacja budynków Szkoły Podstawowej nr 336 przy ul. Małcużyńskiego i Szkoły Podstawowej nr 405 przy ul. Na Uboczu 9</v>
      </c>
      <c r="AG489" s="155">
        <f t="shared" ca="1" si="725"/>
        <v>80101</v>
      </c>
      <c r="AH489" s="155" t="str">
        <f t="shared" ca="1" si="726"/>
        <v>6050</v>
      </c>
      <c r="AI489" s="156" t="str">
        <f t="shared" ca="1" si="727"/>
        <v>GMMW</v>
      </c>
      <c r="AJ489" s="157" t="str">
        <f t="shared" ca="1" si="728"/>
        <v>WPF/UM</v>
      </c>
      <c r="AK489" s="158" t="str">
        <f t="shared" ca="1" si="792"/>
        <v>C/USN/V/P1/68 80101 6050 GMMW</v>
      </c>
      <c r="AL489" s="158" t="str">
        <f t="shared" ca="1" si="793"/>
        <v>C/USN/V/P1/68 80101 6050 WPF/UM</v>
      </c>
      <c r="AM489" s="159" t="str">
        <f t="shared" ca="1" si="794"/>
        <v>C/USN/V/P1/68 80101 6050 GMMW WPF/UM</v>
      </c>
      <c r="AN489" s="160">
        <f t="shared" ca="1" si="729"/>
        <v>7868655</v>
      </c>
      <c r="AO489" s="161">
        <f t="shared" ca="1" si="730"/>
        <v>317217</v>
      </c>
      <c r="AP489" s="162">
        <f t="shared" ca="1" si="731"/>
        <v>7551438</v>
      </c>
      <c r="AQ489" s="163">
        <f t="shared" ca="1" si="732"/>
        <v>0</v>
      </c>
      <c r="AR489" s="164">
        <f t="shared" ca="1" si="733"/>
        <v>0</v>
      </c>
      <c r="AS489" s="164">
        <f t="shared" ca="1" si="734"/>
        <v>0</v>
      </c>
      <c r="AT489" s="164">
        <f t="shared" ca="1" si="735"/>
        <v>0</v>
      </c>
      <c r="AU489" s="164">
        <f t="shared" ca="1" si="736"/>
        <v>0</v>
      </c>
      <c r="AV489" s="164">
        <f t="shared" ca="1" si="737"/>
        <v>0</v>
      </c>
      <c r="AW489" s="164">
        <f t="shared" ca="1" si="738"/>
        <v>0</v>
      </c>
      <c r="AX489" s="164">
        <f t="shared" ca="1" si="739"/>
        <v>0</v>
      </c>
      <c r="AY489" s="164">
        <f t="shared" ca="1" si="740"/>
        <v>0</v>
      </c>
      <c r="AZ489" s="164">
        <f t="shared" ca="1" si="741"/>
        <v>0</v>
      </c>
      <c r="BA489" s="165" t="str">
        <f t="shared" ca="1" si="742"/>
        <v>nie</v>
      </c>
      <c r="BB489" s="166" t="str">
        <f t="shared" ca="1" si="807"/>
        <v>-</v>
      </c>
      <c r="BC489" s="165" t="str">
        <f t="shared" ca="1" si="760"/>
        <v>nie</v>
      </c>
    </row>
    <row r="490" spans="1:55" ht="14.45" hidden="1" customHeight="1" x14ac:dyDescent="0.25">
      <c r="A490" s="143" t="s">
        <v>91</v>
      </c>
      <c r="B490" s="144"/>
      <c r="C490" s="145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6"/>
      <c r="S490" s="147"/>
      <c r="T490" s="147"/>
      <c r="U490" s="147"/>
      <c r="V490" s="147"/>
      <c r="W490" s="147"/>
      <c r="X490" s="147"/>
      <c r="Y490" s="148"/>
      <c r="Z490" s="149" t="str">
        <f t="shared" ca="1" si="759"/>
        <v>nie</v>
      </c>
      <c r="AA490" s="366"/>
      <c r="AB490" s="150" t="str">
        <f t="shared" ref="AB490:AB501" ca="1" si="808">IF(IF(OR(COUNTIF(AD490,"*bilans*")&gt;0,COUNTIF(AD490,"*prop*")&gt;0),COUNTIF(AO490:AZ490,"")+COUNTIF(AO490:AZ490,"0"),"")&lt;12,AE490,"-")</f>
        <v>-</v>
      </c>
      <c r="AC490" s="151" t="str">
        <f t="shared" ref="AC490:AC537" ca="1" si="809">IF(OR(A490="",COUNTIF(A490,"*12.000*")&gt;0),OFFSET(AC490,-1,0),A490)</f>
        <v>PRZED ZMIANĄ</v>
      </c>
      <c r="AD490" s="152" t="str">
        <f t="shared" ref="AD490:AD501" ca="1" si="810">IF(AE490="","",AC490)</f>
        <v/>
      </c>
      <c r="AE490" s="153" t="str">
        <f t="shared" ref="AE490:AE537" ca="1" si="811">IF(COUNTIF(A490,"*bilans*")&gt;0,"Bilans zmian",IF(COUNTIF(A490,"*zmi*")&gt;0,"",IF(COUNTIF(A490:C490,"")=0,C490,IF(AND(COUNTIF(C490,"")=1,COUNTIF(OFFSET(A490,-1,0),"*przed*")=1,COUNTIF(OFFSET(AE490,4,0),"")=0),OFFSET(AE490,4,0),IF(AND(COUNTIF(A490:B490,"")=0,COUNTIF(OFFSET(A490,-1,0),"*zmi*")=1),"nowe:"&amp;" "&amp;AF490,OFFSET(AE490,-1,0))))))</f>
        <v/>
      </c>
      <c r="AF490" s="154" t="str">
        <f t="shared" ref="AF490:AF537" ca="1" si="812">IF(COUNTIF(A490,"*zmi*")&gt;0,"",IF(COUNTIF(A490:C490,"")=0,D490,IF(AND(COUNTIF(C490,"")=1,COUNTIF(OFFSET(A490,-1,0),"*przed*")=1),OFFSET(AF490,4,0),IF(AND(COUNTIF(A490:B490,"")=0,COUNTIF(OFFSET(A490,-1,0),"*zmi*")=1),D490,OFFSET(AF490,-1,0)))))</f>
        <v/>
      </c>
      <c r="AG490" s="155" t="str">
        <f t="shared" ref="AG490:AG537" ca="1" si="813">IF(COUNTIF($A490,"*zmi*")&gt;0,"",IF(COUNTIF($A490:$C490,"")=0,F490,IF(AND(COUNTIF($C490,"")=1,COUNTIF(OFFSET($A490,-1,0),"*przed*")=1),OFFSET(AG490,4,0),IF(AND(COUNTIF($A490:$B490,"")=0,COUNTIF(OFFSET($A490,-1,0),"*zmi*")=1),F490,OFFSET(AG490,-1,0)))))</f>
        <v/>
      </c>
      <c r="AH490" s="155" t="str">
        <f t="shared" ref="AH490:AH537" ca="1" si="814">IF(COUNTIF($A490,"*zmi*")&gt;0,"",IF(COUNTIF($A490:$C490,"")=0,LEFT(G490,4),IF(AND(COUNTIF($C490,"")=1,COUNTIF(OFFSET($A490,-1,0),"*przed*")=1),OFFSET(AH490,4,0),IF(AND(COUNTIF($A490:$B490,"")=0,COUNTIF(OFFSET($A490,-1,0),"*zmi*")=1),LEFT(G490,4),OFFSET(AH490,-1,0)))))</f>
        <v/>
      </c>
      <c r="AI490" s="156" t="str">
        <f t="shared" ref="AI490:AI537" ca="1" si="815">IF(COUNTIF($A490,"*zmi*")&gt;0,"",IF(COUNTIF($A490:$C490,"")=0,B490,IF(AND(COUNTIF($C490,"")=1,COUNTIF(OFFSET($A490,-1,0),"*przed*")=1),OFFSET(AI490,4,0),IF(AND(COUNTIF($A490:$B490,"")=0,COUNTIF(OFFSET($A490,-1,0),"*zmi*")=1),B490,OFFSET(AI490,-1,0)))))</f>
        <v/>
      </c>
      <c r="AJ490" s="157" t="str">
        <f t="shared" ref="AJ490:AJ537" ca="1" si="816">IF(AH490="","",IF(COUNTIF(A490,"*zmi*")&gt;0,"",SUBSTITUTE(SUBSTITUTE(J490,";",""),":","")))</f>
        <v/>
      </c>
      <c r="AK490" s="158" t="str">
        <f t="shared" ref="AK490:AK501" ca="1" si="817">IF(AH490="","",AE490&amp;" "&amp;AG490&amp;" "&amp;AH490&amp;" "&amp;AI490)</f>
        <v/>
      </c>
      <c r="AL490" s="158" t="str">
        <f t="shared" ref="AL490:AL501" ca="1" si="818">IF(AH490="","",AE490&amp;" "&amp;AG490&amp;" "&amp;AH490&amp;" "&amp;AJ490)</f>
        <v/>
      </c>
      <c r="AM490" s="159" t="str">
        <f t="shared" ref="AM490:AM501" ca="1" si="819">IF(AH490="","",AE490&amp;" "&amp;AG490&amp;" "&amp;AH490&amp;" "&amp;AI490&amp;" "&amp;AJ490)</f>
        <v/>
      </c>
      <c r="AN490" s="160" t="str">
        <f t="shared" ref="AN490:AN537" ca="1" si="820">IF(COUNTIF($AE490,"*bilans*")&gt;0,K490,IF(OR(COUNTIF($A490,"*zmi*")&gt;0,$AI490=""),"",K490))</f>
        <v/>
      </c>
      <c r="AO490" s="161" t="str">
        <f t="shared" ref="AO490:AO537" ca="1" si="821">IF(COUNTIF($AE490,"*bilans*")&gt;0,L490,IF(OR(COUNTIF($A490,"*zmi*")&gt;0,$AI490=""),"",L490))</f>
        <v/>
      </c>
      <c r="AP490" s="162" t="str">
        <f t="shared" ref="AP490:AP537" ca="1" si="822">IF(COUNTIF($AE490,"*bilans*")&gt;0,M490,IF(OR(COUNTIF($A490,"*zmi*")&gt;0,$AI490=""),"",M490))</f>
        <v/>
      </c>
      <c r="AQ490" s="163" t="str">
        <f t="shared" ref="AQ490:AQ537" ca="1" si="823">IF(COUNTIF($AE490,"*bilans*")&gt;0,P490,IF(OR(COUNTIF($A490,"*zmi*")&gt;0,$AI490=""),"",P490))</f>
        <v/>
      </c>
      <c r="AR490" s="164" t="str">
        <f t="shared" ref="AR490:AR537" ca="1" si="824">IF(COUNTIF($AE490,"*bilans*")&gt;0,Q490,IF(OR(COUNTIF($A490,"*zmi*")&gt;0,$AI490=""),"",Q490))</f>
        <v/>
      </c>
      <c r="AS490" s="164" t="str">
        <f t="shared" ref="AS490:AS537" ca="1" si="825">IF(COUNTIF($AE490,"*bilans*")&gt;0,R490,IF(OR(COUNTIF($A490,"*zmi*")&gt;0,$AI490=""),"",R490))</f>
        <v/>
      </c>
      <c r="AT490" s="164" t="str">
        <f t="shared" ref="AT490:AT537" ca="1" si="826">IF(COUNTIF($AE490,"*bilans*")&gt;0,S490,IF(OR(COUNTIF($A490,"*zmi*")&gt;0,$AI490=""),"",S490))</f>
        <v/>
      </c>
      <c r="AU490" s="164" t="str">
        <f t="shared" ref="AU490:AU537" ca="1" si="827">IF(COUNTIF($AE490,"*bilans*")&gt;0,T490,IF(OR(COUNTIF($A490,"*zmi*")&gt;0,$AI490=""),"",T490))</f>
        <v/>
      </c>
      <c r="AV490" s="164" t="str">
        <f t="shared" ref="AV490:AV537" ca="1" si="828">IF(COUNTIF($AE490,"*bilans*")&gt;0,U490,IF(OR(COUNTIF($A490,"*zmi*")&gt;0,$AI490=""),"",U490))</f>
        <v/>
      </c>
      <c r="AW490" s="164" t="str">
        <f t="shared" ref="AW490:AW537" ca="1" si="829">IF(COUNTIF($AE490,"*bilans*")&gt;0,V490,IF(OR(COUNTIF($A490,"*zmi*")&gt;0,$AI490=""),"",V490))</f>
        <v/>
      </c>
      <c r="AX490" s="164" t="str">
        <f t="shared" ref="AX490:AX537" ca="1" si="830">IF(COUNTIF($AE490,"*bilans*")&gt;0,W490,IF(OR(COUNTIF($A490,"*zmi*")&gt;0,$AI490=""),"",W490))</f>
        <v/>
      </c>
      <c r="AY490" s="164" t="str">
        <f t="shared" ref="AY490:AY537" ca="1" si="831">IF(COUNTIF($AE490,"*bilans*")&gt;0,X490,IF(OR(COUNTIF($A490,"*zmi*")&gt;0,$AI490=""),"",X490))</f>
        <v/>
      </c>
      <c r="AZ490" s="164" t="str">
        <f t="shared" ref="AZ490:AZ537" ca="1" si="832">IF(COUNTIF($AE490,"*bilans*")&gt;0,Y490,IF(OR(COUNTIF($A490,"*zmi*")&gt;0,$AI490=""),"",Y490))</f>
        <v/>
      </c>
      <c r="BA490" s="165" t="str">
        <f t="shared" ref="BA490:BA537" ca="1" si="833">Z490</f>
        <v>nie</v>
      </c>
      <c r="BB490" s="166" t="str">
        <f t="shared" ref="BB490:BB501" ca="1" si="834">IF(COUNTIF(AD490,"*bilans*")&gt;0,"-",IF(IF(COUNTIF(AD490,"*prop*")&gt;0,COUNTIF(AO490:AZ490,"")+COUNTIF(AO490:AZ490,"0"),"")&lt;12,AK490,"-"))</f>
        <v>-</v>
      </c>
      <c r="BC490" s="165" t="str">
        <f t="shared" ca="1" si="760"/>
        <v>nie</v>
      </c>
    </row>
    <row r="491" spans="1:55" ht="14.45" hidden="1" customHeight="1" x14ac:dyDescent="0.25">
      <c r="A491" s="493" t="s">
        <v>24</v>
      </c>
      <c r="B491" s="493" t="s">
        <v>418</v>
      </c>
      <c r="C491" s="494" t="s">
        <v>167</v>
      </c>
      <c r="D491" s="505" t="s">
        <v>168</v>
      </c>
      <c r="E491" s="497">
        <v>801</v>
      </c>
      <c r="F491" s="497">
        <v>80101</v>
      </c>
      <c r="G491" s="497">
        <v>6050</v>
      </c>
      <c r="H491" s="507">
        <v>2022</v>
      </c>
      <c r="I491" s="499" t="str">
        <f ca="1">IF(COUNTIF(OFFSET(I491,-1,-8),"*propon*")&gt;0,OFFSET(I491,4,0),IF(Y491&gt;0,"2033",IF(X491&gt;0,"2032",IF(W491&gt;0,"2031",IF(V491&gt;0,"2030",IF(U491&gt;0,"2029",IF(T491&gt;0,"2028",IF(S491&gt;0,"2027",IF(R491&gt;0,"2026",IF(Q491&gt;0,"2025",IF(P491&gt;0,"2024",IF(M491&gt;0,"2023",IF(L491&gt;0,"2022","")))))))))))))</f>
        <v>2024</v>
      </c>
      <c r="J491" s="168" t="s">
        <v>94</v>
      </c>
      <c r="K491" s="169">
        <f>SUM(N491:O491)</f>
        <v>2000000</v>
      </c>
      <c r="L491" s="170">
        <f t="shared" ref="L491:M491" si="835">SUM(L492:L493)</f>
        <v>0</v>
      </c>
      <c r="M491" s="171">
        <f t="shared" si="835"/>
        <v>1605000</v>
      </c>
      <c r="N491" s="172">
        <f>SUM(L491:M491)</f>
        <v>1605000</v>
      </c>
      <c r="O491" s="169">
        <f>SUM(P491:Y491)</f>
        <v>395000</v>
      </c>
      <c r="P491" s="173">
        <f t="shared" ref="P491:Y491" si="836">SUM(P492:P493)</f>
        <v>395000</v>
      </c>
      <c r="Q491" s="171">
        <f t="shared" si="836"/>
        <v>0</v>
      </c>
      <c r="R491" s="174">
        <f t="shared" si="836"/>
        <v>0</v>
      </c>
      <c r="S491" s="175">
        <f t="shared" si="836"/>
        <v>0</v>
      </c>
      <c r="T491" s="171">
        <f t="shared" si="836"/>
        <v>0</v>
      </c>
      <c r="U491" s="171">
        <f t="shared" si="836"/>
        <v>0</v>
      </c>
      <c r="V491" s="171">
        <f t="shared" si="836"/>
        <v>0</v>
      </c>
      <c r="W491" s="171">
        <f t="shared" si="836"/>
        <v>0</v>
      </c>
      <c r="X491" s="171">
        <f t="shared" si="836"/>
        <v>0</v>
      </c>
      <c r="Y491" s="174">
        <f t="shared" si="836"/>
        <v>0</v>
      </c>
      <c r="Z491" s="149" t="str">
        <f t="shared" ca="1" si="759"/>
        <v>nie</v>
      </c>
      <c r="AA491" s="366"/>
      <c r="AB491" s="150" t="str">
        <f t="shared" ca="1" si="808"/>
        <v>-</v>
      </c>
      <c r="AC491" s="151" t="str">
        <f t="shared" ca="1" si="809"/>
        <v>PRZED ZMIANĄ</v>
      </c>
      <c r="AD491" s="152" t="str">
        <f t="shared" ca="1" si="810"/>
        <v>PRZED ZMIANĄ</v>
      </c>
      <c r="AE491" s="153" t="str">
        <f t="shared" ca="1" si="811"/>
        <v>C/USN/V/P1/68</v>
      </c>
      <c r="AF491" s="154" t="str">
        <f t="shared" ca="1" si="812"/>
        <v>Modernizacja budynków Szkoły Podstawowej nr 336 przy ul. Małcużyńskiego i Szkoły Podstawowej nr 405 przy ul. Na Uboczu 9</v>
      </c>
      <c r="AG491" s="155">
        <f t="shared" ca="1" si="813"/>
        <v>80101</v>
      </c>
      <c r="AH491" s="155" t="str">
        <f t="shared" ca="1" si="814"/>
        <v>6050</v>
      </c>
      <c r="AI491" s="156" t="str">
        <f t="shared" ca="1" si="815"/>
        <v>MWPO/0025</v>
      </c>
      <c r="AJ491" s="157" t="str">
        <f t="shared" ca="1" si="816"/>
        <v>WPF, w tym</v>
      </c>
      <c r="AK491" s="158" t="str">
        <f t="shared" ca="1" si="817"/>
        <v>C/USN/V/P1/68 80101 6050 MWPO/0025</v>
      </c>
      <c r="AL491" s="158" t="str">
        <f t="shared" ca="1" si="818"/>
        <v>C/USN/V/P1/68 80101 6050 WPF, w tym</v>
      </c>
      <c r="AM491" s="159" t="str">
        <f t="shared" ca="1" si="819"/>
        <v>C/USN/V/P1/68 80101 6050 MWPO/0025 WPF, w tym</v>
      </c>
      <c r="AN491" s="160">
        <f t="shared" ca="1" si="820"/>
        <v>2000000</v>
      </c>
      <c r="AO491" s="161">
        <f t="shared" ca="1" si="821"/>
        <v>0</v>
      </c>
      <c r="AP491" s="162">
        <f t="shared" ca="1" si="822"/>
        <v>1605000</v>
      </c>
      <c r="AQ491" s="163">
        <f t="shared" ca="1" si="823"/>
        <v>395000</v>
      </c>
      <c r="AR491" s="164">
        <f t="shared" ca="1" si="824"/>
        <v>0</v>
      </c>
      <c r="AS491" s="164">
        <f t="shared" ca="1" si="825"/>
        <v>0</v>
      </c>
      <c r="AT491" s="164">
        <f t="shared" ca="1" si="826"/>
        <v>0</v>
      </c>
      <c r="AU491" s="164">
        <f t="shared" ca="1" si="827"/>
        <v>0</v>
      </c>
      <c r="AV491" s="164">
        <f t="shared" ca="1" si="828"/>
        <v>0</v>
      </c>
      <c r="AW491" s="164">
        <f t="shared" ca="1" si="829"/>
        <v>0</v>
      </c>
      <c r="AX491" s="164">
        <f t="shared" ca="1" si="830"/>
        <v>0</v>
      </c>
      <c r="AY491" s="164">
        <f t="shared" ca="1" si="831"/>
        <v>0</v>
      </c>
      <c r="AZ491" s="164">
        <f t="shared" ca="1" si="832"/>
        <v>0</v>
      </c>
      <c r="BA491" s="165" t="str">
        <f t="shared" ca="1" si="833"/>
        <v>nie</v>
      </c>
      <c r="BB491" s="166" t="str">
        <f t="shared" ca="1" si="834"/>
        <v>-</v>
      </c>
      <c r="BC491" s="165" t="str">
        <f t="shared" ca="1" si="760"/>
        <v>nie</v>
      </c>
    </row>
    <row r="492" spans="1:55" ht="14.45" hidden="1" customHeight="1" x14ac:dyDescent="0.25">
      <c r="A492" s="493"/>
      <c r="B492" s="493"/>
      <c r="C492" s="494"/>
      <c r="D492" s="506"/>
      <c r="E492" s="497"/>
      <c r="F492" s="497"/>
      <c r="G492" s="497"/>
      <c r="H492" s="498"/>
      <c r="I492" s="499"/>
      <c r="J492" s="177" t="s">
        <v>95</v>
      </c>
      <c r="K492" s="178">
        <f>SUM(N492:O492)</f>
        <v>395000</v>
      </c>
      <c r="L492" s="179"/>
      <c r="M492" s="180"/>
      <c r="N492" s="172">
        <f>SUM(L492:M492)</f>
        <v>0</v>
      </c>
      <c r="O492" s="178">
        <f>SUM(P492:Y492)</f>
        <v>395000</v>
      </c>
      <c r="P492" s="181">
        <v>395000</v>
      </c>
      <c r="Q492" s="180"/>
      <c r="R492" s="182"/>
      <c r="S492" s="183"/>
      <c r="T492" s="180"/>
      <c r="U492" s="180"/>
      <c r="V492" s="180"/>
      <c r="W492" s="180"/>
      <c r="X492" s="180"/>
      <c r="Y492" s="182"/>
      <c r="Z492" s="149" t="str">
        <f t="shared" ca="1" si="759"/>
        <v>nie</v>
      </c>
      <c r="AA492" s="366"/>
      <c r="AB492" s="150" t="str">
        <f t="shared" ca="1" si="808"/>
        <v>-</v>
      </c>
      <c r="AC492" s="151" t="str">
        <f t="shared" ca="1" si="809"/>
        <v>PRZED ZMIANĄ</v>
      </c>
      <c r="AD492" s="152" t="str">
        <f t="shared" ca="1" si="810"/>
        <v>PRZED ZMIANĄ</v>
      </c>
      <c r="AE492" s="153" t="str">
        <f t="shared" ca="1" si="811"/>
        <v>C/USN/V/P1/68</v>
      </c>
      <c r="AF492" s="154" t="str">
        <f t="shared" ca="1" si="812"/>
        <v>Modernizacja budynków Szkoły Podstawowej nr 336 przy ul. Małcużyńskiego i Szkoły Podstawowej nr 405 przy ul. Na Uboczu 9</v>
      </c>
      <c r="AG492" s="155">
        <f t="shared" ca="1" si="813"/>
        <v>80101</v>
      </c>
      <c r="AH492" s="155" t="str">
        <f t="shared" ca="1" si="814"/>
        <v>6050</v>
      </c>
      <c r="AI492" s="156" t="str">
        <f t="shared" ca="1" si="815"/>
        <v>MWPO/0025</v>
      </c>
      <c r="AJ492" s="157" t="str">
        <f t="shared" ca="1" si="816"/>
        <v>WPF/PM</v>
      </c>
      <c r="AK492" s="158" t="str">
        <f t="shared" ca="1" si="817"/>
        <v>C/USN/V/P1/68 80101 6050 MWPO/0025</v>
      </c>
      <c r="AL492" s="158" t="str">
        <f t="shared" ca="1" si="818"/>
        <v>C/USN/V/P1/68 80101 6050 WPF/PM</v>
      </c>
      <c r="AM492" s="159" t="str">
        <f t="shared" ca="1" si="819"/>
        <v>C/USN/V/P1/68 80101 6050 MWPO/0025 WPF/PM</v>
      </c>
      <c r="AN492" s="160">
        <f t="shared" ca="1" si="820"/>
        <v>395000</v>
      </c>
      <c r="AO492" s="161">
        <f t="shared" ca="1" si="821"/>
        <v>0</v>
      </c>
      <c r="AP492" s="162">
        <f t="shared" ca="1" si="822"/>
        <v>0</v>
      </c>
      <c r="AQ492" s="163">
        <f t="shared" ca="1" si="823"/>
        <v>395000</v>
      </c>
      <c r="AR492" s="164">
        <f t="shared" ca="1" si="824"/>
        <v>0</v>
      </c>
      <c r="AS492" s="164">
        <f t="shared" ca="1" si="825"/>
        <v>0</v>
      </c>
      <c r="AT492" s="164">
        <f t="shared" ca="1" si="826"/>
        <v>0</v>
      </c>
      <c r="AU492" s="164">
        <f t="shared" ca="1" si="827"/>
        <v>0</v>
      </c>
      <c r="AV492" s="164">
        <f t="shared" ca="1" si="828"/>
        <v>0</v>
      </c>
      <c r="AW492" s="164">
        <f t="shared" ca="1" si="829"/>
        <v>0</v>
      </c>
      <c r="AX492" s="164">
        <f t="shared" ca="1" si="830"/>
        <v>0</v>
      </c>
      <c r="AY492" s="164">
        <f t="shared" ca="1" si="831"/>
        <v>0</v>
      </c>
      <c r="AZ492" s="164">
        <f t="shared" ca="1" si="832"/>
        <v>0</v>
      </c>
      <c r="BA492" s="165" t="str">
        <f t="shared" ca="1" si="833"/>
        <v>nie</v>
      </c>
      <c r="BB492" s="166" t="str">
        <f t="shared" ca="1" si="834"/>
        <v>-</v>
      </c>
      <c r="BC492" s="165" t="str">
        <f t="shared" ca="1" si="760"/>
        <v>nie</v>
      </c>
    </row>
    <row r="493" spans="1:55" ht="14.45" hidden="1" customHeight="1" x14ac:dyDescent="0.25">
      <c r="A493" s="493"/>
      <c r="B493" s="493"/>
      <c r="C493" s="494"/>
      <c r="D493" s="506"/>
      <c r="E493" s="497"/>
      <c r="F493" s="497"/>
      <c r="G493" s="497"/>
      <c r="H493" s="498"/>
      <c r="I493" s="499"/>
      <c r="J493" s="177" t="s">
        <v>96</v>
      </c>
      <c r="K493" s="178">
        <f>SUM(N493:O493)</f>
        <v>1605000</v>
      </c>
      <c r="L493" s="179"/>
      <c r="M493" s="180">
        <v>1605000</v>
      </c>
      <c r="N493" s="172">
        <f>SUM(L493:M493)</f>
        <v>1605000</v>
      </c>
      <c r="O493" s="178">
        <f>SUM(P493:Y493)</f>
        <v>0</v>
      </c>
      <c r="P493" s="181"/>
      <c r="Q493" s="180"/>
      <c r="R493" s="182"/>
      <c r="S493" s="183"/>
      <c r="T493" s="180"/>
      <c r="U493" s="180"/>
      <c r="V493" s="180"/>
      <c r="W493" s="180"/>
      <c r="X493" s="180"/>
      <c r="Y493" s="182"/>
      <c r="Z493" s="149" t="str">
        <f t="shared" ca="1" si="759"/>
        <v>nie</v>
      </c>
      <c r="AA493" s="366"/>
      <c r="AB493" s="150" t="str">
        <f t="shared" ca="1" si="808"/>
        <v>-</v>
      </c>
      <c r="AC493" s="151" t="str">
        <f t="shared" ca="1" si="809"/>
        <v>PRZED ZMIANĄ</v>
      </c>
      <c r="AD493" s="152" t="str">
        <f t="shared" ca="1" si="810"/>
        <v>PRZED ZMIANĄ</v>
      </c>
      <c r="AE493" s="153" t="str">
        <f t="shared" ca="1" si="811"/>
        <v>C/USN/V/P1/68</v>
      </c>
      <c r="AF493" s="154" t="str">
        <f t="shared" ca="1" si="812"/>
        <v>Modernizacja budynków Szkoły Podstawowej nr 336 przy ul. Małcużyńskiego i Szkoły Podstawowej nr 405 przy ul. Na Uboczu 9</v>
      </c>
      <c r="AG493" s="155">
        <f t="shared" ca="1" si="813"/>
        <v>80101</v>
      </c>
      <c r="AH493" s="155" t="str">
        <f t="shared" ca="1" si="814"/>
        <v>6050</v>
      </c>
      <c r="AI493" s="156" t="str">
        <f t="shared" ca="1" si="815"/>
        <v>MWPO/0025</v>
      </c>
      <c r="AJ493" s="157" t="str">
        <f t="shared" ca="1" si="816"/>
        <v>WPF/UM</v>
      </c>
      <c r="AK493" s="158" t="str">
        <f t="shared" ca="1" si="817"/>
        <v>C/USN/V/P1/68 80101 6050 MWPO/0025</v>
      </c>
      <c r="AL493" s="158" t="str">
        <f t="shared" ca="1" si="818"/>
        <v>C/USN/V/P1/68 80101 6050 WPF/UM</v>
      </c>
      <c r="AM493" s="159" t="str">
        <f t="shared" ca="1" si="819"/>
        <v>C/USN/V/P1/68 80101 6050 MWPO/0025 WPF/UM</v>
      </c>
      <c r="AN493" s="160">
        <f t="shared" ca="1" si="820"/>
        <v>1605000</v>
      </c>
      <c r="AO493" s="161">
        <f t="shared" ca="1" si="821"/>
        <v>0</v>
      </c>
      <c r="AP493" s="162">
        <f t="shared" ca="1" si="822"/>
        <v>1605000</v>
      </c>
      <c r="AQ493" s="163">
        <f t="shared" ca="1" si="823"/>
        <v>0</v>
      </c>
      <c r="AR493" s="164">
        <f t="shared" ca="1" si="824"/>
        <v>0</v>
      </c>
      <c r="AS493" s="164">
        <f t="shared" ca="1" si="825"/>
        <v>0</v>
      </c>
      <c r="AT493" s="164">
        <f t="shared" ca="1" si="826"/>
        <v>0</v>
      </c>
      <c r="AU493" s="164">
        <f t="shared" ca="1" si="827"/>
        <v>0</v>
      </c>
      <c r="AV493" s="164">
        <f t="shared" ca="1" si="828"/>
        <v>0</v>
      </c>
      <c r="AW493" s="164">
        <f t="shared" ca="1" si="829"/>
        <v>0</v>
      </c>
      <c r="AX493" s="164">
        <f t="shared" ca="1" si="830"/>
        <v>0</v>
      </c>
      <c r="AY493" s="164">
        <f t="shared" ca="1" si="831"/>
        <v>0</v>
      </c>
      <c r="AZ493" s="164">
        <f t="shared" ca="1" si="832"/>
        <v>0</v>
      </c>
      <c r="BA493" s="165" t="str">
        <f t="shared" ca="1" si="833"/>
        <v>nie</v>
      </c>
      <c r="BB493" s="166" t="str">
        <f t="shared" ca="1" si="834"/>
        <v>-</v>
      </c>
      <c r="BC493" s="165" t="str">
        <f t="shared" ca="1" si="760"/>
        <v>nie</v>
      </c>
    </row>
    <row r="494" spans="1:55" ht="14.45" hidden="1" customHeight="1" x14ac:dyDescent="0.25">
      <c r="A494" s="185" t="s">
        <v>97</v>
      </c>
      <c r="B494" s="186"/>
      <c r="C494" s="187"/>
      <c r="D494" s="186"/>
      <c r="E494" s="186"/>
      <c r="F494" s="186"/>
      <c r="G494" s="186"/>
      <c r="H494" s="186"/>
      <c r="I494" s="186"/>
      <c r="J494" s="186"/>
      <c r="K494" s="186"/>
      <c r="L494" s="186"/>
      <c r="M494" s="186"/>
      <c r="N494" s="186"/>
      <c r="O494" s="186"/>
      <c r="P494" s="186"/>
      <c r="Q494" s="186"/>
      <c r="R494" s="188"/>
      <c r="S494" s="189"/>
      <c r="T494" s="189"/>
      <c r="U494" s="189"/>
      <c r="V494" s="189"/>
      <c r="W494" s="189"/>
      <c r="X494" s="189"/>
      <c r="Y494" s="190"/>
      <c r="Z494" s="149" t="str">
        <f t="shared" ca="1" si="759"/>
        <v>nie</v>
      </c>
      <c r="AA494" s="366"/>
      <c r="AB494" s="150" t="str">
        <f t="shared" ca="1" si="808"/>
        <v>-</v>
      </c>
      <c r="AC494" s="151" t="str">
        <f t="shared" ca="1" si="809"/>
        <v>PROPONOWANA ZMIANA</v>
      </c>
      <c r="AD494" s="152" t="str">
        <f t="shared" ca="1" si="810"/>
        <v/>
      </c>
      <c r="AE494" s="153" t="str">
        <f t="shared" ca="1" si="811"/>
        <v/>
      </c>
      <c r="AF494" s="154" t="str">
        <f t="shared" ca="1" si="812"/>
        <v/>
      </c>
      <c r="AG494" s="155" t="str">
        <f t="shared" ca="1" si="813"/>
        <v/>
      </c>
      <c r="AH494" s="155" t="str">
        <f t="shared" ca="1" si="814"/>
        <v/>
      </c>
      <c r="AI494" s="156" t="str">
        <f t="shared" ca="1" si="815"/>
        <v/>
      </c>
      <c r="AJ494" s="157" t="str">
        <f t="shared" ca="1" si="816"/>
        <v/>
      </c>
      <c r="AK494" s="158" t="str">
        <f t="shared" ca="1" si="817"/>
        <v/>
      </c>
      <c r="AL494" s="158" t="str">
        <f t="shared" ca="1" si="818"/>
        <v/>
      </c>
      <c r="AM494" s="159" t="str">
        <f t="shared" ca="1" si="819"/>
        <v/>
      </c>
      <c r="AN494" s="160" t="str">
        <f t="shared" ca="1" si="820"/>
        <v/>
      </c>
      <c r="AO494" s="161" t="str">
        <f t="shared" ca="1" si="821"/>
        <v/>
      </c>
      <c r="AP494" s="162" t="str">
        <f t="shared" ca="1" si="822"/>
        <v/>
      </c>
      <c r="AQ494" s="163" t="str">
        <f t="shared" ca="1" si="823"/>
        <v/>
      </c>
      <c r="AR494" s="164" t="str">
        <f t="shared" ca="1" si="824"/>
        <v/>
      </c>
      <c r="AS494" s="164" t="str">
        <f t="shared" ca="1" si="825"/>
        <v/>
      </c>
      <c r="AT494" s="164" t="str">
        <f t="shared" ca="1" si="826"/>
        <v/>
      </c>
      <c r="AU494" s="164" t="str">
        <f t="shared" ca="1" si="827"/>
        <v/>
      </c>
      <c r="AV494" s="164" t="str">
        <f t="shared" ca="1" si="828"/>
        <v/>
      </c>
      <c r="AW494" s="164" t="str">
        <f t="shared" ca="1" si="829"/>
        <v/>
      </c>
      <c r="AX494" s="164" t="str">
        <f t="shared" ca="1" si="830"/>
        <v/>
      </c>
      <c r="AY494" s="164" t="str">
        <f t="shared" ca="1" si="831"/>
        <v/>
      </c>
      <c r="AZ494" s="164" t="str">
        <f t="shared" ca="1" si="832"/>
        <v/>
      </c>
      <c r="BA494" s="165" t="str">
        <f t="shared" ca="1" si="833"/>
        <v>nie</v>
      </c>
      <c r="BB494" s="166" t="str">
        <f t="shared" ca="1" si="834"/>
        <v>-</v>
      </c>
      <c r="BC494" s="165" t="str">
        <f t="shared" ca="1" si="760"/>
        <v>nie</v>
      </c>
    </row>
    <row r="495" spans="1:55" ht="14.45" hidden="1" customHeight="1" x14ac:dyDescent="0.25">
      <c r="A495" s="493" t="s">
        <v>24</v>
      </c>
      <c r="B495" s="493" t="s">
        <v>418</v>
      </c>
      <c r="C495" s="494" t="s">
        <v>167</v>
      </c>
      <c r="D495" s="505" t="s">
        <v>168</v>
      </c>
      <c r="E495" s="497">
        <v>801</v>
      </c>
      <c r="F495" s="497">
        <v>80101</v>
      </c>
      <c r="G495" s="497">
        <v>6050</v>
      </c>
      <c r="H495" s="507">
        <v>2022</v>
      </c>
      <c r="I495" s="499" t="str">
        <f ca="1">IF(COUNTIF(OFFSET(I495,-1,-8),"*propon*")&gt;0,OFFSET(I495,4,0),IF(Y495&gt;0,"2033",IF(X495&gt;0,"2032",IF(W495&gt;0,"2031",IF(V495&gt;0,"2030",IF(U495&gt;0,"2029",IF(T495&gt;0,"2028",IF(S495&gt;0,"2027",IF(R495&gt;0,"2026",IF(Q495&gt;0,"2025",IF(P495&gt;0,"2024",IF(M495&gt;0,"2023",IF(L495&gt;0,"2022","")))))))))))))</f>
        <v>2024</v>
      </c>
      <c r="J495" s="168" t="s">
        <v>98</v>
      </c>
      <c r="K495" s="169">
        <f>SUM(N495:O495)</f>
        <v>0</v>
      </c>
      <c r="L495" s="170">
        <f t="shared" ref="L495:M495" si="837">SUM(L496:L497)</f>
        <v>0</v>
      </c>
      <c r="M495" s="171">
        <f t="shared" si="837"/>
        <v>0</v>
      </c>
      <c r="N495" s="172">
        <f>SUM(L495:M495)</f>
        <v>0</v>
      </c>
      <c r="O495" s="169">
        <f>SUM(P495:Y495)</f>
        <v>0</v>
      </c>
      <c r="P495" s="173">
        <f t="shared" ref="P495:Y495" si="838">SUM(P496:P497)</f>
        <v>0</v>
      </c>
      <c r="Q495" s="171">
        <f t="shared" si="838"/>
        <v>0</v>
      </c>
      <c r="R495" s="174">
        <f t="shared" si="838"/>
        <v>0</v>
      </c>
      <c r="S495" s="175">
        <f t="shared" si="838"/>
        <v>0</v>
      </c>
      <c r="T495" s="171">
        <f t="shared" si="838"/>
        <v>0</v>
      </c>
      <c r="U495" s="171">
        <f t="shared" si="838"/>
        <v>0</v>
      </c>
      <c r="V495" s="171">
        <f t="shared" si="838"/>
        <v>0</v>
      </c>
      <c r="W495" s="171">
        <f t="shared" si="838"/>
        <v>0</v>
      </c>
      <c r="X495" s="171">
        <f t="shared" si="838"/>
        <v>0</v>
      </c>
      <c r="Y495" s="174">
        <f t="shared" si="838"/>
        <v>0</v>
      </c>
      <c r="Z495" s="149" t="str">
        <f t="shared" ca="1" si="759"/>
        <v>nie</v>
      </c>
      <c r="AA495" s="366"/>
      <c r="AB495" s="150" t="str">
        <f t="shared" ca="1" si="808"/>
        <v>-</v>
      </c>
      <c r="AC495" s="151" t="str">
        <f t="shared" ca="1" si="809"/>
        <v>PROPONOWANA ZMIANA</v>
      </c>
      <c r="AD495" s="152" t="str">
        <f t="shared" ca="1" si="810"/>
        <v>PROPONOWANA ZMIANA</v>
      </c>
      <c r="AE495" s="153" t="str">
        <f t="shared" ca="1" si="811"/>
        <v>C/USN/V/P1/68</v>
      </c>
      <c r="AF495" s="154" t="str">
        <f t="shared" ca="1" si="812"/>
        <v>Modernizacja budynków Szkoły Podstawowej nr 336 przy ul. Małcużyńskiego i Szkoły Podstawowej nr 405 przy ul. Na Uboczu 9</v>
      </c>
      <c r="AG495" s="155">
        <f t="shared" ca="1" si="813"/>
        <v>80101</v>
      </c>
      <c r="AH495" s="155" t="str">
        <f t="shared" ca="1" si="814"/>
        <v>6050</v>
      </c>
      <c r="AI495" s="156" t="str">
        <f t="shared" ca="1" si="815"/>
        <v>MWPO/0025</v>
      </c>
      <c r="AJ495" s="157" t="str">
        <f t="shared" ca="1" si="816"/>
        <v>WPF, w tym</v>
      </c>
      <c r="AK495" s="158" t="str">
        <f t="shared" ca="1" si="817"/>
        <v>C/USN/V/P1/68 80101 6050 MWPO/0025</v>
      </c>
      <c r="AL495" s="158" t="str">
        <f t="shared" ca="1" si="818"/>
        <v>C/USN/V/P1/68 80101 6050 WPF, w tym</v>
      </c>
      <c r="AM495" s="159" t="str">
        <f t="shared" ca="1" si="819"/>
        <v>C/USN/V/P1/68 80101 6050 MWPO/0025 WPF, w tym</v>
      </c>
      <c r="AN495" s="160">
        <f t="shared" ca="1" si="820"/>
        <v>0</v>
      </c>
      <c r="AO495" s="161">
        <f t="shared" ca="1" si="821"/>
        <v>0</v>
      </c>
      <c r="AP495" s="162">
        <f t="shared" ca="1" si="822"/>
        <v>0</v>
      </c>
      <c r="AQ495" s="163">
        <f t="shared" ca="1" si="823"/>
        <v>0</v>
      </c>
      <c r="AR495" s="164">
        <f t="shared" ca="1" si="824"/>
        <v>0</v>
      </c>
      <c r="AS495" s="164">
        <f t="shared" ca="1" si="825"/>
        <v>0</v>
      </c>
      <c r="AT495" s="164">
        <f t="shared" ca="1" si="826"/>
        <v>0</v>
      </c>
      <c r="AU495" s="164">
        <f t="shared" ca="1" si="827"/>
        <v>0</v>
      </c>
      <c r="AV495" s="164">
        <f t="shared" ca="1" si="828"/>
        <v>0</v>
      </c>
      <c r="AW495" s="164">
        <f t="shared" ca="1" si="829"/>
        <v>0</v>
      </c>
      <c r="AX495" s="164">
        <f t="shared" ca="1" si="830"/>
        <v>0</v>
      </c>
      <c r="AY495" s="164">
        <f t="shared" ca="1" si="831"/>
        <v>0</v>
      </c>
      <c r="AZ495" s="164">
        <f t="shared" ca="1" si="832"/>
        <v>0</v>
      </c>
      <c r="BA495" s="165" t="str">
        <f t="shared" ca="1" si="833"/>
        <v>nie</v>
      </c>
      <c r="BB495" s="166" t="str">
        <f t="shared" ca="1" si="834"/>
        <v>-</v>
      </c>
      <c r="BC495" s="165" t="str">
        <f t="shared" ca="1" si="760"/>
        <v>nie</v>
      </c>
    </row>
    <row r="496" spans="1:55" ht="14.45" hidden="1" customHeight="1" x14ac:dyDescent="0.25">
      <c r="A496" s="493"/>
      <c r="B496" s="493"/>
      <c r="C496" s="494"/>
      <c r="D496" s="506"/>
      <c r="E496" s="497"/>
      <c r="F496" s="497"/>
      <c r="G496" s="497"/>
      <c r="H496" s="498"/>
      <c r="I496" s="499"/>
      <c r="J496" s="177" t="s">
        <v>99</v>
      </c>
      <c r="K496" s="178">
        <f>SUM(N496:O496)</f>
        <v>0</v>
      </c>
      <c r="L496" s="179">
        <f t="shared" ref="L496:M496" si="839">L500-L492</f>
        <v>0</v>
      </c>
      <c r="M496" s="180">
        <f t="shared" si="839"/>
        <v>0</v>
      </c>
      <c r="N496" s="172">
        <f>SUM(L496:M496)</f>
        <v>0</v>
      </c>
      <c r="O496" s="178">
        <f>SUM(P496:Y496)</f>
        <v>0</v>
      </c>
      <c r="P496" s="181">
        <f t="shared" ref="P496:Y496" si="840">P500-P492</f>
        <v>0</v>
      </c>
      <c r="Q496" s="180">
        <f t="shared" si="840"/>
        <v>0</v>
      </c>
      <c r="R496" s="182">
        <f t="shared" si="840"/>
        <v>0</v>
      </c>
      <c r="S496" s="183">
        <f t="shared" si="840"/>
        <v>0</v>
      </c>
      <c r="T496" s="180">
        <f t="shared" si="840"/>
        <v>0</v>
      </c>
      <c r="U496" s="180">
        <f t="shared" si="840"/>
        <v>0</v>
      </c>
      <c r="V496" s="180">
        <f t="shared" si="840"/>
        <v>0</v>
      </c>
      <c r="W496" s="180">
        <f t="shared" si="840"/>
        <v>0</v>
      </c>
      <c r="X496" s="180">
        <f t="shared" si="840"/>
        <v>0</v>
      </c>
      <c r="Y496" s="182">
        <f t="shared" si="840"/>
        <v>0</v>
      </c>
      <c r="Z496" s="149" t="str">
        <f t="shared" ca="1" si="759"/>
        <v>nie</v>
      </c>
      <c r="AA496" s="366"/>
      <c r="AB496" s="150" t="str">
        <f t="shared" ca="1" si="808"/>
        <v>-</v>
      </c>
      <c r="AC496" s="151" t="str">
        <f t="shared" ca="1" si="809"/>
        <v>PROPONOWANA ZMIANA</v>
      </c>
      <c r="AD496" s="152" t="str">
        <f t="shared" ca="1" si="810"/>
        <v>PROPONOWANA ZMIANA</v>
      </c>
      <c r="AE496" s="153" t="str">
        <f t="shared" ca="1" si="811"/>
        <v>C/USN/V/P1/68</v>
      </c>
      <c r="AF496" s="154" t="str">
        <f t="shared" ca="1" si="812"/>
        <v>Modernizacja budynków Szkoły Podstawowej nr 336 przy ul. Małcużyńskiego i Szkoły Podstawowej nr 405 przy ul. Na Uboczu 9</v>
      </c>
      <c r="AG496" s="155">
        <f t="shared" ca="1" si="813"/>
        <v>80101</v>
      </c>
      <c r="AH496" s="155" t="str">
        <f t="shared" ca="1" si="814"/>
        <v>6050</v>
      </c>
      <c r="AI496" s="156" t="str">
        <f t="shared" ca="1" si="815"/>
        <v>MWPO/0025</v>
      </c>
      <c r="AJ496" s="157" t="str">
        <f t="shared" ca="1" si="816"/>
        <v>WPF/PM</v>
      </c>
      <c r="AK496" s="158" t="str">
        <f t="shared" ca="1" si="817"/>
        <v>C/USN/V/P1/68 80101 6050 MWPO/0025</v>
      </c>
      <c r="AL496" s="158" t="str">
        <f t="shared" ca="1" si="818"/>
        <v>C/USN/V/P1/68 80101 6050 WPF/PM</v>
      </c>
      <c r="AM496" s="159" t="str">
        <f t="shared" ca="1" si="819"/>
        <v>C/USN/V/P1/68 80101 6050 MWPO/0025 WPF/PM</v>
      </c>
      <c r="AN496" s="160">
        <f t="shared" ca="1" si="820"/>
        <v>0</v>
      </c>
      <c r="AO496" s="161">
        <f t="shared" ca="1" si="821"/>
        <v>0</v>
      </c>
      <c r="AP496" s="162">
        <f t="shared" ca="1" si="822"/>
        <v>0</v>
      </c>
      <c r="AQ496" s="163">
        <f t="shared" ca="1" si="823"/>
        <v>0</v>
      </c>
      <c r="AR496" s="164">
        <f t="shared" ca="1" si="824"/>
        <v>0</v>
      </c>
      <c r="AS496" s="164">
        <f t="shared" ca="1" si="825"/>
        <v>0</v>
      </c>
      <c r="AT496" s="164">
        <f t="shared" ca="1" si="826"/>
        <v>0</v>
      </c>
      <c r="AU496" s="164">
        <f t="shared" ca="1" si="827"/>
        <v>0</v>
      </c>
      <c r="AV496" s="164">
        <f t="shared" ca="1" si="828"/>
        <v>0</v>
      </c>
      <c r="AW496" s="164">
        <f t="shared" ca="1" si="829"/>
        <v>0</v>
      </c>
      <c r="AX496" s="164">
        <f t="shared" ca="1" si="830"/>
        <v>0</v>
      </c>
      <c r="AY496" s="164">
        <f t="shared" ca="1" si="831"/>
        <v>0</v>
      </c>
      <c r="AZ496" s="164">
        <f t="shared" ca="1" si="832"/>
        <v>0</v>
      </c>
      <c r="BA496" s="165" t="str">
        <f t="shared" ca="1" si="833"/>
        <v>nie</v>
      </c>
      <c r="BB496" s="166" t="str">
        <f t="shared" ca="1" si="834"/>
        <v>-</v>
      </c>
      <c r="BC496" s="165" t="str">
        <f t="shared" ca="1" si="760"/>
        <v>nie</v>
      </c>
    </row>
    <row r="497" spans="1:55" ht="14.45" hidden="1" customHeight="1" x14ac:dyDescent="0.25">
      <c r="A497" s="493"/>
      <c r="B497" s="493"/>
      <c r="C497" s="494"/>
      <c r="D497" s="506"/>
      <c r="E497" s="497"/>
      <c r="F497" s="497"/>
      <c r="G497" s="497"/>
      <c r="H497" s="498"/>
      <c r="I497" s="499"/>
      <c r="J497" s="177" t="s">
        <v>100</v>
      </c>
      <c r="K497" s="178">
        <f>SUM(N497:O497)</f>
        <v>0</v>
      </c>
      <c r="L497" s="179">
        <f t="shared" ref="L497:M497" si="841">L501-L493</f>
        <v>0</v>
      </c>
      <c r="M497" s="180">
        <f t="shared" si="841"/>
        <v>0</v>
      </c>
      <c r="N497" s="172">
        <f>SUM(L497:M497)</f>
        <v>0</v>
      </c>
      <c r="O497" s="178">
        <f>SUM(P497:Y497)</f>
        <v>0</v>
      </c>
      <c r="P497" s="181">
        <f t="shared" ref="P497:Y497" si="842">P501-P493</f>
        <v>0</v>
      </c>
      <c r="Q497" s="180">
        <f t="shared" si="842"/>
        <v>0</v>
      </c>
      <c r="R497" s="182">
        <f t="shared" si="842"/>
        <v>0</v>
      </c>
      <c r="S497" s="183">
        <f t="shared" si="842"/>
        <v>0</v>
      </c>
      <c r="T497" s="180">
        <f t="shared" si="842"/>
        <v>0</v>
      </c>
      <c r="U497" s="180">
        <f t="shared" si="842"/>
        <v>0</v>
      </c>
      <c r="V497" s="180">
        <f t="shared" si="842"/>
        <v>0</v>
      </c>
      <c r="W497" s="180">
        <f t="shared" si="842"/>
        <v>0</v>
      </c>
      <c r="X497" s="180">
        <f t="shared" si="842"/>
        <v>0</v>
      </c>
      <c r="Y497" s="182">
        <f t="shared" si="842"/>
        <v>0</v>
      </c>
      <c r="Z497" s="149" t="str">
        <f t="shared" ca="1" si="759"/>
        <v>nie</v>
      </c>
      <c r="AA497" s="366"/>
      <c r="AB497" s="150" t="str">
        <f t="shared" ca="1" si="808"/>
        <v>-</v>
      </c>
      <c r="AC497" s="151" t="str">
        <f t="shared" ca="1" si="809"/>
        <v>PROPONOWANA ZMIANA</v>
      </c>
      <c r="AD497" s="152" t="str">
        <f t="shared" ca="1" si="810"/>
        <v>PROPONOWANA ZMIANA</v>
      </c>
      <c r="AE497" s="153" t="str">
        <f t="shared" ca="1" si="811"/>
        <v>C/USN/V/P1/68</v>
      </c>
      <c r="AF497" s="154" t="str">
        <f t="shared" ca="1" si="812"/>
        <v>Modernizacja budynków Szkoły Podstawowej nr 336 przy ul. Małcużyńskiego i Szkoły Podstawowej nr 405 przy ul. Na Uboczu 9</v>
      </c>
      <c r="AG497" s="155">
        <f t="shared" ca="1" si="813"/>
        <v>80101</v>
      </c>
      <c r="AH497" s="155" t="str">
        <f t="shared" ca="1" si="814"/>
        <v>6050</v>
      </c>
      <c r="AI497" s="156" t="str">
        <f t="shared" ca="1" si="815"/>
        <v>MWPO/0025</v>
      </c>
      <c r="AJ497" s="157" t="str">
        <f t="shared" ca="1" si="816"/>
        <v>WPF/UM</v>
      </c>
      <c r="AK497" s="158" t="str">
        <f t="shared" ca="1" si="817"/>
        <v>C/USN/V/P1/68 80101 6050 MWPO/0025</v>
      </c>
      <c r="AL497" s="158" t="str">
        <f t="shared" ca="1" si="818"/>
        <v>C/USN/V/P1/68 80101 6050 WPF/UM</v>
      </c>
      <c r="AM497" s="159" t="str">
        <f t="shared" ca="1" si="819"/>
        <v>C/USN/V/P1/68 80101 6050 MWPO/0025 WPF/UM</v>
      </c>
      <c r="AN497" s="160">
        <f t="shared" ca="1" si="820"/>
        <v>0</v>
      </c>
      <c r="AO497" s="161">
        <f t="shared" ca="1" si="821"/>
        <v>0</v>
      </c>
      <c r="AP497" s="162">
        <f t="shared" ca="1" si="822"/>
        <v>0</v>
      </c>
      <c r="AQ497" s="163">
        <f t="shared" ca="1" si="823"/>
        <v>0</v>
      </c>
      <c r="AR497" s="164">
        <f t="shared" ca="1" si="824"/>
        <v>0</v>
      </c>
      <c r="AS497" s="164">
        <f t="shared" ca="1" si="825"/>
        <v>0</v>
      </c>
      <c r="AT497" s="164">
        <f t="shared" ca="1" si="826"/>
        <v>0</v>
      </c>
      <c r="AU497" s="164">
        <f t="shared" ca="1" si="827"/>
        <v>0</v>
      </c>
      <c r="AV497" s="164">
        <f t="shared" ca="1" si="828"/>
        <v>0</v>
      </c>
      <c r="AW497" s="164">
        <f t="shared" ca="1" si="829"/>
        <v>0</v>
      </c>
      <c r="AX497" s="164">
        <f t="shared" ca="1" si="830"/>
        <v>0</v>
      </c>
      <c r="AY497" s="164">
        <f t="shared" ca="1" si="831"/>
        <v>0</v>
      </c>
      <c r="AZ497" s="164">
        <f t="shared" ca="1" si="832"/>
        <v>0</v>
      </c>
      <c r="BA497" s="165" t="str">
        <f t="shared" ca="1" si="833"/>
        <v>nie</v>
      </c>
      <c r="BB497" s="166" t="str">
        <f t="shared" ca="1" si="834"/>
        <v>-</v>
      </c>
      <c r="BC497" s="165" t="str">
        <f t="shared" ca="1" si="760"/>
        <v>nie</v>
      </c>
    </row>
    <row r="498" spans="1:55" ht="14.45" hidden="1" customHeight="1" x14ac:dyDescent="0.25">
      <c r="A498" s="191" t="s">
        <v>101</v>
      </c>
      <c r="B498" s="192"/>
      <c r="C498" s="193"/>
      <c r="D498" s="192"/>
      <c r="E498" s="192"/>
      <c r="F498" s="192"/>
      <c r="G498" s="192"/>
      <c r="H498" s="192"/>
      <c r="I498" s="192"/>
      <c r="J498" s="192"/>
      <c r="K498" s="192"/>
      <c r="L498" s="192"/>
      <c r="M498" s="192"/>
      <c r="N498" s="192"/>
      <c r="O498" s="192"/>
      <c r="P498" s="192"/>
      <c r="Q498" s="192"/>
      <c r="R498" s="194"/>
      <c r="S498" s="195"/>
      <c r="T498" s="195"/>
      <c r="U498" s="195"/>
      <c r="V498" s="195"/>
      <c r="W498" s="195"/>
      <c r="X498" s="195"/>
      <c r="Y498" s="196"/>
      <c r="Z498" s="149" t="str">
        <f t="shared" ca="1" si="759"/>
        <v>nie</v>
      </c>
      <c r="AA498" s="366"/>
      <c r="AB498" s="150" t="str">
        <f t="shared" ca="1" si="808"/>
        <v>-</v>
      </c>
      <c r="AC498" s="151" t="str">
        <f t="shared" ca="1" si="809"/>
        <v>PO ZMIANIE</v>
      </c>
      <c r="AD498" s="152" t="str">
        <f t="shared" ca="1" si="810"/>
        <v/>
      </c>
      <c r="AE498" s="153" t="str">
        <f t="shared" ca="1" si="811"/>
        <v/>
      </c>
      <c r="AF498" s="154" t="str">
        <f t="shared" ca="1" si="812"/>
        <v/>
      </c>
      <c r="AG498" s="155" t="str">
        <f t="shared" ca="1" si="813"/>
        <v/>
      </c>
      <c r="AH498" s="155" t="str">
        <f t="shared" ca="1" si="814"/>
        <v/>
      </c>
      <c r="AI498" s="156" t="str">
        <f t="shared" ca="1" si="815"/>
        <v/>
      </c>
      <c r="AJ498" s="157" t="str">
        <f t="shared" ca="1" si="816"/>
        <v/>
      </c>
      <c r="AK498" s="158" t="str">
        <f t="shared" ca="1" si="817"/>
        <v/>
      </c>
      <c r="AL498" s="158" t="str">
        <f t="shared" ca="1" si="818"/>
        <v/>
      </c>
      <c r="AM498" s="159" t="str">
        <f t="shared" ca="1" si="819"/>
        <v/>
      </c>
      <c r="AN498" s="160" t="str">
        <f t="shared" ca="1" si="820"/>
        <v/>
      </c>
      <c r="AO498" s="161" t="str">
        <f t="shared" ca="1" si="821"/>
        <v/>
      </c>
      <c r="AP498" s="162" t="str">
        <f t="shared" ca="1" si="822"/>
        <v/>
      </c>
      <c r="AQ498" s="163" t="str">
        <f t="shared" ca="1" si="823"/>
        <v/>
      </c>
      <c r="AR498" s="164" t="str">
        <f t="shared" ca="1" si="824"/>
        <v/>
      </c>
      <c r="AS498" s="164" t="str">
        <f t="shared" ca="1" si="825"/>
        <v/>
      </c>
      <c r="AT498" s="164" t="str">
        <f t="shared" ca="1" si="826"/>
        <v/>
      </c>
      <c r="AU498" s="164" t="str">
        <f t="shared" ca="1" si="827"/>
        <v/>
      </c>
      <c r="AV498" s="164" t="str">
        <f t="shared" ca="1" si="828"/>
        <v/>
      </c>
      <c r="AW498" s="164" t="str">
        <f t="shared" ca="1" si="829"/>
        <v/>
      </c>
      <c r="AX498" s="164" t="str">
        <f t="shared" ca="1" si="830"/>
        <v/>
      </c>
      <c r="AY498" s="164" t="str">
        <f t="shared" ca="1" si="831"/>
        <v/>
      </c>
      <c r="AZ498" s="164" t="str">
        <f t="shared" ca="1" si="832"/>
        <v/>
      </c>
      <c r="BA498" s="165" t="str">
        <f t="shared" ca="1" si="833"/>
        <v>nie</v>
      </c>
      <c r="BB498" s="166" t="str">
        <f t="shared" ca="1" si="834"/>
        <v>-</v>
      </c>
      <c r="BC498" s="165" t="str">
        <f t="shared" ca="1" si="760"/>
        <v>nie</v>
      </c>
    </row>
    <row r="499" spans="1:55" ht="14.45" hidden="1" customHeight="1" x14ac:dyDescent="0.25">
      <c r="A499" s="493" t="s">
        <v>24</v>
      </c>
      <c r="B499" s="493" t="s">
        <v>418</v>
      </c>
      <c r="C499" s="494" t="s">
        <v>167</v>
      </c>
      <c r="D499" s="505" t="s">
        <v>168</v>
      </c>
      <c r="E499" s="497">
        <v>801</v>
      </c>
      <c r="F499" s="497">
        <v>80101</v>
      </c>
      <c r="G499" s="497">
        <v>6050</v>
      </c>
      <c r="H499" s="507">
        <v>2022</v>
      </c>
      <c r="I499" s="499" t="str">
        <f ca="1">IF(COUNTIF(OFFSET(I499,-1,-8),"*propon*")&gt;0,OFFSET(I499,4,0),IF(Y499&gt;0,"2033",IF(X499&gt;0,"2032",IF(W499&gt;0,"2031",IF(V499&gt;0,"2030",IF(U499&gt;0,"2029",IF(T499&gt;0,"2028",IF(S499&gt;0,"2027",IF(R499&gt;0,"2026",IF(Q499&gt;0,"2025",IF(P499&gt;0,"2024",IF(M499&gt;0,"2023",IF(L499&gt;0,"2022","")))))))))))))</f>
        <v>2024</v>
      </c>
      <c r="J499" s="168" t="s">
        <v>102</v>
      </c>
      <c r="K499" s="169">
        <f>SUM(N499:O499)</f>
        <v>2000000</v>
      </c>
      <c r="L499" s="170">
        <f t="shared" ref="L499:M499" si="843">SUM(L500:L501)</f>
        <v>0</v>
      </c>
      <c r="M499" s="171">
        <f t="shared" si="843"/>
        <v>1605000</v>
      </c>
      <c r="N499" s="172">
        <f>SUM(L499:M499)</f>
        <v>1605000</v>
      </c>
      <c r="O499" s="169">
        <f>SUM(P499:Y499)</f>
        <v>395000</v>
      </c>
      <c r="P499" s="173">
        <f t="shared" ref="P499:Y499" si="844">SUM(P500:P501)</f>
        <v>395000</v>
      </c>
      <c r="Q499" s="171">
        <f t="shared" si="844"/>
        <v>0</v>
      </c>
      <c r="R499" s="174">
        <f t="shared" si="844"/>
        <v>0</v>
      </c>
      <c r="S499" s="175">
        <f t="shared" si="844"/>
        <v>0</v>
      </c>
      <c r="T499" s="171">
        <f t="shared" si="844"/>
        <v>0</v>
      </c>
      <c r="U499" s="171">
        <f t="shared" si="844"/>
        <v>0</v>
      </c>
      <c r="V499" s="171">
        <f t="shared" si="844"/>
        <v>0</v>
      </c>
      <c r="W499" s="171">
        <f t="shared" si="844"/>
        <v>0</v>
      </c>
      <c r="X499" s="171">
        <f t="shared" si="844"/>
        <v>0</v>
      </c>
      <c r="Y499" s="174">
        <f t="shared" si="844"/>
        <v>0</v>
      </c>
      <c r="Z499" s="149" t="str">
        <f t="shared" ca="1" si="759"/>
        <v>nie</v>
      </c>
      <c r="AA499" s="366"/>
      <c r="AB499" s="150" t="str">
        <f t="shared" ca="1" si="808"/>
        <v>-</v>
      </c>
      <c r="AC499" s="151" t="str">
        <f t="shared" ca="1" si="809"/>
        <v>PO ZMIANIE</v>
      </c>
      <c r="AD499" s="152" t="str">
        <f t="shared" ca="1" si="810"/>
        <v>PO ZMIANIE</v>
      </c>
      <c r="AE499" s="153" t="str">
        <f t="shared" ca="1" si="811"/>
        <v>C/USN/V/P1/68</v>
      </c>
      <c r="AF499" s="154" t="str">
        <f t="shared" ca="1" si="812"/>
        <v>Modernizacja budynków Szkoły Podstawowej nr 336 przy ul. Małcużyńskiego i Szkoły Podstawowej nr 405 przy ul. Na Uboczu 9</v>
      </c>
      <c r="AG499" s="155">
        <f t="shared" ca="1" si="813"/>
        <v>80101</v>
      </c>
      <c r="AH499" s="155" t="str">
        <f t="shared" ca="1" si="814"/>
        <v>6050</v>
      </c>
      <c r="AI499" s="156" t="str">
        <f t="shared" ca="1" si="815"/>
        <v>MWPO/0025</v>
      </c>
      <c r="AJ499" s="157" t="str">
        <f t="shared" ca="1" si="816"/>
        <v>WPF, w tym</v>
      </c>
      <c r="AK499" s="158" t="str">
        <f t="shared" ca="1" si="817"/>
        <v>C/USN/V/P1/68 80101 6050 MWPO/0025</v>
      </c>
      <c r="AL499" s="158" t="str">
        <f t="shared" ca="1" si="818"/>
        <v>C/USN/V/P1/68 80101 6050 WPF, w tym</v>
      </c>
      <c r="AM499" s="159" t="str">
        <f t="shared" ca="1" si="819"/>
        <v>C/USN/V/P1/68 80101 6050 MWPO/0025 WPF, w tym</v>
      </c>
      <c r="AN499" s="160">
        <f t="shared" ca="1" si="820"/>
        <v>2000000</v>
      </c>
      <c r="AO499" s="161">
        <f t="shared" ca="1" si="821"/>
        <v>0</v>
      </c>
      <c r="AP499" s="162">
        <f t="shared" ca="1" si="822"/>
        <v>1605000</v>
      </c>
      <c r="AQ499" s="163">
        <f t="shared" ca="1" si="823"/>
        <v>395000</v>
      </c>
      <c r="AR499" s="164">
        <f t="shared" ca="1" si="824"/>
        <v>0</v>
      </c>
      <c r="AS499" s="164">
        <f t="shared" ca="1" si="825"/>
        <v>0</v>
      </c>
      <c r="AT499" s="164">
        <f t="shared" ca="1" si="826"/>
        <v>0</v>
      </c>
      <c r="AU499" s="164">
        <f t="shared" ca="1" si="827"/>
        <v>0</v>
      </c>
      <c r="AV499" s="164">
        <f t="shared" ca="1" si="828"/>
        <v>0</v>
      </c>
      <c r="AW499" s="164">
        <f t="shared" ca="1" si="829"/>
        <v>0</v>
      </c>
      <c r="AX499" s="164">
        <f t="shared" ca="1" si="830"/>
        <v>0</v>
      </c>
      <c r="AY499" s="164">
        <f t="shared" ca="1" si="831"/>
        <v>0</v>
      </c>
      <c r="AZ499" s="164">
        <f t="shared" ca="1" si="832"/>
        <v>0</v>
      </c>
      <c r="BA499" s="165" t="str">
        <f t="shared" ca="1" si="833"/>
        <v>nie</v>
      </c>
      <c r="BB499" s="166" t="str">
        <f t="shared" ca="1" si="834"/>
        <v>-</v>
      </c>
      <c r="BC499" s="165" t="str">
        <f t="shared" ca="1" si="760"/>
        <v>nie</v>
      </c>
    </row>
    <row r="500" spans="1:55" ht="14.45" hidden="1" customHeight="1" x14ac:dyDescent="0.25">
      <c r="A500" s="493"/>
      <c r="B500" s="493"/>
      <c r="C500" s="494"/>
      <c r="D500" s="506"/>
      <c r="E500" s="497"/>
      <c r="F500" s="497"/>
      <c r="G500" s="497"/>
      <c r="H500" s="498"/>
      <c r="I500" s="499"/>
      <c r="J500" s="177" t="s">
        <v>103</v>
      </c>
      <c r="K500" s="178">
        <f>SUM(N500:O500)</f>
        <v>395000</v>
      </c>
      <c r="L500" s="179"/>
      <c r="M500" s="180"/>
      <c r="N500" s="172">
        <f>SUM(L500:M500)</f>
        <v>0</v>
      </c>
      <c r="O500" s="178">
        <f>SUM(P500:Y500)</f>
        <v>395000</v>
      </c>
      <c r="P500" s="181">
        <f>395000</f>
        <v>395000</v>
      </c>
      <c r="Q500" s="180"/>
      <c r="R500" s="182"/>
      <c r="S500" s="183"/>
      <c r="T500" s="180"/>
      <c r="U500" s="180"/>
      <c r="V500" s="180"/>
      <c r="W500" s="180"/>
      <c r="X500" s="180"/>
      <c r="Y500" s="182"/>
      <c r="Z500" s="149" t="str">
        <f t="shared" ca="1" si="759"/>
        <v>nie</v>
      </c>
      <c r="AA500" s="384"/>
      <c r="AB500" s="150" t="str">
        <f t="shared" ca="1" si="808"/>
        <v>-</v>
      </c>
      <c r="AC500" s="151" t="str">
        <f t="shared" ca="1" si="809"/>
        <v>PO ZMIANIE</v>
      </c>
      <c r="AD500" s="152" t="str">
        <f t="shared" ca="1" si="810"/>
        <v>PO ZMIANIE</v>
      </c>
      <c r="AE500" s="153" t="str">
        <f t="shared" ca="1" si="811"/>
        <v>C/USN/V/P1/68</v>
      </c>
      <c r="AF500" s="154" t="str">
        <f t="shared" ca="1" si="812"/>
        <v>Modernizacja budynków Szkoły Podstawowej nr 336 przy ul. Małcużyńskiego i Szkoły Podstawowej nr 405 przy ul. Na Uboczu 9</v>
      </c>
      <c r="AG500" s="155">
        <f t="shared" ca="1" si="813"/>
        <v>80101</v>
      </c>
      <c r="AH500" s="155" t="str">
        <f t="shared" ca="1" si="814"/>
        <v>6050</v>
      </c>
      <c r="AI500" s="156" t="str">
        <f t="shared" ca="1" si="815"/>
        <v>MWPO/0025</v>
      </c>
      <c r="AJ500" s="157" t="str">
        <f t="shared" ca="1" si="816"/>
        <v>WPF/PM</v>
      </c>
      <c r="AK500" s="158" t="str">
        <f t="shared" ca="1" si="817"/>
        <v>C/USN/V/P1/68 80101 6050 MWPO/0025</v>
      </c>
      <c r="AL500" s="158" t="str">
        <f t="shared" ca="1" si="818"/>
        <v>C/USN/V/P1/68 80101 6050 WPF/PM</v>
      </c>
      <c r="AM500" s="159" t="str">
        <f t="shared" ca="1" si="819"/>
        <v>C/USN/V/P1/68 80101 6050 MWPO/0025 WPF/PM</v>
      </c>
      <c r="AN500" s="160">
        <f t="shared" ca="1" si="820"/>
        <v>395000</v>
      </c>
      <c r="AO500" s="161">
        <f t="shared" ca="1" si="821"/>
        <v>0</v>
      </c>
      <c r="AP500" s="162">
        <f t="shared" ca="1" si="822"/>
        <v>0</v>
      </c>
      <c r="AQ500" s="163">
        <f t="shared" ca="1" si="823"/>
        <v>395000</v>
      </c>
      <c r="AR500" s="164">
        <f t="shared" ca="1" si="824"/>
        <v>0</v>
      </c>
      <c r="AS500" s="164">
        <f t="shared" ca="1" si="825"/>
        <v>0</v>
      </c>
      <c r="AT500" s="164">
        <f t="shared" ca="1" si="826"/>
        <v>0</v>
      </c>
      <c r="AU500" s="164">
        <f t="shared" ca="1" si="827"/>
        <v>0</v>
      </c>
      <c r="AV500" s="164">
        <f t="shared" ca="1" si="828"/>
        <v>0</v>
      </c>
      <c r="AW500" s="164">
        <f t="shared" ca="1" si="829"/>
        <v>0</v>
      </c>
      <c r="AX500" s="164">
        <f t="shared" ca="1" si="830"/>
        <v>0</v>
      </c>
      <c r="AY500" s="164">
        <f t="shared" ca="1" si="831"/>
        <v>0</v>
      </c>
      <c r="AZ500" s="164">
        <f t="shared" ca="1" si="832"/>
        <v>0</v>
      </c>
      <c r="BA500" s="165" t="str">
        <f t="shared" ca="1" si="833"/>
        <v>nie</v>
      </c>
      <c r="BB500" s="166" t="str">
        <f t="shared" ca="1" si="834"/>
        <v>-</v>
      </c>
      <c r="BC500" s="165" t="str">
        <f t="shared" ca="1" si="760"/>
        <v>nie</v>
      </c>
    </row>
    <row r="501" spans="1:55" ht="14.45" hidden="1" customHeight="1" thickBot="1" x14ac:dyDescent="0.3">
      <c r="A501" s="500"/>
      <c r="B501" s="493"/>
      <c r="C501" s="501"/>
      <c r="D501" s="513"/>
      <c r="E501" s="503"/>
      <c r="F501" s="503"/>
      <c r="G501" s="503"/>
      <c r="H501" s="504"/>
      <c r="I501" s="499"/>
      <c r="J501" s="197" t="s">
        <v>104</v>
      </c>
      <c r="K501" s="198">
        <f>SUM(N501:O501)</f>
        <v>1605000</v>
      </c>
      <c r="L501" s="204"/>
      <c r="M501" s="200">
        <v>1605000</v>
      </c>
      <c r="N501" s="371">
        <f>SUM(L501:M501)</f>
        <v>1605000</v>
      </c>
      <c r="O501" s="198">
        <f>SUM(P501:Y501)</f>
        <v>0</v>
      </c>
      <c r="P501" s="201"/>
      <c r="Q501" s="200"/>
      <c r="R501" s="202"/>
      <c r="S501" s="203"/>
      <c r="T501" s="200"/>
      <c r="U501" s="200"/>
      <c r="V501" s="200"/>
      <c r="W501" s="200"/>
      <c r="X501" s="200"/>
      <c r="Y501" s="202"/>
      <c r="Z501" s="149" t="str">
        <f t="shared" ca="1" si="759"/>
        <v>nie</v>
      </c>
      <c r="AA501" s="384"/>
      <c r="AB501" s="150" t="str">
        <f t="shared" ca="1" si="808"/>
        <v>-</v>
      </c>
      <c r="AC501" s="151" t="str">
        <f t="shared" ca="1" si="809"/>
        <v>PO ZMIANIE</v>
      </c>
      <c r="AD501" s="152" t="str">
        <f t="shared" ca="1" si="810"/>
        <v>PO ZMIANIE</v>
      </c>
      <c r="AE501" s="153" t="str">
        <f t="shared" ca="1" si="811"/>
        <v>C/USN/V/P1/68</v>
      </c>
      <c r="AF501" s="154" t="str">
        <f t="shared" ca="1" si="812"/>
        <v>Modernizacja budynków Szkoły Podstawowej nr 336 przy ul. Małcużyńskiego i Szkoły Podstawowej nr 405 przy ul. Na Uboczu 9</v>
      </c>
      <c r="AG501" s="155">
        <f t="shared" ca="1" si="813"/>
        <v>80101</v>
      </c>
      <c r="AH501" s="155" t="str">
        <f t="shared" ca="1" si="814"/>
        <v>6050</v>
      </c>
      <c r="AI501" s="156" t="str">
        <f t="shared" ca="1" si="815"/>
        <v>MWPO/0025</v>
      </c>
      <c r="AJ501" s="157" t="str">
        <f t="shared" ca="1" si="816"/>
        <v>WPF/UM</v>
      </c>
      <c r="AK501" s="158" t="str">
        <f t="shared" ca="1" si="817"/>
        <v>C/USN/V/P1/68 80101 6050 MWPO/0025</v>
      </c>
      <c r="AL501" s="158" t="str">
        <f t="shared" ca="1" si="818"/>
        <v>C/USN/V/P1/68 80101 6050 WPF/UM</v>
      </c>
      <c r="AM501" s="159" t="str">
        <f t="shared" ca="1" si="819"/>
        <v>C/USN/V/P1/68 80101 6050 MWPO/0025 WPF/UM</v>
      </c>
      <c r="AN501" s="160">
        <f t="shared" ca="1" si="820"/>
        <v>1605000</v>
      </c>
      <c r="AO501" s="161">
        <f t="shared" ca="1" si="821"/>
        <v>0</v>
      </c>
      <c r="AP501" s="162">
        <f t="shared" ca="1" si="822"/>
        <v>1605000</v>
      </c>
      <c r="AQ501" s="163">
        <f t="shared" ca="1" si="823"/>
        <v>0</v>
      </c>
      <c r="AR501" s="164">
        <f t="shared" ca="1" si="824"/>
        <v>0</v>
      </c>
      <c r="AS501" s="164">
        <f t="shared" ca="1" si="825"/>
        <v>0</v>
      </c>
      <c r="AT501" s="164">
        <f t="shared" ca="1" si="826"/>
        <v>0</v>
      </c>
      <c r="AU501" s="164">
        <f t="shared" ca="1" si="827"/>
        <v>0</v>
      </c>
      <c r="AV501" s="164">
        <f t="shared" ca="1" si="828"/>
        <v>0</v>
      </c>
      <c r="AW501" s="164">
        <f t="shared" ca="1" si="829"/>
        <v>0</v>
      </c>
      <c r="AX501" s="164">
        <f t="shared" ca="1" si="830"/>
        <v>0</v>
      </c>
      <c r="AY501" s="164">
        <f t="shared" ca="1" si="831"/>
        <v>0</v>
      </c>
      <c r="AZ501" s="164">
        <f t="shared" ca="1" si="832"/>
        <v>0</v>
      </c>
      <c r="BA501" s="165" t="str">
        <f t="shared" ca="1" si="833"/>
        <v>nie</v>
      </c>
      <c r="BB501" s="166" t="str">
        <f t="shared" ca="1" si="834"/>
        <v>-</v>
      </c>
      <c r="BC501" s="165" t="str">
        <f t="shared" ca="1" si="760"/>
        <v>nie</v>
      </c>
    </row>
    <row r="502" spans="1:55" ht="14.45" hidden="1" customHeight="1" x14ac:dyDescent="0.25">
      <c r="A502" s="143" t="s">
        <v>91</v>
      </c>
      <c r="B502" s="144"/>
      <c r="C502" s="145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6"/>
      <c r="S502" s="147"/>
      <c r="T502" s="147"/>
      <c r="U502" s="147"/>
      <c r="V502" s="147"/>
      <c r="W502" s="147"/>
      <c r="X502" s="147"/>
      <c r="Y502" s="148"/>
      <c r="Z502" s="149" t="str">
        <f t="shared" ca="1" si="759"/>
        <v>nie</v>
      </c>
      <c r="AA502" s="366"/>
      <c r="AB502" s="150" t="str">
        <f t="shared" ca="1" si="806"/>
        <v>-</v>
      </c>
      <c r="AC502" s="151" t="str">
        <f t="shared" ca="1" si="809"/>
        <v>PRZED ZMIANĄ</v>
      </c>
      <c r="AD502" s="152" t="str">
        <f t="shared" ca="1" si="791"/>
        <v/>
      </c>
      <c r="AE502" s="153" t="str">
        <f t="shared" ca="1" si="811"/>
        <v/>
      </c>
      <c r="AF502" s="154" t="str">
        <f t="shared" ca="1" si="812"/>
        <v/>
      </c>
      <c r="AG502" s="155" t="str">
        <f t="shared" ca="1" si="813"/>
        <v/>
      </c>
      <c r="AH502" s="155" t="str">
        <f t="shared" ca="1" si="814"/>
        <v/>
      </c>
      <c r="AI502" s="156" t="str">
        <f t="shared" ca="1" si="815"/>
        <v/>
      </c>
      <c r="AJ502" s="157" t="str">
        <f t="shared" ca="1" si="816"/>
        <v/>
      </c>
      <c r="AK502" s="158" t="str">
        <f t="shared" ca="1" si="792"/>
        <v/>
      </c>
      <c r="AL502" s="158" t="str">
        <f t="shared" ca="1" si="793"/>
        <v/>
      </c>
      <c r="AM502" s="159" t="str">
        <f t="shared" ca="1" si="794"/>
        <v/>
      </c>
      <c r="AN502" s="160" t="str">
        <f t="shared" ca="1" si="820"/>
        <v/>
      </c>
      <c r="AO502" s="161" t="str">
        <f t="shared" ca="1" si="821"/>
        <v/>
      </c>
      <c r="AP502" s="162" t="str">
        <f t="shared" ca="1" si="822"/>
        <v/>
      </c>
      <c r="AQ502" s="163" t="str">
        <f t="shared" ca="1" si="823"/>
        <v/>
      </c>
      <c r="AR502" s="164" t="str">
        <f t="shared" ca="1" si="824"/>
        <v/>
      </c>
      <c r="AS502" s="164" t="str">
        <f t="shared" ca="1" si="825"/>
        <v/>
      </c>
      <c r="AT502" s="164" t="str">
        <f t="shared" ca="1" si="826"/>
        <v/>
      </c>
      <c r="AU502" s="164" t="str">
        <f t="shared" ca="1" si="827"/>
        <v/>
      </c>
      <c r="AV502" s="164" t="str">
        <f t="shared" ca="1" si="828"/>
        <v/>
      </c>
      <c r="AW502" s="164" t="str">
        <f t="shared" ca="1" si="829"/>
        <v/>
      </c>
      <c r="AX502" s="164" t="str">
        <f t="shared" ca="1" si="830"/>
        <v/>
      </c>
      <c r="AY502" s="164" t="str">
        <f t="shared" ca="1" si="831"/>
        <v/>
      </c>
      <c r="AZ502" s="164" t="str">
        <f t="shared" ca="1" si="832"/>
        <v/>
      </c>
      <c r="BA502" s="165" t="str">
        <f t="shared" ca="1" si="833"/>
        <v>nie</v>
      </c>
      <c r="BB502" s="166" t="str">
        <f t="shared" ca="1" si="807"/>
        <v>-</v>
      </c>
      <c r="BC502" s="165" t="str">
        <f t="shared" ca="1" si="760"/>
        <v>nie</v>
      </c>
    </row>
    <row r="503" spans="1:55" ht="14.45" hidden="1" customHeight="1" x14ac:dyDescent="0.25">
      <c r="A503" s="493" t="s">
        <v>24</v>
      </c>
      <c r="B503" s="493" t="s">
        <v>26</v>
      </c>
      <c r="C503" s="494" t="s">
        <v>169</v>
      </c>
      <c r="D503" s="511" t="s">
        <v>170</v>
      </c>
      <c r="E503" s="497">
        <v>801</v>
      </c>
      <c r="F503" s="497">
        <v>80101</v>
      </c>
      <c r="G503" s="497">
        <v>6050</v>
      </c>
      <c r="H503" s="507">
        <v>2022</v>
      </c>
      <c r="I503" s="499" t="str">
        <f ca="1">IF(COUNTIF(OFFSET(I503,-1,-8),"*propon*")&gt;0,OFFSET(I503,4,0),IF(Y503&gt;0,"2033",IF(X503&gt;0,"2032",IF(W503&gt;0,"2031",IF(V503&gt;0,"2030",IF(U503&gt;0,"2029",IF(T503&gt;0,"2028",IF(S503&gt;0,"2027",IF(R503&gt;0,"2026",IF(Q503&gt;0,"2025",IF(P503&gt;0,"2024",IF(M503&gt;0,"2023",IF(L503&gt;0,"2022","")))))))))))))</f>
        <v>2024</v>
      </c>
      <c r="J503" s="168" t="s">
        <v>94</v>
      </c>
      <c r="K503" s="169">
        <f>SUM(N503:O503)</f>
        <v>3634103</v>
      </c>
      <c r="L503" s="170">
        <f t="shared" ref="L503:M503" si="845">SUM(L504:L505)</f>
        <v>138971</v>
      </c>
      <c r="M503" s="171">
        <f t="shared" si="845"/>
        <v>895545</v>
      </c>
      <c r="N503" s="172">
        <f>SUM(L503:M503)</f>
        <v>1034516</v>
      </c>
      <c r="O503" s="169">
        <f>SUM(P503:Y503)</f>
        <v>2599587</v>
      </c>
      <c r="P503" s="173">
        <f t="shared" ref="P503:R503" si="846">SUM(P504:P505)</f>
        <v>2599587</v>
      </c>
      <c r="Q503" s="171">
        <f t="shared" si="846"/>
        <v>0</v>
      </c>
      <c r="R503" s="174">
        <f t="shared" si="846"/>
        <v>0</v>
      </c>
      <c r="S503" s="175">
        <f t="shared" ref="S503:Y503" si="847">SUM(S504:S505)</f>
        <v>0</v>
      </c>
      <c r="T503" s="171">
        <f t="shared" si="847"/>
        <v>0</v>
      </c>
      <c r="U503" s="171">
        <f t="shared" si="847"/>
        <v>0</v>
      </c>
      <c r="V503" s="171">
        <f t="shared" si="847"/>
        <v>0</v>
      </c>
      <c r="W503" s="171">
        <f t="shared" si="847"/>
        <v>0</v>
      </c>
      <c r="X503" s="171">
        <f t="shared" si="847"/>
        <v>0</v>
      </c>
      <c r="Y503" s="174">
        <f t="shared" si="847"/>
        <v>0</v>
      </c>
      <c r="Z503" s="149" t="str">
        <f t="shared" ca="1" si="759"/>
        <v>nie</v>
      </c>
      <c r="AA503" s="366"/>
      <c r="AB503" s="150" t="str">
        <f t="shared" ca="1" si="806"/>
        <v>-</v>
      </c>
      <c r="AC503" s="151" t="str">
        <f t="shared" ca="1" si="809"/>
        <v>PRZED ZMIANĄ</v>
      </c>
      <c r="AD503" s="152" t="str">
        <f t="shared" ca="1" si="791"/>
        <v>PRZED ZMIANĄ</v>
      </c>
      <c r="AE503" s="153" t="str">
        <f t="shared" ca="1" si="811"/>
        <v>C/USN/V/P1/70</v>
      </c>
      <c r="AF503" s="154" t="str">
        <f t="shared" ca="1" si="812"/>
        <v>Modernizacja budynku Szkoły Podstawowej nr 96 przy ul. Sarabandy 16/22</v>
      </c>
      <c r="AG503" s="155">
        <f t="shared" ca="1" si="813"/>
        <v>80101</v>
      </c>
      <c r="AH503" s="155" t="str">
        <f t="shared" ca="1" si="814"/>
        <v>6050</v>
      </c>
      <c r="AI503" s="156" t="str">
        <f t="shared" ca="1" si="815"/>
        <v>GMMW</v>
      </c>
      <c r="AJ503" s="157" t="str">
        <f t="shared" ca="1" si="816"/>
        <v>WPF, w tym</v>
      </c>
      <c r="AK503" s="158" t="str">
        <f t="shared" ca="1" si="792"/>
        <v>C/USN/V/P1/70 80101 6050 GMMW</v>
      </c>
      <c r="AL503" s="158" t="str">
        <f t="shared" ca="1" si="793"/>
        <v>C/USN/V/P1/70 80101 6050 WPF, w tym</v>
      </c>
      <c r="AM503" s="159" t="str">
        <f t="shared" ca="1" si="794"/>
        <v>C/USN/V/P1/70 80101 6050 GMMW WPF, w tym</v>
      </c>
      <c r="AN503" s="160">
        <f t="shared" ca="1" si="820"/>
        <v>3634103</v>
      </c>
      <c r="AO503" s="161">
        <f t="shared" ca="1" si="821"/>
        <v>138971</v>
      </c>
      <c r="AP503" s="162">
        <f t="shared" ca="1" si="822"/>
        <v>895545</v>
      </c>
      <c r="AQ503" s="163">
        <f t="shared" ca="1" si="823"/>
        <v>2599587</v>
      </c>
      <c r="AR503" s="164">
        <f t="shared" ca="1" si="824"/>
        <v>0</v>
      </c>
      <c r="AS503" s="164">
        <f t="shared" ca="1" si="825"/>
        <v>0</v>
      </c>
      <c r="AT503" s="164">
        <f t="shared" ca="1" si="826"/>
        <v>0</v>
      </c>
      <c r="AU503" s="164">
        <f t="shared" ca="1" si="827"/>
        <v>0</v>
      </c>
      <c r="AV503" s="164">
        <f t="shared" ca="1" si="828"/>
        <v>0</v>
      </c>
      <c r="AW503" s="164">
        <f t="shared" ca="1" si="829"/>
        <v>0</v>
      </c>
      <c r="AX503" s="164">
        <f t="shared" ca="1" si="830"/>
        <v>0</v>
      </c>
      <c r="AY503" s="164">
        <f t="shared" ca="1" si="831"/>
        <v>0</v>
      </c>
      <c r="AZ503" s="164">
        <f t="shared" ca="1" si="832"/>
        <v>0</v>
      </c>
      <c r="BA503" s="165" t="str">
        <f t="shared" ca="1" si="833"/>
        <v>nie</v>
      </c>
      <c r="BB503" s="166" t="str">
        <f t="shared" ca="1" si="807"/>
        <v>-</v>
      </c>
      <c r="BC503" s="165" t="str">
        <f t="shared" ca="1" si="760"/>
        <v>nie</v>
      </c>
    </row>
    <row r="504" spans="1:55" ht="14.45" hidden="1" customHeight="1" x14ac:dyDescent="0.25">
      <c r="A504" s="493"/>
      <c r="B504" s="493"/>
      <c r="C504" s="494"/>
      <c r="D504" s="512"/>
      <c r="E504" s="497"/>
      <c r="F504" s="497"/>
      <c r="G504" s="497"/>
      <c r="H504" s="498"/>
      <c r="I504" s="499"/>
      <c r="J504" s="177" t="s">
        <v>95</v>
      </c>
      <c r="K504" s="178">
        <f>SUM(N504:O504)</f>
        <v>2477447</v>
      </c>
      <c r="L504" s="179"/>
      <c r="M504" s="180"/>
      <c r="N504" s="172">
        <f>SUM(L504:M504)</f>
        <v>0</v>
      </c>
      <c r="O504" s="178">
        <f>SUM(P504:Y504)</f>
        <v>2477447</v>
      </c>
      <c r="P504" s="181">
        <v>2477447</v>
      </c>
      <c r="Q504" s="180"/>
      <c r="R504" s="182"/>
      <c r="S504" s="183"/>
      <c r="T504" s="180"/>
      <c r="U504" s="180"/>
      <c r="V504" s="180"/>
      <c r="W504" s="180"/>
      <c r="X504" s="180"/>
      <c r="Y504" s="182"/>
      <c r="Z504" s="149" t="str">
        <f t="shared" ca="1" si="759"/>
        <v>nie</v>
      </c>
      <c r="AA504" s="366"/>
      <c r="AB504" s="150" t="str">
        <f t="shared" ca="1" si="806"/>
        <v>-</v>
      </c>
      <c r="AC504" s="151" t="str">
        <f t="shared" ca="1" si="809"/>
        <v>PRZED ZMIANĄ</v>
      </c>
      <c r="AD504" s="152" t="str">
        <f t="shared" ca="1" si="791"/>
        <v>PRZED ZMIANĄ</v>
      </c>
      <c r="AE504" s="153" t="str">
        <f t="shared" ca="1" si="811"/>
        <v>C/USN/V/P1/70</v>
      </c>
      <c r="AF504" s="154" t="str">
        <f t="shared" ca="1" si="812"/>
        <v>Modernizacja budynku Szkoły Podstawowej nr 96 przy ul. Sarabandy 16/22</v>
      </c>
      <c r="AG504" s="155">
        <f t="shared" ca="1" si="813"/>
        <v>80101</v>
      </c>
      <c r="AH504" s="155" t="str">
        <f t="shared" ca="1" si="814"/>
        <v>6050</v>
      </c>
      <c r="AI504" s="156" t="str">
        <f t="shared" ca="1" si="815"/>
        <v>GMMW</v>
      </c>
      <c r="AJ504" s="157" t="str">
        <f t="shared" ca="1" si="816"/>
        <v>WPF/PM</v>
      </c>
      <c r="AK504" s="158" t="str">
        <f t="shared" ca="1" si="792"/>
        <v>C/USN/V/P1/70 80101 6050 GMMW</v>
      </c>
      <c r="AL504" s="158" t="str">
        <f t="shared" ca="1" si="793"/>
        <v>C/USN/V/P1/70 80101 6050 WPF/PM</v>
      </c>
      <c r="AM504" s="159" t="str">
        <f t="shared" ca="1" si="794"/>
        <v>C/USN/V/P1/70 80101 6050 GMMW WPF/PM</v>
      </c>
      <c r="AN504" s="160">
        <f t="shared" ca="1" si="820"/>
        <v>2477447</v>
      </c>
      <c r="AO504" s="161">
        <f t="shared" ca="1" si="821"/>
        <v>0</v>
      </c>
      <c r="AP504" s="162">
        <f t="shared" ca="1" si="822"/>
        <v>0</v>
      </c>
      <c r="AQ504" s="163">
        <f t="shared" ca="1" si="823"/>
        <v>2477447</v>
      </c>
      <c r="AR504" s="164">
        <f t="shared" ca="1" si="824"/>
        <v>0</v>
      </c>
      <c r="AS504" s="164">
        <f t="shared" ca="1" si="825"/>
        <v>0</v>
      </c>
      <c r="AT504" s="164">
        <f t="shared" ca="1" si="826"/>
        <v>0</v>
      </c>
      <c r="AU504" s="164">
        <f t="shared" ca="1" si="827"/>
        <v>0</v>
      </c>
      <c r="AV504" s="164">
        <f t="shared" ca="1" si="828"/>
        <v>0</v>
      </c>
      <c r="AW504" s="164">
        <f t="shared" ca="1" si="829"/>
        <v>0</v>
      </c>
      <c r="AX504" s="164">
        <f t="shared" ca="1" si="830"/>
        <v>0</v>
      </c>
      <c r="AY504" s="164">
        <f t="shared" ca="1" si="831"/>
        <v>0</v>
      </c>
      <c r="AZ504" s="164">
        <f t="shared" ca="1" si="832"/>
        <v>0</v>
      </c>
      <c r="BA504" s="165" t="str">
        <f t="shared" ca="1" si="833"/>
        <v>nie</v>
      </c>
      <c r="BB504" s="166" t="str">
        <f t="shared" ca="1" si="807"/>
        <v>-</v>
      </c>
      <c r="BC504" s="165" t="str">
        <f t="shared" ca="1" si="760"/>
        <v>nie</v>
      </c>
    </row>
    <row r="505" spans="1:55" ht="14.45" hidden="1" customHeight="1" x14ac:dyDescent="0.25">
      <c r="A505" s="493"/>
      <c r="B505" s="493"/>
      <c r="C505" s="494"/>
      <c r="D505" s="512"/>
      <c r="E505" s="497"/>
      <c r="F505" s="497"/>
      <c r="G505" s="497"/>
      <c r="H505" s="498"/>
      <c r="I505" s="499"/>
      <c r="J505" s="177" t="s">
        <v>96</v>
      </c>
      <c r="K505" s="178">
        <f>SUM(N505:O505)</f>
        <v>1156656</v>
      </c>
      <c r="L505" s="184">
        <v>138971</v>
      </c>
      <c r="M505" s="180">
        <v>895545</v>
      </c>
      <c r="N505" s="172">
        <f>SUM(L505:M505)</f>
        <v>1034516</v>
      </c>
      <c r="O505" s="178">
        <f>SUM(P505:Y505)</f>
        <v>122140</v>
      </c>
      <c r="P505" s="181">
        <v>122140</v>
      </c>
      <c r="Q505" s="180"/>
      <c r="R505" s="182"/>
      <c r="S505" s="183"/>
      <c r="T505" s="180"/>
      <c r="U505" s="180"/>
      <c r="V505" s="180"/>
      <c r="W505" s="180"/>
      <c r="X505" s="180"/>
      <c r="Y505" s="182"/>
      <c r="Z505" s="149" t="str">
        <f t="shared" ca="1" si="759"/>
        <v>nie</v>
      </c>
      <c r="AA505" s="366"/>
      <c r="AB505" s="150" t="str">
        <f t="shared" ca="1" si="806"/>
        <v>-</v>
      </c>
      <c r="AC505" s="151" t="str">
        <f t="shared" ca="1" si="809"/>
        <v>PRZED ZMIANĄ</v>
      </c>
      <c r="AD505" s="152" t="str">
        <f t="shared" ca="1" si="791"/>
        <v>PRZED ZMIANĄ</v>
      </c>
      <c r="AE505" s="153" t="str">
        <f t="shared" ca="1" si="811"/>
        <v>C/USN/V/P1/70</v>
      </c>
      <c r="AF505" s="154" t="str">
        <f t="shared" ca="1" si="812"/>
        <v>Modernizacja budynku Szkoły Podstawowej nr 96 przy ul. Sarabandy 16/22</v>
      </c>
      <c r="AG505" s="155">
        <f t="shared" ca="1" si="813"/>
        <v>80101</v>
      </c>
      <c r="AH505" s="155" t="str">
        <f t="shared" ca="1" si="814"/>
        <v>6050</v>
      </c>
      <c r="AI505" s="156" t="str">
        <f t="shared" ca="1" si="815"/>
        <v>GMMW</v>
      </c>
      <c r="AJ505" s="157" t="str">
        <f t="shared" ca="1" si="816"/>
        <v>WPF/UM</v>
      </c>
      <c r="AK505" s="158" t="str">
        <f t="shared" ca="1" si="792"/>
        <v>C/USN/V/P1/70 80101 6050 GMMW</v>
      </c>
      <c r="AL505" s="158" t="str">
        <f t="shared" ca="1" si="793"/>
        <v>C/USN/V/P1/70 80101 6050 WPF/UM</v>
      </c>
      <c r="AM505" s="159" t="str">
        <f t="shared" ca="1" si="794"/>
        <v>C/USN/V/P1/70 80101 6050 GMMW WPF/UM</v>
      </c>
      <c r="AN505" s="160">
        <f t="shared" ca="1" si="820"/>
        <v>1156656</v>
      </c>
      <c r="AO505" s="161">
        <f t="shared" ca="1" si="821"/>
        <v>138971</v>
      </c>
      <c r="AP505" s="162">
        <f t="shared" ca="1" si="822"/>
        <v>895545</v>
      </c>
      <c r="AQ505" s="163">
        <f t="shared" ca="1" si="823"/>
        <v>122140</v>
      </c>
      <c r="AR505" s="164">
        <f t="shared" ca="1" si="824"/>
        <v>0</v>
      </c>
      <c r="AS505" s="164">
        <f t="shared" ca="1" si="825"/>
        <v>0</v>
      </c>
      <c r="AT505" s="164">
        <f t="shared" ca="1" si="826"/>
        <v>0</v>
      </c>
      <c r="AU505" s="164">
        <f t="shared" ca="1" si="827"/>
        <v>0</v>
      </c>
      <c r="AV505" s="164">
        <f t="shared" ca="1" si="828"/>
        <v>0</v>
      </c>
      <c r="AW505" s="164">
        <f t="shared" ca="1" si="829"/>
        <v>0</v>
      </c>
      <c r="AX505" s="164">
        <f t="shared" ca="1" si="830"/>
        <v>0</v>
      </c>
      <c r="AY505" s="164">
        <f t="shared" ca="1" si="831"/>
        <v>0</v>
      </c>
      <c r="AZ505" s="164">
        <f t="shared" ca="1" si="832"/>
        <v>0</v>
      </c>
      <c r="BA505" s="165" t="str">
        <f t="shared" ca="1" si="833"/>
        <v>nie</v>
      </c>
      <c r="BB505" s="166" t="str">
        <f t="shared" ca="1" si="807"/>
        <v>-</v>
      </c>
      <c r="BC505" s="165" t="str">
        <f t="shared" ca="1" si="760"/>
        <v>nie</v>
      </c>
    </row>
    <row r="506" spans="1:55" ht="14.45" hidden="1" customHeight="1" x14ac:dyDescent="0.25">
      <c r="A506" s="185" t="s">
        <v>97</v>
      </c>
      <c r="B506" s="186"/>
      <c r="C506" s="187"/>
      <c r="D506" s="186"/>
      <c r="E506" s="186"/>
      <c r="F506" s="186"/>
      <c r="G506" s="186"/>
      <c r="H506" s="186"/>
      <c r="I506" s="186"/>
      <c r="J506" s="186"/>
      <c r="K506" s="186"/>
      <c r="L506" s="186"/>
      <c r="M506" s="186"/>
      <c r="N506" s="186"/>
      <c r="O506" s="186"/>
      <c r="P506" s="186"/>
      <c r="Q506" s="186"/>
      <c r="R506" s="188"/>
      <c r="S506" s="189"/>
      <c r="T506" s="189"/>
      <c r="U506" s="189"/>
      <c r="V506" s="189"/>
      <c r="W506" s="189"/>
      <c r="X506" s="189"/>
      <c r="Y506" s="190"/>
      <c r="Z506" s="149" t="str">
        <f t="shared" ca="1" si="759"/>
        <v>nie</v>
      </c>
      <c r="AA506" s="366"/>
      <c r="AB506" s="150" t="str">
        <f t="shared" ca="1" si="806"/>
        <v>-</v>
      </c>
      <c r="AC506" s="151" t="str">
        <f t="shared" ca="1" si="809"/>
        <v>PROPONOWANA ZMIANA</v>
      </c>
      <c r="AD506" s="152" t="str">
        <f t="shared" ca="1" si="791"/>
        <v/>
      </c>
      <c r="AE506" s="153" t="str">
        <f t="shared" ca="1" si="811"/>
        <v/>
      </c>
      <c r="AF506" s="154" t="str">
        <f t="shared" ca="1" si="812"/>
        <v/>
      </c>
      <c r="AG506" s="155" t="str">
        <f t="shared" ca="1" si="813"/>
        <v/>
      </c>
      <c r="AH506" s="155" t="str">
        <f t="shared" ca="1" si="814"/>
        <v/>
      </c>
      <c r="AI506" s="156" t="str">
        <f t="shared" ca="1" si="815"/>
        <v/>
      </c>
      <c r="AJ506" s="157" t="str">
        <f t="shared" ca="1" si="816"/>
        <v/>
      </c>
      <c r="AK506" s="158" t="str">
        <f t="shared" ca="1" si="792"/>
        <v/>
      </c>
      <c r="AL506" s="158" t="str">
        <f t="shared" ca="1" si="793"/>
        <v/>
      </c>
      <c r="AM506" s="159" t="str">
        <f t="shared" ca="1" si="794"/>
        <v/>
      </c>
      <c r="AN506" s="160" t="str">
        <f t="shared" ca="1" si="820"/>
        <v/>
      </c>
      <c r="AO506" s="161" t="str">
        <f t="shared" ca="1" si="821"/>
        <v/>
      </c>
      <c r="AP506" s="162" t="str">
        <f t="shared" ca="1" si="822"/>
        <v/>
      </c>
      <c r="AQ506" s="163" t="str">
        <f t="shared" ca="1" si="823"/>
        <v/>
      </c>
      <c r="AR506" s="164" t="str">
        <f t="shared" ca="1" si="824"/>
        <v/>
      </c>
      <c r="AS506" s="164" t="str">
        <f t="shared" ca="1" si="825"/>
        <v/>
      </c>
      <c r="AT506" s="164" t="str">
        <f t="shared" ca="1" si="826"/>
        <v/>
      </c>
      <c r="AU506" s="164" t="str">
        <f t="shared" ca="1" si="827"/>
        <v/>
      </c>
      <c r="AV506" s="164" t="str">
        <f t="shared" ca="1" si="828"/>
        <v/>
      </c>
      <c r="AW506" s="164" t="str">
        <f t="shared" ca="1" si="829"/>
        <v/>
      </c>
      <c r="AX506" s="164" t="str">
        <f t="shared" ca="1" si="830"/>
        <v/>
      </c>
      <c r="AY506" s="164" t="str">
        <f t="shared" ca="1" si="831"/>
        <v/>
      </c>
      <c r="AZ506" s="164" t="str">
        <f t="shared" ca="1" si="832"/>
        <v/>
      </c>
      <c r="BA506" s="165" t="str">
        <f t="shared" ca="1" si="833"/>
        <v>nie</v>
      </c>
      <c r="BB506" s="166" t="str">
        <f t="shared" ca="1" si="807"/>
        <v>-</v>
      </c>
      <c r="BC506" s="165" t="str">
        <f t="shared" ca="1" si="760"/>
        <v>nie</v>
      </c>
    </row>
    <row r="507" spans="1:55" ht="14.45" hidden="1" customHeight="1" x14ac:dyDescent="0.25">
      <c r="A507" s="493" t="s">
        <v>24</v>
      </c>
      <c r="B507" s="493" t="s">
        <v>26</v>
      </c>
      <c r="C507" s="494" t="s">
        <v>169</v>
      </c>
      <c r="D507" s="511" t="s">
        <v>170</v>
      </c>
      <c r="E507" s="497">
        <v>801</v>
      </c>
      <c r="F507" s="497">
        <v>80101</v>
      </c>
      <c r="G507" s="497">
        <v>6050</v>
      </c>
      <c r="H507" s="507">
        <v>2022</v>
      </c>
      <c r="I507" s="499" t="str">
        <f ca="1">IF(COUNTIF(OFFSET(I507,-1,-8),"*propon*")&gt;0,OFFSET(I507,4,0),IF(Y507&gt;0,"2033",IF(X507&gt;0,"2032",IF(W507&gt;0,"2031",IF(V507&gt;0,"2030",IF(U507&gt;0,"2029",IF(T507&gt;0,"2028",IF(S507&gt;0,"2027",IF(R507&gt;0,"2026",IF(Q507&gt;0,"2025",IF(P507&gt;0,"2024",IF(M507&gt;0,"2023",IF(L507&gt;0,"2022","")))))))))))))</f>
        <v>2024</v>
      </c>
      <c r="J507" s="168" t="s">
        <v>98</v>
      </c>
      <c r="K507" s="169">
        <f>SUM(N507:O507)</f>
        <v>0</v>
      </c>
      <c r="L507" s="170">
        <f t="shared" ref="L507:M507" si="848">SUM(L508:L509)</f>
        <v>0</v>
      </c>
      <c r="M507" s="171">
        <f t="shared" si="848"/>
        <v>0</v>
      </c>
      <c r="N507" s="172">
        <f>SUM(L507:M507)</f>
        <v>0</v>
      </c>
      <c r="O507" s="169">
        <f>SUM(P507:Y507)</f>
        <v>0</v>
      </c>
      <c r="P507" s="173">
        <f t="shared" ref="P507:R507" si="849">SUM(P508:P509)</f>
        <v>0</v>
      </c>
      <c r="Q507" s="171">
        <f t="shared" si="849"/>
        <v>0</v>
      </c>
      <c r="R507" s="174">
        <f t="shared" si="849"/>
        <v>0</v>
      </c>
      <c r="S507" s="175">
        <f t="shared" ref="S507:Y507" si="850">SUM(S508:S509)</f>
        <v>0</v>
      </c>
      <c r="T507" s="171">
        <f t="shared" si="850"/>
        <v>0</v>
      </c>
      <c r="U507" s="171">
        <f t="shared" si="850"/>
        <v>0</v>
      </c>
      <c r="V507" s="171">
        <f t="shared" si="850"/>
        <v>0</v>
      </c>
      <c r="W507" s="171">
        <f t="shared" si="850"/>
        <v>0</v>
      </c>
      <c r="X507" s="171">
        <f t="shared" si="850"/>
        <v>0</v>
      </c>
      <c r="Y507" s="174">
        <f t="shared" si="850"/>
        <v>0</v>
      </c>
      <c r="Z507" s="149" t="str">
        <f t="shared" ca="1" si="759"/>
        <v>nie</v>
      </c>
      <c r="AA507" s="366"/>
      <c r="AB507" s="150" t="str">
        <f t="shared" ca="1" si="806"/>
        <v>-</v>
      </c>
      <c r="AC507" s="151" t="str">
        <f t="shared" ca="1" si="809"/>
        <v>PROPONOWANA ZMIANA</v>
      </c>
      <c r="AD507" s="152" t="str">
        <f t="shared" ca="1" si="791"/>
        <v>PROPONOWANA ZMIANA</v>
      </c>
      <c r="AE507" s="153" t="str">
        <f t="shared" ca="1" si="811"/>
        <v>C/USN/V/P1/70</v>
      </c>
      <c r="AF507" s="154" t="str">
        <f t="shared" ca="1" si="812"/>
        <v>Modernizacja budynku Szkoły Podstawowej nr 96 przy ul. Sarabandy 16/22</v>
      </c>
      <c r="AG507" s="155">
        <f t="shared" ca="1" si="813"/>
        <v>80101</v>
      </c>
      <c r="AH507" s="155" t="str">
        <f t="shared" ca="1" si="814"/>
        <v>6050</v>
      </c>
      <c r="AI507" s="156" t="str">
        <f t="shared" ca="1" si="815"/>
        <v>GMMW</v>
      </c>
      <c r="AJ507" s="157" t="str">
        <f t="shared" ca="1" si="816"/>
        <v>WPF, w tym</v>
      </c>
      <c r="AK507" s="158" t="str">
        <f t="shared" ca="1" si="792"/>
        <v>C/USN/V/P1/70 80101 6050 GMMW</v>
      </c>
      <c r="AL507" s="158" t="str">
        <f t="shared" ca="1" si="793"/>
        <v>C/USN/V/P1/70 80101 6050 WPF, w tym</v>
      </c>
      <c r="AM507" s="159" t="str">
        <f t="shared" ca="1" si="794"/>
        <v>C/USN/V/P1/70 80101 6050 GMMW WPF, w tym</v>
      </c>
      <c r="AN507" s="160">
        <f t="shared" ca="1" si="820"/>
        <v>0</v>
      </c>
      <c r="AO507" s="161">
        <f t="shared" ca="1" si="821"/>
        <v>0</v>
      </c>
      <c r="AP507" s="162">
        <f t="shared" ca="1" si="822"/>
        <v>0</v>
      </c>
      <c r="AQ507" s="163">
        <f t="shared" ca="1" si="823"/>
        <v>0</v>
      </c>
      <c r="AR507" s="164">
        <f t="shared" ca="1" si="824"/>
        <v>0</v>
      </c>
      <c r="AS507" s="164">
        <f t="shared" ca="1" si="825"/>
        <v>0</v>
      </c>
      <c r="AT507" s="164">
        <f t="shared" ca="1" si="826"/>
        <v>0</v>
      </c>
      <c r="AU507" s="164">
        <f t="shared" ca="1" si="827"/>
        <v>0</v>
      </c>
      <c r="AV507" s="164">
        <f t="shared" ca="1" si="828"/>
        <v>0</v>
      </c>
      <c r="AW507" s="164">
        <f t="shared" ca="1" si="829"/>
        <v>0</v>
      </c>
      <c r="AX507" s="164">
        <f t="shared" ca="1" si="830"/>
        <v>0</v>
      </c>
      <c r="AY507" s="164">
        <f t="shared" ca="1" si="831"/>
        <v>0</v>
      </c>
      <c r="AZ507" s="164">
        <f t="shared" ca="1" si="832"/>
        <v>0</v>
      </c>
      <c r="BA507" s="165" t="str">
        <f t="shared" ca="1" si="833"/>
        <v>nie</v>
      </c>
      <c r="BB507" s="166" t="str">
        <f t="shared" ca="1" si="807"/>
        <v>-</v>
      </c>
      <c r="BC507" s="165" t="str">
        <f t="shared" ca="1" si="760"/>
        <v>nie</v>
      </c>
    </row>
    <row r="508" spans="1:55" ht="14.45" hidden="1" customHeight="1" x14ac:dyDescent="0.25">
      <c r="A508" s="493"/>
      <c r="B508" s="493"/>
      <c r="C508" s="494"/>
      <c r="D508" s="512"/>
      <c r="E508" s="497"/>
      <c r="F508" s="497"/>
      <c r="G508" s="497"/>
      <c r="H508" s="498"/>
      <c r="I508" s="499"/>
      <c r="J508" s="177" t="s">
        <v>99</v>
      </c>
      <c r="K508" s="178">
        <f>SUM(N508:O508)</f>
        <v>0</v>
      </c>
      <c r="L508" s="179">
        <f t="shared" ref="L508:M508" si="851">L512-L504</f>
        <v>0</v>
      </c>
      <c r="M508" s="180">
        <f t="shared" si="851"/>
        <v>0</v>
      </c>
      <c r="N508" s="172">
        <f>SUM(L508:M508)</f>
        <v>0</v>
      </c>
      <c r="O508" s="178">
        <f>SUM(P508:Y508)</f>
        <v>0</v>
      </c>
      <c r="P508" s="181">
        <f t="shared" ref="P508:R508" si="852">P512-P504</f>
        <v>0</v>
      </c>
      <c r="Q508" s="180">
        <f t="shared" si="852"/>
        <v>0</v>
      </c>
      <c r="R508" s="182">
        <f t="shared" si="852"/>
        <v>0</v>
      </c>
      <c r="S508" s="183">
        <f t="shared" ref="S508:Y509" si="853">S512-S504</f>
        <v>0</v>
      </c>
      <c r="T508" s="180">
        <f t="shared" si="853"/>
        <v>0</v>
      </c>
      <c r="U508" s="180">
        <f t="shared" si="853"/>
        <v>0</v>
      </c>
      <c r="V508" s="180">
        <f t="shared" si="853"/>
        <v>0</v>
      </c>
      <c r="W508" s="180">
        <f t="shared" si="853"/>
        <v>0</v>
      </c>
      <c r="X508" s="180">
        <f t="shared" si="853"/>
        <v>0</v>
      </c>
      <c r="Y508" s="182">
        <f t="shared" si="853"/>
        <v>0</v>
      </c>
      <c r="Z508" s="149" t="str">
        <f t="shared" ca="1" si="759"/>
        <v>nie</v>
      </c>
      <c r="AA508" s="366"/>
      <c r="AB508" s="150" t="str">
        <f t="shared" ca="1" si="806"/>
        <v>-</v>
      </c>
      <c r="AC508" s="151" t="str">
        <f t="shared" ca="1" si="809"/>
        <v>PROPONOWANA ZMIANA</v>
      </c>
      <c r="AD508" s="152" t="str">
        <f t="shared" ca="1" si="791"/>
        <v>PROPONOWANA ZMIANA</v>
      </c>
      <c r="AE508" s="153" t="str">
        <f t="shared" ca="1" si="811"/>
        <v>C/USN/V/P1/70</v>
      </c>
      <c r="AF508" s="154" t="str">
        <f t="shared" ca="1" si="812"/>
        <v>Modernizacja budynku Szkoły Podstawowej nr 96 przy ul. Sarabandy 16/22</v>
      </c>
      <c r="AG508" s="155">
        <f t="shared" ca="1" si="813"/>
        <v>80101</v>
      </c>
      <c r="AH508" s="155" t="str">
        <f t="shared" ca="1" si="814"/>
        <v>6050</v>
      </c>
      <c r="AI508" s="156" t="str">
        <f t="shared" ca="1" si="815"/>
        <v>GMMW</v>
      </c>
      <c r="AJ508" s="157" t="str">
        <f t="shared" ca="1" si="816"/>
        <v>WPF/PM</v>
      </c>
      <c r="AK508" s="158" t="str">
        <f t="shared" ca="1" si="792"/>
        <v>C/USN/V/P1/70 80101 6050 GMMW</v>
      </c>
      <c r="AL508" s="158" t="str">
        <f t="shared" ca="1" si="793"/>
        <v>C/USN/V/P1/70 80101 6050 WPF/PM</v>
      </c>
      <c r="AM508" s="159" t="str">
        <f t="shared" ca="1" si="794"/>
        <v>C/USN/V/P1/70 80101 6050 GMMW WPF/PM</v>
      </c>
      <c r="AN508" s="160">
        <f t="shared" ca="1" si="820"/>
        <v>0</v>
      </c>
      <c r="AO508" s="161">
        <f t="shared" ca="1" si="821"/>
        <v>0</v>
      </c>
      <c r="AP508" s="162">
        <f t="shared" ca="1" si="822"/>
        <v>0</v>
      </c>
      <c r="AQ508" s="163">
        <f t="shared" ca="1" si="823"/>
        <v>0</v>
      </c>
      <c r="AR508" s="164">
        <f t="shared" ca="1" si="824"/>
        <v>0</v>
      </c>
      <c r="AS508" s="164">
        <f t="shared" ca="1" si="825"/>
        <v>0</v>
      </c>
      <c r="AT508" s="164">
        <f t="shared" ca="1" si="826"/>
        <v>0</v>
      </c>
      <c r="AU508" s="164">
        <f t="shared" ca="1" si="827"/>
        <v>0</v>
      </c>
      <c r="AV508" s="164">
        <f t="shared" ca="1" si="828"/>
        <v>0</v>
      </c>
      <c r="AW508" s="164">
        <f t="shared" ca="1" si="829"/>
        <v>0</v>
      </c>
      <c r="AX508" s="164">
        <f t="shared" ca="1" si="830"/>
        <v>0</v>
      </c>
      <c r="AY508" s="164">
        <f t="shared" ca="1" si="831"/>
        <v>0</v>
      </c>
      <c r="AZ508" s="164">
        <f t="shared" ca="1" si="832"/>
        <v>0</v>
      </c>
      <c r="BA508" s="165" t="str">
        <f t="shared" ca="1" si="833"/>
        <v>nie</v>
      </c>
      <c r="BB508" s="166" t="str">
        <f t="shared" ca="1" si="807"/>
        <v>-</v>
      </c>
      <c r="BC508" s="165" t="str">
        <f t="shared" ca="1" si="760"/>
        <v>nie</v>
      </c>
    </row>
    <row r="509" spans="1:55" ht="14.45" hidden="1" customHeight="1" x14ac:dyDescent="0.25">
      <c r="A509" s="493"/>
      <c r="B509" s="493"/>
      <c r="C509" s="494"/>
      <c r="D509" s="512"/>
      <c r="E509" s="497"/>
      <c r="F509" s="497"/>
      <c r="G509" s="497"/>
      <c r="H509" s="498"/>
      <c r="I509" s="499"/>
      <c r="J509" s="177" t="s">
        <v>100</v>
      </c>
      <c r="K509" s="178">
        <f>SUM(N509:O509)</f>
        <v>0</v>
      </c>
      <c r="L509" s="179">
        <f t="shared" ref="L509:M509" si="854">L513-L505</f>
        <v>0</v>
      </c>
      <c r="M509" s="180">
        <f t="shared" si="854"/>
        <v>0</v>
      </c>
      <c r="N509" s="172">
        <f>SUM(L509:M509)</f>
        <v>0</v>
      </c>
      <c r="O509" s="178">
        <f>SUM(P509:Y509)</f>
        <v>0</v>
      </c>
      <c r="P509" s="181">
        <f t="shared" ref="P509:R509" si="855">P513-P505</f>
        <v>0</v>
      </c>
      <c r="Q509" s="180">
        <f t="shared" si="855"/>
        <v>0</v>
      </c>
      <c r="R509" s="182">
        <f t="shared" si="855"/>
        <v>0</v>
      </c>
      <c r="S509" s="183">
        <f t="shared" si="853"/>
        <v>0</v>
      </c>
      <c r="T509" s="180">
        <f t="shared" si="853"/>
        <v>0</v>
      </c>
      <c r="U509" s="180">
        <f t="shared" si="853"/>
        <v>0</v>
      </c>
      <c r="V509" s="180">
        <f t="shared" si="853"/>
        <v>0</v>
      </c>
      <c r="W509" s="180">
        <f t="shared" si="853"/>
        <v>0</v>
      </c>
      <c r="X509" s="180">
        <f t="shared" si="853"/>
        <v>0</v>
      </c>
      <c r="Y509" s="182">
        <f t="shared" si="853"/>
        <v>0</v>
      </c>
      <c r="Z509" s="149" t="str">
        <f t="shared" ca="1" si="759"/>
        <v>nie</v>
      </c>
      <c r="AA509" s="366"/>
      <c r="AB509" s="150" t="str">
        <f t="shared" ca="1" si="806"/>
        <v>-</v>
      </c>
      <c r="AC509" s="151" t="str">
        <f t="shared" ca="1" si="809"/>
        <v>PROPONOWANA ZMIANA</v>
      </c>
      <c r="AD509" s="152" t="str">
        <f t="shared" ca="1" si="791"/>
        <v>PROPONOWANA ZMIANA</v>
      </c>
      <c r="AE509" s="153" t="str">
        <f t="shared" ca="1" si="811"/>
        <v>C/USN/V/P1/70</v>
      </c>
      <c r="AF509" s="154" t="str">
        <f t="shared" ca="1" si="812"/>
        <v>Modernizacja budynku Szkoły Podstawowej nr 96 przy ul. Sarabandy 16/22</v>
      </c>
      <c r="AG509" s="155">
        <f t="shared" ca="1" si="813"/>
        <v>80101</v>
      </c>
      <c r="AH509" s="155" t="str">
        <f t="shared" ca="1" si="814"/>
        <v>6050</v>
      </c>
      <c r="AI509" s="156" t="str">
        <f t="shared" ca="1" si="815"/>
        <v>GMMW</v>
      </c>
      <c r="AJ509" s="157" t="str">
        <f t="shared" ca="1" si="816"/>
        <v>WPF/UM</v>
      </c>
      <c r="AK509" s="158" t="str">
        <f t="shared" ca="1" si="792"/>
        <v>C/USN/V/P1/70 80101 6050 GMMW</v>
      </c>
      <c r="AL509" s="158" t="str">
        <f t="shared" ca="1" si="793"/>
        <v>C/USN/V/P1/70 80101 6050 WPF/UM</v>
      </c>
      <c r="AM509" s="159" t="str">
        <f t="shared" ca="1" si="794"/>
        <v>C/USN/V/P1/70 80101 6050 GMMW WPF/UM</v>
      </c>
      <c r="AN509" s="160">
        <f t="shared" ca="1" si="820"/>
        <v>0</v>
      </c>
      <c r="AO509" s="161">
        <f t="shared" ca="1" si="821"/>
        <v>0</v>
      </c>
      <c r="AP509" s="162">
        <f t="shared" ca="1" si="822"/>
        <v>0</v>
      </c>
      <c r="AQ509" s="163">
        <f t="shared" ca="1" si="823"/>
        <v>0</v>
      </c>
      <c r="AR509" s="164">
        <f t="shared" ca="1" si="824"/>
        <v>0</v>
      </c>
      <c r="AS509" s="164">
        <f t="shared" ca="1" si="825"/>
        <v>0</v>
      </c>
      <c r="AT509" s="164">
        <f t="shared" ca="1" si="826"/>
        <v>0</v>
      </c>
      <c r="AU509" s="164">
        <f t="shared" ca="1" si="827"/>
        <v>0</v>
      </c>
      <c r="AV509" s="164">
        <f t="shared" ca="1" si="828"/>
        <v>0</v>
      </c>
      <c r="AW509" s="164">
        <f t="shared" ca="1" si="829"/>
        <v>0</v>
      </c>
      <c r="AX509" s="164">
        <f t="shared" ca="1" si="830"/>
        <v>0</v>
      </c>
      <c r="AY509" s="164">
        <f t="shared" ca="1" si="831"/>
        <v>0</v>
      </c>
      <c r="AZ509" s="164">
        <f t="shared" ca="1" si="832"/>
        <v>0</v>
      </c>
      <c r="BA509" s="165" t="str">
        <f t="shared" ca="1" si="833"/>
        <v>nie</v>
      </c>
      <c r="BB509" s="166" t="str">
        <f t="shared" ca="1" si="807"/>
        <v>-</v>
      </c>
      <c r="BC509" s="165" t="str">
        <f t="shared" ca="1" si="760"/>
        <v>nie</v>
      </c>
    </row>
    <row r="510" spans="1:55" ht="14.45" hidden="1" customHeight="1" x14ac:dyDescent="0.25">
      <c r="A510" s="191" t="s">
        <v>101</v>
      </c>
      <c r="B510" s="192"/>
      <c r="C510" s="193"/>
      <c r="D510" s="192"/>
      <c r="E510" s="192"/>
      <c r="F510" s="192"/>
      <c r="G510" s="192"/>
      <c r="H510" s="192"/>
      <c r="I510" s="192"/>
      <c r="J510" s="192"/>
      <c r="K510" s="192"/>
      <c r="L510" s="192"/>
      <c r="M510" s="192"/>
      <c r="N510" s="192"/>
      <c r="O510" s="192"/>
      <c r="P510" s="192"/>
      <c r="Q510" s="192"/>
      <c r="R510" s="194"/>
      <c r="S510" s="195"/>
      <c r="T510" s="195"/>
      <c r="U510" s="195"/>
      <c r="V510" s="195"/>
      <c r="W510" s="195"/>
      <c r="X510" s="195"/>
      <c r="Y510" s="196"/>
      <c r="Z510" s="149" t="str">
        <f t="shared" ca="1" si="759"/>
        <v>nie</v>
      </c>
      <c r="AA510" s="366"/>
      <c r="AB510" s="150" t="str">
        <f t="shared" ca="1" si="806"/>
        <v>-</v>
      </c>
      <c r="AC510" s="151" t="str">
        <f t="shared" ca="1" si="809"/>
        <v>PO ZMIANIE</v>
      </c>
      <c r="AD510" s="152" t="str">
        <f t="shared" ca="1" si="791"/>
        <v/>
      </c>
      <c r="AE510" s="153" t="str">
        <f t="shared" ca="1" si="811"/>
        <v/>
      </c>
      <c r="AF510" s="154" t="str">
        <f t="shared" ca="1" si="812"/>
        <v/>
      </c>
      <c r="AG510" s="155" t="str">
        <f t="shared" ca="1" si="813"/>
        <v/>
      </c>
      <c r="AH510" s="155" t="str">
        <f t="shared" ca="1" si="814"/>
        <v/>
      </c>
      <c r="AI510" s="156" t="str">
        <f t="shared" ca="1" si="815"/>
        <v/>
      </c>
      <c r="AJ510" s="157" t="str">
        <f t="shared" ca="1" si="816"/>
        <v/>
      </c>
      <c r="AK510" s="158" t="str">
        <f t="shared" ca="1" si="792"/>
        <v/>
      </c>
      <c r="AL510" s="158" t="str">
        <f t="shared" ca="1" si="793"/>
        <v/>
      </c>
      <c r="AM510" s="159" t="str">
        <f t="shared" ca="1" si="794"/>
        <v/>
      </c>
      <c r="AN510" s="160" t="str">
        <f t="shared" ca="1" si="820"/>
        <v/>
      </c>
      <c r="AO510" s="161" t="str">
        <f t="shared" ca="1" si="821"/>
        <v/>
      </c>
      <c r="AP510" s="162" t="str">
        <f t="shared" ca="1" si="822"/>
        <v/>
      </c>
      <c r="AQ510" s="163" t="str">
        <f t="shared" ca="1" si="823"/>
        <v/>
      </c>
      <c r="AR510" s="164" t="str">
        <f t="shared" ca="1" si="824"/>
        <v/>
      </c>
      <c r="AS510" s="164" t="str">
        <f t="shared" ca="1" si="825"/>
        <v/>
      </c>
      <c r="AT510" s="164" t="str">
        <f t="shared" ca="1" si="826"/>
        <v/>
      </c>
      <c r="AU510" s="164" t="str">
        <f t="shared" ca="1" si="827"/>
        <v/>
      </c>
      <c r="AV510" s="164" t="str">
        <f t="shared" ca="1" si="828"/>
        <v/>
      </c>
      <c r="AW510" s="164" t="str">
        <f t="shared" ca="1" si="829"/>
        <v/>
      </c>
      <c r="AX510" s="164" t="str">
        <f t="shared" ca="1" si="830"/>
        <v/>
      </c>
      <c r="AY510" s="164" t="str">
        <f t="shared" ca="1" si="831"/>
        <v/>
      </c>
      <c r="AZ510" s="164" t="str">
        <f t="shared" ca="1" si="832"/>
        <v/>
      </c>
      <c r="BA510" s="165" t="str">
        <f t="shared" ca="1" si="833"/>
        <v>nie</v>
      </c>
      <c r="BB510" s="166" t="str">
        <f t="shared" ca="1" si="807"/>
        <v>-</v>
      </c>
      <c r="BC510" s="165" t="str">
        <f t="shared" ca="1" si="760"/>
        <v>nie</v>
      </c>
    </row>
    <row r="511" spans="1:55" ht="14.45" hidden="1" customHeight="1" x14ac:dyDescent="0.25">
      <c r="A511" s="493" t="s">
        <v>24</v>
      </c>
      <c r="B511" s="493" t="s">
        <v>26</v>
      </c>
      <c r="C511" s="494" t="s">
        <v>169</v>
      </c>
      <c r="D511" s="511" t="s">
        <v>170</v>
      </c>
      <c r="E511" s="497">
        <v>801</v>
      </c>
      <c r="F511" s="497">
        <v>80101</v>
      </c>
      <c r="G511" s="497">
        <v>6050</v>
      </c>
      <c r="H511" s="507">
        <v>2022</v>
      </c>
      <c r="I511" s="499" t="str">
        <f ca="1">IF(COUNTIF(OFFSET(I511,-1,-8),"*propon*")&gt;0,OFFSET(I511,4,0),IF(Y511&gt;0,"2033",IF(X511&gt;0,"2032",IF(W511&gt;0,"2031",IF(V511&gt;0,"2030",IF(U511&gt;0,"2029",IF(T511&gt;0,"2028",IF(S511&gt;0,"2027",IF(R511&gt;0,"2026",IF(Q511&gt;0,"2025",IF(P511&gt;0,"2024",IF(M511&gt;0,"2023",IF(L511&gt;0,"2022","")))))))))))))</f>
        <v>2024</v>
      </c>
      <c r="J511" s="168" t="s">
        <v>102</v>
      </c>
      <c r="K511" s="169">
        <f>SUM(N511:O511)</f>
        <v>3634103</v>
      </c>
      <c r="L511" s="170">
        <f t="shared" ref="L511:M511" si="856">SUM(L512:L513)</f>
        <v>138971</v>
      </c>
      <c r="M511" s="171">
        <f t="shared" si="856"/>
        <v>895545</v>
      </c>
      <c r="N511" s="172">
        <f>SUM(L511:M511)</f>
        <v>1034516</v>
      </c>
      <c r="O511" s="169">
        <f>SUM(P511:Y511)</f>
        <v>2599587</v>
      </c>
      <c r="P511" s="173">
        <f t="shared" ref="P511:R511" si="857">SUM(P512:P513)</f>
        <v>2599587</v>
      </c>
      <c r="Q511" s="171">
        <f t="shared" si="857"/>
        <v>0</v>
      </c>
      <c r="R511" s="174">
        <f t="shared" si="857"/>
        <v>0</v>
      </c>
      <c r="S511" s="175">
        <f t="shared" ref="S511:Y511" si="858">SUM(S512:S513)</f>
        <v>0</v>
      </c>
      <c r="T511" s="171">
        <f t="shared" si="858"/>
        <v>0</v>
      </c>
      <c r="U511" s="171">
        <f t="shared" si="858"/>
        <v>0</v>
      </c>
      <c r="V511" s="171">
        <f t="shared" si="858"/>
        <v>0</v>
      </c>
      <c r="W511" s="171">
        <f t="shared" si="858"/>
        <v>0</v>
      </c>
      <c r="X511" s="171">
        <f t="shared" si="858"/>
        <v>0</v>
      </c>
      <c r="Y511" s="174">
        <f t="shared" si="858"/>
        <v>0</v>
      </c>
      <c r="Z511" s="149" t="str">
        <f t="shared" ca="1" si="759"/>
        <v>nie</v>
      </c>
      <c r="AA511" s="366"/>
      <c r="AB511" s="150" t="str">
        <f t="shared" ca="1" si="806"/>
        <v>-</v>
      </c>
      <c r="AC511" s="151" t="str">
        <f t="shared" ca="1" si="809"/>
        <v>PO ZMIANIE</v>
      </c>
      <c r="AD511" s="152" t="str">
        <f t="shared" ca="1" si="791"/>
        <v>PO ZMIANIE</v>
      </c>
      <c r="AE511" s="153" t="str">
        <f t="shared" ca="1" si="811"/>
        <v>C/USN/V/P1/70</v>
      </c>
      <c r="AF511" s="154" t="str">
        <f t="shared" ca="1" si="812"/>
        <v>Modernizacja budynku Szkoły Podstawowej nr 96 przy ul. Sarabandy 16/22</v>
      </c>
      <c r="AG511" s="155">
        <f t="shared" ca="1" si="813"/>
        <v>80101</v>
      </c>
      <c r="AH511" s="155" t="str">
        <f t="shared" ca="1" si="814"/>
        <v>6050</v>
      </c>
      <c r="AI511" s="156" t="str">
        <f t="shared" ca="1" si="815"/>
        <v>GMMW</v>
      </c>
      <c r="AJ511" s="157" t="str">
        <f t="shared" ca="1" si="816"/>
        <v>WPF, w tym</v>
      </c>
      <c r="AK511" s="158" t="str">
        <f t="shared" ca="1" si="792"/>
        <v>C/USN/V/P1/70 80101 6050 GMMW</v>
      </c>
      <c r="AL511" s="158" t="str">
        <f t="shared" ca="1" si="793"/>
        <v>C/USN/V/P1/70 80101 6050 WPF, w tym</v>
      </c>
      <c r="AM511" s="159" t="str">
        <f t="shared" ca="1" si="794"/>
        <v>C/USN/V/P1/70 80101 6050 GMMW WPF, w tym</v>
      </c>
      <c r="AN511" s="160">
        <f t="shared" ca="1" si="820"/>
        <v>3634103</v>
      </c>
      <c r="AO511" s="161">
        <f t="shared" ca="1" si="821"/>
        <v>138971</v>
      </c>
      <c r="AP511" s="162">
        <f t="shared" ca="1" si="822"/>
        <v>895545</v>
      </c>
      <c r="AQ511" s="163">
        <f t="shared" ca="1" si="823"/>
        <v>2599587</v>
      </c>
      <c r="AR511" s="164">
        <f t="shared" ca="1" si="824"/>
        <v>0</v>
      </c>
      <c r="AS511" s="164">
        <f t="shared" ca="1" si="825"/>
        <v>0</v>
      </c>
      <c r="AT511" s="164">
        <f t="shared" ca="1" si="826"/>
        <v>0</v>
      </c>
      <c r="AU511" s="164">
        <f t="shared" ca="1" si="827"/>
        <v>0</v>
      </c>
      <c r="AV511" s="164">
        <f t="shared" ca="1" si="828"/>
        <v>0</v>
      </c>
      <c r="AW511" s="164">
        <f t="shared" ca="1" si="829"/>
        <v>0</v>
      </c>
      <c r="AX511" s="164">
        <f t="shared" ca="1" si="830"/>
        <v>0</v>
      </c>
      <c r="AY511" s="164">
        <f t="shared" ca="1" si="831"/>
        <v>0</v>
      </c>
      <c r="AZ511" s="164">
        <f t="shared" ca="1" si="832"/>
        <v>0</v>
      </c>
      <c r="BA511" s="165" t="str">
        <f t="shared" ca="1" si="833"/>
        <v>nie</v>
      </c>
      <c r="BB511" s="166" t="str">
        <f t="shared" ca="1" si="807"/>
        <v>-</v>
      </c>
      <c r="BC511" s="165" t="str">
        <f t="shared" ca="1" si="760"/>
        <v>nie</v>
      </c>
    </row>
    <row r="512" spans="1:55" ht="14.45" hidden="1" customHeight="1" x14ac:dyDescent="0.25">
      <c r="A512" s="493"/>
      <c r="B512" s="493"/>
      <c r="C512" s="494"/>
      <c r="D512" s="512"/>
      <c r="E512" s="497"/>
      <c r="F512" s="497"/>
      <c r="G512" s="497"/>
      <c r="H512" s="498"/>
      <c r="I512" s="499"/>
      <c r="J512" s="177" t="s">
        <v>103</v>
      </c>
      <c r="K512" s="178">
        <f>SUM(N512:O512)</f>
        <v>2477447</v>
      </c>
      <c r="L512" s="179"/>
      <c r="M512" s="180"/>
      <c r="N512" s="172">
        <f>SUM(L512:M512)</f>
        <v>0</v>
      </c>
      <c r="O512" s="178">
        <f>SUM(P512:Y512)</f>
        <v>2477447</v>
      </c>
      <c r="P512" s="181">
        <f>1977860+499587</f>
        <v>2477447</v>
      </c>
      <c r="Q512" s="180"/>
      <c r="R512" s="182"/>
      <c r="S512" s="183"/>
      <c r="T512" s="180"/>
      <c r="U512" s="180"/>
      <c r="V512" s="180"/>
      <c r="W512" s="180"/>
      <c r="X512" s="180"/>
      <c r="Y512" s="182"/>
      <c r="Z512" s="149" t="str">
        <f t="shared" ca="1" si="759"/>
        <v>nie</v>
      </c>
      <c r="AA512" s="384"/>
      <c r="AB512" s="150" t="str">
        <f t="shared" ca="1" si="806"/>
        <v>-</v>
      </c>
      <c r="AC512" s="151" t="str">
        <f t="shared" ca="1" si="809"/>
        <v>PO ZMIANIE</v>
      </c>
      <c r="AD512" s="152" t="str">
        <f t="shared" ca="1" si="791"/>
        <v>PO ZMIANIE</v>
      </c>
      <c r="AE512" s="153" t="str">
        <f t="shared" ca="1" si="811"/>
        <v>C/USN/V/P1/70</v>
      </c>
      <c r="AF512" s="154" t="str">
        <f t="shared" ca="1" si="812"/>
        <v>Modernizacja budynku Szkoły Podstawowej nr 96 przy ul. Sarabandy 16/22</v>
      </c>
      <c r="AG512" s="155">
        <f t="shared" ca="1" si="813"/>
        <v>80101</v>
      </c>
      <c r="AH512" s="155" t="str">
        <f t="shared" ca="1" si="814"/>
        <v>6050</v>
      </c>
      <c r="AI512" s="156" t="str">
        <f t="shared" ca="1" si="815"/>
        <v>GMMW</v>
      </c>
      <c r="AJ512" s="157" t="str">
        <f t="shared" ca="1" si="816"/>
        <v>WPF/PM</v>
      </c>
      <c r="AK512" s="158" t="str">
        <f t="shared" ca="1" si="792"/>
        <v>C/USN/V/P1/70 80101 6050 GMMW</v>
      </c>
      <c r="AL512" s="158" t="str">
        <f t="shared" ca="1" si="793"/>
        <v>C/USN/V/P1/70 80101 6050 WPF/PM</v>
      </c>
      <c r="AM512" s="159" t="str">
        <f t="shared" ca="1" si="794"/>
        <v>C/USN/V/P1/70 80101 6050 GMMW WPF/PM</v>
      </c>
      <c r="AN512" s="160">
        <f t="shared" ca="1" si="820"/>
        <v>2477447</v>
      </c>
      <c r="AO512" s="161">
        <f t="shared" ca="1" si="821"/>
        <v>0</v>
      </c>
      <c r="AP512" s="162">
        <f t="shared" ca="1" si="822"/>
        <v>0</v>
      </c>
      <c r="AQ512" s="163">
        <f t="shared" ca="1" si="823"/>
        <v>2477447</v>
      </c>
      <c r="AR512" s="164">
        <f t="shared" ca="1" si="824"/>
        <v>0</v>
      </c>
      <c r="AS512" s="164">
        <f t="shared" ca="1" si="825"/>
        <v>0</v>
      </c>
      <c r="AT512" s="164">
        <f t="shared" ca="1" si="826"/>
        <v>0</v>
      </c>
      <c r="AU512" s="164">
        <f t="shared" ca="1" si="827"/>
        <v>0</v>
      </c>
      <c r="AV512" s="164">
        <f t="shared" ca="1" si="828"/>
        <v>0</v>
      </c>
      <c r="AW512" s="164">
        <f t="shared" ca="1" si="829"/>
        <v>0</v>
      </c>
      <c r="AX512" s="164">
        <f t="shared" ca="1" si="830"/>
        <v>0</v>
      </c>
      <c r="AY512" s="164">
        <f t="shared" ca="1" si="831"/>
        <v>0</v>
      </c>
      <c r="AZ512" s="164">
        <f t="shared" ca="1" si="832"/>
        <v>0</v>
      </c>
      <c r="BA512" s="165" t="str">
        <f t="shared" ca="1" si="833"/>
        <v>nie</v>
      </c>
      <c r="BB512" s="166" t="str">
        <f t="shared" ca="1" si="807"/>
        <v>-</v>
      </c>
      <c r="BC512" s="165" t="str">
        <f t="shared" ca="1" si="760"/>
        <v>nie</v>
      </c>
    </row>
    <row r="513" spans="1:55" ht="14.45" hidden="1" customHeight="1" thickBot="1" x14ac:dyDescent="0.3">
      <c r="A513" s="500"/>
      <c r="B513" s="500"/>
      <c r="C513" s="501"/>
      <c r="D513" s="529"/>
      <c r="E513" s="503"/>
      <c r="F513" s="503"/>
      <c r="G513" s="503"/>
      <c r="H513" s="504"/>
      <c r="I513" s="499"/>
      <c r="J513" s="197" t="s">
        <v>104</v>
      </c>
      <c r="K513" s="198">
        <f>SUM(N513:O513)</f>
        <v>1156656</v>
      </c>
      <c r="L513" s="204">
        <v>138971</v>
      </c>
      <c r="M513" s="200">
        <f>898521-2976</f>
        <v>895545</v>
      </c>
      <c r="N513" s="371">
        <f>SUM(L513:M513)</f>
        <v>1034516</v>
      </c>
      <c r="O513" s="198">
        <f>SUM(P513:Y513)</f>
        <v>122140</v>
      </c>
      <c r="P513" s="201">
        <v>122140</v>
      </c>
      <c r="Q513" s="200"/>
      <c r="R513" s="202"/>
      <c r="S513" s="203"/>
      <c r="T513" s="200"/>
      <c r="U513" s="200"/>
      <c r="V513" s="200"/>
      <c r="W513" s="200"/>
      <c r="X513" s="200"/>
      <c r="Y513" s="202"/>
      <c r="Z513" s="149" t="str">
        <f t="shared" ca="1" si="759"/>
        <v>nie</v>
      </c>
      <c r="AA513" s="384"/>
      <c r="AB513" s="150" t="str">
        <f t="shared" ca="1" si="806"/>
        <v>-</v>
      </c>
      <c r="AC513" s="151" t="str">
        <f t="shared" ca="1" si="809"/>
        <v>PO ZMIANIE</v>
      </c>
      <c r="AD513" s="152" t="str">
        <f t="shared" ca="1" si="791"/>
        <v>PO ZMIANIE</v>
      </c>
      <c r="AE513" s="153" t="str">
        <f t="shared" ca="1" si="811"/>
        <v>C/USN/V/P1/70</v>
      </c>
      <c r="AF513" s="154" t="str">
        <f t="shared" ca="1" si="812"/>
        <v>Modernizacja budynku Szkoły Podstawowej nr 96 przy ul. Sarabandy 16/22</v>
      </c>
      <c r="AG513" s="155">
        <f t="shared" ca="1" si="813"/>
        <v>80101</v>
      </c>
      <c r="AH513" s="155" t="str">
        <f t="shared" ca="1" si="814"/>
        <v>6050</v>
      </c>
      <c r="AI513" s="156" t="str">
        <f t="shared" ca="1" si="815"/>
        <v>GMMW</v>
      </c>
      <c r="AJ513" s="157" t="str">
        <f t="shared" ca="1" si="816"/>
        <v>WPF/UM</v>
      </c>
      <c r="AK513" s="158" t="str">
        <f t="shared" ca="1" si="792"/>
        <v>C/USN/V/P1/70 80101 6050 GMMW</v>
      </c>
      <c r="AL513" s="158" t="str">
        <f t="shared" ca="1" si="793"/>
        <v>C/USN/V/P1/70 80101 6050 WPF/UM</v>
      </c>
      <c r="AM513" s="159" t="str">
        <f t="shared" ca="1" si="794"/>
        <v>C/USN/V/P1/70 80101 6050 GMMW WPF/UM</v>
      </c>
      <c r="AN513" s="160">
        <f t="shared" ca="1" si="820"/>
        <v>1156656</v>
      </c>
      <c r="AO513" s="161">
        <f t="shared" ca="1" si="821"/>
        <v>138971</v>
      </c>
      <c r="AP513" s="162">
        <f t="shared" ca="1" si="822"/>
        <v>895545</v>
      </c>
      <c r="AQ513" s="163">
        <f t="shared" ca="1" si="823"/>
        <v>122140</v>
      </c>
      <c r="AR513" s="164">
        <f t="shared" ca="1" si="824"/>
        <v>0</v>
      </c>
      <c r="AS513" s="164">
        <f t="shared" ca="1" si="825"/>
        <v>0</v>
      </c>
      <c r="AT513" s="164">
        <f t="shared" ca="1" si="826"/>
        <v>0</v>
      </c>
      <c r="AU513" s="164">
        <f t="shared" ca="1" si="827"/>
        <v>0</v>
      </c>
      <c r="AV513" s="164">
        <f t="shared" ca="1" si="828"/>
        <v>0</v>
      </c>
      <c r="AW513" s="164">
        <f t="shared" ca="1" si="829"/>
        <v>0</v>
      </c>
      <c r="AX513" s="164">
        <f t="shared" ca="1" si="830"/>
        <v>0</v>
      </c>
      <c r="AY513" s="164">
        <f t="shared" ca="1" si="831"/>
        <v>0</v>
      </c>
      <c r="AZ513" s="164">
        <f t="shared" ca="1" si="832"/>
        <v>0</v>
      </c>
      <c r="BA513" s="165" t="str">
        <f t="shared" ca="1" si="833"/>
        <v>nie</v>
      </c>
      <c r="BB513" s="166" t="str">
        <f t="shared" ca="1" si="807"/>
        <v>-</v>
      </c>
      <c r="BC513" s="165" t="str">
        <f t="shared" ca="1" si="760"/>
        <v>nie</v>
      </c>
    </row>
    <row r="514" spans="1:55" ht="14.45" hidden="1" customHeight="1" x14ac:dyDescent="0.25">
      <c r="A514" s="143" t="s">
        <v>91</v>
      </c>
      <c r="B514" s="144"/>
      <c r="C514" s="145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6"/>
      <c r="S514" s="147"/>
      <c r="T514" s="147"/>
      <c r="U514" s="147"/>
      <c r="V514" s="147"/>
      <c r="W514" s="147"/>
      <c r="X514" s="147"/>
      <c r="Y514" s="148"/>
      <c r="Z514" s="149" t="str">
        <f t="shared" ca="1" si="759"/>
        <v>nie</v>
      </c>
      <c r="AA514" s="366"/>
      <c r="AB514" s="150" t="str">
        <f t="shared" ref="AB514:AB525" ca="1" si="859">IF(IF(OR(COUNTIF(AD514,"*bilans*")&gt;0,COUNTIF(AD514,"*prop*")&gt;0),COUNTIF(AO514:AZ514,"")+COUNTIF(AO514:AZ514,"0"),"")&lt;12,AE514,"-")</f>
        <v>-</v>
      </c>
      <c r="AC514" s="151" t="str">
        <f t="shared" ca="1" si="809"/>
        <v>PRZED ZMIANĄ</v>
      </c>
      <c r="AD514" s="152" t="str">
        <f t="shared" ref="AD514:AD525" ca="1" si="860">IF(AE514="","",AC514)</f>
        <v/>
      </c>
      <c r="AE514" s="153" t="str">
        <f t="shared" ca="1" si="811"/>
        <v/>
      </c>
      <c r="AF514" s="154" t="str">
        <f t="shared" ca="1" si="812"/>
        <v/>
      </c>
      <c r="AG514" s="155" t="str">
        <f t="shared" ca="1" si="813"/>
        <v/>
      </c>
      <c r="AH514" s="155" t="str">
        <f t="shared" ca="1" si="814"/>
        <v/>
      </c>
      <c r="AI514" s="156" t="str">
        <f t="shared" ca="1" si="815"/>
        <v/>
      </c>
      <c r="AJ514" s="157" t="str">
        <f t="shared" ca="1" si="816"/>
        <v/>
      </c>
      <c r="AK514" s="158" t="str">
        <f t="shared" ref="AK514:AK525" ca="1" si="861">IF(AH514="","",AE514&amp;" "&amp;AG514&amp;" "&amp;AH514&amp;" "&amp;AI514)</f>
        <v/>
      </c>
      <c r="AL514" s="158" t="str">
        <f t="shared" ref="AL514:AL525" ca="1" si="862">IF(AH514="","",AE514&amp;" "&amp;AG514&amp;" "&amp;AH514&amp;" "&amp;AJ514)</f>
        <v/>
      </c>
      <c r="AM514" s="159" t="str">
        <f t="shared" ref="AM514:AM525" ca="1" si="863">IF(AH514="","",AE514&amp;" "&amp;AG514&amp;" "&amp;AH514&amp;" "&amp;AI514&amp;" "&amp;AJ514)</f>
        <v/>
      </c>
      <c r="AN514" s="160" t="str">
        <f t="shared" ca="1" si="820"/>
        <v/>
      </c>
      <c r="AO514" s="161" t="str">
        <f t="shared" ca="1" si="821"/>
        <v/>
      </c>
      <c r="AP514" s="162" t="str">
        <f t="shared" ca="1" si="822"/>
        <v/>
      </c>
      <c r="AQ514" s="163" t="str">
        <f t="shared" ca="1" si="823"/>
        <v/>
      </c>
      <c r="AR514" s="164" t="str">
        <f t="shared" ca="1" si="824"/>
        <v/>
      </c>
      <c r="AS514" s="164" t="str">
        <f t="shared" ca="1" si="825"/>
        <v/>
      </c>
      <c r="AT514" s="164" t="str">
        <f t="shared" ca="1" si="826"/>
        <v/>
      </c>
      <c r="AU514" s="164" t="str">
        <f t="shared" ca="1" si="827"/>
        <v/>
      </c>
      <c r="AV514" s="164" t="str">
        <f t="shared" ca="1" si="828"/>
        <v/>
      </c>
      <c r="AW514" s="164" t="str">
        <f t="shared" ca="1" si="829"/>
        <v/>
      </c>
      <c r="AX514" s="164" t="str">
        <f t="shared" ca="1" si="830"/>
        <v/>
      </c>
      <c r="AY514" s="164" t="str">
        <f t="shared" ca="1" si="831"/>
        <v/>
      </c>
      <c r="AZ514" s="164" t="str">
        <f t="shared" ca="1" si="832"/>
        <v/>
      </c>
      <c r="BA514" s="165" t="str">
        <f t="shared" ca="1" si="833"/>
        <v>nie</v>
      </c>
      <c r="BB514" s="166" t="str">
        <f t="shared" ref="BB514:BB525" ca="1" si="864">IF(COUNTIF(AD514,"*bilans*")&gt;0,"-",IF(IF(COUNTIF(AD514,"*prop*")&gt;0,COUNTIF(AO514:AZ514,"")+COUNTIF(AO514:AZ514,"0"),"")&lt;12,AK514,"-"))</f>
        <v>-</v>
      </c>
      <c r="BC514" s="165" t="str">
        <f t="shared" ca="1" si="760"/>
        <v>nie</v>
      </c>
    </row>
    <row r="515" spans="1:55" ht="14.45" hidden="1" customHeight="1" x14ac:dyDescent="0.25">
      <c r="A515" s="493" t="s">
        <v>24</v>
      </c>
      <c r="B515" s="493" t="s">
        <v>419</v>
      </c>
      <c r="C515" s="494" t="s">
        <v>169</v>
      </c>
      <c r="D515" s="511" t="s">
        <v>170</v>
      </c>
      <c r="E515" s="497">
        <v>801</v>
      </c>
      <c r="F515" s="497">
        <v>80101</v>
      </c>
      <c r="G515" s="497">
        <v>6050</v>
      </c>
      <c r="H515" s="507">
        <v>2022</v>
      </c>
      <c r="I515" s="499" t="str">
        <f ca="1">IF(COUNTIF(OFFSET(I515,-1,-8),"*propon*")&gt;0,OFFSET(I515,4,0),IF(Y515&gt;0,"2033",IF(X515&gt;0,"2032",IF(W515&gt;0,"2031",IF(V515&gt;0,"2030",IF(U515&gt;0,"2029",IF(T515&gt;0,"2028",IF(S515&gt;0,"2027",IF(R515&gt;0,"2026",IF(Q515&gt;0,"2025",IF(P515&gt;0,"2024",IF(M515&gt;0,"2023",IF(L515&gt;0,"2022","")))))))))))))</f>
        <v>2024</v>
      </c>
      <c r="J515" s="168" t="s">
        <v>94</v>
      </c>
      <c r="K515" s="169">
        <f>SUM(N515:O515)</f>
        <v>700000</v>
      </c>
      <c r="L515" s="170">
        <f t="shared" ref="L515:M515" si="865">SUM(L516:L517)</f>
        <v>0</v>
      </c>
      <c r="M515" s="171">
        <f t="shared" si="865"/>
        <v>500000</v>
      </c>
      <c r="N515" s="172">
        <f>SUM(L515:M515)</f>
        <v>500000</v>
      </c>
      <c r="O515" s="169">
        <f>SUM(P515:Y515)</f>
        <v>200000</v>
      </c>
      <c r="P515" s="173">
        <f t="shared" ref="P515:Y515" si="866">SUM(P516:P517)</f>
        <v>200000</v>
      </c>
      <c r="Q515" s="171">
        <f t="shared" si="866"/>
        <v>0</v>
      </c>
      <c r="R515" s="174">
        <f t="shared" si="866"/>
        <v>0</v>
      </c>
      <c r="S515" s="175">
        <f t="shared" si="866"/>
        <v>0</v>
      </c>
      <c r="T515" s="171">
        <f t="shared" si="866"/>
        <v>0</v>
      </c>
      <c r="U515" s="171">
        <f t="shared" si="866"/>
        <v>0</v>
      </c>
      <c r="V515" s="171">
        <f t="shared" si="866"/>
        <v>0</v>
      </c>
      <c r="W515" s="171">
        <f t="shared" si="866"/>
        <v>0</v>
      </c>
      <c r="X515" s="171">
        <f t="shared" si="866"/>
        <v>0</v>
      </c>
      <c r="Y515" s="174">
        <f t="shared" si="866"/>
        <v>0</v>
      </c>
      <c r="Z515" s="149" t="str">
        <f t="shared" ca="1" si="759"/>
        <v>nie</v>
      </c>
      <c r="AA515" s="366"/>
      <c r="AB515" s="150" t="str">
        <f t="shared" ca="1" si="859"/>
        <v>-</v>
      </c>
      <c r="AC515" s="151" t="str">
        <f t="shared" ca="1" si="809"/>
        <v>PRZED ZMIANĄ</v>
      </c>
      <c r="AD515" s="152" t="str">
        <f t="shared" ca="1" si="860"/>
        <v>PRZED ZMIANĄ</v>
      </c>
      <c r="AE515" s="153" t="str">
        <f t="shared" ca="1" si="811"/>
        <v>C/USN/V/P1/70</v>
      </c>
      <c r="AF515" s="154" t="str">
        <f t="shared" ca="1" si="812"/>
        <v>Modernizacja budynku Szkoły Podstawowej nr 96 przy ul. Sarabandy 16/22</v>
      </c>
      <c r="AG515" s="155">
        <f t="shared" ca="1" si="813"/>
        <v>80101</v>
      </c>
      <c r="AH515" s="155" t="str">
        <f t="shared" ca="1" si="814"/>
        <v>6050</v>
      </c>
      <c r="AI515" s="156" t="str">
        <f t="shared" ca="1" si="815"/>
        <v>MWPO/0026</v>
      </c>
      <c r="AJ515" s="157" t="str">
        <f t="shared" ca="1" si="816"/>
        <v>WPF, w tym</v>
      </c>
      <c r="AK515" s="158" t="str">
        <f t="shared" ca="1" si="861"/>
        <v>C/USN/V/P1/70 80101 6050 MWPO/0026</v>
      </c>
      <c r="AL515" s="158" t="str">
        <f t="shared" ca="1" si="862"/>
        <v>C/USN/V/P1/70 80101 6050 WPF, w tym</v>
      </c>
      <c r="AM515" s="159" t="str">
        <f t="shared" ca="1" si="863"/>
        <v>C/USN/V/P1/70 80101 6050 MWPO/0026 WPF, w tym</v>
      </c>
      <c r="AN515" s="160">
        <f t="shared" ca="1" si="820"/>
        <v>700000</v>
      </c>
      <c r="AO515" s="161">
        <f t="shared" ca="1" si="821"/>
        <v>0</v>
      </c>
      <c r="AP515" s="162">
        <f t="shared" ca="1" si="822"/>
        <v>500000</v>
      </c>
      <c r="AQ515" s="163">
        <f t="shared" ca="1" si="823"/>
        <v>200000</v>
      </c>
      <c r="AR515" s="164">
        <f t="shared" ca="1" si="824"/>
        <v>0</v>
      </c>
      <c r="AS515" s="164">
        <f t="shared" ca="1" si="825"/>
        <v>0</v>
      </c>
      <c r="AT515" s="164">
        <f t="shared" ca="1" si="826"/>
        <v>0</v>
      </c>
      <c r="AU515" s="164">
        <f t="shared" ca="1" si="827"/>
        <v>0</v>
      </c>
      <c r="AV515" s="164">
        <f t="shared" ca="1" si="828"/>
        <v>0</v>
      </c>
      <c r="AW515" s="164">
        <f t="shared" ca="1" si="829"/>
        <v>0</v>
      </c>
      <c r="AX515" s="164">
        <f t="shared" ca="1" si="830"/>
        <v>0</v>
      </c>
      <c r="AY515" s="164">
        <f t="shared" ca="1" si="831"/>
        <v>0</v>
      </c>
      <c r="AZ515" s="164">
        <f t="shared" ca="1" si="832"/>
        <v>0</v>
      </c>
      <c r="BA515" s="165" t="str">
        <f t="shared" ca="1" si="833"/>
        <v>nie</v>
      </c>
      <c r="BB515" s="166" t="str">
        <f t="shared" ca="1" si="864"/>
        <v>-</v>
      </c>
      <c r="BC515" s="165" t="str">
        <f t="shared" ca="1" si="760"/>
        <v>nie</v>
      </c>
    </row>
    <row r="516" spans="1:55" ht="14.45" hidden="1" customHeight="1" x14ac:dyDescent="0.25">
      <c r="A516" s="493"/>
      <c r="B516" s="493"/>
      <c r="C516" s="494"/>
      <c r="D516" s="512"/>
      <c r="E516" s="497"/>
      <c r="F516" s="497"/>
      <c r="G516" s="497"/>
      <c r="H516" s="498"/>
      <c r="I516" s="499"/>
      <c r="J516" s="177" t="s">
        <v>95</v>
      </c>
      <c r="K516" s="178">
        <f>SUM(N516:O516)</f>
        <v>200000</v>
      </c>
      <c r="L516" s="179"/>
      <c r="M516" s="180"/>
      <c r="N516" s="172">
        <f>SUM(L516:M516)</f>
        <v>0</v>
      </c>
      <c r="O516" s="178">
        <f>SUM(P516:Y516)</f>
        <v>200000</v>
      </c>
      <c r="P516" s="181">
        <v>200000</v>
      </c>
      <c r="Q516" s="180"/>
      <c r="R516" s="182"/>
      <c r="S516" s="183"/>
      <c r="T516" s="180"/>
      <c r="U516" s="180"/>
      <c r="V516" s="180"/>
      <c r="W516" s="180"/>
      <c r="X516" s="180"/>
      <c r="Y516" s="182"/>
      <c r="Z516" s="149" t="str">
        <f t="shared" ca="1" si="759"/>
        <v>nie</v>
      </c>
      <c r="AA516" s="366"/>
      <c r="AB516" s="150" t="str">
        <f t="shared" ca="1" si="859"/>
        <v>-</v>
      </c>
      <c r="AC516" s="151" t="str">
        <f t="shared" ca="1" si="809"/>
        <v>PRZED ZMIANĄ</v>
      </c>
      <c r="AD516" s="152" t="str">
        <f t="shared" ca="1" si="860"/>
        <v>PRZED ZMIANĄ</v>
      </c>
      <c r="AE516" s="153" t="str">
        <f t="shared" ca="1" si="811"/>
        <v>C/USN/V/P1/70</v>
      </c>
      <c r="AF516" s="154" t="str">
        <f t="shared" ca="1" si="812"/>
        <v>Modernizacja budynku Szkoły Podstawowej nr 96 przy ul. Sarabandy 16/22</v>
      </c>
      <c r="AG516" s="155">
        <f t="shared" ca="1" si="813"/>
        <v>80101</v>
      </c>
      <c r="AH516" s="155" t="str">
        <f t="shared" ca="1" si="814"/>
        <v>6050</v>
      </c>
      <c r="AI516" s="156" t="str">
        <f t="shared" ca="1" si="815"/>
        <v>MWPO/0026</v>
      </c>
      <c r="AJ516" s="157" t="str">
        <f t="shared" ca="1" si="816"/>
        <v>WPF/PM</v>
      </c>
      <c r="AK516" s="158" t="str">
        <f t="shared" ca="1" si="861"/>
        <v>C/USN/V/P1/70 80101 6050 MWPO/0026</v>
      </c>
      <c r="AL516" s="158" t="str">
        <f t="shared" ca="1" si="862"/>
        <v>C/USN/V/P1/70 80101 6050 WPF/PM</v>
      </c>
      <c r="AM516" s="159" t="str">
        <f t="shared" ca="1" si="863"/>
        <v>C/USN/V/P1/70 80101 6050 MWPO/0026 WPF/PM</v>
      </c>
      <c r="AN516" s="160">
        <f t="shared" ca="1" si="820"/>
        <v>200000</v>
      </c>
      <c r="AO516" s="161">
        <f t="shared" ca="1" si="821"/>
        <v>0</v>
      </c>
      <c r="AP516" s="162">
        <f t="shared" ca="1" si="822"/>
        <v>0</v>
      </c>
      <c r="AQ516" s="163">
        <f t="shared" ca="1" si="823"/>
        <v>200000</v>
      </c>
      <c r="AR516" s="164">
        <f t="shared" ca="1" si="824"/>
        <v>0</v>
      </c>
      <c r="AS516" s="164">
        <f t="shared" ca="1" si="825"/>
        <v>0</v>
      </c>
      <c r="AT516" s="164">
        <f t="shared" ca="1" si="826"/>
        <v>0</v>
      </c>
      <c r="AU516" s="164">
        <f t="shared" ca="1" si="827"/>
        <v>0</v>
      </c>
      <c r="AV516" s="164">
        <f t="shared" ca="1" si="828"/>
        <v>0</v>
      </c>
      <c r="AW516" s="164">
        <f t="shared" ca="1" si="829"/>
        <v>0</v>
      </c>
      <c r="AX516" s="164">
        <f t="shared" ca="1" si="830"/>
        <v>0</v>
      </c>
      <c r="AY516" s="164">
        <f t="shared" ca="1" si="831"/>
        <v>0</v>
      </c>
      <c r="AZ516" s="164">
        <f t="shared" ca="1" si="832"/>
        <v>0</v>
      </c>
      <c r="BA516" s="165" t="str">
        <f t="shared" ca="1" si="833"/>
        <v>nie</v>
      </c>
      <c r="BB516" s="166" t="str">
        <f t="shared" ca="1" si="864"/>
        <v>-</v>
      </c>
      <c r="BC516" s="165" t="str">
        <f t="shared" ca="1" si="760"/>
        <v>nie</v>
      </c>
    </row>
    <row r="517" spans="1:55" ht="14.45" hidden="1" customHeight="1" x14ac:dyDescent="0.25">
      <c r="A517" s="493"/>
      <c r="B517" s="493"/>
      <c r="C517" s="494"/>
      <c r="D517" s="512"/>
      <c r="E517" s="497"/>
      <c r="F517" s="497"/>
      <c r="G517" s="497"/>
      <c r="H517" s="498"/>
      <c r="I517" s="499"/>
      <c r="J517" s="177" t="s">
        <v>96</v>
      </c>
      <c r="K517" s="178">
        <f>SUM(N517:O517)</f>
        <v>500000</v>
      </c>
      <c r="L517" s="184"/>
      <c r="M517" s="180">
        <v>500000</v>
      </c>
      <c r="N517" s="172">
        <f>SUM(L517:M517)</f>
        <v>500000</v>
      </c>
      <c r="O517" s="178">
        <f>SUM(P517:Y517)</f>
        <v>0</v>
      </c>
      <c r="P517" s="181"/>
      <c r="Q517" s="180"/>
      <c r="R517" s="182"/>
      <c r="S517" s="183"/>
      <c r="T517" s="180"/>
      <c r="U517" s="180"/>
      <c r="V517" s="180"/>
      <c r="W517" s="180"/>
      <c r="X517" s="180"/>
      <c r="Y517" s="182"/>
      <c r="Z517" s="149" t="str">
        <f t="shared" ca="1" si="759"/>
        <v>nie</v>
      </c>
      <c r="AA517" s="366"/>
      <c r="AB517" s="150" t="str">
        <f t="shared" ca="1" si="859"/>
        <v>-</v>
      </c>
      <c r="AC517" s="151" t="str">
        <f t="shared" ca="1" si="809"/>
        <v>PRZED ZMIANĄ</v>
      </c>
      <c r="AD517" s="152" t="str">
        <f t="shared" ca="1" si="860"/>
        <v>PRZED ZMIANĄ</v>
      </c>
      <c r="AE517" s="153" t="str">
        <f t="shared" ca="1" si="811"/>
        <v>C/USN/V/P1/70</v>
      </c>
      <c r="AF517" s="154" t="str">
        <f t="shared" ca="1" si="812"/>
        <v>Modernizacja budynku Szkoły Podstawowej nr 96 przy ul. Sarabandy 16/22</v>
      </c>
      <c r="AG517" s="155">
        <f t="shared" ca="1" si="813"/>
        <v>80101</v>
      </c>
      <c r="AH517" s="155" t="str">
        <f t="shared" ca="1" si="814"/>
        <v>6050</v>
      </c>
      <c r="AI517" s="156" t="str">
        <f t="shared" ca="1" si="815"/>
        <v>MWPO/0026</v>
      </c>
      <c r="AJ517" s="157" t="str">
        <f t="shared" ca="1" si="816"/>
        <v>WPF/UM</v>
      </c>
      <c r="AK517" s="158" t="str">
        <f t="shared" ca="1" si="861"/>
        <v>C/USN/V/P1/70 80101 6050 MWPO/0026</v>
      </c>
      <c r="AL517" s="158" t="str">
        <f t="shared" ca="1" si="862"/>
        <v>C/USN/V/P1/70 80101 6050 WPF/UM</v>
      </c>
      <c r="AM517" s="159" t="str">
        <f t="shared" ca="1" si="863"/>
        <v>C/USN/V/P1/70 80101 6050 MWPO/0026 WPF/UM</v>
      </c>
      <c r="AN517" s="160">
        <f t="shared" ca="1" si="820"/>
        <v>500000</v>
      </c>
      <c r="AO517" s="161">
        <f t="shared" ca="1" si="821"/>
        <v>0</v>
      </c>
      <c r="AP517" s="162">
        <f t="shared" ca="1" si="822"/>
        <v>500000</v>
      </c>
      <c r="AQ517" s="163">
        <f t="shared" ca="1" si="823"/>
        <v>0</v>
      </c>
      <c r="AR517" s="164">
        <f t="shared" ca="1" si="824"/>
        <v>0</v>
      </c>
      <c r="AS517" s="164">
        <f t="shared" ca="1" si="825"/>
        <v>0</v>
      </c>
      <c r="AT517" s="164">
        <f t="shared" ca="1" si="826"/>
        <v>0</v>
      </c>
      <c r="AU517" s="164">
        <f t="shared" ca="1" si="827"/>
        <v>0</v>
      </c>
      <c r="AV517" s="164">
        <f t="shared" ca="1" si="828"/>
        <v>0</v>
      </c>
      <c r="AW517" s="164">
        <f t="shared" ca="1" si="829"/>
        <v>0</v>
      </c>
      <c r="AX517" s="164">
        <f t="shared" ca="1" si="830"/>
        <v>0</v>
      </c>
      <c r="AY517" s="164">
        <f t="shared" ca="1" si="831"/>
        <v>0</v>
      </c>
      <c r="AZ517" s="164">
        <f t="shared" ca="1" si="832"/>
        <v>0</v>
      </c>
      <c r="BA517" s="165" t="str">
        <f t="shared" ca="1" si="833"/>
        <v>nie</v>
      </c>
      <c r="BB517" s="166" t="str">
        <f t="shared" ca="1" si="864"/>
        <v>-</v>
      </c>
      <c r="BC517" s="165" t="str">
        <f t="shared" ca="1" si="760"/>
        <v>nie</v>
      </c>
    </row>
    <row r="518" spans="1:55" ht="14.45" hidden="1" customHeight="1" x14ac:dyDescent="0.25">
      <c r="A518" s="185" t="s">
        <v>97</v>
      </c>
      <c r="B518" s="186"/>
      <c r="C518" s="187"/>
      <c r="D518" s="186"/>
      <c r="E518" s="186"/>
      <c r="F518" s="186"/>
      <c r="G518" s="186"/>
      <c r="H518" s="186"/>
      <c r="I518" s="186"/>
      <c r="J518" s="186"/>
      <c r="K518" s="186"/>
      <c r="L518" s="186"/>
      <c r="M518" s="186"/>
      <c r="N518" s="186"/>
      <c r="O518" s="186"/>
      <c r="P518" s="186"/>
      <c r="Q518" s="186"/>
      <c r="R518" s="188"/>
      <c r="S518" s="189"/>
      <c r="T518" s="189"/>
      <c r="U518" s="189"/>
      <c r="V518" s="189"/>
      <c r="W518" s="189"/>
      <c r="X518" s="189"/>
      <c r="Y518" s="190"/>
      <c r="Z518" s="149" t="str">
        <f t="shared" ca="1" si="759"/>
        <v>nie</v>
      </c>
      <c r="AA518" s="366"/>
      <c r="AB518" s="150" t="str">
        <f t="shared" ca="1" si="859"/>
        <v>-</v>
      </c>
      <c r="AC518" s="151" t="str">
        <f t="shared" ca="1" si="809"/>
        <v>PROPONOWANA ZMIANA</v>
      </c>
      <c r="AD518" s="152" t="str">
        <f t="shared" ca="1" si="860"/>
        <v/>
      </c>
      <c r="AE518" s="153" t="str">
        <f t="shared" ca="1" si="811"/>
        <v/>
      </c>
      <c r="AF518" s="154" t="str">
        <f t="shared" ca="1" si="812"/>
        <v/>
      </c>
      <c r="AG518" s="155" t="str">
        <f t="shared" ca="1" si="813"/>
        <v/>
      </c>
      <c r="AH518" s="155" t="str">
        <f t="shared" ca="1" si="814"/>
        <v/>
      </c>
      <c r="AI518" s="156" t="str">
        <f t="shared" ca="1" si="815"/>
        <v/>
      </c>
      <c r="AJ518" s="157" t="str">
        <f t="shared" ca="1" si="816"/>
        <v/>
      </c>
      <c r="AK518" s="158" t="str">
        <f t="shared" ca="1" si="861"/>
        <v/>
      </c>
      <c r="AL518" s="158" t="str">
        <f t="shared" ca="1" si="862"/>
        <v/>
      </c>
      <c r="AM518" s="159" t="str">
        <f t="shared" ca="1" si="863"/>
        <v/>
      </c>
      <c r="AN518" s="160" t="str">
        <f t="shared" ca="1" si="820"/>
        <v/>
      </c>
      <c r="AO518" s="161" t="str">
        <f t="shared" ca="1" si="821"/>
        <v/>
      </c>
      <c r="AP518" s="162" t="str">
        <f t="shared" ca="1" si="822"/>
        <v/>
      </c>
      <c r="AQ518" s="163" t="str">
        <f t="shared" ca="1" si="823"/>
        <v/>
      </c>
      <c r="AR518" s="164" t="str">
        <f t="shared" ca="1" si="824"/>
        <v/>
      </c>
      <c r="AS518" s="164" t="str">
        <f t="shared" ca="1" si="825"/>
        <v/>
      </c>
      <c r="AT518" s="164" t="str">
        <f t="shared" ca="1" si="826"/>
        <v/>
      </c>
      <c r="AU518" s="164" t="str">
        <f t="shared" ca="1" si="827"/>
        <v/>
      </c>
      <c r="AV518" s="164" t="str">
        <f t="shared" ca="1" si="828"/>
        <v/>
      </c>
      <c r="AW518" s="164" t="str">
        <f t="shared" ca="1" si="829"/>
        <v/>
      </c>
      <c r="AX518" s="164" t="str">
        <f t="shared" ca="1" si="830"/>
        <v/>
      </c>
      <c r="AY518" s="164" t="str">
        <f t="shared" ca="1" si="831"/>
        <v/>
      </c>
      <c r="AZ518" s="164" t="str">
        <f t="shared" ca="1" si="832"/>
        <v/>
      </c>
      <c r="BA518" s="165" t="str">
        <f t="shared" ca="1" si="833"/>
        <v>nie</v>
      </c>
      <c r="BB518" s="166" t="str">
        <f t="shared" ca="1" si="864"/>
        <v>-</v>
      </c>
      <c r="BC518" s="165" t="str">
        <f t="shared" ca="1" si="760"/>
        <v>nie</v>
      </c>
    </row>
    <row r="519" spans="1:55" ht="14.45" hidden="1" customHeight="1" x14ac:dyDescent="0.25">
      <c r="A519" s="493" t="s">
        <v>24</v>
      </c>
      <c r="B519" s="493" t="s">
        <v>419</v>
      </c>
      <c r="C519" s="494" t="s">
        <v>169</v>
      </c>
      <c r="D519" s="511" t="s">
        <v>170</v>
      </c>
      <c r="E519" s="497">
        <v>801</v>
      </c>
      <c r="F519" s="497">
        <v>80101</v>
      </c>
      <c r="G519" s="497">
        <v>6050</v>
      </c>
      <c r="H519" s="507">
        <v>2022</v>
      </c>
      <c r="I519" s="499" t="str">
        <f ca="1">IF(COUNTIF(OFFSET(I519,-1,-8),"*propon*")&gt;0,OFFSET(I519,4,0),IF(Y519&gt;0,"2033",IF(X519&gt;0,"2032",IF(W519&gt;0,"2031",IF(V519&gt;0,"2030",IF(U519&gt;0,"2029",IF(T519&gt;0,"2028",IF(S519&gt;0,"2027",IF(R519&gt;0,"2026",IF(Q519&gt;0,"2025",IF(P519&gt;0,"2024",IF(M519&gt;0,"2023",IF(L519&gt;0,"2022","")))))))))))))</f>
        <v>2024</v>
      </c>
      <c r="J519" s="168" t="s">
        <v>98</v>
      </c>
      <c r="K519" s="169">
        <f>SUM(N519:O519)</f>
        <v>0</v>
      </c>
      <c r="L519" s="170">
        <f t="shared" ref="L519:M519" si="867">SUM(L520:L521)</f>
        <v>0</v>
      </c>
      <c r="M519" s="171">
        <f t="shared" si="867"/>
        <v>0</v>
      </c>
      <c r="N519" s="172">
        <f>SUM(L519:M519)</f>
        <v>0</v>
      </c>
      <c r="O519" s="169">
        <f>SUM(P519:Y519)</f>
        <v>0</v>
      </c>
      <c r="P519" s="173">
        <f t="shared" ref="P519:Y519" si="868">SUM(P520:P521)</f>
        <v>0</v>
      </c>
      <c r="Q519" s="171">
        <f t="shared" si="868"/>
        <v>0</v>
      </c>
      <c r="R519" s="174">
        <f t="shared" si="868"/>
        <v>0</v>
      </c>
      <c r="S519" s="175">
        <f t="shared" si="868"/>
        <v>0</v>
      </c>
      <c r="T519" s="171">
        <f t="shared" si="868"/>
        <v>0</v>
      </c>
      <c r="U519" s="171">
        <f t="shared" si="868"/>
        <v>0</v>
      </c>
      <c r="V519" s="171">
        <f t="shared" si="868"/>
        <v>0</v>
      </c>
      <c r="W519" s="171">
        <f t="shared" si="868"/>
        <v>0</v>
      </c>
      <c r="X519" s="171">
        <f t="shared" si="868"/>
        <v>0</v>
      </c>
      <c r="Y519" s="174">
        <f t="shared" si="868"/>
        <v>0</v>
      </c>
      <c r="Z519" s="149" t="str">
        <f t="shared" ca="1" si="759"/>
        <v>nie</v>
      </c>
      <c r="AA519" s="366"/>
      <c r="AB519" s="150" t="str">
        <f t="shared" ca="1" si="859"/>
        <v>-</v>
      </c>
      <c r="AC519" s="151" t="str">
        <f t="shared" ca="1" si="809"/>
        <v>PROPONOWANA ZMIANA</v>
      </c>
      <c r="AD519" s="152" t="str">
        <f t="shared" ca="1" si="860"/>
        <v>PROPONOWANA ZMIANA</v>
      </c>
      <c r="AE519" s="153" t="str">
        <f t="shared" ca="1" si="811"/>
        <v>C/USN/V/P1/70</v>
      </c>
      <c r="AF519" s="154" t="str">
        <f t="shared" ca="1" si="812"/>
        <v>Modernizacja budynku Szkoły Podstawowej nr 96 przy ul. Sarabandy 16/22</v>
      </c>
      <c r="AG519" s="155">
        <f t="shared" ca="1" si="813"/>
        <v>80101</v>
      </c>
      <c r="AH519" s="155" t="str">
        <f t="shared" ca="1" si="814"/>
        <v>6050</v>
      </c>
      <c r="AI519" s="156" t="str">
        <f t="shared" ca="1" si="815"/>
        <v>MWPO/0026</v>
      </c>
      <c r="AJ519" s="157" t="str">
        <f t="shared" ca="1" si="816"/>
        <v>WPF, w tym</v>
      </c>
      <c r="AK519" s="158" t="str">
        <f t="shared" ca="1" si="861"/>
        <v>C/USN/V/P1/70 80101 6050 MWPO/0026</v>
      </c>
      <c r="AL519" s="158" t="str">
        <f t="shared" ca="1" si="862"/>
        <v>C/USN/V/P1/70 80101 6050 WPF, w tym</v>
      </c>
      <c r="AM519" s="159" t="str">
        <f t="shared" ca="1" si="863"/>
        <v>C/USN/V/P1/70 80101 6050 MWPO/0026 WPF, w tym</v>
      </c>
      <c r="AN519" s="160">
        <f t="shared" ca="1" si="820"/>
        <v>0</v>
      </c>
      <c r="AO519" s="161">
        <f t="shared" ca="1" si="821"/>
        <v>0</v>
      </c>
      <c r="AP519" s="162">
        <f t="shared" ca="1" si="822"/>
        <v>0</v>
      </c>
      <c r="AQ519" s="163">
        <f t="shared" ca="1" si="823"/>
        <v>0</v>
      </c>
      <c r="AR519" s="164">
        <f t="shared" ca="1" si="824"/>
        <v>0</v>
      </c>
      <c r="AS519" s="164">
        <f t="shared" ca="1" si="825"/>
        <v>0</v>
      </c>
      <c r="AT519" s="164">
        <f t="shared" ca="1" si="826"/>
        <v>0</v>
      </c>
      <c r="AU519" s="164">
        <f t="shared" ca="1" si="827"/>
        <v>0</v>
      </c>
      <c r="AV519" s="164">
        <f t="shared" ca="1" si="828"/>
        <v>0</v>
      </c>
      <c r="AW519" s="164">
        <f t="shared" ca="1" si="829"/>
        <v>0</v>
      </c>
      <c r="AX519" s="164">
        <f t="shared" ca="1" si="830"/>
        <v>0</v>
      </c>
      <c r="AY519" s="164">
        <f t="shared" ca="1" si="831"/>
        <v>0</v>
      </c>
      <c r="AZ519" s="164">
        <f t="shared" ca="1" si="832"/>
        <v>0</v>
      </c>
      <c r="BA519" s="165" t="str">
        <f t="shared" ca="1" si="833"/>
        <v>nie</v>
      </c>
      <c r="BB519" s="166" t="str">
        <f t="shared" ca="1" si="864"/>
        <v>-</v>
      </c>
      <c r="BC519" s="165" t="str">
        <f t="shared" ca="1" si="760"/>
        <v>nie</v>
      </c>
    </row>
    <row r="520" spans="1:55" ht="14.45" hidden="1" customHeight="1" x14ac:dyDescent="0.25">
      <c r="A520" s="493"/>
      <c r="B520" s="493"/>
      <c r="C520" s="494"/>
      <c r="D520" s="512"/>
      <c r="E520" s="497"/>
      <c r="F520" s="497"/>
      <c r="G520" s="497"/>
      <c r="H520" s="498"/>
      <c r="I520" s="499"/>
      <c r="J520" s="177" t="s">
        <v>99</v>
      </c>
      <c r="K520" s="178">
        <f>SUM(N520:O520)</f>
        <v>0</v>
      </c>
      <c r="L520" s="179">
        <f t="shared" ref="L520:M520" si="869">L524-L516</f>
        <v>0</v>
      </c>
      <c r="M520" s="180">
        <f t="shared" si="869"/>
        <v>0</v>
      </c>
      <c r="N520" s="172">
        <f>SUM(L520:M520)</f>
        <v>0</v>
      </c>
      <c r="O520" s="178">
        <f>SUM(P520:Y520)</f>
        <v>0</v>
      </c>
      <c r="P520" s="181">
        <f t="shared" ref="P520:Y520" si="870">P524-P516</f>
        <v>0</v>
      </c>
      <c r="Q520" s="180">
        <f t="shared" si="870"/>
        <v>0</v>
      </c>
      <c r="R520" s="182">
        <f t="shared" si="870"/>
        <v>0</v>
      </c>
      <c r="S520" s="183">
        <f t="shared" si="870"/>
        <v>0</v>
      </c>
      <c r="T520" s="180">
        <f t="shared" si="870"/>
        <v>0</v>
      </c>
      <c r="U520" s="180">
        <f t="shared" si="870"/>
        <v>0</v>
      </c>
      <c r="V520" s="180">
        <f t="shared" si="870"/>
        <v>0</v>
      </c>
      <c r="W520" s="180">
        <f t="shared" si="870"/>
        <v>0</v>
      </c>
      <c r="X520" s="180">
        <f t="shared" si="870"/>
        <v>0</v>
      </c>
      <c r="Y520" s="182">
        <f t="shared" si="870"/>
        <v>0</v>
      </c>
      <c r="Z520" s="149" t="str">
        <f t="shared" ca="1" si="759"/>
        <v>nie</v>
      </c>
      <c r="AA520" s="366"/>
      <c r="AB520" s="150" t="str">
        <f t="shared" ca="1" si="859"/>
        <v>-</v>
      </c>
      <c r="AC520" s="151" t="str">
        <f t="shared" ca="1" si="809"/>
        <v>PROPONOWANA ZMIANA</v>
      </c>
      <c r="AD520" s="152" t="str">
        <f t="shared" ca="1" si="860"/>
        <v>PROPONOWANA ZMIANA</v>
      </c>
      <c r="AE520" s="153" t="str">
        <f t="shared" ca="1" si="811"/>
        <v>C/USN/V/P1/70</v>
      </c>
      <c r="AF520" s="154" t="str">
        <f t="shared" ca="1" si="812"/>
        <v>Modernizacja budynku Szkoły Podstawowej nr 96 przy ul. Sarabandy 16/22</v>
      </c>
      <c r="AG520" s="155">
        <f t="shared" ca="1" si="813"/>
        <v>80101</v>
      </c>
      <c r="AH520" s="155" t="str">
        <f t="shared" ca="1" si="814"/>
        <v>6050</v>
      </c>
      <c r="AI520" s="156" t="str">
        <f t="shared" ca="1" si="815"/>
        <v>MWPO/0026</v>
      </c>
      <c r="AJ520" s="157" t="str">
        <f t="shared" ca="1" si="816"/>
        <v>WPF/PM</v>
      </c>
      <c r="AK520" s="158" t="str">
        <f t="shared" ca="1" si="861"/>
        <v>C/USN/V/P1/70 80101 6050 MWPO/0026</v>
      </c>
      <c r="AL520" s="158" t="str">
        <f t="shared" ca="1" si="862"/>
        <v>C/USN/V/P1/70 80101 6050 WPF/PM</v>
      </c>
      <c r="AM520" s="159" t="str">
        <f t="shared" ca="1" si="863"/>
        <v>C/USN/V/P1/70 80101 6050 MWPO/0026 WPF/PM</v>
      </c>
      <c r="AN520" s="160">
        <f t="shared" ca="1" si="820"/>
        <v>0</v>
      </c>
      <c r="AO520" s="161">
        <f t="shared" ca="1" si="821"/>
        <v>0</v>
      </c>
      <c r="AP520" s="162">
        <f t="shared" ca="1" si="822"/>
        <v>0</v>
      </c>
      <c r="AQ520" s="163">
        <f t="shared" ca="1" si="823"/>
        <v>0</v>
      </c>
      <c r="AR520" s="164">
        <f t="shared" ca="1" si="824"/>
        <v>0</v>
      </c>
      <c r="AS520" s="164">
        <f t="shared" ca="1" si="825"/>
        <v>0</v>
      </c>
      <c r="AT520" s="164">
        <f t="shared" ca="1" si="826"/>
        <v>0</v>
      </c>
      <c r="AU520" s="164">
        <f t="shared" ca="1" si="827"/>
        <v>0</v>
      </c>
      <c r="AV520" s="164">
        <f t="shared" ca="1" si="828"/>
        <v>0</v>
      </c>
      <c r="AW520" s="164">
        <f t="shared" ca="1" si="829"/>
        <v>0</v>
      </c>
      <c r="AX520" s="164">
        <f t="shared" ca="1" si="830"/>
        <v>0</v>
      </c>
      <c r="AY520" s="164">
        <f t="shared" ca="1" si="831"/>
        <v>0</v>
      </c>
      <c r="AZ520" s="164">
        <f t="shared" ca="1" si="832"/>
        <v>0</v>
      </c>
      <c r="BA520" s="165" t="str">
        <f t="shared" ca="1" si="833"/>
        <v>nie</v>
      </c>
      <c r="BB520" s="166" t="str">
        <f t="shared" ca="1" si="864"/>
        <v>-</v>
      </c>
      <c r="BC520" s="165" t="str">
        <f t="shared" ca="1" si="760"/>
        <v>nie</v>
      </c>
    </row>
    <row r="521" spans="1:55" ht="14.45" hidden="1" customHeight="1" x14ac:dyDescent="0.25">
      <c r="A521" s="493"/>
      <c r="B521" s="493"/>
      <c r="C521" s="494"/>
      <c r="D521" s="512"/>
      <c r="E521" s="497"/>
      <c r="F521" s="497"/>
      <c r="G521" s="497"/>
      <c r="H521" s="498"/>
      <c r="I521" s="499"/>
      <c r="J521" s="177" t="s">
        <v>100</v>
      </c>
      <c r="K521" s="178">
        <f>SUM(N521:O521)</f>
        <v>0</v>
      </c>
      <c r="L521" s="179">
        <f t="shared" ref="L521:M521" si="871">L525-L517</f>
        <v>0</v>
      </c>
      <c r="M521" s="180">
        <f t="shared" si="871"/>
        <v>0</v>
      </c>
      <c r="N521" s="172">
        <f>SUM(L521:M521)</f>
        <v>0</v>
      </c>
      <c r="O521" s="178">
        <f>SUM(P521:Y521)</f>
        <v>0</v>
      </c>
      <c r="P521" s="181">
        <f t="shared" ref="P521:Y521" si="872">P525-P517</f>
        <v>0</v>
      </c>
      <c r="Q521" s="180">
        <f t="shared" si="872"/>
        <v>0</v>
      </c>
      <c r="R521" s="182">
        <f t="shared" si="872"/>
        <v>0</v>
      </c>
      <c r="S521" s="183">
        <f t="shared" si="872"/>
        <v>0</v>
      </c>
      <c r="T521" s="180">
        <f t="shared" si="872"/>
        <v>0</v>
      </c>
      <c r="U521" s="180">
        <f t="shared" si="872"/>
        <v>0</v>
      </c>
      <c r="V521" s="180">
        <f t="shared" si="872"/>
        <v>0</v>
      </c>
      <c r="W521" s="180">
        <f t="shared" si="872"/>
        <v>0</v>
      </c>
      <c r="X521" s="180">
        <f t="shared" si="872"/>
        <v>0</v>
      </c>
      <c r="Y521" s="182">
        <f t="shared" si="872"/>
        <v>0</v>
      </c>
      <c r="Z521" s="149" t="str">
        <f t="shared" ca="1" si="759"/>
        <v>nie</v>
      </c>
      <c r="AA521" s="366"/>
      <c r="AB521" s="150" t="str">
        <f t="shared" ca="1" si="859"/>
        <v>-</v>
      </c>
      <c r="AC521" s="151" t="str">
        <f t="shared" ca="1" si="809"/>
        <v>PROPONOWANA ZMIANA</v>
      </c>
      <c r="AD521" s="152" t="str">
        <f t="shared" ca="1" si="860"/>
        <v>PROPONOWANA ZMIANA</v>
      </c>
      <c r="AE521" s="153" t="str">
        <f t="shared" ca="1" si="811"/>
        <v>C/USN/V/P1/70</v>
      </c>
      <c r="AF521" s="154" t="str">
        <f t="shared" ca="1" si="812"/>
        <v>Modernizacja budynku Szkoły Podstawowej nr 96 przy ul. Sarabandy 16/22</v>
      </c>
      <c r="AG521" s="155">
        <f t="shared" ca="1" si="813"/>
        <v>80101</v>
      </c>
      <c r="AH521" s="155" t="str">
        <f t="shared" ca="1" si="814"/>
        <v>6050</v>
      </c>
      <c r="AI521" s="156" t="str">
        <f t="shared" ca="1" si="815"/>
        <v>MWPO/0026</v>
      </c>
      <c r="AJ521" s="157" t="str">
        <f t="shared" ca="1" si="816"/>
        <v>WPF/UM</v>
      </c>
      <c r="AK521" s="158" t="str">
        <f t="shared" ca="1" si="861"/>
        <v>C/USN/V/P1/70 80101 6050 MWPO/0026</v>
      </c>
      <c r="AL521" s="158" t="str">
        <f t="shared" ca="1" si="862"/>
        <v>C/USN/V/P1/70 80101 6050 WPF/UM</v>
      </c>
      <c r="AM521" s="159" t="str">
        <f t="shared" ca="1" si="863"/>
        <v>C/USN/V/P1/70 80101 6050 MWPO/0026 WPF/UM</v>
      </c>
      <c r="AN521" s="160">
        <f t="shared" ca="1" si="820"/>
        <v>0</v>
      </c>
      <c r="AO521" s="161">
        <f t="shared" ca="1" si="821"/>
        <v>0</v>
      </c>
      <c r="AP521" s="162">
        <f t="shared" ca="1" si="822"/>
        <v>0</v>
      </c>
      <c r="AQ521" s="163">
        <f t="shared" ca="1" si="823"/>
        <v>0</v>
      </c>
      <c r="AR521" s="164">
        <f t="shared" ca="1" si="824"/>
        <v>0</v>
      </c>
      <c r="AS521" s="164">
        <f t="shared" ca="1" si="825"/>
        <v>0</v>
      </c>
      <c r="AT521" s="164">
        <f t="shared" ca="1" si="826"/>
        <v>0</v>
      </c>
      <c r="AU521" s="164">
        <f t="shared" ca="1" si="827"/>
        <v>0</v>
      </c>
      <c r="AV521" s="164">
        <f t="shared" ca="1" si="828"/>
        <v>0</v>
      </c>
      <c r="AW521" s="164">
        <f t="shared" ca="1" si="829"/>
        <v>0</v>
      </c>
      <c r="AX521" s="164">
        <f t="shared" ca="1" si="830"/>
        <v>0</v>
      </c>
      <c r="AY521" s="164">
        <f t="shared" ca="1" si="831"/>
        <v>0</v>
      </c>
      <c r="AZ521" s="164">
        <f t="shared" ca="1" si="832"/>
        <v>0</v>
      </c>
      <c r="BA521" s="165" t="str">
        <f t="shared" ca="1" si="833"/>
        <v>nie</v>
      </c>
      <c r="BB521" s="166" t="str">
        <f t="shared" ca="1" si="864"/>
        <v>-</v>
      </c>
      <c r="BC521" s="165" t="str">
        <f t="shared" ca="1" si="760"/>
        <v>nie</v>
      </c>
    </row>
    <row r="522" spans="1:55" ht="14.45" hidden="1" customHeight="1" x14ac:dyDescent="0.25">
      <c r="A522" s="191" t="s">
        <v>101</v>
      </c>
      <c r="B522" s="192"/>
      <c r="C522" s="193"/>
      <c r="D522" s="192"/>
      <c r="E522" s="192"/>
      <c r="F522" s="192"/>
      <c r="G522" s="192"/>
      <c r="H522" s="192"/>
      <c r="I522" s="192"/>
      <c r="J522" s="192"/>
      <c r="K522" s="192"/>
      <c r="L522" s="192"/>
      <c r="M522" s="192"/>
      <c r="N522" s="192"/>
      <c r="O522" s="192"/>
      <c r="P522" s="192"/>
      <c r="Q522" s="192"/>
      <c r="R522" s="194"/>
      <c r="S522" s="195"/>
      <c r="T522" s="195"/>
      <c r="U522" s="195"/>
      <c r="V522" s="195"/>
      <c r="W522" s="195"/>
      <c r="X522" s="195"/>
      <c r="Y522" s="196"/>
      <c r="Z522" s="149" t="str">
        <f t="shared" ref="Z522:Z585" ca="1" si="873">IF(COUNTIF(A522,"*zmia*")&gt;0,OFFSET(Z522,1,0),IF(COUNTIF($AB$10:$AB$888,AE522)&gt;0,"tak","nie"))</f>
        <v>nie</v>
      </c>
      <c r="AA522" s="366"/>
      <c r="AB522" s="150" t="str">
        <f t="shared" ca="1" si="859"/>
        <v>-</v>
      </c>
      <c r="AC522" s="151" t="str">
        <f t="shared" ca="1" si="809"/>
        <v>PO ZMIANIE</v>
      </c>
      <c r="AD522" s="152" t="str">
        <f t="shared" ca="1" si="860"/>
        <v/>
      </c>
      <c r="AE522" s="153" t="str">
        <f t="shared" ca="1" si="811"/>
        <v/>
      </c>
      <c r="AF522" s="154" t="str">
        <f t="shared" ca="1" si="812"/>
        <v/>
      </c>
      <c r="AG522" s="155" t="str">
        <f t="shared" ca="1" si="813"/>
        <v/>
      </c>
      <c r="AH522" s="155" t="str">
        <f t="shared" ca="1" si="814"/>
        <v/>
      </c>
      <c r="AI522" s="156" t="str">
        <f t="shared" ca="1" si="815"/>
        <v/>
      </c>
      <c r="AJ522" s="157" t="str">
        <f t="shared" ca="1" si="816"/>
        <v/>
      </c>
      <c r="AK522" s="158" t="str">
        <f t="shared" ca="1" si="861"/>
        <v/>
      </c>
      <c r="AL522" s="158" t="str">
        <f t="shared" ca="1" si="862"/>
        <v/>
      </c>
      <c r="AM522" s="159" t="str">
        <f t="shared" ca="1" si="863"/>
        <v/>
      </c>
      <c r="AN522" s="160" t="str">
        <f t="shared" ca="1" si="820"/>
        <v/>
      </c>
      <c r="AO522" s="161" t="str">
        <f t="shared" ca="1" si="821"/>
        <v/>
      </c>
      <c r="AP522" s="162" t="str">
        <f t="shared" ca="1" si="822"/>
        <v/>
      </c>
      <c r="AQ522" s="163" t="str">
        <f t="shared" ca="1" si="823"/>
        <v/>
      </c>
      <c r="AR522" s="164" t="str">
        <f t="shared" ca="1" si="824"/>
        <v/>
      </c>
      <c r="AS522" s="164" t="str">
        <f t="shared" ca="1" si="825"/>
        <v/>
      </c>
      <c r="AT522" s="164" t="str">
        <f t="shared" ca="1" si="826"/>
        <v/>
      </c>
      <c r="AU522" s="164" t="str">
        <f t="shared" ca="1" si="827"/>
        <v/>
      </c>
      <c r="AV522" s="164" t="str">
        <f t="shared" ca="1" si="828"/>
        <v/>
      </c>
      <c r="AW522" s="164" t="str">
        <f t="shared" ca="1" si="829"/>
        <v/>
      </c>
      <c r="AX522" s="164" t="str">
        <f t="shared" ca="1" si="830"/>
        <v/>
      </c>
      <c r="AY522" s="164" t="str">
        <f t="shared" ca="1" si="831"/>
        <v/>
      </c>
      <c r="AZ522" s="164" t="str">
        <f t="shared" ca="1" si="832"/>
        <v/>
      </c>
      <c r="BA522" s="165" t="str">
        <f t="shared" ca="1" si="833"/>
        <v>nie</v>
      </c>
      <c r="BB522" s="166" t="str">
        <f t="shared" ca="1" si="864"/>
        <v>-</v>
      </c>
      <c r="BC522" s="165" t="str">
        <f t="shared" ref="BC522:BC585" ca="1" si="874">IF(AND(COUNTIF(AD522,"*zmi*")&gt;0,COUNTIF($BB$10:$BB$888,AK522)&gt;0),"tak","nie")</f>
        <v>nie</v>
      </c>
    </row>
    <row r="523" spans="1:55" ht="14.45" hidden="1" customHeight="1" x14ac:dyDescent="0.25">
      <c r="A523" s="493" t="s">
        <v>24</v>
      </c>
      <c r="B523" s="493" t="s">
        <v>419</v>
      </c>
      <c r="C523" s="494" t="s">
        <v>169</v>
      </c>
      <c r="D523" s="511" t="s">
        <v>170</v>
      </c>
      <c r="E523" s="497">
        <v>801</v>
      </c>
      <c r="F523" s="497">
        <v>80101</v>
      </c>
      <c r="G523" s="497">
        <v>6050</v>
      </c>
      <c r="H523" s="507">
        <v>2022</v>
      </c>
      <c r="I523" s="499" t="str">
        <f ca="1">IF(COUNTIF(OFFSET(I523,-1,-8),"*propon*")&gt;0,OFFSET(I523,4,0),IF(Y523&gt;0,"2033",IF(X523&gt;0,"2032",IF(W523&gt;0,"2031",IF(V523&gt;0,"2030",IF(U523&gt;0,"2029",IF(T523&gt;0,"2028",IF(S523&gt;0,"2027",IF(R523&gt;0,"2026",IF(Q523&gt;0,"2025",IF(P523&gt;0,"2024",IF(M523&gt;0,"2023",IF(L523&gt;0,"2022","")))))))))))))</f>
        <v>2024</v>
      </c>
      <c r="J523" s="168" t="s">
        <v>102</v>
      </c>
      <c r="K523" s="169">
        <f>SUM(N523:O523)</f>
        <v>700000</v>
      </c>
      <c r="L523" s="170">
        <f t="shared" ref="L523:M523" si="875">SUM(L524:L525)</f>
        <v>0</v>
      </c>
      <c r="M523" s="171">
        <f t="shared" si="875"/>
        <v>500000</v>
      </c>
      <c r="N523" s="172">
        <f>SUM(L523:M523)</f>
        <v>500000</v>
      </c>
      <c r="O523" s="169">
        <f>SUM(P523:Y523)</f>
        <v>200000</v>
      </c>
      <c r="P523" s="173">
        <f t="shared" ref="P523:Y523" si="876">SUM(P524:P525)</f>
        <v>200000</v>
      </c>
      <c r="Q523" s="171">
        <f t="shared" si="876"/>
        <v>0</v>
      </c>
      <c r="R523" s="174">
        <f t="shared" si="876"/>
        <v>0</v>
      </c>
      <c r="S523" s="175">
        <f t="shared" si="876"/>
        <v>0</v>
      </c>
      <c r="T523" s="171">
        <f t="shared" si="876"/>
        <v>0</v>
      </c>
      <c r="U523" s="171">
        <f t="shared" si="876"/>
        <v>0</v>
      </c>
      <c r="V523" s="171">
        <f t="shared" si="876"/>
        <v>0</v>
      </c>
      <c r="W523" s="171">
        <f t="shared" si="876"/>
        <v>0</v>
      </c>
      <c r="X523" s="171">
        <f t="shared" si="876"/>
        <v>0</v>
      </c>
      <c r="Y523" s="174">
        <f t="shared" si="876"/>
        <v>0</v>
      </c>
      <c r="Z523" s="149" t="str">
        <f t="shared" ca="1" si="873"/>
        <v>nie</v>
      </c>
      <c r="AA523" s="366"/>
      <c r="AB523" s="150" t="str">
        <f t="shared" ca="1" si="859"/>
        <v>-</v>
      </c>
      <c r="AC523" s="151" t="str">
        <f t="shared" ca="1" si="809"/>
        <v>PO ZMIANIE</v>
      </c>
      <c r="AD523" s="152" t="str">
        <f t="shared" ca="1" si="860"/>
        <v>PO ZMIANIE</v>
      </c>
      <c r="AE523" s="153" t="str">
        <f t="shared" ca="1" si="811"/>
        <v>C/USN/V/P1/70</v>
      </c>
      <c r="AF523" s="154" t="str">
        <f t="shared" ca="1" si="812"/>
        <v>Modernizacja budynku Szkoły Podstawowej nr 96 przy ul. Sarabandy 16/22</v>
      </c>
      <c r="AG523" s="155">
        <f t="shared" ca="1" si="813"/>
        <v>80101</v>
      </c>
      <c r="AH523" s="155" t="str">
        <f t="shared" ca="1" si="814"/>
        <v>6050</v>
      </c>
      <c r="AI523" s="156" t="str">
        <f t="shared" ca="1" si="815"/>
        <v>MWPO/0026</v>
      </c>
      <c r="AJ523" s="157" t="str">
        <f t="shared" ca="1" si="816"/>
        <v>WPF, w tym</v>
      </c>
      <c r="AK523" s="158" t="str">
        <f t="shared" ca="1" si="861"/>
        <v>C/USN/V/P1/70 80101 6050 MWPO/0026</v>
      </c>
      <c r="AL523" s="158" t="str">
        <f t="shared" ca="1" si="862"/>
        <v>C/USN/V/P1/70 80101 6050 WPF, w tym</v>
      </c>
      <c r="AM523" s="159" t="str">
        <f t="shared" ca="1" si="863"/>
        <v>C/USN/V/P1/70 80101 6050 MWPO/0026 WPF, w tym</v>
      </c>
      <c r="AN523" s="160">
        <f t="shared" ca="1" si="820"/>
        <v>700000</v>
      </c>
      <c r="AO523" s="161">
        <f t="shared" ca="1" si="821"/>
        <v>0</v>
      </c>
      <c r="AP523" s="162">
        <f t="shared" ca="1" si="822"/>
        <v>500000</v>
      </c>
      <c r="AQ523" s="163">
        <f t="shared" ca="1" si="823"/>
        <v>200000</v>
      </c>
      <c r="AR523" s="164">
        <f t="shared" ca="1" si="824"/>
        <v>0</v>
      </c>
      <c r="AS523" s="164">
        <f t="shared" ca="1" si="825"/>
        <v>0</v>
      </c>
      <c r="AT523" s="164">
        <f t="shared" ca="1" si="826"/>
        <v>0</v>
      </c>
      <c r="AU523" s="164">
        <f t="shared" ca="1" si="827"/>
        <v>0</v>
      </c>
      <c r="AV523" s="164">
        <f t="shared" ca="1" si="828"/>
        <v>0</v>
      </c>
      <c r="AW523" s="164">
        <f t="shared" ca="1" si="829"/>
        <v>0</v>
      </c>
      <c r="AX523" s="164">
        <f t="shared" ca="1" si="830"/>
        <v>0</v>
      </c>
      <c r="AY523" s="164">
        <f t="shared" ca="1" si="831"/>
        <v>0</v>
      </c>
      <c r="AZ523" s="164">
        <f t="shared" ca="1" si="832"/>
        <v>0</v>
      </c>
      <c r="BA523" s="165" t="str">
        <f t="shared" ca="1" si="833"/>
        <v>nie</v>
      </c>
      <c r="BB523" s="166" t="str">
        <f t="shared" ca="1" si="864"/>
        <v>-</v>
      </c>
      <c r="BC523" s="165" t="str">
        <f t="shared" ca="1" si="874"/>
        <v>nie</v>
      </c>
    </row>
    <row r="524" spans="1:55" ht="14.45" hidden="1" customHeight="1" x14ac:dyDescent="0.25">
      <c r="A524" s="493"/>
      <c r="B524" s="493"/>
      <c r="C524" s="494"/>
      <c r="D524" s="512"/>
      <c r="E524" s="497"/>
      <c r="F524" s="497"/>
      <c r="G524" s="497"/>
      <c r="H524" s="498"/>
      <c r="I524" s="499"/>
      <c r="J524" s="177" t="s">
        <v>103</v>
      </c>
      <c r="K524" s="178">
        <f>SUM(N524:O524)</f>
        <v>200000</v>
      </c>
      <c r="L524" s="179"/>
      <c r="M524" s="180"/>
      <c r="N524" s="172">
        <f>SUM(L524:M524)</f>
        <v>0</v>
      </c>
      <c r="O524" s="178">
        <f>SUM(P524:Y524)</f>
        <v>200000</v>
      </c>
      <c r="P524" s="181">
        <f>200000</f>
        <v>200000</v>
      </c>
      <c r="Q524" s="180"/>
      <c r="R524" s="182"/>
      <c r="S524" s="183"/>
      <c r="T524" s="180"/>
      <c r="U524" s="180"/>
      <c r="V524" s="180"/>
      <c r="W524" s="180"/>
      <c r="X524" s="180"/>
      <c r="Y524" s="182"/>
      <c r="Z524" s="149" t="str">
        <f t="shared" ca="1" si="873"/>
        <v>nie</v>
      </c>
      <c r="AA524" s="384"/>
      <c r="AB524" s="150" t="str">
        <f t="shared" ca="1" si="859"/>
        <v>-</v>
      </c>
      <c r="AC524" s="151" t="str">
        <f t="shared" ca="1" si="809"/>
        <v>PO ZMIANIE</v>
      </c>
      <c r="AD524" s="152" t="str">
        <f t="shared" ca="1" si="860"/>
        <v>PO ZMIANIE</v>
      </c>
      <c r="AE524" s="153" t="str">
        <f t="shared" ca="1" si="811"/>
        <v>C/USN/V/P1/70</v>
      </c>
      <c r="AF524" s="154" t="str">
        <f t="shared" ca="1" si="812"/>
        <v>Modernizacja budynku Szkoły Podstawowej nr 96 przy ul. Sarabandy 16/22</v>
      </c>
      <c r="AG524" s="155">
        <f t="shared" ca="1" si="813"/>
        <v>80101</v>
      </c>
      <c r="AH524" s="155" t="str">
        <f t="shared" ca="1" si="814"/>
        <v>6050</v>
      </c>
      <c r="AI524" s="156" t="str">
        <f t="shared" ca="1" si="815"/>
        <v>MWPO/0026</v>
      </c>
      <c r="AJ524" s="157" t="str">
        <f t="shared" ca="1" si="816"/>
        <v>WPF/PM</v>
      </c>
      <c r="AK524" s="158" t="str">
        <f t="shared" ca="1" si="861"/>
        <v>C/USN/V/P1/70 80101 6050 MWPO/0026</v>
      </c>
      <c r="AL524" s="158" t="str">
        <f t="shared" ca="1" si="862"/>
        <v>C/USN/V/P1/70 80101 6050 WPF/PM</v>
      </c>
      <c r="AM524" s="159" t="str">
        <f t="shared" ca="1" si="863"/>
        <v>C/USN/V/P1/70 80101 6050 MWPO/0026 WPF/PM</v>
      </c>
      <c r="AN524" s="160">
        <f t="shared" ca="1" si="820"/>
        <v>200000</v>
      </c>
      <c r="AO524" s="161">
        <f t="shared" ca="1" si="821"/>
        <v>0</v>
      </c>
      <c r="AP524" s="162">
        <f t="shared" ca="1" si="822"/>
        <v>0</v>
      </c>
      <c r="AQ524" s="163">
        <f t="shared" ca="1" si="823"/>
        <v>200000</v>
      </c>
      <c r="AR524" s="164">
        <f t="shared" ca="1" si="824"/>
        <v>0</v>
      </c>
      <c r="AS524" s="164">
        <f t="shared" ca="1" si="825"/>
        <v>0</v>
      </c>
      <c r="AT524" s="164">
        <f t="shared" ca="1" si="826"/>
        <v>0</v>
      </c>
      <c r="AU524" s="164">
        <f t="shared" ca="1" si="827"/>
        <v>0</v>
      </c>
      <c r="AV524" s="164">
        <f t="shared" ca="1" si="828"/>
        <v>0</v>
      </c>
      <c r="AW524" s="164">
        <f t="shared" ca="1" si="829"/>
        <v>0</v>
      </c>
      <c r="AX524" s="164">
        <f t="shared" ca="1" si="830"/>
        <v>0</v>
      </c>
      <c r="AY524" s="164">
        <f t="shared" ca="1" si="831"/>
        <v>0</v>
      </c>
      <c r="AZ524" s="164">
        <f t="shared" ca="1" si="832"/>
        <v>0</v>
      </c>
      <c r="BA524" s="165" t="str">
        <f t="shared" ca="1" si="833"/>
        <v>nie</v>
      </c>
      <c r="BB524" s="166" t="str">
        <f t="shared" ca="1" si="864"/>
        <v>-</v>
      </c>
      <c r="BC524" s="165" t="str">
        <f t="shared" ca="1" si="874"/>
        <v>nie</v>
      </c>
    </row>
    <row r="525" spans="1:55" ht="14.45" hidden="1" customHeight="1" thickBot="1" x14ac:dyDescent="0.3">
      <c r="A525" s="500"/>
      <c r="B525" s="493"/>
      <c r="C525" s="501"/>
      <c r="D525" s="529"/>
      <c r="E525" s="503"/>
      <c r="F525" s="503"/>
      <c r="G525" s="503"/>
      <c r="H525" s="504"/>
      <c r="I525" s="499"/>
      <c r="J525" s="197" t="s">
        <v>104</v>
      </c>
      <c r="K525" s="198">
        <f>SUM(N525:O525)</f>
        <v>500000</v>
      </c>
      <c r="L525" s="204"/>
      <c r="M525" s="200">
        <v>500000</v>
      </c>
      <c r="N525" s="371">
        <f>SUM(L525:M525)</f>
        <v>500000</v>
      </c>
      <c r="O525" s="198">
        <f>SUM(P525:Y525)</f>
        <v>0</v>
      </c>
      <c r="P525" s="201"/>
      <c r="Q525" s="200"/>
      <c r="R525" s="202"/>
      <c r="S525" s="203"/>
      <c r="T525" s="200"/>
      <c r="U525" s="200"/>
      <c r="V525" s="200"/>
      <c r="W525" s="200"/>
      <c r="X525" s="200"/>
      <c r="Y525" s="202"/>
      <c r="Z525" s="149" t="str">
        <f t="shared" ca="1" si="873"/>
        <v>nie</v>
      </c>
      <c r="AA525" s="384"/>
      <c r="AB525" s="150" t="str">
        <f t="shared" ca="1" si="859"/>
        <v>-</v>
      </c>
      <c r="AC525" s="151" t="str">
        <f t="shared" ca="1" si="809"/>
        <v>PO ZMIANIE</v>
      </c>
      <c r="AD525" s="152" t="str">
        <f t="shared" ca="1" si="860"/>
        <v>PO ZMIANIE</v>
      </c>
      <c r="AE525" s="153" t="str">
        <f t="shared" ca="1" si="811"/>
        <v>C/USN/V/P1/70</v>
      </c>
      <c r="AF525" s="154" t="str">
        <f t="shared" ca="1" si="812"/>
        <v>Modernizacja budynku Szkoły Podstawowej nr 96 przy ul. Sarabandy 16/22</v>
      </c>
      <c r="AG525" s="155">
        <f t="shared" ca="1" si="813"/>
        <v>80101</v>
      </c>
      <c r="AH525" s="155" t="str">
        <f t="shared" ca="1" si="814"/>
        <v>6050</v>
      </c>
      <c r="AI525" s="156" t="str">
        <f t="shared" ca="1" si="815"/>
        <v>MWPO/0026</v>
      </c>
      <c r="AJ525" s="157" t="str">
        <f t="shared" ca="1" si="816"/>
        <v>WPF/UM</v>
      </c>
      <c r="AK525" s="158" t="str">
        <f t="shared" ca="1" si="861"/>
        <v>C/USN/V/P1/70 80101 6050 MWPO/0026</v>
      </c>
      <c r="AL525" s="158" t="str">
        <f t="shared" ca="1" si="862"/>
        <v>C/USN/V/P1/70 80101 6050 WPF/UM</v>
      </c>
      <c r="AM525" s="159" t="str">
        <f t="shared" ca="1" si="863"/>
        <v>C/USN/V/P1/70 80101 6050 MWPO/0026 WPF/UM</v>
      </c>
      <c r="AN525" s="160">
        <f t="shared" ca="1" si="820"/>
        <v>500000</v>
      </c>
      <c r="AO525" s="161">
        <f t="shared" ca="1" si="821"/>
        <v>0</v>
      </c>
      <c r="AP525" s="162">
        <f t="shared" ca="1" si="822"/>
        <v>500000</v>
      </c>
      <c r="AQ525" s="163">
        <f t="shared" ca="1" si="823"/>
        <v>0</v>
      </c>
      <c r="AR525" s="164">
        <f t="shared" ca="1" si="824"/>
        <v>0</v>
      </c>
      <c r="AS525" s="164">
        <f t="shared" ca="1" si="825"/>
        <v>0</v>
      </c>
      <c r="AT525" s="164">
        <f t="shared" ca="1" si="826"/>
        <v>0</v>
      </c>
      <c r="AU525" s="164">
        <f t="shared" ca="1" si="827"/>
        <v>0</v>
      </c>
      <c r="AV525" s="164">
        <f t="shared" ca="1" si="828"/>
        <v>0</v>
      </c>
      <c r="AW525" s="164">
        <f t="shared" ca="1" si="829"/>
        <v>0</v>
      </c>
      <c r="AX525" s="164">
        <f t="shared" ca="1" si="830"/>
        <v>0</v>
      </c>
      <c r="AY525" s="164">
        <f t="shared" ca="1" si="831"/>
        <v>0</v>
      </c>
      <c r="AZ525" s="164">
        <f t="shared" ca="1" si="832"/>
        <v>0</v>
      </c>
      <c r="BA525" s="165" t="str">
        <f t="shared" ca="1" si="833"/>
        <v>nie</v>
      </c>
      <c r="BB525" s="166" t="str">
        <f t="shared" ca="1" si="864"/>
        <v>-</v>
      </c>
      <c r="BC525" s="165" t="str">
        <f t="shared" ca="1" si="874"/>
        <v>nie</v>
      </c>
    </row>
    <row r="526" spans="1:55" ht="14.45" hidden="1" customHeight="1" x14ac:dyDescent="0.25">
      <c r="A526" s="143" t="s">
        <v>91</v>
      </c>
      <c r="B526" s="144"/>
      <c r="C526" s="145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6"/>
      <c r="S526" s="147"/>
      <c r="T526" s="147"/>
      <c r="U526" s="147"/>
      <c r="V526" s="147"/>
      <c r="W526" s="147"/>
      <c r="X526" s="147"/>
      <c r="Y526" s="148"/>
      <c r="Z526" s="149" t="str">
        <f t="shared" ca="1" si="873"/>
        <v>nie</v>
      </c>
      <c r="AA526" s="366"/>
      <c r="AB526" s="150" t="str">
        <f t="shared" ca="1" si="806"/>
        <v>-</v>
      </c>
      <c r="AC526" s="151" t="str">
        <f t="shared" ca="1" si="809"/>
        <v>PRZED ZMIANĄ</v>
      </c>
      <c r="AD526" s="152" t="str">
        <f t="shared" ca="1" si="791"/>
        <v/>
      </c>
      <c r="AE526" s="153" t="str">
        <f t="shared" ca="1" si="811"/>
        <v/>
      </c>
      <c r="AF526" s="154" t="str">
        <f t="shared" ca="1" si="812"/>
        <v/>
      </c>
      <c r="AG526" s="155" t="str">
        <f t="shared" ca="1" si="813"/>
        <v/>
      </c>
      <c r="AH526" s="155" t="str">
        <f t="shared" ca="1" si="814"/>
        <v/>
      </c>
      <c r="AI526" s="156" t="str">
        <f t="shared" ca="1" si="815"/>
        <v/>
      </c>
      <c r="AJ526" s="157" t="str">
        <f t="shared" ca="1" si="816"/>
        <v/>
      </c>
      <c r="AK526" s="158" t="str">
        <f t="shared" ca="1" si="792"/>
        <v/>
      </c>
      <c r="AL526" s="158" t="str">
        <f t="shared" ca="1" si="793"/>
        <v/>
      </c>
      <c r="AM526" s="159" t="str">
        <f t="shared" ca="1" si="794"/>
        <v/>
      </c>
      <c r="AN526" s="160" t="str">
        <f t="shared" ca="1" si="820"/>
        <v/>
      </c>
      <c r="AO526" s="161" t="str">
        <f t="shared" ca="1" si="821"/>
        <v/>
      </c>
      <c r="AP526" s="162" t="str">
        <f t="shared" ca="1" si="822"/>
        <v/>
      </c>
      <c r="AQ526" s="163" t="str">
        <f t="shared" ca="1" si="823"/>
        <v/>
      </c>
      <c r="AR526" s="164" t="str">
        <f t="shared" ca="1" si="824"/>
        <v/>
      </c>
      <c r="AS526" s="164" t="str">
        <f t="shared" ca="1" si="825"/>
        <v/>
      </c>
      <c r="AT526" s="164" t="str">
        <f t="shared" ca="1" si="826"/>
        <v/>
      </c>
      <c r="AU526" s="164" t="str">
        <f t="shared" ca="1" si="827"/>
        <v/>
      </c>
      <c r="AV526" s="164" t="str">
        <f t="shared" ca="1" si="828"/>
        <v/>
      </c>
      <c r="AW526" s="164" t="str">
        <f t="shared" ca="1" si="829"/>
        <v/>
      </c>
      <c r="AX526" s="164" t="str">
        <f t="shared" ca="1" si="830"/>
        <v/>
      </c>
      <c r="AY526" s="164" t="str">
        <f t="shared" ca="1" si="831"/>
        <v/>
      </c>
      <c r="AZ526" s="164" t="str">
        <f t="shared" ca="1" si="832"/>
        <v/>
      </c>
      <c r="BA526" s="165" t="str">
        <f t="shared" ca="1" si="833"/>
        <v>nie</v>
      </c>
      <c r="BB526" s="166" t="str">
        <f t="shared" ca="1" si="807"/>
        <v>-</v>
      </c>
      <c r="BC526" s="165" t="str">
        <f t="shared" ca="1" si="874"/>
        <v>nie</v>
      </c>
    </row>
    <row r="527" spans="1:55" ht="14.45" hidden="1" customHeight="1" x14ac:dyDescent="0.25">
      <c r="A527" s="493" t="s">
        <v>24</v>
      </c>
      <c r="B527" s="493" t="s">
        <v>26</v>
      </c>
      <c r="C527" s="494" t="s">
        <v>171</v>
      </c>
      <c r="D527" s="532" t="s">
        <v>172</v>
      </c>
      <c r="E527" s="497">
        <v>801</v>
      </c>
      <c r="F527" s="497">
        <v>80120</v>
      </c>
      <c r="G527" s="497">
        <v>6050</v>
      </c>
      <c r="H527" s="507">
        <v>2023</v>
      </c>
      <c r="I527" s="499" t="str">
        <f ca="1">IF(COUNTIF(OFFSET(I527,-1,-8),"*propon*")&gt;0,OFFSET(I527,4,0),IF(Y527&gt;0,"2033",IF(X527&gt;0,"2032",IF(W527&gt;0,"2031",IF(V527&gt;0,"2030",IF(U527&gt;0,"2029",IF(T527&gt;0,"2028",IF(S527&gt;0,"2027",IF(R527&gt;0,"2026",IF(Q527&gt;0,"2025",IF(P527&gt;0,"2024",IF(M527&gt;0,"2023",IF(L527&gt;0,"2022","")))))))))))))</f>
        <v>2024</v>
      </c>
      <c r="J527" s="168" t="s">
        <v>94</v>
      </c>
      <c r="K527" s="169">
        <f>SUM(N527:O527)</f>
        <v>5000000</v>
      </c>
      <c r="L527" s="170">
        <f t="shared" ref="L527:M527" si="877">SUM(L528:L529)</f>
        <v>0</v>
      </c>
      <c r="M527" s="171">
        <f t="shared" si="877"/>
        <v>337515</v>
      </c>
      <c r="N527" s="172">
        <f>SUM(L527:M527)</f>
        <v>337515</v>
      </c>
      <c r="O527" s="169">
        <f>SUM(P527:Y527)</f>
        <v>4662485</v>
      </c>
      <c r="P527" s="173">
        <f t="shared" ref="P527:R527" si="878">SUM(P528:P529)</f>
        <v>4662485</v>
      </c>
      <c r="Q527" s="171">
        <f t="shared" si="878"/>
        <v>0</v>
      </c>
      <c r="R527" s="174">
        <f t="shared" si="878"/>
        <v>0</v>
      </c>
      <c r="S527" s="175">
        <f t="shared" ref="S527:Y527" si="879">SUM(S528:S529)</f>
        <v>0</v>
      </c>
      <c r="T527" s="171">
        <f t="shared" si="879"/>
        <v>0</v>
      </c>
      <c r="U527" s="171">
        <f t="shared" si="879"/>
        <v>0</v>
      </c>
      <c r="V527" s="171">
        <f t="shared" si="879"/>
        <v>0</v>
      </c>
      <c r="W527" s="171">
        <f t="shared" si="879"/>
        <v>0</v>
      </c>
      <c r="X527" s="171">
        <f t="shared" si="879"/>
        <v>0</v>
      </c>
      <c r="Y527" s="174">
        <f t="shared" si="879"/>
        <v>0</v>
      </c>
      <c r="Z527" s="149" t="str">
        <f t="shared" ca="1" si="873"/>
        <v>nie</v>
      </c>
      <c r="AA527" s="366"/>
      <c r="AB527" s="150" t="str">
        <f t="shared" ca="1" si="806"/>
        <v>-</v>
      </c>
      <c r="AC527" s="151" t="str">
        <f t="shared" ca="1" si="809"/>
        <v>PRZED ZMIANĄ</v>
      </c>
      <c r="AD527" s="152" t="str">
        <f t="shared" ca="1" si="791"/>
        <v>PRZED ZMIANĄ</v>
      </c>
      <c r="AE527" s="153" t="str">
        <f t="shared" ca="1" si="811"/>
        <v>C/USN/V/P1/86</v>
      </c>
      <c r="AF527" s="154" t="str">
        <f t="shared" ca="1" si="812"/>
        <v>Adaptacja pomieszczeń LXX LO przy ul. Dembowskiego 1 dla potrzeb FabLab wraz z modernizacją instalacji elektrycznej budynku</v>
      </c>
      <c r="AG527" s="155">
        <f t="shared" ca="1" si="813"/>
        <v>80120</v>
      </c>
      <c r="AH527" s="155" t="str">
        <f t="shared" ca="1" si="814"/>
        <v>6050</v>
      </c>
      <c r="AI527" s="156" t="str">
        <f t="shared" ca="1" si="815"/>
        <v>GMMW</v>
      </c>
      <c r="AJ527" s="157" t="str">
        <f t="shared" ca="1" si="816"/>
        <v>WPF, w tym</v>
      </c>
      <c r="AK527" s="158" t="str">
        <f t="shared" ca="1" si="792"/>
        <v>C/USN/V/P1/86 80120 6050 GMMW</v>
      </c>
      <c r="AL527" s="158" t="str">
        <f t="shared" ca="1" si="793"/>
        <v>C/USN/V/P1/86 80120 6050 WPF, w tym</v>
      </c>
      <c r="AM527" s="159" t="str">
        <f t="shared" ca="1" si="794"/>
        <v>C/USN/V/P1/86 80120 6050 GMMW WPF, w tym</v>
      </c>
      <c r="AN527" s="160">
        <f t="shared" ca="1" si="820"/>
        <v>5000000</v>
      </c>
      <c r="AO527" s="161">
        <f t="shared" ca="1" si="821"/>
        <v>0</v>
      </c>
      <c r="AP527" s="162">
        <f t="shared" ca="1" si="822"/>
        <v>337515</v>
      </c>
      <c r="AQ527" s="163">
        <f t="shared" ca="1" si="823"/>
        <v>4662485</v>
      </c>
      <c r="AR527" s="164">
        <f t="shared" ca="1" si="824"/>
        <v>0</v>
      </c>
      <c r="AS527" s="164">
        <f t="shared" ca="1" si="825"/>
        <v>0</v>
      </c>
      <c r="AT527" s="164">
        <f t="shared" ca="1" si="826"/>
        <v>0</v>
      </c>
      <c r="AU527" s="164">
        <f t="shared" ca="1" si="827"/>
        <v>0</v>
      </c>
      <c r="AV527" s="164">
        <f t="shared" ca="1" si="828"/>
        <v>0</v>
      </c>
      <c r="AW527" s="164">
        <f t="shared" ca="1" si="829"/>
        <v>0</v>
      </c>
      <c r="AX527" s="164">
        <f t="shared" ca="1" si="830"/>
        <v>0</v>
      </c>
      <c r="AY527" s="164">
        <f t="shared" ca="1" si="831"/>
        <v>0</v>
      </c>
      <c r="AZ527" s="164">
        <f t="shared" ca="1" si="832"/>
        <v>0</v>
      </c>
      <c r="BA527" s="165" t="str">
        <f t="shared" ca="1" si="833"/>
        <v>nie</v>
      </c>
      <c r="BB527" s="166" t="str">
        <f t="shared" ca="1" si="807"/>
        <v>-</v>
      </c>
      <c r="BC527" s="165" t="str">
        <f t="shared" ca="1" si="874"/>
        <v>nie</v>
      </c>
    </row>
    <row r="528" spans="1:55" ht="14.45" hidden="1" customHeight="1" x14ac:dyDescent="0.25">
      <c r="A528" s="493"/>
      <c r="B528" s="493"/>
      <c r="C528" s="494"/>
      <c r="D528" s="533"/>
      <c r="E528" s="497"/>
      <c r="F528" s="497"/>
      <c r="G528" s="497"/>
      <c r="H528" s="498"/>
      <c r="I528" s="499"/>
      <c r="J528" s="177" t="s">
        <v>95</v>
      </c>
      <c r="K528" s="178">
        <f>SUM(N528:O528)</f>
        <v>4662485</v>
      </c>
      <c r="L528" s="179"/>
      <c r="M528" s="180"/>
      <c r="N528" s="172">
        <f>SUM(L528:M528)</f>
        <v>0</v>
      </c>
      <c r="O528" s="178">
        <f>SUM(P528:Y528)</f>
        <v>4662485</v>
      </c>
      <c r="P528" s="181">
        <v>4662485</v>
      </c>
      <c r="Q528" s="180"/>
      <c r="R528" s="182"/>
      <c r="S528" s="183"/>
      <c r="T528" s="180"/>
      <c r="U528" s="180"/>
      <c r="V528" s="180"/>
      <c r="W528" s="180"/>
      <c r="X528" s="180"/>
      <c r="Y528" s="182"/>
      <c r="Z528" s="149" t="str">
        <f t="shared" ca="1" si="873"/>
        <v>nie</v>
      </c>
      <c r="AA528" s="366"/>
      <c r="AB528" s="150" t="str">
        <f t="shared" ca="1" si="806"/>
        <v>-</v>
      </c>
      <c r="AC528" s="151" t="str">
        <f t="shared" ca="1" si="809"/>
        <v>PRZED ZMIANĄ</v>
      </c>
      <c r="AD528" s="152" t="str">
        <f t="shared" ca="1" si="791"/>
        <v>PRZED ZMIANĄ</v>
      </c>
      <c r="AE528" s="153" t="str">
        <f t="shared" ca="1" si="811"/>
        <v>C/USN/V/P1/86</v>
      </c>
      <c r="AF528" s="154" t="str">
        <f t="shared" ca="1" si="812"/>
        <v>Adaptacja pomieszczeń LXX LO przy ul. Dembowskiego 1 dla potrzeb FabLab wraz z modernizacją instalacji elektrycznej budynku</v>
      </c>
      <c r="AG528" s="155">
        <f t="shared" ca="1" si="813"/>
        <v>80120</v>
      </c>
      <c r="AH528" s="155" t="str">
        <f t="shared" ca="1" si="814"/>
        <v>6050</v>
      </c>
      <c r="AI528" s="156" t="str">
        <f t="shared" ca="1" si="815"/>
        <v>GMMW</v>
      </c>
      <c r="AJ528" s="157" t="str">
        <f t="shared" ca="1" si="816"/>
        <v>WPF/PM</v>
      </c>
      <c r="AK528" s="158" t="str">
        <f t="shared" ca="1" si="792"/>
        <v>C/USN/V/P1/86 80120 6050 GMMW</v>
      </c>
      <c r="AL528" s="158" t="str">
        <f t="shared" ca="1" si="793"/>
        <v>C/USN/V/P1/86 80120 6050 WPF/PM</v>
      </c>
      <c r="AM528" s="159" t="str">
        <f t="shared" ca="1" si="794"/>
        <v>C/USN/V/P1/86 80120 6050 GMMW WPF/PM</v>
      </c>
      <c r="AN528" s="160">
        <f t="shared" ca="1" si="820"/>
        <v>4662485</v>
      </c>
      <c r="AO528" s="161">
        <f t="shared" ca="1" si="821"/>
        <v>0</v>
      </c>
      <c r="AP528" s="162">
        <f t="shared" ca="1" si="822"/>
        <v>0</v>
      </c>
      <c r="AQ528" s="163">
        <f t="shared" ca="1" si="823"/>
        <v>4662485</v>
      </c>
      <c r="AR528" s="164">
        <f t="shared" ca="1" si="824"/>
        <v>0</v>
      </c>
      <c r="AS528" s="164">
        <f t="shared" ca="1" si="825"/>
        <v>0</v>
      </c>
      <c r="AT528" s="164">
        <f t="shared" ca="1" si="826"/>
        <v>0</v>
      </c>
      <c r="AU528" s="164">
        <f t="shared" ca="1" si="827"/>
        <v>0</v>
      </c>
      <c r="AV528" s="164">
        <f t="shared" ca="1" si="828"/>
        <v>0</v>
      </c>
      <c r="AW528" s="164">
        <f t="shared" ca="1" si="829"/>
        <v>0</v>
      </c>
      <c r="AX528" s="164">
        <f t="shared" ca="1" si="830"/>
        <v>0</v>
      </c>
      <c r="AY528" s="164">
        <f t="shared" ca="1" si="831"/>
        <v>0</v>
      </c>
      <c r="AZ528" s="164">
        <f t="shared" ca="1" si="832"/>
        <v>0</v>
      </c>
      <c r="BA528" s="165" t="str">
        <f t="shared" ca="1" si="833"/>
        <v>nie</v>
      </c>
      <c r="BB528" s="166" t="str">
        <f t="shared" ca="1" si="807"/>
        <v>-</v>
      </c>
      <c r="BC528" s="165" t="str">
        <f t="shared" ca="1" si="874"/>
        <v>nie</v>
      </c>
    </row>
    <row r="529" spans="1:55" ht="14.45" hidden="1" customHeight="1" x14ac:dyDescent="0.25">
      <c r="A529" s="493"/>
      <c r="B529" s="493"/>
      <c r="C529" s="494"/>
      <c r="D529" s="533"/>
      <c r="E529" s="497"/>
      <c r="F529" s="497"/>
      <c r="G529" s="497"/>
      <c r="H529" s="498"/>
      <c r="I529" s="499"/>
      <c r="J529" s="177" t="s">
        <v>96</v>
      </c>
      <c r="K529" s="178">
        <f>SUM(N529:O529)</f>
        <v>337515</v>
      </c>
      <c r="L529" s="184"/>
      <c r="M529" s="180">
        <v>337515</v>
      </c>
      <c r="N529" s="172">
        <f>SUM(L529:M529)</f>
        <v>337515</v>
      </c>
      <c r="O529" s="178">
        <f>SUM(P529:Y529)</f>
        <v>0</v>
      </c>
      <c r="P529" s="181"/>
      <c r="Q529" s="180"/>
      <c r="R529" s="182"/>
      <c r="S529" s="183"/>
      <c r="T529" s="180"/>
      <c r="U529" s="180"/>
      <c r="V529" s="180"/>
      <c r="W529" s="180"/>
      <c r="X529" s="180"/>
      <c r="Y529" s="182"/>
      <c r="Z529" s="149" t="str">
        <f t="shared" ca="1" si="873"/>
        <v>nie</v>
      </c>
      <c r="AA529" s="366"/>
      <c r="AB529" s="150" t="str">
        <f t="shared" ca="1" si="806"/>
        <v>-</v>
      </c>
      <c r="AC529" s="151" t="str">
        <f t="shared" ca="1" si="809"/>
        <v>PRZED ZMIANĄ</v>
      </c>
      <c r="AD529" s="152" t="str">
        <f t="shared" ca="1" si="791"/>
        <v>PRZED ZMIANĄ</v>
      </c>
      <c r="AE529" s="153" t="str">
        <f t="shared" ca="1" si="811"/>
        <v>C/USN/V/P1/86</v>
      </c>
      <c r="AF529" s="154" t="str">
        <f t="shared" ca="1" si="812"/>
        <v>Adaptacja pomieszczeń LXX LO przy ul. Dembowskiego 1 dla potrzeb FabLab wraz z modernizacją instalacji elektrycznej budynku</v>
      </c>
      <c r="AG529" s="155">
        <f t="shared" ca="1" si="813"/>
        <v>80120</v>
      </c>
      <c r="AH529" s="155" t="str">
        <f t="shared" ca="1" si="814"/>
        <v>6050</v>
      </c>
      <c r="AI529" s="156" t="str">
        <f t="shared" ca="1" si="815"/>
        <v>GMMW</v>
      </c>
      <c r="AJ529" s="157" t="str">
        <f t="shared" ca="1" si="816"/>
        <v>WPF/UM</v>
      </c>
      <c r="AK529" s="158" t="str">
        <f t="shared" ca="1" si="792"/>
        <v>C/USN/V/P1/86 80120 6050 GMMW</v>
      </c>
      <c r="AL529" s="158" t="str">
        <f t="shared" ca="1" si="793"/>
        <v>C/USN/V/P1/86 80120 6050 WPF/UM</v>
      </c>
      <c r="AM529" s="159" t="str">
        <f t="shared" ca="1" si="794"/>
        <v>C/USN/V/P1/86 80120 6050 GMMW WPF/UM</v>
      </c>
      <c r="AN529" s="160">
        <f t="shared" ca="1" si="820"/>
        <v>337515</v>
      </c>
      <c r="AO529" s="161">
        <f t="shared" ca="1" si="821"/>
        <v>0</v>
      </c>
      <c r="AP529" s="162">
        <f t="shared" ca="1" si="822"/>
        <v>337515</v>
      </c>
      <c r="AQ529" s="163">
        <f t="shared" ca="1" si="823"/>
        <v>0</v>
      </c>
      <c r="AR529" s="164">
        <f t="shared" ca="1" si="824"/>
        <v>0</v>
      </c>
      <c r="AS529" s="164">
        <f t="shared" ca="1" si="825"/>
        <v>0</v>
      </c>
      <c r="AT529" s="164">
        <f t="shared" ca="1" si="826"/>
        <v>0</v>
      </c>
      <c r="AU529" s="164">
        <f t="shared" ca="1" si="827"/>
        <v>0</v>
      </c>
      <c r="AV529" s="164">
        <f t="shared" ca="1" si="828"/>
        <v>0</v>
      </c>
      <c r="AW529" s="164">
        <f t="shared" ca="1" si="829"/>
        <v>0</v>
      </c>
      <c r="AX529" s="164">
        <f t="shared" ca="1" si="830"/>
        <v>0</v>
      </c>
      <c r="AY529" s="164">
        <f t="shared" ca="1" si="831"/>
        <v>0</v>
      </c>
      <c r="AZ529" s="164">
        <f t="shared" ca="1" si="832"/>
        <v>0</v>
      </c>
      <c r="BA529" s="165" t="str">
        <f t="shared" ca="1" si="833"/>
        <v>nie</v>
      </c>
      <c r="BB529" s="166" t="str">
        <f t="shared" ca="1" si="807"/>
        <v>-</v>
      </c>
      <c r="BC529" s="165" t="str">
        <f t="shared" ca="1" si="874"/>
        <v>nie</v>
      </c>
    </row>
    <row r="530" spans="1:55" ht="14.45" hidden="1" customHeight="1" x14ac:dyDescent="0.25">
      <c r="A530" s="185" t="s">
        <v>97</v>
      </c>
      <c r="B530" s="186"/>
      <c r="C530" s="187"/>
      <c r="D530" s="186"/>
      <c r="E530" s="186"/>
      <c r="F530" s="186"/>
      <c r="G530" s="186"/>
      <c r="H530" s="186"/>
      <c r="I530" s="186"/>
      <c r="J530" s="186"/>
      <c r="K530" s="186"/>
      <c r="L530" s="186"/>
      <c r="M530" s="186"/>
      <c r="N530" s="186"/>
      <c r="O530" s="186"/>
      <c r="P530" s="186"/>
      <c r="Q530" s="186"/>
      <c r="R530" s="188"/>
      <c r="S530" s="189"/>
      <c r="T530" s="189"/>
      <c r="U530" s="189"/>
      <c r="V530" s="189"/>
      <c r="W530" s="189"/>
      <c r="X530" s="189"/>
      <c r="Y530" s="190"/>
      <c r="Z530" s="149" t="str">
        <f t="shared" ca="1" si="873"/>
        <v>nie</v>
      </c>
      <c r="AA530" s="366"/>
      <c r="AB530" s="150" t="str">
        <f t="shared" ca="1" si="806"/>
        <v>-</v>
      </c>
      <c r="AC530" s="151" t="str">
        <f t="shared" ca="1" si="809"/>
        <v>PROPONOWANA ZMIANA</v>
      </c>
      <c r="AD530" s="152" t="str">
        <f t="shared" ca="1" si="791"/>
        <v/>
      </c>
      <c r="AE530" s="153" t="str">
        <f t="shared" ca="1" si="811"/>
        <v/>
      </c>
      <c r="AF530" s="154" t="str">
        <f t="shared" ca="1" si="812"/>
        <v/>
      </c>
      <c r="AG530" s="155" t="str">
        <f t="shared" ca="1" si="813"/>
        <v/>
      </c>
      <c r="AH530" s="155" t="str">
        <f t="shared" ca="1" si="814"/>
        <v/>
      </c>
      <c r="AI530" s="156" t="str">
        <f t="shared" ca="1" si="815"/>
        <v/>
      </c>
      <c r="AJ530" s="157" t="str">
        <f t="shared" ca="1" si="816"/>
        <v/>
      </c>
      <c r="AK530" s="158" t="str">
        <f t="shared" ca="1" si="792"/>
        <v/>
      </c>
      <c r="AL530" s="158" t="str">
        <f t="shared" ca="1" si="793"/>
        <v/>
      </c>
      <c r="AM530" s="159" t="str">
        <f t="shared" ca="1" si="794"/>
        <v/>
      </c>
      <c r="AN530" s="160" t="str">
        <f t="shared" ca="1" si="820"/>
        <v/>
      </c>
      <c r="AO530" s="161" t="str">
        <f t="shared" ca="1" si="821"/>
        <v/>
      </c>
      <c r="AP530" s="162" t="str">
        <f t="shared" ca="1" si="822"/>
        <v/>
      </c>
      <c r="AQ530" s="163" t="str">
        <f t="shared" ca="1" si="823"/>
        <v/>
      </c>
      <c r="AR530" s="164" t="str">
        <f t="shared" ca="1" si="824"/>
        <v/>
      </c>
      <c r="AS530" s="164" t="str">
        <f t="shared" ca="1" si="825"/>
        <v/>
      </c>
      <c r="AT530" s="164" t="str">
        <f t="shared" ca="1" si="826"/>
        <v/>
      </c>
      <c r="AU530" s="164" t="str">
        <f t="shared" ca="1" si="827"/>
        <v/>
      </c>
      <c r="AV530" s="164" t="str">
        <f t="shared" ca="1" si="828"/>
        <v/>
      </c>
      <c r="AW530" s="164" t="str">
        <f t="shared" ca="1" si="829"/>
        <v/>
      </c>
      <c r="AX530" s="164" t="str">
        <f t="shared" ca="1" si="830"/>
        <v/>
      </c>
      <c r="AY530" s="164" t="str">
        <f t="shared" ca="1" si="831"/>
        <v/>
      </c>
      <c r="AZ530" s="164" t="str">
        <f t="shared" ca="1" si="832"/>
        <v/>
      </c>
      <c r="BA530" s="165" t="str">
        <f t="shared" ca="1" si="833"/>
        <v>nie</v>
      </c>
      <c r="BB530" s="166" t="str">
        <f t="shared" ca="1" si="807"/>
        <v>-</v>
      </c>
      <c r="BC530" s="165" t="str">
        <f t="shared" ca="1" si="874"/>
        <v>nie</v>
      </c>
    </row>
    <row r="531" spans="1:55" ht="14.45" hidden="1" customHeight="1" x14ac:dyDescent="0.25">
      <c r="A531" s="493" t="s">
        <v>24</v>
      </c>
      <c r="B531" s="493" t="s">
        <v>26</v>
      </c>
      <c r="C531" s="494" t="s">
        <v>171</v>
      </c>
      <c r="D531" s="532" t="s">
        <v>172</v>
      </c>
      <c r="E531" s="497">
        <v>801</v>
      </c>
      <c r="F531" s="497">
        <v>80120</v>
      </c>
      <c r="G531" s="497">
        <v>6050</v>
      </c>
      <c r="H531" s="507">
        <v>2023</v>
      </c>
      <c r="I531" s="499" t="str">
        <f ca="1">IF(COUNTIF(OFFSET(I531,-1,-8),"*propon*")&gt;0,OFFSET(I531,4,0),IF(Y531&gt;0,"2033",IF(X531&gt;0,"2032",IF(W531&gt;0,"2031",IF(V531&gt;0,"2030",IF(U531&gt;0,"2029",IF(T531&gt;0,"2028",IF(S531&gt;0,"2027",IF(R531&gt;0,"2026",IF(Q531&gt;0,"2025",IF(P531&gt;0,"2024",IF(M531&gt;0,"2023",IF(L531&gt;0,"2022","")))))))))))))</f>
        <v>2024</v>
      </c>
      <c r="J531" s="168" t="s">
        <v>98</v>
      </c>
      <c r="K531" s="169">
        <f>SUM(N531:O531)</f>
        <v>0</v>
      </c>
      <c r="L531" s="170">
        <f t="shared" ref="L531:M531" si="880">SUM(L532:L533)</f>
        <v>0</v>
      </c>
      <c r="M531" s="171">
        <f t="shared" si="880"/>
        <v>0</v>
      </c>
      <c r="N531" s="172">
        <f>SUM(L531:M531)</f>
        <v>0</v>
      </c>
      <c r="O531" s="169">
        <f>SUM(P531:Y531)</f>
        <v>0</v>
      </c>
      <c r="P531" s="173">
        <f t="shared" ref="P531:R531" si="881">SUM(P532:P533)</f>
        <v>0</v>
      </c>
      <c r="Q531" s="171">
        <f t="shared" si="881"/>
        <v>0</v>
      </c>
      <c r="R531" s="174">
        <f t="shared" si="881"/>
        <v>0</v>
      </c>
      <c r="S531" s="175">
        <f t="shared" ref="S531:Y531" si="882">SUM(S532:S533)</f>
        <v>0</v>
      </c>
      <c r="T531" s="171">
        <f t="shared" si="882"/>
        <v>0</v>
      </c>
      <c r="U531" s="171">
        <f t="shared" si="882"/>
        <v>0</v>
      </c>
      <c r="V531" s="171">
        <f t="shared" si="882"/>
        <v>0</v>
      </c>
      <c r="W531" s="171">
        <f t="shared" si="882"/>
        <v>0</v>
      </c>
      <c r="X531" s="171">
        <f t="shared" si="882"/>
        <v>0</v>
      </c>
      <c r="Y531" s="174">
        <f t="shared" si="882"/>
        <v>0</v>
      </c>
      <c r="Z531" s="149" t="str">
        <f t="shared" ca="1" si="873"/>
        <v>nie</v>
      </c>
      <c r="AA531" s="366"/>
      <c r="AB531" s="150" t="str">
        <f t="shared" ca="1" si="806"/>
        <v>-</v>
      </c>
      <c r="AC531" s="151" t="str">
        <f t="shared" ca="1" si="809"/>
        <v>PROPONOWANA ZMIANA</v>
      </c>
      <c r="AD531" s="152" t="str">
        <f t="shared" ref="AD531:AD594" ca="1" si="883">IF(AE531="","",AC531)</f>
        <v>PROPONOWANA ZMIANA</v>
      </c>
      <c r="AE531" s="153" t="str">
        <f t="shared" ca="1" si="811"/>
        <v>C/USN/V/P1/86</v>
      </c>
      <c r="AF531" s="154" t="str">
        <f t="shared" ca="1" si="812"/>
        <v>Adaptacja pomieszczeń LXX LO przy ul. Dembowskiego 1 dla potrzeb FabLab wraz z modernizacją instalacji elektrycznej budynku</v>
      </c>
      <c r="AG531" s="155">
        <f t="shared" ca="1" si="813"/>
        <v>80120</v>
      </c>
      <c r="AH531" s="155" t="str">
        <f t="shared" ca="1" si="814"/>
        <v>6050</v>
      </c>
      <c r="AI531" s="156" t="str">
        <f t="shared" ca="1" si="815"/>
        <v>GMMW</v>
      </c>
      <c r="AJ531" s="157" t="str">
        <f t="shared" ca="1" si="816"/>
        <v>WPF, w tym</v>
      </c>
      <c r="AK531" s="158" t="str">
        <f t="shared" ref="AK531:AK594" ca="1" si="884">IF(AH531="","",AE531&amp;" "&amp;AG531&amp;" "&amp;AH531&amp;" "&amp;AI531)</f>
        <v>C/USN/V/P1/86 80120 6050 GMMW</v>
      </c>
      <c r="AL531" s="158" t="str">
        <f t="shared" ref="AL531:AL594" ca="1" si="885">IF(AH531="","",AE531&amp;" "&amp;AG531&amp;" "&amp;AH531&amp;" "&amp;AJ531)</f>
        <v>C/USN/V/P1/86 80120 6050 WPF, w tym</v>
      </c>
      <c r="AM531" s="159" t="str">
        <f t="shared" ref="AM531:AM594" ca="1" si="886">IF(AH531="","",AE531&amp;" "&amp;AG531&amp;" "&amp;AH531&amp;" "&amp;AI531&amp;" "&amp;AJ531)</f>
        <v>C/USN/V/P1/86 80120 6050 GMMW WPF, w tym</v>
      </c>
      <c r="AN531" s="160">
        <f t="shared" ca="1" si="820"/>
        <v>0</v>
      </c>
      <c r="AO531" s="161">
        <f t="shared" ca="1" si="821"/>
        <v>0</v>
      </c>
      <c r="AP531" s="162">
        <f t="shared" ca="1" si="822"/>
        <v>0</v>
      </c>
      <c r="AQ531" s="163">
        <f t="shared" ca="1" si="823"/>
        <v>0</v>
      </c>
      <c r="AR531" s="164">
        <f t="shared" ca="1" si="824"/>
        <v>0</v>
      </c>
      <c r="AS531" s="164">
        <f t="shared" ca="1" si="825"/>
        <v>0</v>
      </c>
      <c r="AT531" s="164">
        <f t="shared" ca="1" si="826"/>
        <v>0</v>
      </c>
      <c r="AU531" s="164">
        <f t="shared" ca="1" si="827"/>
        <v>0</v>
      </c>
      <c r="AV531" s="164">
        <f t="shared" ca="1" si="828"/>
        <v>0</v>
      </c>
      <c r="AW531" s="164">
        <f t="shared" ca="1" si="829"/>
        <v>0</v>
      </c>
      <c r="AX531" s="164">
        <f t="shared" ca="1" si="830"/>
        <v>0</v>
      </c>
      <c r="AY531" s="164">
        <f t="shared" ca="1" si="831"/>
        <v>0</v>
      </c>
      <c r="AZ531" s="164">
        <f t="shared" ca="1" si="832"/>
        <v>0</v>
      </c>
      <c r="BA531" s="165" t="str">
        <f t="shared" ca="1" si="833"/>
        <v>nie</v>
      </c>
      <c r="BB531" s="166" t="str">
        <f t="shared" ca="1" si="807"/>
        <v>-</v>
      </c>
      <c r="BC531" s="165" t="str">
        <f t="shared" ca="1" si="874"/>
        <v>nie</v>
      </c>
    </row>
    <row r="532" spans="1:55" ht="14.45" hidden="1" customHeight="1" x14ac:dyDescent="0.25">
      <c r="A532" s="493"/>
      <c r="B532" s="493"/>
      <c r="C532" s="494"/>
      <c r="D532" s="533"/>
      <c r="E532" s="497"/>
      <c r="F532" s="497"/>
      <c r="G532" s="497"/>
      <c r="H532" s="498"/>
      <c r="I532" s="499"/>
      <c r="J532" s="177" t="s">
        <v>99</v>
      </c>
      <c r="K532" s="178">
        <f>SUM(N532:O532)</f>
        <v>0</v>
      </c>
      <c r="L532" s="179">
        <f t="shared" ref="L532:M532" si="887">L536-L528</f>
        <v>0</v>
      </c>
      <c r="M532" s="180">
        <f t="shared" si="887"/>
        <v>0</v>
      </c>
      <c r="N532" s="172">
        <f>SUM(L532:M532)</f>
        <v>0</v>
      </c>
      <c r="O532" s="178">
        <f>SUM(P532:Y532)</f>
        <v>0</v>
      </c>
      <c r="P532" s="181">
        <f t="shared" ref="P532:R532" si="888">P536-P528</f>
        <v>0</v>
      </c>
      <c r="Q532" s="180">
        <f t="shared" si="888"/>
        <v>0</v>
      </c>
      <c r="R532" s="182">
        <f t="shared" si="888"/>
        <v>0</v>
      </c>
      <c r="S532" s="183">
        <f t="shared" ref="S532:Y533" si="889">S536-S528</f>
        <v>0</v>
      </c>
      <c r="T532" s="180">
        <f t="shared" si="889"/>
        <v>0</v>
      </c>
      <c r="U532" s="180">
        <f t="shared" si="889"/>
        <v>0</v>
      </c>
      <c r="V532" s="180">
        <f t="shared" si="889"/>
        <v>0</v>
      </c>
      <c r="W532" s="180">
        <f t="shared" si="889"/>
        <v>0</v>
      </c>
      <c r="X532" s="180">
        <f t="shared" si="889"/>
        <v>0</v>
      </c>
      <c r="Y532" s="182">
        <f t="shared" si="889"/>
        <v>0</v>
      </c>
      <c r="Z532" s="149" t="str">
        <f t="shared" ca="1" si="873"/>
        <v>nie</v>
      </c>
      <c r="AA532" s="366"/>
      <c r="AB532" s="150" t="str">
        <f t="shared" ca="1" si="806"/>
        <v>-</v>
      </c>
      <c r="AC532" s="151" t="str">
        <f t="shared" ca="1" si="809"/>
        <v>PROPONOWANA ZMIANA</v>
      </c>
      <c r="AD532" s="152" t="str">
        <f t="shared" ca="1" si="883"/>
        <v>PROPONOWANA ZMIANA</v>
      </c>
      <c r="AE532" s="153" t="str">
        <f t="shared" ca="1" si="811"/>
        <v>C/USN/V/P1/86</v>
      </c>
      <c r="AF532" s="154" t="str">
        <f t="shared" ca="1" si="812"/>
        <v>Adaptacja pomieszczeń LXX LO przy ul. Dembowskiego 1 dla potrzeb FabLab wraz z modernizacją instalacji elektrycznej budynku</v>
      </c>
      <c r="AG532" s="155">
        <f t="shared" ca="1" si="813"/>
        <v>80120</v>
      </c>
      <c r="AH532" s="155" t="str">
        <f t="shared" ca="1" si="814"/>
        <v>6050</v>
      </c>
      <c r="AI532" s="156" t="str">
        <f t="shared" ca="1" si="815"/>
        <v>GMMW</v>
      </c>
      <c r="AJ532" s="157" t="str">
        <f t="shared" ca="1" si="816"/>
        <v>WPF/PM</v>
      </c>
      <c r="AK532" s="158" t="str">
        <f t="shared" ca="1" si="884"/>
        <v>C/USN/V/P1/86 80120 6050 GMMW</v>
      </c>
      <c r="AL532" s="158" t="str">
        <f t="shared" ca="1" si="885"/>
        <v>C/USN/V/P1/86 80120 6050 WPF/PM</v>
      </c>
      <c r="AM532" s="159" t="str">
        <f t="shared" ca="1" si="886"/>
        <v>C/USN/V/P1/86 80120 6050 GMMW WPF/PM</v>
      </c>
      <c r="AN532" s="160">
        <f t="shared" ca="1" si="820"/>
        <v>0</v>
      </c>
      <c r="AO532" s="161">
        <f t="shared" ca="1" si="821"/>
        <v>0</v>
      </c>
      <c r="AP532" s="162">
        <f t="shared" ca="1" si="822"/>
        <v>0</v>
      </c>
      <c r="AQ532" s="163">
        <f t="shared" ca="1" si="823"/>
        <v>0</v>
      </c>
      <c r="AR532" s="164">
        <f t="shared" ca="1" si="824"/>
        <v>0</v>
      </c>
      <c r="AS532" s="164">
        <f t="shared" ca="1" si="825"/>
        <v>0</v>
      </c>
      <c r="AT532" s="164">
        <f t="shared" ca="1" si="826"/>
        <v>0</v>
      </c>
      <c r="AU532" s="164">
        <f t="shared" ca="1" si="827"/>
        <v>0</v>
      </c>
      <c r="AV532" s="164">
        <f t="shared" ca="1" si="828"/>
        <v>0</v>
      </c>
      <c r="AW532" s="164">
        <f t="shared" ca="1" si="829"/>
        <v>0</v>
      </c>
      <c r="AX532" s="164">
        <f t="shared" ca="1" si="830"/>
        <v>0</v>
      </c>
      <c r="AY532" s="164">
        <f t="shared" ca="1" si="831"/>
        <v>0</v>
      </c>
      <c r="AZ532" s="164">
        <f t="shared" ca="1" si="832"/>
        <v>0</v>
      </c>
      <c r="BA532" s="165" t="str">
        <f t="shared" ca="1" si="833"/>
        <v>nie</v>
      </c>
      <c r="BB532" s="166" t="str">
        <f t="shared" ca="1" si="807"/>
        <v>-</v>
      </c>
      <c r="BC532" s="165" t="str">
        <f t="shared" ca="1" si="874"/>
        <v>nie</v>
      </c>
    </row>
    <row r="533" spans="1:55" ht="14.45" hidden="1" customHeight="1" x14ac:dyDescent="0.25">
      <c r="A533" s="493"/>
      <c r="B533" s="493"/>
      <c r="C533" s="494"/>
      <c r="D533" s="533"/>
      <c r="E533" s="497"/>
      <c r="F533" s="497"/>
      <c r="G533" s="497"/>
      <c r="H533" s="498"/>
      <c r="I533" s="499"/>
      <c r="J533" s="177" t="s">
        <v>100</v>
      </c>
      <c r="K533" s="178">
        <f>SUM(N533:O533)</f>
        <v>0</v>
      </c>
      <c r="L533" s="179">
        <f t="shared" ref="L533:M533" si="890">L537-L529</f>
        <v>0</v>
      </c>
      <c r="M533" s="180">
        <f t="shared" si="890"/>
        <v>0</v>
      </c>
      <c r="N533" s="172">
        <f>SUM(L533:M533)</f>
        <v>0</v>
      </c>
      <c r="O533" s="178">
        <f>SUM(P533:Y533)</f>
        <v>0</v>
      </c>
      <c r="P533" s="181">
        <f t="shared" ref="P533:R533" si="891">P537-P529</f>
        <v>0</v>
      </c>
      <c r="Q533" s="180">
        <f t="shared" si="891"/>
        <v>0</v>
      </c>
      <c r="R533" s="182">
        <f t="shared" si="891"/>
        <v>0</v>
      </c>
      <c r="S533" s="183">
        <f t="shared" si="889"/>
        <v>0</v>
      </c>
      <c r="T533" s="180">
        <f t="shared" si="889"/>
        <v>0</v>
      </c>
      <c r="U533" s="180">
        <f t="shared" si="889"/>
        <v>0</v>
      </c>
      <c r="V533" s="180">
        <f t="shared" si="889"/>
        <v>0</v>
      </c>
      <c r="W533" s="180">
        <f t="shared" si="889"/>
        <v>0</v>
      </c>
      <c r="X533" s="180">
        <f t="shared" si="889"/>
        <v>0</v>
      </c>
      <c r="Y533" s="182">
        <f t="shared" si="889"/>
        <v>0</v>
      </c>
      <c r="Z533" s="149" t="str">
        <f t="shared" ca="1" si="873"/>
        <v>nie</v>
      </c>
      <c r="AA533" s="366"/>
      <c r="AB533" s="150" t="str">
        <f t="shared" ca="1" si="806"/>
        <v>-</v>
      </c>
      <c r="AC533" s="151" t="str">
        <f t="shared" ca="1" si="809"/>
        <v>PROPONOWANA ZMIANA</v>
      </c>
      <c r="AD533" s="152" t="str">
        <f t="shared" ca="1" si="883"/>
        <v>PROPONOWANA ZMIANA</v>
      </c>
      <c r="AE533" s="153" t="str">
        <f t="shared" ca="1" si="811"/>
        <v>C/USN/V/P1/86</v>
      </c>
      <c r="AF533" s="154" t="str">
        <f t="shared" ca="1" si="812"/>
        <v>Adaptacja pomieszczeń LXX LO przy ul. Dembowskiego 1 dla potrzeb FabLab wraz z modernizacją instalacji elektrycznej budynku</v>
      </c>
      <c r="AG533" s="155">
        <f t="shared" ca="1" si="813"/>
        <v>80120</v>
      </c>
      <c r="AH533" s="155" t="str">
        <f t="shared" ca="1" si="814"/>
        <v>6050</v>
      </c>
      <c r="AI533" s="156" t="str">
        <f t="shared" ca="1" si="815"/>
        <v>GMMW</v>
      </c>
      <c r="AJ533" s="157" t="str">
        <f t="shared" ca="1" si="816"/>
        <v>WPF/UM</v>
      </c>
      <c r="AK533" s="158" t="str">
        <f t="shared" ca="1" si="884"/>
        <v>C/USN/V/P1/86 80120 6050 GMMW</v>
      </c>
      <c r="AL533" s="158" t="str">
        <f t="shared" ca="1" si="885"/>
        <v>C/USN/V/P1/86 80120 6050 WPF/UM</v>
      </c>
      <c r="AM533" s="159" t="str">
        <f t="shared" ca="1" si="886"/>
        <v>C/USN/V/P1/86 80120 6050 GMMW WPF/UM</v>
      </c>
      <c r="AN533" s="160">
        <f t="shared" ca="1" si="820"/>
        <v>0</v>
      </c>
      <c r="AO533" s="161">
        <f t="shared" ca="1" si="821"/>
        <v>0</v>
      </c>
      <c r="AP533" s="162">
        <f t="shared" ca="1" si="822"/>
        <v>0</v>
      </c>
      <c r="AQ533" s="163">
        <f t="shared" ca="1" si="823"/>
        <v>0</v>
      </c>
      <c r="AR533" s="164">
        <f t="shared" ca="1" si="824"/>
        <v>0</v>
      </c>
      <c r="AS533" s="164">
        <f t="shared" ca="1" si="825"/>
        <v>0</v>
      </c>
      <c r="AT533" s="164">
        <f t="shared" ca="1" si="826"/>
        <v>0</v>
      </c>
      <c r="AU533" s="164">
        <f t="shared" ca="1" si="827"/>
        <v>0</v>
      </c>
      <c r="AV533" s="164">
        <f t="shared" ca="1" si="828"/>
        <v>0</v>
      </c>
      <c r="AW533" s="164">
        <f t="shared" ca="1" si="829"/>
        <v>0</v>
      </c>
      <c r="AX533" s="164">
        <f t="shared" ca="1" si="830"/>
        <v>0</v>
      </c>
      <c r="AY533" s="164">
        <f t="shared" ca="1" si="831"/>
        <v>0</v>
      </c>
      <c r="AZ533" s="164">
        <f t="shared" ca="1" si="832"/>
        <v>0</v>
      </c>
      <c r="BA533" s="165" t="str">
        <f t="shared" ca="1" si="833"/>
        <v>nie</v>
      </c>
      <c r="BB533" s="166" t="str">
        <f t="shared" ca="1" si="807"/>
        <v>-</v>
      </c>
      <c r="BC533" s="165" t="str">
        <f t="shared" ca="1" si="874"/>
        <v>nie</v>
      </c>
    </row>
    <row r="534" spans="1:55" ht="14.45" hidden="1" customHeight="1" x14ac:dyDescent="0.25">
      <c r="A534" s="191" t="s">
        <v>101</v>
      </c>
      <c r="B534" s="192"/>
      <c r="C534" s="193"/>
      <c r="D534" s="192"/>
      <c r="E534" s="192"/>
      <c r="F534" s="192"/>
      <c r="G534" s="192"/>
      <c r="H534" s="192"/>
      <c r="I534" s="192"/>
      <c r="J534" s="192"/>
      <c r="K534" s="192"/>
      <c r="L534" s="192"/>
      <c r="M534" s="192"/>
      <c r="N534" s="192"/>
      <c r="O534" s="192"/>
      <c r="P534" s="192"/>
      <c r="Q534" s="192"/>
      <c r="R534" s="194"/>
      <c r="S534" s="195"/>
      <c r="T534" s="195"/>
      <c r="U534" s="195"/>
      <c r="V534" s="195"/>
      <c r="W534" s="195"/>
      <c r="X534" s="195"/>
      <c r="Y534" s="196"/>
      <c r="Z534" s="149" t="str">
        <f t="shared" ca="1" si="873"/>
        <v>nie</v>
      </c>
      <c r="AA534" s="366"/>
      <c r="AB534" s="150" t="str">
        <f t="shared" ca="1" si="806"/>
        <v>-</v>
      </c>
      <c r="AC534" s="151" t="str">
        <f t="shared" ca="1" si="809"/>
        <v>PO ZMIANIE</v>
      </c>
      <c r="AD534" s="152" t="str">
        <f t="shared" ca="1" si="883"/>
        <v/>
      </c>
      <c r="AE534" s="153" t="str">
        <f t="shared" ca="1" si="811"/>
        <v/>
      </c>
      <c r="AF534" s="154" t="str">
        <f t="shared" ca="1" si="812"/>
        <v/>
      </c>
      <c r="AG534" s="155" t="str">
        <f t="shared" ca="1" si="813"/>
        <v/>
      </c>
      <c r="AH534" s="155" t="str">
        <f t="shared" ca="1" si="814"/>
        <v/>
      </c>
      <c r="AI534" s="156" t="str">
        <f t="shared" ca="1" si="815"/>
        <v/>
      </c>
      <c r="AJ534" s="157" t="str">
        <f t="shared" ca="1" si="816"/>
        <v/>
      </c>
      <c r="AK534" s="158" t="str">
        <f t="shared" ca="1" si="884"/>
        <v/>
      </c>
      <c r="AL534" s="158" t="str">
        <f t="shared" ca="1" si="885"/>
        <v/>
      </c>
      <c r="AM534" s="159" t="str">
        <f t="shared" ca="1" si="886"/>
        <v/>
      </c>
      <c r="AN534" s="160" t="str">
        <f t="shared" ca="1" si="820"/>
        <v/>
      </c>
      <c r="AO534" s="161" t="str">
        <f t="shared" ca="1" si="821"/>
        <v/>
      </c>
      <c r="AP534" s="162" t="str">
        <f t="shared" ca="1" si="822"/>
        <v/>
      </c>
      <c r="AQ534" s="163" t="str">
        <f t="shared" ca="1" si="823"/>
        <v/>
      </c>
      <c r="AR534" s="164" t="str">
        <f t="shared" ca="1" si="824"/>
        <v/>
      </c>
      <c r="AS534" s="164" t="str">
        <f t="shared" ca="1" si="825"/>
        <v/>
      </c>
      <c r="AT534" s="164" t="str">
        <f t="shared" ca="1" si="826"/>
        <v/>
      </c>
      <c r="AU534" s="164" t="str">
        <f t="shared" ca="1" si="827"/>
        <v/>
      </c>
      <c r="AV534" s="164" t="str">
        <f t="shared" ca="1" si="828"/>
        <v/>
      </c>
      <c r="AW534" s="164" t="str">
        <f t="shared" ca="1" si="829"/>
        <v/>
      </c>
      <c r="AX534" s="164" t="str">
        <f t="shared" ca="1" si="830"/>
        <v/>
      </c>
      <c r="AY534" s="164" t="str">
        <f t="shared" ca="1" si="831"/>
        <v/>
      </c>
      <c r="AZ534" s="164" t="str">
        <f t="shared" ca="1" si="832"/>
        <v/>
      </c>
      <c r="BA534" s="165" t="str">
        <f t="shared" ca="1" si="833"/>
        <v>nie</v>
      </c>
      <c r="BB534" s="166" t="str">
        <f t="shared" ca="1" si="807"/>
        <v>-</v>
      </c>
      <c r="BC534" s="165" t="str">
        <f t="shared" ca="1" si="874"/>
        <v>nie</v>
      </c>
    </row>
    <row r="535" spans="1:55" ht="14.45" hidden="1" customHeight="1" x14ac:dyDescent="0.25">
      <c r="A535" s="493" t="s">
        <v>24</v>
      </c>
      <c r="B535" s="493" t="s">
        <v>26</v>
      </c>
      <c r="C535" s="494" t="s">
        <v>171</v>
      </c>
      <c r="D535" s="532" t="s">
        <v>172</v>
      </c>
      <c r="E535" s="497">
        <v>801</v>
      </c>
      <c r="F535" s="497">
        <v>80120</v>
      </c>
      <c r="G535" s="497">
        <v>6050</v>
      </c>
      <c r="H535" s="507">
        <v>2023</v>
      </c>
      <c r="I535" s="499" t="str">
        <f ca="1">IF(COUNTIF(OFFSET(I535,-1,-8),"*propon*")&gt;0,OFFSET(I535,4,0),IF(Y535&gt;0,"2033",IF(X535&gt;0,"2032",IF(W535&gt;0,"2031",IF(V535&gt;0,"2030",IF(U535&gt;0,"2029",IF(T535&gt;0,"2028",IF(S535&gt;0,"2027",IF(R535&gt;0,"2026",IF(Q535&gt;0,"2025",IF(P535&gt;0,"2024",IF(M535&gt;0,"2023",IF(L535&gt;0,"2022","")))))))))))))</f>
        <v>2024</v>
      </c>
      <c r="J535" s="168" t="s">
        <v>102</v>
      </c>
      <c r="K535" s="169">
        <f>SUM(N535:O535)</f>
        <v>5000000</v>
      </c>
      <c r="L535" s="170">
        <f t="shared" ref="L535:M535" si="892">SUM(L536:L537)</f>
        <v>0</v>
      </c>
      <c r="M535" s="171">
        <f t="shared" si="892"/>
        <v>337515</v>
      </c>
      <c r="N535" s="172">
        <f>SUM(L535:M535)</f>
        <v>337515</v>
      </c>
      <c r="O535" s="169">
        <f>SUM(P535:Y535)</f>
        <v>4662485</v>
      </c>
      <c r="P535" s="173">
        <f t="shared" ref="P535:R535" si="893">SUM(P536:P537)</f>
        <v>4662485</v>
      </c>
      <c r="Q535" s="171">
        <f t="shared" si="893"/>
        <v>0</v>
      </c>
      <c r="R535" s="174">
        <f t="shared" si="893"/>
        <v>0</v>
      </c>
      <c r="S535" s="175">
        <f t="shared" ref="S535:Y535" si="894">SUM(S536:S537)</f>
        <v>0</v>
      </c>
      <c r="T535" s="171">
        <f t="shared" si="894"/>
        <v>0</v>
      </c>
      <c r="U535" s="171">
        <f t="shared" si="894"/>
        <v>0</v>
      </c>
      <c r="V535" s="171">
        <f t="shared" si="894"/>
        <v>0</v>
      </c>
      <c r="W535" s="171">
        <f t="shared" si="894"/>
        <v>0</v>
      </c>
      <c r="X535" s="171">
        <f t="shared" si="894"/>
        <v>0</v>
      </c>
      <c r="Y535" s="174">
        <f t="shared" si="894"/>
        <v>0</v>
      </c>
      <c r="Z535" s="149" t="str">
        <f t="shared" ca="1" si="873"/>
        <v>nie</v>
      </c>
      <c r="AA535" s="366"/>
      <c r="AB535" s="150" t="str">
        <f t="shared" ca="1" si="806"/>
        <v>-</v>
      </c>
      <c r="AC535" s="151" t="str">
        <f t="shared" ca="1" si="809"/>
        <v>PO ZMIANIE</v>
      </c>
      <c r="AD535" s="152" t="str">
        <f t="shared" ca="1" si="883"/>
        <v>PO ZMIANIE</v>
      </c>
      <c r="AE535" s="153" t="str">
        <f t="shared" ca="1" si="811"/>
        <v>C/USN/V/P1/86</v>
      </c>
      <c r="AF535" s="154" t="str">
        <f t="shared" ca="1" si="812"/>
        <v>Adaptacja pomieszczeń LXX LO przy ul. Dembowskiego 1 dla potrzeb FabLab wraz z modernizacją instalacji elektrycznej budynku</v>
      </c>
      <c r="AG535" s="155">
        <f t="shared" ca="1" si="813"/>
        <v>80120</v>
      </c>
      <c r="AH535" s="155" t="str">
        <f t="shared" ca="1" si="814"/>
        <v>6050</v>
      </c>
      <c r="AI535" s="156" t="str">
        <f t="shared" ca="1" si="815"/>
        <v>GMMW</v>
      </c>
      <c r="AJ535" s="157" t="str">
        <f t="shared" ca="1" si="816"/>
        <v>WPF, w tym</v>
      </c>
      <c r="AK535" s="158" t="str">
        <f t="shared" ca="1" si="884"/>
        <v>C/USN/V/P1/86 80120 6050 GMMW</v>
      </c>
      <c r="AL535" s="158" t="str">
        <f t="shared" ca="1" si="885"/>
        <v>C/USN/V/P1/86 80120 6050 WPF, w tym</v>
      </c>
      <c r="AM535" s="159" t="str">
        <f t="shared" ca="1" si="886"/>
        <v>C/USN/V/P1/86 80120 6050 GMMW WPF, w tym</v>
      </c>
      <c r="AN535" s="160">
        <f t="shared" ca="1" si="820"/>
        <v>5000000</v>
      </c>
      <c r="AO535" s="161">
        <f t="shared" ca="1" si="821"/>
        <v>0</v>
      </c>
      <c r="AP535" s="162">
        <f t="shared" ca="1" si="822"/>
        <v>337515</v>
      </c>
      <c r="AQ535" s="163">
        <f t="shared" ca="1" si="823"/>
        <v>4662485</v>
      </c>
      <c r="AR535" s="164">
        <f t="shared" ca="1" si="824"/>
        <v>0</v>
      </c>
      <c r="AS535" s="164">
        <f t="shared" ca="1" si="825"/>
        <v>0</v>
      </c>
      <c r="AT535" s="164">
        <f t="shared" ca="1" si="826"/>
        <v>0</v>
      </c>
      <c r="AU535" s="164">
        <f t="shared" ca="1" si="827"/>
        <v>0</v>
      </c>
      <c r="AV535" s="164">
        <f t="shared" ca="1" si="828"/>
        <v>0</v>
      </c>
      <c r="AW535" s="164">
        <f t="shared" ca="1" si="829"/>
        <v>0</v>
      </c>
      <c r="AX535" s="164">
        <f t="shared" ca="1" si="830"/>
        <v>0</v>
      </c>
      <c r="AY535" s="164">
        <f t="shared" ca="1" si="831"/>
        <v>0</v>
      </c>
      <c r="AZ535" s="164">
        <f t="shared" ca="1" si="832"/>
        <v>0</v>
      </c>
      <c r="BA535" s="165" t="str">
        <f t="shared" ca="1" si="833"/>
        <v>nie</v>
      </c>
      <c r="BB535" s="166" t="str">
        <f t="shared" ca="1" si="807"/>
        <v>-</v>
      </c>
      <c r="BC535" s="165" t="str">
        <f t="shared" ca="1" si="874"/>
        <v>nie</v>
      </c>
    </row>
    <row r="536" spans="1:55" ht="14.45" hidden="1" customHeight="1" x14ac:dyDescent="0.25">
      <c r="A536" s="493"/>
      <c r="B536" s="493"/>
      <c r="C536" s="494"/>
      <c r="D536" s="533"/>
      <c r="E536" s="497"/>
      <c r="F536" s="497"/>
      <c r="G536" s="497"/>
      <c r="H536" s="498"/>
      <c r="I536" s="499"/>
      <c r="J536" s="177" t="s">
        <v>103</v>
      </c>
      <c r="K536" s="178">
        <f>SUM(N536:O536)</f>
        <v>4662485</v>
      </c>
      <c r="L536" s="179"/>
      <c r="M536" s="180"/>
      <c r="N536" s="172">
        <f>SUM(L536:M536)</f>
        <v>0</v>
      </c>
      <c r="O536" s="178">
        <f>SUM(P536:Y536)</f>
        <v>4662485</v>
      </c>
      <c r="P536" s="181">
        <f>4500000+162485</f>
        <v>4662485</v>
      </c>
      <c r="Q536" s="180"/>
      <c r="R536" s="182"/>
      <c r="S536" s="183"/>
      <c r="T536" s="180"/>
      <c r="U536" s="180"/>
      <c r="V536" s="180"/>
      <c r="W536" s="180"/>
      <c r="X536" s="180"/>
      <c r="Y536" s="182"/>
      <c r="Z536" s="149" t="str">
        <f t="shared" ca="1" si="873"/>
        <v>nie</v>
      </c>
      <c r="AA536" s="384"/>
      <c r="AB536" s="150" t="str">
        <f t="shared" ca="1" si="806"/>
        <v>-</v>
      </c>
      <c r="AC536" s="151" t="str">
        <f t="shared" ca="1" si="809"/>
        <v>PO ZMIANIE</v>
      </c>
      <c r="AD536" s="152" t="str">
        <f t="shared" ca="1" si="883"/>
        <v>PO ZMIANIE</v>
      </c>
      <c r="AE536" s="153" t="str">
        <f t="shared" ca="1" si="811"/>
        <v>C/USN/V/P1/86</v>
      </c>
      <c r="AF536" s="154" t="str">
        <f t="shared" ca="1" si="812"/>
        <v>Adaptacja pomieszczeń LXX LO przy ul. Dembowskiego 1 dla potrzeb FabLab wraz z modernizacją instalacji elektrycznej budynku</v>
      </c>
      <c r="AG536" s="155">
        <f t="shared" ca="1" si="813"/>
        <v>80120</v>
      </c>
      <c r="AH536" s="155" t="str">
        <f t="shared" ca="1" si="814"/>
        <v>6050</v>
      </c>
      <c r="AI536" s="156" t="str">
        <f t="shared" ca="1" si="815"/>
        <v>GMMW</v>
      </c>
      <c r="AJ536" s="157" t="str">
        <f t="shared" ca="1" si="816"/>
        <v>WPF/PM</v>
      </c>
      <c r="AK536" s="158" t="str">
        <f t="shared" ca="1" si="884"/>
        <v>C/USN/V/P1/86 80120 6050 GMMW</v>
      </c>
      <c r="AL536" s="158" t="str">
        <f t="shared" ca="1" si="885"/>
        <v>C/USN/V/P1/86 80120 6050 WPF/PM</v>
      </c>
      <c r="AM536" s="159" t="str">
        <f t="shared" ca="1" si="886"/>
        <v>C/USN/V/P1/86 80120 6050 GMMW WPF/PM</v>
      </c>
      <c r="AN536" s="160">
        <f t="shared" ca="1" si="820"/>
        <v>4662485</v>
      </c>
      <c r="AO536" s="161">
        <f t="shared" ca="1" si="821"/>
        <v>0</v>
      </c>
      <c r="AP536" s="162">
        <f t="shared" ca="1" si="822"/>
        <v>0</v>
      </c>
      <c r="AQ536" s="163">
        <f t="shared" ca="1" si="823"/>
        <v>4662485</v>
      </c>
      <c r="AR536" s="164">
        <f t="shared" ca="1" si="824"/>
        <v>0</v>
      </c>
      <c r="AS536" s="164">
        <f t="shared" ca="1" si="825"/>
        <v>0</v>
      </c>
      <c r="AT536" s="164">
        <f t="shared" ca="1" si="826"/>
        <v>0</v>
      </c>
      <c r="AU536" s="164">
        <f t="shared" ca="1" si="827"/>
        <v>0</v>
      </c>
      <c r="AV536" s="164">
        <f t="shared" ca="1" si="828"/>
        <v>0</v>
      </c>
      <c r="AW536" s="164">
        <f t="shared" ca="1" si="829"/>
        <v>0</v>
      </c>
      <c r="AX536" s="164">
        <f t="shared" ca="1" si="830"/>
        <v>0</v>
      </c>
      <c r="AY536" s="164">
        <f t="shared" ca="1" si="831"/>
        <v>0</v>
      </c>
      <c r="AZ536" s="164">
        <f t="shared" ca="1" si="832"/>
        <v>0</v>
      </c>
      <c r="BA536" s="165" t="str">
        <f t="shared" ca="1" si="833"/>
        <v>nie</v>
      </c>
      <c r="BB536" s="166" t="str">
        <f t="shared" ca="1" si="807"/>
        <v>-</v>
      </c>
      <c r="BC536" s="165" t="str">
        <f t="shared" ca="1" si="874"/>
        <v>nie</v>
      </c>
    </row>
    <row r="537" spans="1:55" ht="14.45" hidden="1" customHeight="1" thickBot="1" x14ac:dyDescent="0.3">
      <c r="A537" s="500"/>
      <c r="B537" s="500"/>
      <c r="C537" s="501"/>
      <c r="D537" s="534"/>
      <c r="E537" s="503"/>
      <c r="F537" s="503"/>
      <c r="G537" s="503"/>
      <c r="H537" s="504"/>
      <c r="I537" s="499"/>
      <c r="J537" s="197" t="s">
        <v>104</v>
      </c>
      <c r="K537" s="198">
        <f>SUM(N537:O537)</f>
        <v>337515</v>
      </c>
      <c r="L537" s="199"/>
      <c r="M537" s="200">
        <f>500000-162485</f>
        <v>337515</v>
      </c>
      <c r="N537" s="371">
        <f>SUM(L537:M537)</f>
        <v>337515</v>
      </c>
      <c r="O537" s="198">
        <f>SUM(P537:Y537)</f>
        <v>0</v>
      </c>
      <c r="P537" s="201"/>
      <c r="Q537" s="200"/>
      <c r="R537" s="202"/>
      <c r="S537" s="203"/>
      <c r="T537" s="200"/>
      <c r="U537" s="200"/>
      <c r="V537" s="200"/>
      <c r="W537" s="200"/>
      <c r="X537" s="200"/>
      <c r="Y537" s="202"/>
      <c r="Z537" s="149" t="str">
        <f t="shared" ca="1" si="873"/>
        <v>nie</v>
      </c>
      <c r="AA537" s="384"/>
      <c r="AB537" s="150" t="str">
        <f t="shared" ca="1" si="806"/>
        <v>-</v>
      </c>
      <c r="AC537" s="151" t="str">
        <f t="shared" ca="1" si="809"/>
        <v>PO ZMIANIE</v>
      </c>
      <c r="AD537" s="152" t="str">
        <f t="shared" ca="1" si="883"/>
        <v>PO ZMIANIE</v>
      </c>
      <c r="AE537" s="153" t="str">
        <f t="shared" ca="1" si="811"/>
        <v>C/USN/V/P1/86</v>
      </c>
      <c r="AF537" s="154" t="str">
        <f t="shared" ca="1" si="812"/>
        <v>Adaptacja pomieszczeń LXX LO przy ul. Dembowskiego 1 dla potrzeb FabLab wraz z modernizacją instalacji elektrycznej budynku</v>
      </c>
      <c r="AG537" s="155">
        <f t="shared" ca="1" si="813"/>
        <v>80120</v>
      </c>
      <c r="AH537" s="155" t="str">
        <f t="shared" ca="1" si="814"/>
        <v>6050</v>
      </c>
      <c r="AI537" s="156" t="str">
        <f t="shared" ca="1" si="815"/>
        <v>GMMW</v>
      </c>
      <c r="AJ537" s="157" t="str">
        <f t="shared" ca="1" si="816"/>
        <v>WPF/UM</v>
      </c>
      <c r="AK537" s="158" t="str">
        <f t="shared" ca="1" si="884"/>
        <v>C/USN/V/P1/86 80120 6050 GMMW</v>
      </c>
      <c r="AL537" s="158" t="str">
        <f t="shared" ca="1" si="885"/>
        <v>C/USN/V/P1/86 80120 6050 WPF/UM</v>
      </c>
      <c r="AM537" s="159" t="str">
        <f t="shared" ca="1" si="886"/>
        <v>C/USN/V/P1/86 80120 6050 GMMW WPF/UM</v>
      </c>
      <c r="AN537" s="160">
        <f t="shared" ca="1" si="820"/>
        <v>337515</v>
      </c>
      <c r="AO537" s="161">
        <f t="shared" ca="1" si="821"/>
        <v>0</v>
      </c>
      <c r="AP537" s="162">
        <f t="shared" ca="1" si="822"/>
        <v>337515</v>
      </c>
      <c r="AQ537" s="163">
        <f t="shared" ca="1" si="823"/>
        <v>0</v>
      </c>
      <c r="AR537" s="164">
        <f t="shared" ca="1" si="824"/>
        <v>0</v>
      </c>
      <c r="AS537" s="164">
        <f t="shared" ca="1" si="825"/>
        <v>0</v>
      </c>
      <c r="AT537" s="164">
        <f t="shared" ca="1" si="826"/>
        <v>0</v>
      </c>
      <c r="AU537" s="164">
        <f t="shared" ca="1" si="827"/>
        <v>0</v>
      </c>
      <c r="AV537" s="164">
        <f t="shared" ca="1" si="828"/>
        <v>0</v>
      </c>
      <c r="AW537" s="164">
        <f t="shared" ca="1" si="829"/>
        <v>0</v>
      </c>
      <c r="AX537" s="164">
        <f t="shared" ca="1" si="830"/>
        <v>0</v>
      </c>
      <c r="AY537" s="164">
        <f t="shared" ca="1" si="831"/>
        <v>0</v>
      </c>
      <c r="AZ537" s="164">
        <f t="shared" ca="1" si="832"/>
        <v>0</v>
      </c>
      <c r="BA537" s="165" t="str">
        <f t="shared" ca="1" si="833"/>
        <v>nie</v>
      </c>
      <c r="BB537" s="166" t="str">
        <f t="shared" ca="1" si="807"/>
        <v>-</v>
      </c>
      <c r="BC537" s="165" t="str">
        <f t="shared" ca="1" si="874"/>
        <v>nie</v>
      </c>
    </row>
    <row r="538" spans="1:55" ht="14.45" hidden="1" customHeight="1" x14ac:dyDescent="0.25">
      <c r="A538" s="143" t="s">
        <v>91</v>
      </c>
      <c r="B538" s="144"/>
      <c r="C538" s="145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6"/>
      <c r="S538" s="147"/>
      <c r="T538" s="147"/>
      <c r="U538" s="147"/>
      <c r="V538" s="147"/>
      <c r="W538" s="147"/>
      <c r="X538" s="147"/>
      <c r="Y538" s="148"/>
      <c r="Z538" s="149" t="str">
        <f t="shared" ca="1" si="873"/>
        <v>nie</v>
      </c>
      <c r="AA538" s="366"/>
      <c r="AB538" s="150" t="str">
        <f t="shared" ref="AB538:AB662" ca="1" si="895">IF(IF(OR(COUNTIF(AD538,"*bilans*")&gt;0,COUNTIF(AD538,"*prop*")&gt;0),COUNTIF(AO538:AZ538,"")+COUNTIF(AO538:AZ538,"0"),"")&lt;12,AE538,"-")</f>
        <v>-</v>
      </c>
      <c r="AC538" s="151" t="str">
        <f t="shared" ref="AC538:AC577" ca="1" si="896">IF(OR(A538="",COUNTIF(A538,"*12.000*")&gt;0),OFFSET(AC538,-1,0),A538)</f>
        <v>PRZED ZMIANĄ</v>
      </c>
      <c r="AD538" s="152" t="str">
        <f t="shared" ref="AD538:AD549" ca="1" si="897">IF(AE538="","",AC538)</f>
        <v/>
      </c>
      <c r="AE538" s="153" t="str">
        <f t="shared" ref="AE538:AE577" ca="1" si="898">IF(COUNTIF(A538,"*bilans*")&gt;0,"Bilans zmian",IF(COUNTIF(A538,"*zmi*")&gt;0,"",IF(COUNTIF(A538:C538,"")=0,C538,IF(AND(COUNTIF(C538,"")=1,COUNTIF(OFFSET(A538,-1,0),"*przed*")=1,COUNTIF(OFFSET(AE538,4,0),"")=0),OFFSET(AE538,4,0),IF(AND(COUNTIF(A538:B538,"")=0,COUNTIF(OFFSET(A538,-1,0),"*zmi*")=1),"nowe:"&amp;" "&amp;AF538,OFFSET(AE538,-1,0))))))</f>
        <v/>
      </c>
      <c r="AF538" s="154" t="str">
        <f t="shared" ref="AF538:AF577" ca="1" si="899">IF(COUNTIF(A538,"*zmi*")&gt;0,"",IF(COUNTIF(A538:C538,"")=0,D538,IF(AND(COUNTIF(C538,"")=1,COUNTIF(OFFSET(A538,-1,0),"*przed*")=1),OFFSET(AF538,4,0),IF(AND(COUNTIF(A538:B538,"")=0,COUNTIF(OFFSET(A538,-1,0),"*zmi*")=1),D538,OFFSET(AF538,-1,0)))))</f>
        <v/>
      </c>
      <c r="AG538" s="155" t="str">
        <f t="shared" ref="AG538:AG577" ca="1" si="900">IF(COUNTIF($A538,"*zmi*")&gt;0,"",IF(COUNTIF($A538:$C538,"")=0,F538,IF(AND(COUNTIF($C538,"")=1,COUNTIF(OFFSET($A538,-1,0),"*przed*")=1),OFFSET(AG538,4,0),IF(AND(COUNTIF($A538:$B538,"")=0,COUNTIF(OFFSET($A538,-1,0),"*zmi*")=1),F538,OFFSET(AG538,-1,0)))))</f>
        <v/>
      </c>
      <c r="AH538" s="155" t="str">
        <f t="shared" ref="AH538:AH577" ca="1" si="901">IF(COUNTIF($A538,"*zmi*")&gt;0,"",IF(COUNTIF($A538:$C538,"")=0,LEFT(G538,4),IF(AND(COUNTIF($C538,"")=1,COUNTIF(OFFSET($A538,-1,0),"*przed*")=1),OFFSET(AH538,4,0),IF(AND(COUNTIF($A538:$B538,"")=0,COUNTIF(OFFSET($A538,-1,0),"*zmi*")=1),LEFT(G538,4),OFFSET(AH538,-1,0)))))</f>
        <v/>
      </c>
      <c r="AI538" s="156" t="str">
        <f t="shared" ref="AI538:AI577" ca="1" si="902">IF(COUNTIF($A538,"*zmi*")&gt;0,"",IF(COUNTIF($A538:$C538,"")=0,B538,IF(AND(COUNTIF($C538,"")=1,COUNTIF(OFFSET($A538,-1,0),"*przed*")=1),OFFSET(AI538,4,0),IF(AND(COUNTIF($A538:$B538,"")=0,COUNTIF(OFFSET($A538,-1,0),"*zmi*")=1),B538,OFFSET(AI538,-1,0)))))</f>
        <v/>
      </c>
      <c r="AJ538" s="157" t="str">
        <f t="shared" ref="AJ538:AJ577" ca="1" si="903">IF(AH538="","",IF(COUNTIF(A538,"*zmi*")&gt;0,"",SUBSTITUTE(SUBSTITUTE(J538,";",""),":","")))</f>
        <v/>
      </c>
      <c r="AK538" s="158" t="str">
        <f t="shared" ref="AK538:AK549" ca="1" si="904">IF(AH538="","",AE538&amp;" "&amp;AG538&amp;" "&amp;AH538&amp;" "&amp;AI538)</f>
        <v/>
      </c>
      <c r="AL538" s="158" t="str">
        <f t="shared" ref="AL538:AL549" ca="1" si="905">IF(AH538="","",AE538&amp;" "&amp;AG538&amp;" "&amp;AH538&amp;" "&amp;AJ538)</f>
        <v/>
      </c>
      <c r="AM538" s="159" t="str">
        <f t="shared" ref="AM538:AM549" ca="1" si="906">IF(AH538="","",AE538&amp;" "&amp;AG538&amp;" "&amp;AH538&amp;" "&amp;AI538&amp;" "&amp;AJ538)</f>
        <v/>
      </c>
      <c r="AN538" s="160" t="str">
        <f t="shared" ref="AN538:AN577" ca="1" si="907">IF(COUNTIF($AE538,"*bilans*")&gt;0,K538,IF(OR(COUNTIF($A538,"*zmi*")&gt;0,$AI538=""),"",K538))</f>
        <v/>
      </c>
      <c r="AO538" s="161" t="str">
        <f t="shared" ref="AO538:AO577" ca="1" si="908">IF(COUNTIF($AE538,"*bilans*")&gt;0,L538,IF(OR(COUNTIF($A538,"*zmi*")&gt;0,$AI538=""),"",L538))</f>
        <v/>
      </c>
      <c r="AP538" s="162" t="str">
        <f t="shared" ref="AP538:AP577" ca="1" si="909">IF(COUNTIF($AE538,"*bilans*")&gt;0,M538,IF(OR(COUNTIF($A538,"*zmi*")&gt;0,$AI538=""),"",M538))</f>
        <v/>
      </c>
      <c r="AQ538" s="163" t="str">
        <f t="shared" ref="AQ538:AQ577" ca="1" si="910">IF(COUNTIF($AE538,"*bilans*")&gt;0,P538,IF(OR(COUNTIF($A538,"*zmi*")&gt;0,$AI538=""),"",P538))</f>
        <v/>
      </c>
      <c r="AR538" s="164" t="str">
        <f t="shared" ref="AR538:AR577" ca="1" si="911">IF(COUNTIF($AE538,"*bilans*")&gt;0,Q538,IF(OR(COUNTIF($A538,"*zmi*")&gt;0,$AI538=""),"",Q538))</f>
        <v/>
      </c>
      <c r="AS538" s="164" t="str">
        <f t="shared" ref="AS538:AS577" ca="1" si="912">IF(COUNTIF($AE538,"*bilans*")&gt;0,R538,IF(OR(COUNTIF($A538,"*zmi*")&gt;0,$AI538=""),"",R538))</f>
        <v/>
      </c>
      <c r="AT538" s="164" t="str">
        <f t="shared" ref="AT538:AT577" ca="1" si="913">IF(COUNTIF($AE538,"*bilans*")&gt;0,S538,IF(OR(COUNTIF($A538,"*zmi*")&gt;0,$AI538=""),"",S538))</f>
        <v/>
      </c>
      <c r="AU538" s="164" t="str">
        <f t="shared" ref="AU538:AU577" ca="1" si="914">IF(COUNTIF($AE538,"*bilans*")&gt;0,T538,IF(OR(COUNTIF($A538,"*zmi*")&gt;0,$AI538=""),"",T538))</f>
        <v/>
      </c>
      <c r="AV538" s="164" t="str">
        <f t="shared" ref="AV538:AV577" ca="1" si="915">IF(COUNTIF($AE538,"*bilans*")&gt;0,U538,IF(OR(COUNTIF($A538,"*zmi*")&gt;0,$AI538=""),"",U538))</f>
        <v/>
      </c>
      <c r="AW538" s="164" t="str">
        <f t="shared" ref="AW538:AW577" ca="1" si="916">IF(COUNTIF($AE538,"*bilans*")&gt;0,V538,IF(OR(COUNTIF($A538,"*zmi*")&gt;0,$AI538=""),"",V538))</f>
        <v/>
      </c>
      <c r="AX538" s="164" t="str">
        <f t="shared" ref="AX538:AX577" ca="1" si="917">IF(COUNTIF($AE538,"*bilans*")&gt;0,W538,IF(OR(COUNTIF($A538,"*zmi*")&gt;0,$AI538=""),"",W538))</f>
        <v/>
      </c>
      <c r="AY538" s="164" t="str">
        <f t="shared" ref="AY538:AY577" ca="1" si="918">IF(COUNTIF($AE538,"*bilans*")&gt;0,X538,IF(OR(COUNTIF($A538,"*zmi*")&gt;0,$AI538=""),"",X538))</f>
        <v/>
      </c>
      <c r="AZ538" s="164" t="str">
        <f t="shared" ref="AZ538:AZ577" ca="1" si="919">IF(COUNTIF($AE538,"*bilans*")&gt;0,Y538,IF(OR(COUNTIF($A538,"*zmi*")&gt;0,$AI538=""),"",Y538))</f>
        <v/>
      </c>
      <c r="BA538" s="165" t="str">
        <f t="shared" ref="BA538:BA577" ca="1" si="920">Z538</f>
        <v>nie</v>
      </c>
      <c r="BB538" s="166" t="str">
        <f t="shared" ref="BB538:BB662" ca="1" si="921">IF(COUNTIF(AD538,"*bilans*")&gt;0,"-",IF(IF(COUNTIF(AD538,"*prop*")&gt;0,COUNTIF(AO538:AZ538,"")+COUNTIF(AO538:AZ538,"0"),"")&lt;12,AK538,"-"))</f>
        <v>-</v>
      </c>
      <c r="BC538" s="165" t="str">
        <f t="shared" ca="1" si="874"/>
        <v>nie</v>
      </c>
    </row>
    <row r="539" spans="1:55" ht="14.45" hidden="1" customHeight="1" x14ac:dyDescent="0.25">
      <c r="A539" s="493" t="s">
        <v>24</v>
      </c>
      <c r="B539" s="493" t="s">
        <v>420</v>
      </c>
      <c r="C539" s="494" t="s">
        <v>171</v>
      </c>
      <c r="D539" s="532" t="s">
        <v>172</v>
      </c>
      <c r="E539" s="497">
        <v>801</v>
      </c>
      <c r="F539" s="497">
        <v>80120</v>
      </c>
      <c r="G539" s="497">
        <v>6050</v>
      </c>
      <c r="H539" s="498" t="s">
        <v>162</v>
      </c>
      <c r="I539" s="499" t="str">
        <f ca="1">IF(COUNTIF(OFFSET(I539,-1,-8),"*propon*")&gt;0,OFFSET(I539,4,0),IF(Y539&gt;0,"2033",IF(X539&gt;0,"2032",IF(W539&gt;0,"2031",IF(V539&gt;0,"2030",IF(U539&gt;0,"2029",IF(T539&gt;0,"2028",IF(S539&gt;0,"2027",IF(R539&gt;0,"2026",IF(Q539&gt;0,"2025",IF(P539&gt;0,"2024",IF(M539&gt;0,"2023",IF(L539&gt;0,"2022","")))))))))))))</f>
        <v>2025</v>
      </c>
      <c r="J539" s="168" t="s">
        <v>94</v>
      </c>
      <c r="K539" s="169">
        <f>SUM(N539:O539)</f>
        <v>2000000</v>
      </c>
      <c r="L539" s="170">
        <f t="shared" ref="L539:M539" si="922">SUM(L540:L541)</f>
        <v>0</v>
      </c>
      <c r="M539" s="171">
        <f t="shared" si="922"/>
        <v>0</v>
      </c>
      <c r="N539" s="172">
        <f>SUM(L539:M539)</f>
        <v>0</v>
      </c>
      <c r="O539" s="169">
        <f>SUM(P539:Y539)</f>
        <v>2000000</v>
      </c>
      <c r="P539" s="173">
        <f t="shared" ref="P539:Y539" si="923">SUM(P540:P541)</f>
        <v>1100000</v>
      </c>
      <c r="Q539" s="171">
        <f t="shared" si="923"/>
        <v>900000</v>
      </c>
      <c r="R539" s="174">
        <f t="shared" si="923"/>
        <v>0</v>
      </c>
      <c r="S539" s="175">
        <f t="shared" si="923"/>
        <v>0</v>
      </c>
      <c r="T539" s="171">
        <f t="shared" si="923"/>
        <v>0</v>
      </c>
      <c r="U539" s="171">
        <f t="shared" si="923"/>
        <v>0</v>
      </c>
      <c r="V539" s="171">
        <f t="shared" si="923"/>
        <v>0</v>
      </c>
      <c r="W539" s="171">
        <f t="shared" si="923"/>
        <v>0</v>
      </c>
      <c r="X539" s="171">
        <f t="shared" si="923"/>
        <v>0</v>
      </c>
      <c r="Y539" s="174">
        <f t="shared" si="923"/>
        <v>0</v>
      </c>
      <c r="Z539" s="149" t="str">
        <f t="shared" ca="1" si="873"/>
        <v>nie</v>
      </c>
      <c r="AA539" s="366"/>
      <c r="AB539" s="150" t="str">
        <f t="shared" ref="AB539:AB549" ca="1" si="924">IF(IF(OR(COUNTIF(AD539,"*bilans*")&gt;0,COUNTIF(AD539,"*prop*")&gt;0),COUNTIF(AO539:AZ539,"")+COUNTIF(AO539:AZ539,"0"),"")&lt;12,AE539,"-")</f>
        <v>-</v>
      </c>
      <c r="AC539" s="151" t="str">
        <f t="shared" ca="1" si="896"/>
        <v>PRZED ZMIANĄ</v>
      </c>
      <c r="AD539" s="152" t="str">
        <f t="shared" ca="1" si="897"/>
        <v>PRZED ZMIANĄ</v>
      </c>
      <c r="AE539" s="153" t="str">
        <f t="shared" ca="1" si="898"/>
        <v>C/USN/V/P1/86</v>
      </c>
      <c r="AF539" s="154" t="str">
        <f t="shared" ca="1" si="899"/>
        <v>Adaptacja pomieszczeń LXX LO przy ul. Dembowskiego 1 dla potrzeb FabLab wraz z modernizacją instalacji elektrycznej budynku</v>
      </c>
      <c r="AG539" s="155">
        <f t="shared" ca="1" si="900"/>
        <v>80120</v>
      </c>
      <c r="AH539" s="155" t="str">
        <f t="shared" ca="1" si="901"/>
        <v>6050</v>
      </c>
      <c r="AI539" s="156" t="str">
        <f t="shared" ca="1" si="902"/>
        <v>MWPO/0023</v>
      </c>
      <c r="AJ539" s="157" t="str">
        <f t="shared" ca="1" si="903"/>
        <v>WPF, w tym</v>
      </c>
      <c r="AK539" s="158" t="str">
        <f t="shared" ca="1" si="904"/>
        <v>C/USN/V/P1/86 80120 6050 MWPO/0023</v>
      </c>
      <c r="AL539" s="158" t="str">
        <f t="shared" ca="1" si="905"/>
        <v>C/USN/V/P1/86 80120 6050 WPF, w tym</v>
      </c>
      <c r="AM539" s="159" t="str">
        <f t="shared" ca="1" si="906"/>
        <v>C/USN/V/P1/86 80120 6050 MWPO/0023 WPF, w tym</v>
      </c>
      <c r="AN539" s="160">
        <f t="shared" ca="1" si="907"/>
        <v>2000000</v>
      </c>
      <c r="AO539" s="161">
        <f t="shared" ca="1" si="908"/>
        <v>0</v>
      </c>
      <c r="AP539" s="162">
        <f t="shared" ca="1" si="909"/>
        <v>0</v>
      </c>
      <c r="AQ539" s="163">
        <f t="shared" ca="1" si="910"/>
        <v>1100000</v>
      </c>
      <c r="AR539" s="164">
        <f t="shared" ca="1" si="911"/>
        <v>900000</v>
      </c>
      <c r="AS539" s="164">
        <f t="shared" ca="1" si="912"/>
        <v>0</v>
      </c>
      <c r="AT539" s="164">
        <f t="shared" ca="1" si="913"/>
        <v>0</v>
      </c>
      <c r="AU539" s="164">
        <f t="shared" ca="1" si="914"/>
        <v>0</v>
      </c>
      <c r="AV539" s="164">
        <f t="shared" ca="1" si="915"/>
        <v>0</v>
      </c>
      <c r="AW539" s="164">
        <f t="shared" ca="1" si="916"/>
        <v>0</v>
      </c>
      <c r="AX539" s="164">
        <f t="shared" ca="1" si="917"/>
        <v>0</v>
      </c>
      <c r="AY539" s="164">
        <f t="shared" ca="1" si="918"/>
        <v>0</v>
      </c>
      <c r="AZ539" s="164">
        <f t="shared" ca="1" si="919"/>
        <v>0</v>
      </c>
      <c r="BA539" s="165" t="str">
        <f t="shared" ca="1" si="920"/>
        <v>nie</v>
      </c>
      <c r="BB539" s="166" t="str">
        <f t="shared" ref="BB539:BB549" ca="1" si="925">IF(COUNTIF(AD539,"*bilans*")&gt;0,"-",IF(IF(COUNTIF(AD539,"*prop*")&gt;0,COUNTIF(AO539:AZ539,"")+COUNTIF(AO539:AZ539,"0"),"")&lt;12,AK539,"-"))</f>
        <v>-</v>
      </c>
      <c r="BC539" s="165" t="str">
        <f t="shared" ca="1" si="874"/>
        <v>nie</v>
      </c>
    </row>
    <row r="540" spans="1:55" ht="14.45" hidden="1" customHeight="1" x14ac:dyDescent="0.25">
      <c r="A540" s="493"/>
      <c r="B540" s="493"/>
      <c r="C540" s="494"/>
      <c r="D540" s="533"/>
      <c r="E540" s="497"/>
      <c r="F540" s="497"/>
      <c r="G540" s="497"/>
      <c r="H540" s="498"/>
      <c r="I540" s="499"/>
      <c r="J540" s="177" t="s">
        <v>95</v>
      </c>
      <c r="K540" s="178">
        <f>SUM(N540:O540)</f>
        <v>2000000</v>
      </c>
      <c r="L540" s="179"/>
      <c r="M540" s="180"/>
      <c r="N540" s="172">
        <f>SUM(L540:M540)</f>
        <v>0</v>
      </c>
      <c r="O540" s="178">
        <f>SUM(P540:Y540)</f>
        <v>2000000</v>
      </c>
      <c r="P540" s="181">
        <v>1100000</v>
      </c>
      <c r="Q540" s="180">
        <v>900000</v>
      </c>
      <c r="R540" s="182"/>
      <c r="S540" s="183"/>
      <c r="T540" s="180"/>
      <c r="U540" s="180"/>
      <c r="V540" s="180"/>
      <c r="W540" s="180"/>
      <c r="X540" s="180"/>
      <c r="Y540" s="182"/>
      <c r="Z540" s="149" t="str">
        <f t="shared" ca="1" si="873"/>
        <v>nie</v>
      </c>
      <c r="AA540" s="366"/>
      <c r="AB540" s="150" t="str">
        <f t="shared" ca="1" si="924"/>
        <v>-</v>
      </c>
      <c r="AC540" s="151" t="str">
        <f t="shared" ca="1" si="896"/>
        <v>PRZED ZMIANĄ</v>
      </c>
      <c r="AD540" s="152" t="str">
        <f t="shared" ca="1" si="897"/>
        <v>PRZED ZMIANĄ</v>
      </c>
      <c r="AE540" s="153" t="str">
        <f t="shared" ca="1" si="898"/>
        <v>C/USN/V/P1/86</v>
      </c>
      <c r="AF540" s="154" t="str">
        <f t="shared" ca="1" si="899"/>
        <v>Adaptacja pomieszczeń LXX LO przy ul. Dembowskiego 1 dla potrzeb FabLab wraz z modernizacją instalacji elektrycznej budynku</v>
      </c>
      <c r="AG540" s="155">
        <f t="shared" ca="1" si="900"/>
        <v>80120</v>
      </c>
      <c r="AH540" s="155" t="str">
        <f t="shared" ca="1" si="901"/>
        <v>6050</v>
      </c>
      <c r="AI540" s="156" t="str">
        <f t="shared" ca="1" si="902"/>
        <v>MWPO/0023</v>
      </c>
      <c r="AJ540" s="157" t="str">
        <f t="shared" ca="1" si="903"/>
        <v>WPF/PM</v>
      </c>
      <c r="AK540" s="158" t="str">
        <f t="shared" ca="1" si="904"/>
        <v>C/USN/V/P1/86 80120 6050 MWPO/0023</v>
      </c>
      <c r="AL540" s="158" t="str">
        <f t="shared" ca="1" si="905"/>
        <v>C/USN/V/P1/86 80120 6050 WPF/PM</v>
      </c>
      <c r="AM540" s="159" t="str">
        <f t="shared" ca="1" si="906"/>
        <v>C/USN/V/P1/86 80120 6050 MWPO/0023 WPF/PM</v>
      </c>
      <c r="AN540" s="160">
        <f t="shared" ca="1" si="907"/>
        <v>2000000</v>
      </c>
      <c r="AO540" s="161">
        <f t="shared" ca="1" si="908"/>
        <v>0</v>
      </c>
      <c r="AP540" s="162">
        <f t="shared" ca="1" si="909"/>
        <v>0</v>
      </c>
      <c r="AQ540" s="163">
        <f t="shared" ca="1" si="910"/>
        <v>1100000</v>
      </c>
      <c r="AR540" s="164">
        <f t="shared" ca="1" si="911"/>
        <v>900000</v>
      </c>
      <c r="AS540" s="164">
        <f t="shared" ca="1" si="912"/>
        <v>0</v>
      </c>
      <c r="AT540" s="164">
        <f t="shared" ca="1" si="913"/>
        <v>0</v>
      </c>
      <c r="AU540" s="164">
        <f t="shared" ca="1" si="914"/>
        <v>0</v>
      </c>
      <c r="AV540" s="164">
        <f t="shared" ca="1" si="915"/>
        <v>0</v>
      </c>
      <c r="AW540" s="164">
        <f t="shared" ca="1" si="916"/>
        <v>0</v>
      </c>
      <c r="AX540" s="164">
        <f t="shared" ca="1" si="917"/>
        <v>0</v>
      </c>
      <c r="AY540" s="164">
        <f t="shared" ca="1" si="918"/>
        <v>0</v>
      </c>
      <c r="AZ540" s="164">
        <f t="shared" ca="1" si="919"/>
        <v>0</v>
      </c>
      <c r="BA540" s="165" t="str">
        <f t="shared" ca="1" si="920"/>
        <v>nie</v>
      </c>
      <c r="BB540" s="166" t="str">
        <f t="shared" ca="1" si="925"/>
        <v>-</v>
      </c>
      <c r="BC540" s="165" t="str">
        <f t="shared" ca="1" si="874"/>
        <v>nie</v>
      </c>
    </row>
    <row r="541" spans="1:55" ht="14.45" hidden="1" customHeight="1" x14ac:dyDescent="0.25">
      <c r="A541" s="493"/>
      <c r="B541" s="493"/>
      <c r="C541" s="494"/>
      <c r="D541" s="533"/>
      <c r="E541" s="497"/>
      <c r="F541" s="497"/>
      <c r="G541" s="497"/>
      <c r="H541" s="498"/>
      <c r="I541" s="499"/>
      <c r="J541" s="177" t="s">
        <v>96</v>
      </c>
      <c r="K541" s="178">
        <f>SUM(N541:O541)</f>
        <v>0</v>
      </c>
      <c r="L541" s="184"/>
      <c r="M541" s="180"/>
      <c r="N541" s="172">
        <f>SUM(L541:M541)</f>
        <v>0</v>
      </c>
      <c r="O541" s="178">
        <f>SUM(P541:Y541)</f>
        <v>0</v>
      </c>
      <c r="P541" s="181"/>
      <c r="Q541" s="180"/>
      <c r="R541" s="182"/>
      <c r="S541" s="183"/>
      <c r="T541" s="180"/>
      <c r="U541" s="180"/>
      <c r="V541" s="180"/>
      <c r="W541" s="180"/>
      <c r="X541" s="180"/>
      <c r="Y541" s="182"/>
      <c r="Z541" s="149" t="str">
        <f t="shared" ca="1" si="873"/>
        <v>nie</v>
      </c>
      <c r="AA541" s="366"/>
      <c r="AB541" s="150" t="str">
        <f t="shared" ca="1" si="924"/>
        <v>-</v>
      </c>
      <c r="AC541" s="151" t="str">
        <f t="shared" ca="1" si="896"/>
        <v>PRZED ZMIANĄ</v>
      </c>
      <c r="AD541" s="152" t="str">
        <f t="shared" ca="1" si="897"/>
        <v>PRZED ZMIANĄ</v>
      </c>
      <c r="AE541" s="153" t="str">
        <f t="shared" ca="1" si="898"/>
        <v>C/USN/V/P1/86</v>
      </c>
      <c r="AF541" s="154" t="str">
        <f t="shared" ca="1" si="899"/>
        <v>Adaptacja pomieszczeń LXX LO przy ul. Dembowskiego 1 dla potrzeb FabLab wraz z modernizacją instalacji elektrycznej budynku</v>
      </c>
      <c r="AG541" s="155">
        <f t="shared" ca="1" si="900"/>
        <v>80120</v>
      </c>
      <c r="AH541" s="155" t="str">
        <f t="shared" ca="1" si="901"/>
        <v>6050</v>
      </c>
      <c r="AI541" s="156" t="str">
        <f t="shared" ca="1" si="902"/>
        <v>MWPO/0023</v>
      </c>
      <c r="AJ541" s="157" t="str">
        <f t="shared" ca="1" si="903"/>
        <v>WPF/UM</v>
      </c>
      <c r="AK541" s="158" t="str">
        <f t="shared" ca="1" si="904"/>
        <v>C/USN/V/P1/86 80120 6050 MWPO/0023</v>
      </c>
      <c r="AL541" s="158" t="str">
        <f t="shared" ca="1" si="905"/>
        <v>C/USN/V/P1/86 80120 6050 WPF/UM</v>
      </c>
      <c r="AM541" s="159" t="str">
        <f t="shared" ca="1" si="906"/>
        <v>C/USN/V/P1/86 80120 6050 MWPO/0023 WPF/UM</v>
      </c>
      <c r="AN541" s="160">
        <f t="shared" ca="1" si="907"/>
        <v>0</v>
      </c>
      <c r="AO541" s="161">
        <f t="shared" ca="1" si="908"/>
        <v>0</v>
      </c>
      <c r="AP541" s="162">
        <f t="shared" ca="1" si="909"/>
        <v>0</v>
      </c>
      <c r="AQ541" s="163">
        <f t="shared" ca="1" si="910"/>
        <v>0</v>
      </c>
      <c r="AR541" s="164">
        <f t="shared" ca="1" si="911"/>
        <v>0</v>
      </c>
      <c r="AS541" s="164">
        <f t="shared" ca="1" si="912"/>
        <v>0</v>
      </c>
      <c r="AT541" s="164">
        <f t="shared" ca="1" si="913"/>
        <v>0</v>
      </c>
      <c r="AU541" s="164">
        <f t="shared" ca="1" si="914"/>
        <v>0</v>
      </c>
      <c r="AV541" s="164">
        <f t="shared" ca="1" si="915"/>
        <v>0</v>
      </c>
      <c r="AW541" s="164">
        <f t="shared" ca="1" si="916"/>
        <v>0</v>
      </c>
      <c r="AX541" s="164">
        <f t="shared" ca="1" si="917"/>
        <v>0</v>
      </c>
      <c r="AY541" s="164">
        <f t="shared" ca="1" si="918"/>
        <v>0</v>
      </c>
      <c r="AZ541" s="164">
        <f t="shared" ca="1" si="919"/>
        <v>0</v>
      </c>
      <c r="BA541" s="165" t="str">
        <f t="shared" ca="1" si="920"/>
        <v>nie</v>
      </c>
      <c r="BB541" s="166" t="str">
        <f t="shared" ca="1" si="925"/>
        <v>-</v>
      </c>
      <c r="BC541" s="165" t="str">
        <f t="shared" ca="1" si="874"/>
        <v>nie</v>
      </c>
    </row>
    <row r="542" spans="1:55" ht="14.45" hidden="1" customHeight="1" x14ac:dyDescent="0.25">
      <c r="A542" s="185" t="s">
        <v>97</v>
      </c>
      <c r="B542" s="186"/>
      <c r="C542" s="187"/>
      <c r="D542" s="186"/>
      <c r="E542" s="186"/>
      <c r="F542" s="186"/>
      <c r="G542" s="186"/>
      <c r="H542" s="186"/>
      <c r="I542" s="186"/>
      <c r="J542" s="186"/>
      <c r="K542" s="186"/>
      <c r="L542" s="186"/>
      <c r="M542" s="186"/>
      <c r="N542" s="186"/>
      <c r="O542" s="186"/>
      <c r="P542" s="186"/>
      <c r="Q542" s="186"/>
      <c r="R542" s="188"/>
      <c r="S542" s="189"/>
      <c r="T542" s="189"/>
      <c r="U542" s="189"/>
      <c r="V542" s="189"/>
      <c r="W542" s="189"/>
      <c r="X542" s="189"/>
      <c r="Y542" s="190"/>
      <c r="Z542" s="149" t="str">
        <f t="shared" ca="1" si="873"/>
        <v>nie</v>
      </c>
      <c r="AA542" s="366"/>
      <c r="AB542" s="150" t="str">
        <f t="shared" ca="1" si="924"/>
        <v>-</v>
      </c>
      <c r="AC542" s="151" t="str">
        <f t="shared" ca="1" si="896"/>
        <v>PROPONOWANA ZMIANA</v>
      </c>
      <c r="AD542" s="152" t="str">
        <f t="shared" ca="1" si="897"/>
        <v/>
      </c>
      <c r="AE542" s="153" t="str">
        <f t="shared" ca="1" si="898"/>
        <v/>
      </c>
      <c r="AF542" s="154" t="str">
        <f t="shared" ca="1" si="899"/>
        <v/>
      </c>
      <c r="AG542" s="155" t="str">
        <f t="shared" ca="1" si="900"/>
        <v/>
      </c>
      <c r="AH542" s="155" t="str">
        <f t="shared" ca="1" si="901"/>
        <v/>
      </c>
      <c r="AI542" s="156" t="str">
        <f t="shared" ca="1" si="902"/>
        <v/>
      </c>
      <c r="AJ542" s="157" t="str">
        <f t="shared" ca="1" si="903"/>
        <v/>
      </c>
      <c r="AK542" s="158" t="str">
        <f t="shared" ca="1" si="904"/>
        <v/>
      </c>
      <c r="AL542" s="158" t="str">
        <f t="shared" ca="1" si="905"/>
        <v/>
      </c>
      <c r="AM542" s="159" t="str">
        <f t="shared" ca="1" si="906"/>
        <v/>
      </c>
      <c r="AN542" s="160" t="str">
        <f t="shared" ca="1" si="907"/>
        <v/>
      </c>
      <c r="AO542" s="161" t="str">
        <f t="shared" ca="1" si="908"/>
        <v/>
      </c>
      <c r="AP542" s="162" t="str">
        <f t="shared" ca="1" si="909"/>
        <v/>
      </c>
      <c r="AQ542" s="163" t="str">
        <f t="shared" ca="1" si="910"/>
        <v/>
      </c>
      <c r="AR542" s="164" t="str">
        <f t="shared" ca="1" si="911"/>
        <v/>
      </c>
      <c r="AS542" s="164" t="str">
        <f t="shared" ca="1" si="912"/>
        <v/>
      </c>
      <c r="AT542" s="164" t="str">
        <f t="shared" ca="1" si="913"/>
        <v/>
      </c>
      <c r="AU542" s="164" t="str">
        <f t="shared" ca="1" si="914"/>
        <v/>
      </c>
      <c r="AV542" s="164" t="str">
        <f t="shared" ca="1" si="915"/>
        <v/>
      </c>
      <c r="AW542" s="164" t="str">
        <f t="shared" ca="1" si="916"/>
        <v/>
      </c>
      <c r="AX542" s="164" t="str">
        <f t="shared" ca="1" si="917"/>
        <v/>
      </c>
      <c r="AY542" s="164" t="str">
        <f t="shared" ca="1" si="918"/>
        <v/>
      </c>
      <c r="AZ542" s="164" t="str">
        <f t="shared" ca="1" si="919"/>
        <v/>
      </c>
      <c r="BA542" s="165" t="str">
        <f t="shared" ca="1" si="920"/>
        <v>nie</v>
      </c>
      <c r="BB542" s="166" t="str">
        <f t="shared" ca="1" si="925"/>
        <v>-</v>
      </c>
      <c r="BC542" s="165" t="str">
        <f t="shared" ca="1" si="874"/>
        <v>nie</v>
      </c>
    </row>
    <row r="543" spans="1:55" ht="14.45" hidden="1" customHeight="1" x14ac:dyDescent="0.25">
      <c r="A543" s="493" t="s">
        <v>24</v>
      </c>
      <c r="B543" s="493" t="s">
        <v>420</v>
      </c>
      <c r="C543" s="494" t="s">
        <v>171</v>
      </c>
      <c r="D543" s="532" t="s">
        <v>172</v>
      </c>
      <c r="E543" s="497">
        <v>801</v>
      </c>
      <c r="F543" s="497">
        <v>80120</v>
      </c>
      <c r="G543" s="497">
        <v>6050</v>
      </c>
      <c r="H543" s="507">
        <v>2023</v>
      </c>
      <c r="I543" s="499" t="str">
        <f ca="1">IF(COUNTIF(OFFSET(I543,-1,-8),"*propon*")&gt;0,OFFSET(I543,4,0),IF(Y543&gt;0,"2033",IF(X543&gt;0,"2032",IF(W543&gt;0,"2031",IF(V543&gt;0,"2030",IF(U543&gt;0,"2029",IF(T543&gt;0,"2028",IF(S543&gt;0,"2027",IF(R543&gt;0,"2026",IF(Q543&gt;0,"2025",IF(P543&gt;0,"2024",IF(M543&gt;0,"2023",IF(L543&gt;0,"2022","")))))))))))))</f>
        <v>2025</v>
      </c>
      <c r="J543" s="168" t="s">
        <v>98</v>
      </c>
      <c r="K543" s="169">
        <f>SUM(N543:O543)</f>
        <v>0</v>
      </c>
      <c r="L543" s="170">
        <f t="shared" ref="L543:M543" si="926">SUM(L544:L545)</f>
        <v>0</v>
      </c>
      <c r="M543" s="171">
        <f t="shared" si="926"/>
        <v>0</v>
      </c>
      <c r="N543" s="172">
        <f>SUM(L543:M543)</f>
        <v>0</v>
      </c>
      <c r="O543" s="169">
        <f>SUM(P543:Y543)</f>
        <v>0</v>
      </c>
      <c r="P543" s="173">
        <f t="shared" ref="P543:Y543" si="927">SUM(P544:P545)</f>
        <v>0</v>
      </c>
      <c r="Q543" s="171">
        <f t="shared" si="927"/>
        <v>0</v>
      </c>
      <c r="R543" s="174">
        <f t="shared" si="927"/>
        <v>0</v>
      </c>
      <c r="S543" s="175">
        <f t="shared" si="927"/>
        <v>0</v>
      </c>
      <c r="T543" s="171">
        <f t="shared" si="927"/>
        <v>0</v>
      </c>
      <c r="U543" s="171">
        <f t="shared" si="927"/>
        <v>0</v>
      </c>
      <c r="V543" s="171">
        <f t="shared" si="927"/>
        <v>0</v>
      </c>
      <c r="W543" s="171">
        <f t="shared" si="927"/>
        <v>0</v>
      </c>
      <c r="X543" s="171">
        <f t="shared" si="927"/>
        <v>0</v>
      </c>
      <c r="Y543" s="174">
        <f t="shared" si="927"/>
        <v>0</v>
      </c>
      <c r="Z543" s="149" t="str">
        <f t="shared" ca="1" si="873"/>
        <v>nie</v>
      </c>
      <c r="AA543" s="366"/>
      <c r="AB543" s="150" t="str">
        <f t="shared" ca="1" si="924"/>
        <v>-</v>
      </c>
      <c r="AC543" s="151" t="str">
        <f t="shared" ca="1" si="896"/>
        <v>PROPONOWANA ZMIANA</v>
      </c>
      <c r="AD543" s="152" t="str">
        <f t="shared" ca="1" si="897"/>
        <v>PROPONOWANA ZMIANA</v>
      </c>
      <c r="AE543" s="153" t="str">
        <f t="shared" ca="1" si="898"/>
        <v>C/USN/V/P1/86</v>
      </c>
      <c r="AF543" s="154" t="str">
        <f t="shared" ca="1" si="899"/>
        <v>Adaptacja pomieszczeń LXX LO przy ul. Dembowskiego 1 dla potrzeb FabLab wraz z modernizacją instalacji elektrycznej budynku</v>
      </c>
      <c r="AG543" s="155">
        <f t="shared" ca="1" si="900"/>
        <v>80120</v>
      </c>
      <c r="AH543" s="155" t="str">
        <f t="shared" ca="1" si="901"/>
        <v>6050</v>
      </c>
      <c r="AI543" s="156" t="str">
        <f t="shared" ca="1" si="902"/>
        <v>MWPO/0023</v>
      </c>
      <c r="AJ543" s="157" t="str">
        <f t="shared" ca="1" si="903"/>
        <v>WPF, w tym</v>
      </c>
      <c r="AK543" s="158" t="str">
        <f t="shared" ca="1" si="904"/>
        <v>C/USN/V/P1/86 80120 6050 MWPO/0023</v>
      </c>
      <c r="AL543" s="158" t="str">
        <f t="shared" ca="1" si="905"/>
        <v>C/USN/V/P1/86 80120 6050 WPF, w tym</v>
      </c>
      <c r="AM543" s="159" t="str">
        <f t="shared" ca="1" si="906"/>
        <v>C/USN/V/P1/86 80120 6050 MWPO/0023 WPF, w tym</v>
      </c>
      <c r="AN543" s="160">
        <f t="shared" ca="1" si="907"/>
        <v>0</v>
      </c>
      <c r="AO543" s="161">
        <f t="shared" ca="1" si="908"/>
        <v>0</v>
      </c>
      <c r="AP543" s="162">
        <f t="shared" ca="1" si="909"/>
        <v>0</v>
      </c>
      <c r="AQ543" s="163">
        <f t="shared" ca="1" si="910"/>
        <v>0</v>
      </c>
      <c r="AR543" s="164">
        <f t="shared" ca="1" si="911"/>
        <v>0</v>
      </c>
      <c r="AS543" s="164">
        <f t="shared" ca="1" si="912"/>
        <v>0</v>
      </c>
      <c r="AT543" s="164">
        <f t="shared" ca="1" si="913"/>
        <v>0</v>
      </c>
      <c r="AU543" s="164">
        <f t="shared" ca="1" si="914"/>
        <v>0</v>
      </c>
      <c r="AV543" s="164">
        <f t="shared" ca="1" si="915"/>
        <v>0</v>
      </c>
      <c r="AW543" s="164">
        <f t="shared" ca="1" si="916"/>
        <v>0</v>
      </c>
      <c r="AX543" s="164">
        <f t="shared" ca="1" si="917"/>
        <v>0</v>
      </c>
      <c r="AY543" s="164">
        <f t="shared" ca="1" si="918"/>
        <v>0</v>
      </c>
      <c r="AZ543" s="164">
        <f t="shared" ca="1" si="919"/>
        <v>0</v>
      </c>
      <c r="BA543" s="165" t="str">
        <f t="shared" ca="1" si="920"/>
        <v>nie</v>
      </c>
      <c r="BB543" s="166" t="str">
        <f t="shared" ca="1" si="925"/>
        <v>-</v>
      </c>
      <c r="BC543" s="165" t="str">
        <f t="shared" ca="1" si="874"/>
        <v>nie</v>
      </c>
    </row>
    <row r="544" spans="1:55" ht="14.45" hidden="1" customHeight="1" x14ac:dyDescent="0.25">
      <c r="A544" s="493"/>
      <c r="B544" s="493"/>
      <c r="C544" s="494"/>
      <c r="D544" s="533"/>
      <c r="E544" s="497"/>
      <c r="F544" s="497"/>
      <c r="G544" s="497"/>
      <c r="H544" s="498"/>
      <c r="I544" s="499"/>
      <c r="J544" s="177" t="s">
        <v>99</v>
      </c>
      <c r="K544" s="178">
        <f>SUM(N544:O544)</f>
        <v>0</v>
      </c>
      <c r="L544" s="179">
        <f t="shared" ref="L544:M544" si="928">L548-L540</f>
        <v>0</v>
      </c>
      <c r="M544" s="180">
        <f t="shared" si="928"/>
        <v>0</v>
      </c>
      <c r="N544" s="172">
        <f>SUM(L544:M544)</f>
        <v>0</v>
      </c>
      <c r="O544" s="178">
        <f>SUM(P544:Y544)</f>
        <v>0</v>
      </c>
      <c r="P544" s="181">
        <f t="shared" ref="P544:Y544" si="929">P548-P540</f>
        <v>0</v>
      </c>
      <c r="Q544" s="180">
        <f t="shared" si="929"/>
        <v>0</v>
      </c>
      <c r="R544" s="182">
        <f t="shared" si="929"/>
        <v>0</v>
      </c>
      <c r="S544" s="183">
        <f t="shared" si="929"/>
        <v>0</v>
      </c>
      <c r="T544" s="180">
        <f t="shared" si="929"/>
        <v>0</v>
      </c>
      <c r="U544" s="180">
        <f t="shared" si="929"/>
        <v>0</v>
      </c>
      <c r="V544" s="180">
        <f t="shared" si="929"/>
        <v>0</v>
      </c>
      <c r="W544" s="180">
        <f t="shared" si="929"/>
        <v>0</v>
      </c>
      <c r="X544" s="180">
        <f t="shared" si="929"/>
        <v>0</v>
      </c>
      <c r="Y544" s="182">
        <f t="shared" si="929"/>
        <v>0</v>
      </c>
      <c r="Z544" s="149" t="str">
        <f t="shared" ca="1" si="873"/>
        <v>nie</v>
      </c>
      <c r="AA544" s="366"/>
      <c r="AB544" s="150" t="str">
        <f t="shared" ca="1" si="924"/>
        <v>-</v>
      </c>
      <c r="AC544" s="151" t="str">
        <f t="shared" ca="1" si="896"/>
        <v>PROPONOWANA ZMIANA</v>
      </c>
      <c r="AD544" s="152" t="str">
        <f t="shared" ca="1" si="897"/>
        <v>PROPONOWANA ZMIANA</v>
      </c>
      <c r="AE544" s="153" t="str">
        <f t="shared" ca="1" si="898"/>
        <v>C/USN/V/P1/86</v>
      </c>
      <c r="AF544" s="154" t="str">
        <f t="shared" ca="1" si="899"/>
        <v>Adaptacja pomieszczeń LXX LO przy ul. Dembowskiego 1 dla potrzeb FabLab wraz z modernizacją instalacji elektrycznej budynku</v>
      </c>
      <c r="AG544" s="155">
        <f t="shared" ca="1" si="900"/>
        <v>80120</v>
      </c>
      <c r="AH544" s="155" t="str">
        <f t="shared" ca="1" si="901"/>
        <v>6050</v>
      </c>
      <c r="AI544" s="156" t="str">
        <f t="shared" ca="1" si="902"/>
        <v>MWPO/0023</v>
      </c>
      <c r="AJ544" s="157" t="str">
        <f t="shared" ca="1" si="903"/>
        <v>WPF/PM</v>
      </c>
      <c r="AK544" s="158" t="str">
        <f t="shared" ca="1" si="904"/>
        <v>C/USN/V/P1/86 80120 6050 MWPO/0023</v>
      </c>
      <c r="AL544" s="158" t="str">
        <f t="shared" ca="1" si="905"/>
        <v>C/USN/V/P1/86 80120 6050 WPF/PM</v>
      </c>
      <c r="AM544" s="159" t="str">
        <f t="shared" ca="1" si="906"/>
        <v>C/USN/V/P1/86 80120 6050 MWPO/0023 WPF/PM</v>
      </c>
      <c r="AN544" s="160">
        <f t="shared" ca="1" si="907"/>
        <v>0</v>
      </c>
      <c r="AO544" s="161">
        <f t="shared" ca="1" si="908"/>
        <v>0</v>
      </c>
      <c r="AP544" s="162">
        <f t="shared" ca="1" si="909"/>
        <v>0</v>
      </c>
      <c r="AQ544" s="163">
        <f t="shared" ca="1" si="910"/>
        <v>0</v>
      </c>
      <c r="AR544" s="164">
        <f t="shared" ca="1" si="911"/>
        <v>0</v>
      </c>
      <c r="AS544" s="164">
        <f t="shared" ca="1" si="912"/>
        <v>0</v>
      </c>
      <c r="AT544" s="164">
        <f t="shared" ca="1" si="913"/>
        <v>0</v>
      </c>
      <c r="AU544" s="164">
        <f t="shared" ca="1" si="914"/>
        <v>0</v>
      </c>
      <c r="AV544" s="164">
        <f t="shared" ca="1" si="915"/>
        <v>0</v>
      </c>
      <c r="AW544" s="164">
        <f t="shared" ca="1" si="916"/>
        <v>0</v>
      </c>
      <c r="AX544" s="164">
        <f t="shared" ca="1" si="917"/>
        <v>0</v>
      </c>
      <c r="AY544" s="164">
        <f t="shared" ca="1" si="918"/>
        <v>0</v>
      </c>
      <c r="AZ544" s="164">
        <f t="shared" ca="1" si="919"/>
        <v>0</v>
      </c>
      <c r="BA544" s="165" t="str">
        <f t="shared" ca="1" si="920"/>
        <v>nie</v>
      </c>
      <c r="BB544" s="166" t="str">
        <f t="shared" ca="1" si="925"/>
        <v>-</v>
      </c>
      <c r="BC544" s="165" t="str">
        <f t="shared" ca="1" si="874"/>
        <v>nie</v>
      </c>
    </row>
    <row r="545" spans="1:55" ht="14.45" hidden="1" customHeight="1" x14ac:dyDescent="0.25">
      <c r="A545" s="493"/>
      <c r="B545" s="493"/>
      <c r="C545" s="494"/>
      <c r="D545" s="533"/>
      <c r="E545" s="497"/>
      <c r="F545" s="497"/>
      <c r="G545" s="497"/>
      <c r="H545" s="498"/>
      <c r="I545" s="499"/>
      <c r="J545" s="177" t="s">
        <v>100</v>
      </c>
      <c r="K545" s="178">
        <f>SUM(N545:O545)</f>
        <v>0</v>
      </c>
      <c r="L545" s="179">
        <f t="shared" ref="L545:M545" si="930">L549-L541</f>
        <v>0</v>
      </c>
      <c r="M545" s="180">
        <f t="shared" si="930"/>
        <v>0</v>
      </c>
      <c r="N545" s="172">
        <f>SUM(L545:M545)</f>
        <v>0</v>
      </c>
      <c r="O545" s="178">
        <f>SUM(P545:Y545)</f>
        <v>0</v>
      </c>
      <c r="P545" s="181">
        <f t="shared" ref="P545:Y545" si="931">P549-P541</f>
        <v>0</v>
      </c>
      <c r="Q545" s="180">
        <f t="shared" si="931"/>
        <v>0</v>
      </c>
      <c r="R545" s="182">
        <f t="shared" si="931"/>
        <v>0</v>
      </c>
      <c r="S545" s="183">
        <f t="shared" si="931"/>
        <v>0</v>
      </c>
      <c r="T545" s="180">
        <f t="shared" si="931"/>
        <v>0</v>
      </c>
      <c r="U545" s="180">
        <f t="shared" si="931"/>
        <v>0</v>
      </c>
      <c r="V545" s="180">
        <f t="shared" si="931"/>
        <v>0</v>
      </c>
      <c r="W545" s="180">
        <f t="shared" si="931"/>
        <v>0</v>
      </c>
      <c r="X545" s="180">
        <f t="shared" si="931"/>
        <v>0</v>
      </c>
      <c r="Y545" s="182">
        <f t="shared" si="931"/>
        <v>0</v>
      </c>
      <c r="Z545" s="149" t="str">
        <f t="shared" ca="1" si="873"/>
        <v>nie</v>
      </c>
      <c r="AA545" s="366"/>
      <c r="AB545" s="150" t="str">
        <f t="shared" ca="1" si="924"/>
        <v>-</v>
      </c>
      <c r="AC545" s="151" t="str">
        <f t="shared" ca="1" si="896"/>
        <v>PROPONOWANA ZMIANA</v>
      </c>
      <c r="AD545" s="152" t="str">
        <f t="shared" ca="1" si="897"/>
        <v>PROPONOWANA ZMIANA</v>
      </c>
      <c r="AE545" s="153" t="str">
        <f t="shared" ca="1" si="898"/>
        <v>C/USN/V/P1/86</v>
      </c>
      <c r="AF545" s="154" t="str">
        <f t="shared" ca="1" si="899"/>
        <v>Adaptacja pomieszczeń LXX LO przy ul. Dembowskiego 1 dla potrzeb FabLab wraz z modernizacją instalacji elektrycznej budynku</v>
      </c>
      <c r="AG545" s="155">
        <f t="shared" ca="1" si="900"/>
        <v>80120</v>
      </c>
      <c r="AH545" s="155" t="str">
        <f t="shared" ca="1" si="901"/>
        <v>6050</v>
      </c>
      <c r="AI545" s="156" t="str">
        <f t="shared" ca="1" si="902"/>
        <v>MWPO/0023</v>
      </c>
      <c r="AJ545" s="157" t="str">
        <f t="shared" ca="1" si="903"/>
        <v>WPF/UM</v>
      </c>
      <c r="AK545" s="158" t="str">
        <f t="shared" ca="1" si="904"/>
        <v>C/USN/V/P1/86 80120 6050 MWPO/0023</v>
      </c>
      <c r="AL545" s="158" t="str">
        <f t="shared" ca="1" si="905"/>
        <v>C/USN/V/P1/86 80120 6050 WPF/UM</v>
      </c>
      <c r="AM545" s="159" t="str">
        <f t="shared" ca="1" si="906"/>
        <v>C/USN/V/P1/86 80120 6050 MWPO/0023 WPF/UM</v>
      </c>
      <c r="AN545" s="160">
        <f t="shared" ca="1" si="907"/>
        <v>0</v>
      </c>
      <c r="AO545" s="161">
        <f t="shared" ca="1" si="908"/>
        <v>0</v>
      </c>
      <c r="AP545" s="162">
        <f t="shared" ca="1" si="909"/>
        <v>0</v>
      </c>
      <c r="AQ545" s="163">
        <f t="shared" ca="1" si="910"/>
        <v>0</v>
      </c>
      <c r="AR545" s="164">
        <f t="shared" ca="1" si="911"/>
        <v>0</v>
      </c>
      <c r="AS545" s="164">
        <f t="shared" ca="1" si="912"/>
        <v>0</v>
      </c>
      <c r="AT545" s="164">
        <f t="shared" ca="1" si="913"/>
        <v>0</v>
      </c>
      <c r="AU545" s="164">
        <f t="shared" ca="1" si="914"/>
        <v>0</v>
      </c>
      <c r="AV545" s="164">
        <f t="shared" ca="1" si="915"/>
        <v>0</v>
      </c>
      <c r="AW545" s="164">
        <f t="shared" ca="1" si="916"/>
        <v>0</v>
      </c>
      <c r="AX545" s="164">
        <f t="shared" ca="1" si="917"/>
        <v>0</v>
      </c>
      <c r="AY545" s="164">
        <f t="shared" ca="1" si="918"/>
        <v>0</v>
      </c>
      <c r="AZ545" s="164">
        <f t="shared" ca="1" si="919"/>
        <v>0</v>
      </c>
      <c r="BA545" s="165" t="str">
        <f t="shared" ca="1" si="920"/>
        <v>nie</v>
      </c>
      <c r="BB545" s="166" t="str">
        <f t="shared" ca="1" si="925"/>
        <v>-</v>
      </c>
      <c r="BC545" s="165" t="str">
        <f t="shared" ca="1" si="874"/>
        <v>nie</v>
      </c>
    </row>
    <row r="546" spans="1:55" ht="14.45" hidden="1" customHeight="1" x14ac:dyDescent="0.25">
      <c r="A546" s="191" t="s">
        <v>101</v>
      </c>
      <c r="B546" s="192"/>
      <c r="C546" s="193"/>
      <c r="D546" s="192"/>
      <c r="E546" s="192"/>
      <c r="F546" s="192"/>
      <c r="G546" s="192"/>
      <c r="H546" s="192"/>
      <c r="I546" s="192"/>
      <c r="J546" s="192"/>
      <c r="K546" s="192"/>
      <c r="L546" s="192"/>
      <c r="M546" s="192"/>
      <c r="N546" s="192"/>
      <c r="O546" s="192"/>
      <c r="P546" s="192"/>
      <c r="Q546" s="192"/>
      <c r="R546" s="194"/>
      <c r="S546" s="195"/>
      <c r="T546" s="195"/>
      <c r="U546" s="195"/>
      <c r="V546" s="195"/>
      <c r="W546" s="195"/>
      <c r="X546" s="195"/>
      <c r="Y546" s="196"/>
      <c r="Z546" s="149" t="str">
        <f t="shared" ca="1" si="873"/>
        <v>nie</v>
      </c>
      <c r="AA546" s="366"/>
      <c r="AB546" s="150" t="str">
        <f t="shared" ca="1" si="924"/>
        <v>-</v>
      </c>
      <c r="AC546" s="151" t="str">
        <f t="shared" ca="1" si="896"/>
        <v>PO ZMIANIE</v>
      </c>
      <c r="AD546" s="152" t="str">
        <f t="shared" ca="1" si="897"/>
        <v/>
      </c>
      <c r="AE546" s="153" t="str">
        <f t="shared" ca="1" si="898"/>
        <v/>
      </c>
      <c r="AF546" s="154" t="str">
        <f t="shared" ca="1" si="899"/>
        <v/>
      </c>
      <c r="AG546" s="155" t="str">
        <f t="shared" ca="1" si="900"/>
        <v/>
      </c>
      <c r="AH546" s="155" t="str">
        <f t="shared" ca="1" si="901"/>
        <v/>
      </c>
      <c r="AI546" s="156" t="str">
        <f t="shared" ca="1" si="902"/>
        <v/>
      </c>
      <c r="AJ546" s="157" t="str">
        <f t="shared" ca="1" si="903"/>
        <v/>
      </c>
      <c r="AK546" s="158" t="str">
        <f t="shared" ca="1" si="904"/>
        <v/>
      </c>
      <c r="AL546" s="158" t="str">
        <f t="shared" ca="1" si="905"/>
        <v/>
      </c>
      <c r="AM546" s="159" t="str">
        <f t="shared" ca="1" si="906"/>
        <v/>
      </c>
      <c r="AN546" s="160" t="str">
        <f t="shared" ca="1" si="907"/>
        <v/>
      </c>
      <c r="AO546" s="161" t="str">
        <f t="shared" ca="1" si="908"/>
        <v/>
      </c>
      <c r="AP546" s="162" t="str">
        <f t="shared" ca="1" si="909"/>
        <v/>
      </c>
      <c r="AQ546" s="163" t="str">
        <f t="shared" ca="1" si="910"/>
        <v/>
      </c>
      <c r="AR546" s="164" t="str">
        <f t="shared" ca="1" si="911"/>
        <v/>
      </c>
      <c r="AS546" s="164" t="str">
        <f t="shared" ca="1" si="912"/>
        <v/>
      </c>
      <c r="AT546" s="164" t="str">
        <f t="shared" ca="1" si="913"/>
        <v/>
      </c>
      <c r="AU546" s="164" t="str">
        <f t="shared" ca="1" si="914"/>
        <v/>
      </c>
      <c r="AV546" s="164" t="str">
        <f t="shared" ca="1" si="915"/>
        <v/>
      </c>
      <c r="AW546" s="164" t="str">
        <f t="shared" ca="1" si="916"/>
        <v/>
      </c>
      <c r="AX546" s="164" t="str">
        <f t="shared" ca="1" si="917"/>
        <v/>
      </c>
      <c r="AY546" s="164" t="str">
        <f t="shared" ca="1" si="918"/>
        <v/>
      </c>
      <c r="AZ546" s="164" t="str">
        <f t="shared" ca="1" si="919"/>
        <v/>
      </c>
      <c r="BA546" s="165" t="str">
        <f t="shared" ca="1" si="920"/>
        <v>nie</v>
      </c>
      <c r="BB546" s="166" t="str">
        <f t="shared" ca="1" si="925"/>
        <v>-</v>
      </c>
      <c r="BC546" s="165" t="str">
        <f t="shared" ca="1" si="874"/>
        <v>nie</v>
      </c>
    </row>
    <row r="547" spans="1:55" ht="14.45" hidden="1" customHeight="1" x14ac:dyDescent="0.25">
      <c r="A547" s="493" t="s">
        <v>24</v>
      </c>
      <c r="B547" s="493" t="s">
        <v>420</v>
      </c>
      <c r="C547" s="494" t="s">
        <v>171</v>
      </c>
      <c r="D547" s="532" t="s">
        <v>172</v>
      </c>
      <c r="E547" s="497">
        <v>801</v>
      </c>
      <c r="F547" s="497">
        <v>80120</v>
      </c>
      <c r="G547" s="497">
        <v>6050</v>
      </c>
      <c r="H547" s="507">
        <v>2023</v>
      </c>
      <c r="I547" s="499" t="str">
        <f ca="1">IF(COUNTIF(OFFSET(I547,-1,-8),"*propon*")&gt;0,OFFSET(I547,4,0),IF(Y547&gt;0,"2033",IF(X547&gt;0,"2032",IF(W547&gt;0,"2031",IF(V547&gt;0,"2030",IF(U547&gt;0,"2029",IF(T547&gt;0,"2028",IF(S547&gt;0,"2027",IF(R547&gt;0,"2026",IF(Q547&gt;0,"2025",IF(P547&gt;0,"2024",IF(M547&gt;0,"2023",IF(L547&gt;0,"2022","")))))))))))))</f>
        <v>2025</v>
      </c>
      <c r="J547" s="168" t="s">
        <v>102</v>
      </c>
      <c r="K547" s="169">
        <f>SUM(N547:O547)</f>
        <v>2000000</v>
      </c>
      <c r="L547" s="170">
        <f t="shared" ref="L547:M547" si="932">SUM(L548:L549)</f>
        <v>0</v>
      </c>
      <c r="M547" s="171">
        <f t="shared" si="932"/>
        <v>0</v>
      </c>
      <c r="N547" s="172">
        <f>SUM(L547:M547)</f>
        <v>0</v>
      </c>
      <c r="O547" s="169">
        <f>SUM(P547:Y547)</f>
        <v>2000000</v>
      </c>
      <c r="P547" s="173">
        <f t="shared" ref="P547:Y547" si="933">SUM(P548:P549)</f>
        <v>1100000</v>
      </c>
      <c r="Q547" s="171">
        <f t="shared" si="933"/>
        <v>900000</v>
      </c>
      <c r="R547" s="174">
        <f t="shared" si="933"/>
        <v>0</v>
      </c>
      <c r="S547" s="175">
        <f t="shared" si="933"/>
        <v>0</v>
      </c>
      <c r="T547" s="171">
        <f t="shared" si="933"/>
        <v>0</v>
      </c>
      <c r="U547" s="171">
        <f t="shared" si="933"/>
        <v>0</v>
      </c>
      <c r="V547" s="171">
        <f t="shared" si="933"/>
        <v>0</v>
      </c>
      <c r="W547" s="171">
        <f t="shared" si="933"/>
        <v>0</v>
      </c>
      <c r="X547" s="171">
        <f t="shared" si="933"/>
        <v>0</v>
      </c>
      <c r="Y547" s="174">
        <f t="shared" si="933"/>
        <v>0</v>
      </c>
      <c r="Z547" s="149" t="str">
        <f t="shared" ca="1" si="873"/>
        <v>nie</v>
      </c>
      <c r="AA547" s="366"/>
      <c r="AB547" s="150" t="str">
        <f t="shared" ca="1" si="924"/>
        <v>-</v>
      </c>
      <c r="AC547" s="151" t="str">
        <f t="shared" ca="1" si="896"/>
        <v>PO ZMIANIE</v>
      </c>
      <c r="AD547" s="152" t="str">
        <f t="shared" ca="1" si="897"/>
        <v>PO ZMIANIE</v>
      </c>
      <c r="AE547" s="153" t="str">
        <f t="shared" ca="1" si="898"/>
        <v>C/USN/V/P1/86</v>
      </c>
      <c r="AF547" s="154" t="str">
        <f t="shared" ca="1" si="899"/>
        <v>Adaptacja pomieszczeń LXX LO przy ul. Dembowskiego 1 dla potrzeb FabLab wraz z modernizacją instalacji elektrycznej budynku</v>
      </c>
      <c r="AG547" s="155">
        <f t="shared" ca="1" si="900"/>
        <v>80120</v>
      </c>
      <c r="AH547" s="155" t="str">
        <f t="shared" ca="1" si="901"/>
        <v>6050</v>
      </c>
      <c r="AI547" s="156" t="str">
        <f t="shared" ca="1" si="902"/>
        <v>MWPO/0023</v>
      </c>
      <c r="AJ547" s="157" t="str">
        <f t="shared" ca="1" si="903"/>
        <v>WPF, w tym</v>
      </c>
      <c r="AK547" s="158" t="str">
        <f t="shared" ca="1" si="904"/>
        <v>C/USN/V/P1/86 80120 6050 MWPO/0023</v>
      </c>
      <c r="AL547" s="158" t="str">
        <f t="shared" ca="1" si="905"/>
        <v>C/USN/V/P1/86 80120 6050 WPF, w tym</v>
      </c>
      <c r="AM547" s="159" t="str">
        <f t="shared" ca="1" si="906"/>
        <v>C/USN/V/P1/86 80120 6050 MWPO/0023 WPF, w tym</v>
      </c>
      <c r="AN547" s="160">
        <f t="shared" ca="1" si="907"/>
        <v>2000000</v>
      </c>
      <c r="AO547" s="161">
        <f t="shared" ca="1" si="908"/>
        <v>0</v>
      </c>
      <c r="AP547" s="162">
        <f t="shared" ca="1" si="909"/>
        <v>0</v>
      </c>
      <c r="AQ547" s="163">
        <f t="shared" ca="1" si="910"/>
        <v>1100000</v>
      </c>
      <c r="AR547" s="164">
        <f t="shared" ca="1" si="911"/>
        <v>900000</v>
      </c>
      <c r="AS547" s="164">
        <f t="shared" ca="1" si="912"/>
        <v>0</v>
      </c>
      <c r="AT547" s="164">
        <f t="shared" ca="1" si="913"/>
        <v>0</v>
      </c>
      <c r="AU547" s="164">
        <f t="shared" ca="1" si="914"/>
        <v>0</v>
      </c>
      <c r="AV547" s="164">
        <f t="shared" ca="1" si="915"/>
        <v>0</v>
      </c>
      <c r="AW547" s="164">
        <f t="shared" ca="1" si="916"/>
        <v>0</v>
      </c>
      <c r="AX547" s="164">
        <f t="shared" ca="1" si="917"/>
        <v>0</v>
      </c>
      <c r="AY547" s="164">
        <f t="shared" ca="1" si="918"/>
        <v>0</v>
      </c>
      <c r="AZ547" s="164">
        <f t="shared" ca="1" si="919"/>
        <v>0</v>
      </c>
      <c r="BA547" s="165" t="str">
        <f t="shared" ca="1" si="920"/>
        <v>nie</v>
      </c>
      <c r="BB547" s="166" t="str">
        <f t="shared" ca="1" si="925"/>
        <v>-</v>
      </c>
      <c r="BC547" s="165" t="str">
        <f t="shared" ca="1" si="874"/>
        <v>nie</v>
      </c>
    </row>
    <row r="548" spans="1:55" ht="14.45" hidden="1" customHeight="1" x14ac:dyDescent="0.25">
      <c r="A548" s="493"/>
      <c r="B548" s="493"/>
      <c r="C548" s="494"/>
      <c r="D548" s="533"/>
      <c r="E548" s="497"/>
      <c r="F548" s="497"/>
      <c r="G548" s="497"/>
      <c r="H548" s="498"/>
      <c r="I548" s="499"/>
      <c r="J548" s="177" t="s">
        <v>103</v>
      </c>
      <c r="K548" s="178">
        <f>SUM(N548:O548)</f>
        <v>2000000</v>
      </c>
      <c r="L548" s="179"/>
      <c r="M548" s="180"/>
      <c r="N548" s="172">
        <f>SUM(L548:M548)</f>
        <v>0</v>
      </c>
      <c r="O548" s="178">
        <f>SUM(P548:Y548)</f>
        <v>2000000</v>
      </c>
      <c r="P548" s="181">
        <f>1100000</f>
        <v>1100000</v>
      </c>
      <c r="Q548" s="180">
        <v>900000</v>
      </c>
      <c r="R548" s="182"/>
      <c r="S548" s="183"/>
      <c r="T548" s="180"/>
      <c r="U548" s="180"/>
      <c r="V548" s="180"/>
      <c r="W548" s="180"/>
      <c r="X548" s="180"/>
      <c r="Y548" s="182"/>
      <c r="Z548" s="149" t="str">
        <f t="shared" ca="1" si="873"/>
        <v>nie</v>
      </c>
      <c r="AA548" s="384"/>
      <c r="AB548" s="150" t="str">
        <f t="shared" ca="1" si="924"/>
        <v>-</v>
      </c>
      <c r="AC548" s="151" t="str">
        <f t="shared" ca="1" si="896"/>
        <v>PO ZMIANIE</v>
      </c>
      <c r="AD548" s="152" t="str">
        <f t="shared" ca="1" si="897"/>
        <v>PO ZMIANIE</v>
      </c>
      <c r="AE548" s="153" t="str">
        <f t="shared" ca="1" si="898"/>
        <v>C/USN/V/P1/86</v>
      </c>
      <c r="AF548" s="154" t="str">
        <f t="shared" ca="1" si="899"/>
        <v>Adaptacja pomieszczeń LXX LO przy ul. Dembowskiego 1 dla potrzeb FabLab wraz z modernizacją instalacji elektrycznej budynku</v>
      </c>
      <c r="AG548" s="155">
        <f t="shared" ca="1" si="900"/>
        <v>80120</v>
      </c>
      <c r="AH548" s="155" t="str">
        <f t="shared" ca="1" si="901"/>
        <v>6050</v>
      </c>
      <c r="AI548" s="156" t="str">
        <f t="shared" ca="1" si="902"/>
        <v>MWPO/0023</v>
      </c>
      <c r="AJ548" s="157" t="str">
        <f t="shared" ca="1" si="903"/>
        <v>WPF/PM</v>
      </c>
      <c r="AK548" s="158" t="str">
        <f t="shared" ca="1" si="904"/>
        <v>C/USN/V/P1/86 80120 6050 MWPO/0023</v>
      </c>
      <c r="AL548" s="158" t="str">
        <f t="shared" ca="1" si="905"/>
        <v>C/USN/V/P1/86 80120 6050 WPF/PM</v>
      </c>
      <c r="AM548" s="159" t="str">
        <f t="shared" ca="1" si="906"/>
        <v>C/USN/V/P1/86 80120 6050 MWPO/0023 WPF/PM</v>
      </c>
      <c r="AN548" s="160">
        <f t="shared" ca="1" si="907"/>
        <v>2000000</v>
      </c>
      <c r="AO548" s="161">
        <f t="shared" ca="1" si="908"/>
        <v>0</v>
      </c>
      <c r="AP548" s="162">
        <f t="shared" ca="1" si="909"/>
        <v>0</v>
      </c>
      <c r="AQ548" s="163">
        <f t="shared" ca="1" si="910"/>
        <v>1100000</v>
      </c>
      <c r="AR548" s="164">
        <f t="shared" ca="1" si="911"/>
        <v>900000</v>
      </c>
      <c r="AS548" s="164">
        <f t="shared" ca="1" si="912"/>
        <v>0</v>
      </c>
      <c r="AT548" s="164">
        <f t="shared" ca="1" si="913"/>
        <v>0</v>
      </c>
      <c r="AU548" s="164">
        <f t="shared" ca="1" si="914"/>
        <v>0</v>
      </c>
      <c r="AV548" s="164">
        <f t="shared" ca="1" si="915"/>
        <v>0</v>
      </c>
      <c r="AW548" s="164">
        <f t="shared" ca="1" si="916"/>
        <v>0</v>
      </c>
      <c r="AX548" s="164">
        <f t="shared" ca="1" si="917"/>
        <v>0</v>
      </c>
      <c r="AY548" s="164">
        <f t="shared" ca="1" si="918"/>
        <v>0</v>
      </c>
      <c r="AZ548" s="164">
        <f t="shared" ca="1" si="919"/>
        <v>0</v>
      </c>
      <c r="BA548" s="165" t="str">
        <f t="shared" ca="1" si="920"/>
        <v>nie</v>
      </c>
      <c r="BB548" s="166" t="str">
        <f t="shared" ca="1" si="925"/>
        <v>-</v>
      </c>
      <c r="BC548" s="165" t="str">
        <f t="shared" ca="1" si="874"/>
        <v>nie</v>
      </c>
    </row>
    <row r="549" spans="1:55" ht="14.45" hidden="1" customHeight="1" thickBot="1" x14ac:dyDescent="0.3">
      <c r="A549" s="500"/>
      <c r="B549" s="500"/>
      <c r="C549" s="501"/>
      <c r="D549" s="534"/>
      <c r="E549" s="503"/>
      <c r="F549" s="503"/>
      <c r="G549" s="503"/>
      <c r="H549" s="504"/>
      <c r="I549" s="499"/>
      <c r="J549" s="197" t="s">
        <v>104</v>
      </c>
      <c r="K549" s="198">
        <f>SUM(N549:O549)</f>
        <v>0</v>
      </c>
      <c r="L549" s="199"/>
      <c r="M549" s="200"/>
      <c r="N549" s="371">
        <f>SUM(L549:M549)</f>
        <v>0</v>
      </c>
      <c r="O549" s="198">
        <f>SUM(P549:Y549)</f>
        <v>0</v>
      </c>
      <c r="P549" s="201"/>
      <c r="Q549" s="200"/>
      <c r="R549" s="202"/>
      <c r="S549" s="203"/>
      <c r="T549" s="200"/>
      <c r="U549" s="200"/>
      <c r="V549" s="200"/>
      <c r="W549" s="200"/>
      <c r="X549" s="200"/>
      <c r="Y549" s="202"/>
      <c r="Z549" s="149" t="str">
        <f t="shared" ca="1" si="873"/>
        <v>nie</v>
      </c>
      <c r="AA549" s="384"/>
      <c r="AB549" s="150" t="str">
        <f t="shared" ca="1" si="924"/>
        <v>-</v>
      </c>
      <c r="AC549" s="151" t="str">
        <f t="shared" ca="1" si="896"/>
        <v>PO ZMIANIE</v>
      </c>
      <c r="AD549" s="152" t="str">
        <f t="shared" ca="1" si="897"/>
        <v>PO ZMIANIE</v>
      </c>
      <c r="AE549" s="153" t="str">
        <f t="shared" ca="1" si="898"/>
        <v>C/USN/V/P1/86</v>
      </c>
      <c r="AF549" s="154" t="str">
        <f t="shared" ca="1" si="899"/>
        <v>Adaptacja pomieszczeń LXX LO przy ul. Dembowskiego 1 dla potrzeb FabLab wraz z modernizacją instalacji elektrycznej budynku</v>
      </c>
      <c r="AG549" s="155">
        <f t="shared" ca="1" si="900"/>
        <v>80120</v>
      </c>
      <c r="AH549" s="155" t="str">
        <f t="shared" ca="1" si="901"/>
        <v>6050</v>
      </c>
      <c r="AI549" s="156" t="str">
        <f t="shared" ca="1" si="902"/>
        <v>MWPO/0023</v>
      </c>
      <c r="AJ549" s="157" t="str">
        <f t="shared" ca="1" si="903"/>
        <v>WPF/UM</v>
      </c>
      <c r="AK549" s="158" t="str">
        <f t="shared" ca="1" si="904"/>
        <v>C/USN/V/P1/86 80120 6050 MWPO/0023</v>
      </c>
      <c r="AL549" s="158" t="str">
        <f t="shared" ca="1" si="905"/>
        <v>C/USN/V/P1/86 80120 6050 WPF/UM</v>
      </c>
      <c r="AM549" s="159" t="str">
        <f t="shared" ca="1" si="906"/>
        <v>C/USN/V/P1/86 80120 6050 MWPO/0023 WPF/UM</v>
      </c>
      <c r="AN549" s="160">
        <f t="shared" ca="1" si="907"/>
        <v>0</v>
      </c>
      <c r="AO549" s="161">
        <f t="shared" ca="1" si="908"/>
        <v>0</v>
      </c>
      <c r="AP549" s="162">
        <f t="shared" ca="1" si="909"/>
        <v>0</v>
      </c>
      <c r="AQ549" s="163">
        <f t="shared" ca="1" si="910"/>
        <v>0</v>
      </c>
      <c r="AR549" s="164">
        <f t="shared" ca="1" si="911"/>
        <v>0</v>
      </c>
      <c r="AS549" s="164">
        <f t="shared" ca="1" si="912"/>
        <v>0</v>
      </c>
      <c r="AT549" s="164">
        <f t="shared" ca="1" si="913"/>
        <v>0</v>
      </c>
      <c r="AU549" s="164">
        <f t="shared" ca="1" si="914"/>
        <v>0</v>
      </c>
      <c r="AV549" s="164">
        <f t="shared" ca="1" si="915"/>
        <v>0</v>
      </c>
      <c r="AW549" s="164">
        <f t="shared" ca="1" si="916"/>
        <v>0</v>
      </c>
      <c r="AX549" s="164">
        <f t="shared" ca="1" si="917"/>
        <v>0</v>
      </c>
      <c r="AY549" s="164">
        <f t="shared" ca="1" si="918"/>
        <v>0</v>
      </c>
      <c r="AZ549" s="164">
        <f t="shared" ca="1" si="919"/>
        <v>0</v>
      </c>
      <c r="BA549" s="165" t="str">
        <f t="shared" ca="1" si="920"/>
        <v>nie</v>
      </c>
      <c r="BB549" s="166" t="str">
        <f t="shared" ca="1" si="925"/>
        <v>-</v>
      </c>
      <c r="BC549" s="165" t="str">
        <f t="shared" ca="1" si="874"/>
        <v>nie</v>
      </c>
    </row>
    <row r="550" spans="1:55" ht="14.45" hidden="1" customHeight="1" x14ac:dyDescent="0.25">
      <c r="A550" s="143" t="s">
        <v>91</v>
      </c>
      <c r="B550" s="144"/>
      <c r="C550" s="145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6"/>
      <c r="S550" s="147"/>
      <c r="T550" s="147"/>
      <c r="U550" s="147"/>
      <c r="V550" s="147"/>
      <c r="W550" s="147"/>
      <c r="X550" s="147"/>
      <c r="Y550" s="148"/>
      <c r="Z550" s="149" t="str">
        <f t="shared" ca="1" si="873"/>
        <v>nie</v>
      </c>
      <c r="AA550" s="366"/>
      <c r="AB550" s="150" t="str">
        <f t="shared" ca="1" si="895"/>
        <v>-</v>
      </c>
      <c r="AC550" s="151" t="str">
        <f t="shared" ca="1" si="896"/>
        <v>PRZED ZMIANĄ</v>
      </c>
      <c r="AD550" s="152" t="str">
        <f t="shared" ca="1" si="883"/>
        <v/>
      </c>
      <c r="AE550" s="153" t="str">
        <f t="shared" ca="1" si="898"/>
        <v/>
      </c>
      <c r="AF550" s="154" t="str">
        <f t="shared" ca="1" si="899"/>
        <v/>
      </c>
      <c r="AG550" s="155" t="str">
        <f t="shared" ca="1" si="900"/>
        <v/>
      </c>
      <c r="AH550" s="155" t="str">
        <f t="shared" ca="1" si="901"/>
        <v/>
      </c>
      <c r="AI550" s="156" t="str">
        <f t="shared" ca="1" si="902"/>
        <v/>
      </c>
      <c r="AJ550" s="157" t="str">
        <f t="shared" ca="1" si="903"/>
        <v/>
      </c>
      <c r="AK550" s="158" t="str">
        <f t="shared" ca="1" si="884"/>
        <v/>
      </c>
      <c r="AL550" s="158" t="str">
        <f t="shared" ca="1" si="885"/>
        <v/>
      </c>
      <c r="AM550" s="159" t="str">
        <f t="shared" ca="1" si="886"/>
        <v/>
      </c>
      <c r="AN550" s="160" t="str">
        <f t="shared" ca="1" si="907"/>
        <v/>
      </c>
      <c r="AO550" s="161" t="str">
        <f t="shared" ca="1" si="908"/>
        <v/>
      </c>
      <c r="AP550" s="162" t="str">
        <f t="shared" ca="1" si="909"/>
        <v/>
      </c>
      <c r="AQ550" s="163" t="str">
        <f t="shared" ca="1" si="910"/>
        <v/>
      </c>
      <c r="AR550" s="164" t="str">
        <f t="shared" ca="1" si="911"/>
        <v/>
      </c>
      <c r="AS550" s="164" t="str">
        <f t="shared" ca="1" si="912"/>
        <v/>
      </c>
      <c r="AT550" s="164" t="str">
        <f t="shared" ca="1" si="913"/>
        <v/>
      </c>
      <c r="AU550" s="164" t="str">
        <f t="shared" ca="1" si="914"/>
        <v/>
      </c>
      <c r="AV550" s="164" t="str">
        <f t="shared" ca="1" si="915"/>
        <v/>
      </c>
      <c r="AW550" s="164" t="str">
        <f t="shared" ca="1" si="916"/>
        <v/>
      </c>
      <c r="AX550" s="164" t="str">
        <f t="shared" ca="1" si="917"/>
        <v/>
      </c>
      <c r="AY550" s="164" t="str">
        <f t="shared" ca="1" si="918"/>
        <v/>
      </c>
      <c r="AZ550" s="164" t="str">
        <f t="shared" ca="1" si="919"/>
        <v/>
      </c>
      <c r="BA550" s="165" t="str">
        <f t="shared" ca="1" si="920"/>
        <v>nie</v>
      </c>
      <c r="BB550" s="166" t="str">
        <f t="shared" ca="1" si="921"/>
        <v>-</v>
      </c>
      <c r="BC550" s="165" t="str">
        <f t="shared" ca="1" si="874"/>
        <v>nie</v>
      </c>
    </row>
    <row r="551" spans="1:55" ht="14.45" hidden="1" customHeight="1" x14ac:dyDescent="0.25">
      <c r="A551" s="493" t="s">
        <v>24</v>
      </c>
      <c r="B551" s="493" t="s">
        <v>26</v>
      </c>
      <c r="C551" s="494" t="s">
        <v>173</v>
      </c>
      <c r="D551" s="505" t="s">
        <v>174</v>
      </c>
      <c r="E551" s="497">
        <v>801</v>
      </c>
      <c r="F551" s="497">
        <v>80101</v>
      </c>
      <c r="G551" s="497">
        <v>6050</v>
      </c>
      <c r="H551" s="507">
        <v>2023</v>
      </c>
      <c r="I551" s="499" t="str">
        <f ca="1">IF(COUNTIF(OFFSET(I551,-1,-8),"*propon*")&gt;0,OFFSET(I551,4,0),IF(Y551&gt;0,"2033",IF(X551&gt;0,"2032",IF(W551&gt;0,"2031",IF(V551&gt;0,"2030",IF(U551&gt;0,"2029",IF(T551&gt;0,"2028",IF(S551&gt;0,"2027",IF(R551&gt;0,"2026",IF(Q551&gt;0,"2025",IF(P551&gt;0,"2024",IF(M551&gt;0,"2023",IF(L551&gt;0,"2022","")))))))))))))</f>
        <v>2024</v>
      </c>
      <c r="J551" s="168" t="s">
        <v>94</v>
      </c>
      <c r="K551" s="169">
        <f>SUM(N551:O551)</f>
        <v>700000</v>
      </c>
      <c r="L551" s="170">
        <f t="shared" ref="L551:M551" si="934">SUM(L552:L553)</f>
        <v>0</v>
      </c>
      <c r="M551" s="171">
        <f t="shared" si="934"/>
        <v>176172</v>
      </c>
      <c r="N551" s="172">
        <f>SUM(L551:M551)</f>
        <v>176172</v>
      </c>
      <c r="O551" s="169">
        <f>SUM(P551:Y551)</f>
        <v>523828</v>
      </c>
      <c r="P551" s="173">
        <f t="shared" ref="P551:R551" si="935">SUM(P552:P553)</f>
        <v>523828</v>
      </c>
      <c r="Q551" s="171">
        <f t="shared" si="935"/>
        <v>0</v>
      </c>
      <c r="R551" s="174">
        <f t="shared" si="935"/>
        <v>0</v>
      </c>
      <c r="S551" s="175">
        <f t="shared" ref="S551:Y551" si="936">SUM(S552:S553)</f>
        <v>0</v>
      </c>
      <c r="T551" s="171">
        <f t="shared" si="936"/>
        <v>0</v>
      </c>
      <c r="U551" s="171">
        <f t="shared" si="936"/>
        <v>0</v>
      </c>
      <c r="V551" s="171">
        <f t="shared" si="936"/>
        <v>0</v>
      </c>
      <c r="W551" s="171">
        <f t="shared" si="936"/>
        <v>0</v>
      </c>
      <c r="X551" s="171">
        <f t="shared" si="936"/>
        <v>0</v>
      </c>
      <c r="Y551" s="174">
        <f t="shared" si="936"/>
        <v>0</v>
      </c>
      <c r="Z551" s="149" t="str">
        <f t="shared" ca="1" si="873"/>
        <v>nie</v>
      </c>
      <c r="AA551" s="366"/>
      <c r="AB551" s="150" t="str">
        <f t="shared" ca="1" si="895"/>
        <v>-</v>
      </c>
      <c r="AC551" s="151" t="str">
        <f t="shared" ca="1" si="896"/>
        <v>PRZED ZMIANĄ</v>
      </c>
      <c r="AD551" s="152" t="str">
        <f t="shared" ca="1" si="883"/>
        <v>PRZED ZMIANĄ</v>
      </c>
      <c r="AE551" s="153" t="str">
        <f t="shared" ca="1" si="898"/>
        <v>C/USN/V/P1/87</v>
      </c>
      <c r="AF551" s="154" t="str">
        <f t="shared" ca="1" si="899"/>
        <v>Termomodernizacja budynku Szkoły Podstawowej nr 343 przy ul. Kopcińskiego 7</v>
      </c>
      <c r="AG551" s="155">
        <f t="shared" ca="1" si="900"/>
        <v>80101</v>
      </c>
      <c r="AH551" s="155" t="str">
        <f t="shared" ca="1" si="901"/>
        <v>6050</v>
      </c>
      <c r="AI551" s="156" t="str">
        <f t="shared" ca="1" si="902"/>
        <v>GMMW</v>
      </c>
      <c r="AJ551" s="157" t="str">
        <f t="shared" ca="1" si="903"/>
        <v>WPF, w tym</v>
      </c>
      <c r="AK551" s="158" t="str">
        <f t="shared" ca="1" si="884"/>
        <v>C/USN/V/P1/87 80101 6050 GMMW</v>
      </c>
      <c r="AL551" s="158" t="str">
        <f t="shared" ca="1" si="885"/>
        <v>C/USN/V/P1/87 80101 6050 WPF, w tym</v>
      </c>
      <c r="AM551" s="159" t="str">
        <f t="shared" ca="1" si="886"/>
        <v>C/USN/V/P1/87 80101 6050 GMMW WPF, w tym</v>
      </c>
      <c r="AN551" s="160">
        <f t="shared" ca="1" si="907"/>
        <v>700000</v>
      </c>
      <c r="AO551" s="161">
        <f t="shared" ca="1" si="908"/>
        <v>0</v>
      </c>
      <c r="AP551" s="162">
        <f t="shared" ca="1" si="909"/>
        <v>176172</v>
      </c>
      <c r="AQ551" s="163">
        <f t="shared" ca="1" si="910"/>
        <v>523828</v>
      </c>
      <c r="AR551" s="164">
        <f t="shared" ca="1" si="911"/>
        <v>0</v>
      </c>
      <c r="AS551" s="164">
        <f t="shared" ca="1" si="912"/>
        <v>0</v>
      </c>
      <c r="AT551" s="164">
        <f t="shared" ca="1" si="913"/>
        <v>0</v>
      </c>
      <c r="AU551" s="164">
        <f t="shared" ca="1" si="914"/>
        <v>0</v>
      </c>
      <c r="AV551" s="164">
        <f t="shared" ca="1" si="915"/>
        <v>0</v>
      </c>
      <c r="AW551" s="164">
        <f t="shared" ca="1" si="916"/>
        <v>0</v>
      </c>
      <c r="AX551" s="164">
        <f t="shared" ca="1" si="917"/>
        <v>0</v>
      </c>
      <c r="AY551" s="164">
        <f t="shared" ca="1" si="918"/>
        <v>0</v>
      </c>
      <c r="AZ551" s="164">
        <f t="shared" ca="1" si="919"/>
        <v>0</v>
      </c>
      <c r="BA551" s="165" t="str">
        <f t="shared" ca="1" si="920"/>
        <v>nie</v>
      </c>
      <c r="BB551" s="166" t="str">
        <f t="shared" ca="1" si="921"/>
        <v>-</v>
      </c>
      <c r="BC551" s="165" t="str">
        <f t="shared" ca="1" si="874"/>
        <v>nie</v>
      </c>
    </row>
    <row r="552" spans="1:55" ht="14.45" hidden="1" customHeight="1" x14ac:dyDescent="0.25">
      <c r="A552" s="493"/>
      <c r="B552" s="493"/>
      <c r="C552" s="494"/>
      <c r="D552" s="506"/>
      <c r="E552" s="497"/>
      <c r="F552" s="497"/>
      <c r="G552" s="497"/>
      <c r="H552" s="498"/>
      <c r="I552" s="499"/>
      <c r="J552" s="177" t="s">
        <v>95</v>
      </c>
      <c r="K552" s="178">
        <f>SUM(N552:O552)</f>
        <v>523828</v>
      </c>
      <c r="L552" s="179"/>
      <c r="M552" s="180"/>
      <c r="N552" s="172">
        <f>SUM(L552:M552)</f>
        <v>0</v>
      </c>
      <c r="O552" s="178">
        <f>SUM(P552:Y552)</f>
        <v>523828</v>
      </c>
      <c r="P552" s="181">
        <v>523828</v>
      </c>
      <c r="Q552" s="180"/>
      <c r="R552" s="182"/>
      <c r="S552" s="183"/>
      <c r="T552" s="180"/>
      <c r="U552" s="180"/>
      <c r="V552" s="180"/>
      <c r="W552" s="180"/>
      <c r="X552" s="180"/>
      <c r="Y552" s="182"/>
      <c r="Z552" s="149" t="str">
        <f t="shared" ca="1" si="873"/>
        <v>nie</v>
      </c>
      <c r="AA552" s="366"/>
      <c r="AB552" s="150" t="str">
        <f t="shared" ca="1" si="895"/>
        <v>-</v>
      </c>
      <c r="AC552" s="151" t="str">
        <f t="shared" ca="1" si="896"/>
        <v>PRZED ZMIANĄ</v>
      </c>
      <c r="AD552" s="152" t="str">
        <f t="shared" ca="1" si="883"/>
        <v>PRZED ZMIANĄ</v>
      </c>
      <c r="AE552" s="153" t="str">
        <f t="shared" ca="1" si="898"/>
        <v>C/USN/V/P1/87</v>
      </c>
      <c r="AF552" s="154" t="str">
        <f t="shared" ca="1" si="899"/>
        <v>Termomodernizacja budynku Szkoły Podstawowej nr 343 przy ul. Kopcińskiego 7</v>
      </c>
      <c r="AG552" s="155">
        <f t="shared" ca="1" si="900"/>
        <v>80101</v>
      </c>
      <c r="AH552" s="155" t="str">
        <f t="shared" ca="1" si="901"/>
        <v>6050</v>
      </c>
      <c r="AI552" s="156" t="str">
        <f t="shared" ca="1" si="902"/>
        <v>GMMW</v>
      </c>
      <c r="AJ552" s="157" t="str">
        <f t="shared" ca="1" si="903"/>
        <v>WPF/PM</v>
      </c>
      <c r="AK552" s="158" t="str">
        <f t="shared" ca="1" si="884"/>
        <v>C/USN/V/P1/87 80101 6050 GMMW</v>
      </c>
      <c r="AL552" s="158" t="str">
        <f t="shared" ca="1" si="885"/>
        <v>C/USN/V/P1/87 80101 6050 WPF/PM</v>
      </c>
      <c r="AM552" s="159" t="str">
        <f t="shared" ca="1" si="886"/>
        <v>C/USN/V/P1/87 80101 6050 GMMW WPF/PM</v>
      </c>
      <c r="AN552" s="160">
        <f t="shared" ca="1" si="907"/>
        <v>523828</v>
      </c>
      <c r="AO552" s="161">
        <f t="shared" ca="1" si="908"/>
        <v>0</v>
      </c>
      <c r="AP552" s="162">
        <f t="shared" ca="1" si="909"/>
        <v>0</v>
      </c>
      <c r="AQ552" s="163">
        <f t="shared" ca="1" si="910"/>
        <v>523828</v>
      </c>
      <c r="AR552" s="164">
        <f t="shared" ca="1" si="911"/>
        <v>0</v>
      </c>
      <c r="AS552" s="164">
        <f t="shared" ca="1" si="912"/>
        <v>0</v>
      </c>
      <c r="AT552" s="164">
        <f t="shared" ca="1" si="913"/>
        <v>0</v>
      </c>
      <c r="AU552" s="164">
        <f t="shared" ca="1" si="914"/>
        <v>0</v>
      </c>
      <c r="AV552" s="164">
        <f t="shared" ca="1" si="915"/>
        <v>0</v>
      </c>
      <c r="AW552" s="164">
        <f t="shared" ca="1" si="916"/>
        <v>0</v>
      </c>
      <c r="AX552" s="164">
        <f t="shared" ca="1" si="917"/>
        <v>0</v>
      </c>
      <c r="AY552" s="164">
        <f t="shared" ca="1" si="918"/>
        <v>0</v>
      </c>
      <c r="AZ552" s="164">
        <f t="shared" ca="1" si="919"/>
        <v>0</v>
      </c>
      <c r="BA552" s="165" t="str">
        <f t="shared" ca="1" si="920"/>
        <v>nie</v>
      </c>
      <c r="BB552" s="166" t="str">
        <f t="shared" ca="1" si="921"/>
        <v>-</v>
      </c>
      <c r="BC552" s="165" t="str">
        <f t="shared" ca="1" si="874"/>
        <v>nie</v>
      </c>
    </row>
    <row r="553" spans="1:55" ht="14.45" hidden="1" customHeight="1" x14ac:dyDescent="0.25">
      <c r="A553" s="493"/>
      <c r="B553" s="493"/>
      <c r="C553" s="494"/>
      <c r="D553" s="506"/>
      <c r="E553" s="497"/>
      <c r="F553" s="497"/>
      <c r="G553" s="497"/>
      <c r="H553" s="498"/>
      <c r="I553" s="499"/>
      <c r="J553" s="177" t="s">
        <v>96</v>
      </c>
      <c r="K553" s="178">
        <f>SUM(N553:O553)</f>
        <v>176172</v>
      </c>
      <c r="L553" s="184"/>
      <c r="M553" s="180">
        <v>176172</v>
      </c>
      <c r="N553" s="172">
        <f>SUM(L553:M553)</f>
        <v>176172</v>
      </c>
      <c r="O553" s="178">
        <f>SUM(P553:Y553)</f>
        <v>0</v>
      </c>
      <c r="P553" s="181"/>
      <c r="Q553" s="180"/>
      <c r="R553" s="182"/>
      <c r="S553" s="183"/>
      <c r="T553" s="180"/>
      <c r="U553" s="180"/>
      <c r="V553" s="180"/>
      <c r="W553" s="180"/>
      <c r="X553" s="180"/>
      <c r="Y553" s="182"/>
      <c r="Z553" s="149" t="str">
        <f t="shared" ca="1" si="873"/>
        <v>nie</v>
      </c>
      <c r="AA553" s="366"/>
      <c r="AB553" s="150" t="str">
        <f t="shared" ca="1" si="895"/>
        <v>-</v>
      </c>
      <c r="AC553" s="151" t="str">
        <f t="shared" ca="1" si="896"/>
        <v>PRZED ZMIANĄ</v>
      </c>
      <c r="AD553" s="152" t="str">
        <f t="shared" ca="1" si="883"/>
        <v>PRZED ZMIANĄ</v>
      </c>
      <c r="AE553" s="153" t="str">
        <f t="shared" ca="1" si="898"/>
        <v>C/USN/V/P1/87</v>
      </c>
      <c r="AF553" s="154" t="str">
        <f t="shared" ca="1" si="899"/>
        <v>Termomodernizacja budynku Szkoły Podstawowej nr 343 przy ul. Kopcińskiego 7</v>
      </c>
      <c r="AG553" s="155">
        <f t="shared" ca="1" si="900"/>
        <v>80101</v>
      </c>
      <c r="AH553" s="155" t="str">
        <f t="shared" ca="1" si="901"/>
        <v>6050</v>
      </c>
      <c r="AI553" s="156" t="str">
        <f t="shared" ca="1" si="902"/>
        <v>GMMW</v>
      </c>
      <c r="AJ553" s="157" t="str">
        <f t="shared" ca="1" si="903"/>
        <v>WPF/UM</v>
      </c>
      <c r="AK553" s="158" t="str">
        <f t="shared" ca="1" si="884"/>
        <v>C/USN/V/P1/87 80101 6050 GMMW</v>
      </c>
      <c r="AL553" s="158" t="str">
        <f t="shared" ca="1" si="885"/>
        <v>C/USN/V/P1/87 80101 6050 WPF/UM</v>
      </c>
      <c r="AM553" s="159" t="str">
        <f t="shared" ca="1" si="886"/>
        <v>C/USN/V/P1/87 80101 6050 GMMW WPF/UM</v>
      </c>
      <c r="AN553" s="160">
        <f t="shared" ca="1" si="907"/>
        <v>176172</v>
      </c>
      <c r="AO553" s="161">
        <f t="shared" ca="1" si="908"/>
        <v>0</v>
      </c>
      <c r="AP553" s="162">
        <f t="shared" ca="1" si="909"/>
        <v>176172</v>
      </c>
      <c r="AQ553" s="163">
        <f t="shared" ca="1" si="910"/>
        <v>0</v>
      </c>
      <c r="AR553" s="164">
        <f t="shared" ca="1" si="911"/>
        <v>0</v>
      </c>
      <c r="AS553" s="164">
        <f t="shared" ca="1" si="912"/>
        <v>0</v>
      </c>
      <c r="AT553" s="164">
        <f t="shared" ca="1" si="913"/>
        <v>0</v>
      </c>
      <c r="AU553" s="164">
        <f t="shared" ca="1" si="914"/>
        <v>0</v>
      </c>
      <c r="AV553" s="164">
        <f t="shared" ca="1" si="915"/>
        <v>0</v>
      </c>
      <c r="AW553" s="164">
        <f t="shared" ca="1" si="916"/>
        <v>0</v>
      </c>
      <c r="AX553" s="164">
        <f t="shared" ca="1" si="917"/>
        <v>0</v>
      </c>
      <c r="AY553" s="164">
        <f t="shared" ca="1" si="918"/>
        <v>0</v>
      </c>
      <c r="AZ553" s="164">
        <f t="shared" ca="1" si="919"/>
        <v>0</v>
      </c>
      <c r="BA553" s="165" t="str">
        <f t="shared" ca="1" si="920"/>
        <v>nie</v>
      </c>
      <c r="BB553" s="166" t="str">
        <f t="shared" ca="1" si="921"/>
        <v>-</v>
      </c>
      <c r="BC553" s="165" t="str">
        <f t="shared" ca="1" si="874"/>
        <v>nie</v>
      </c>
    </row>
    <row r="554" spans="1:55" ht="14.45" hidden="1" customHeight="1" x14ac:dyDescent="0.25">
      <c r="A554" s="185" t="s">
        <v>97</v>
      </c>
      <c r="B554" s="186"/>
      <c r="C554" s="187"/>
      <c r="D554" s="186"/>
      <c r="E554" s="186"/>
      <c r="F554" s="186"/>
      <c r="G554" s="186"/>
      <c r="H554" s="186"/>
      <c r="I554" s="186"/>
      <c r="J554" s="186"/>
      <c r="K554" s="186"/>
      <c r="L554" s="186"/>
      <c r="M554" s="186"/>
      <c r="N554" s="186"/>
      <c r="O554" s="186"/>
      <c r="P554" s="186"/>
      <c r="Q554" s="186"/>
      <c r="R554" s="188"/>
      <c r="S554" s="189"/>
      <c r="T554" s="189"/>
      <c r="U554" s="189"/>
      <c r="V554" s="189"/>
      <c r="W554" s="189"/>
      <c r="X554" s="189"/>
      <c r="Y554" s="190"/>
      <c r="Z554" s="149" t="str">
        <f t="shared" ca="1" si="873"/>
        <v>nie</v>
      </c>
      <c r="AA554" s="366"/>
      <c r="AB554" s="150" t="str">
        <f t="shared" ca="1" si="895"/>
        <v>-</v>
      </c>
      <c r="AC554" s="151" t="str">
        <f t="shared" ca="1" si="896"/>
        <v>PROPONOWANA ZMIANA</v>
      </c>
      <c r="AD554" s="152" t="str">
        <f t="shared" ca="1" si="883"/>
        <v/>
      </c>
      <c r="AE554" s="153" t="str">
        <f t="shared" ca="1" si="898"/>
        <v/>
      </c>
      <c r="AF554" s="154" t="str">
        <f t="shared" ca="1" si="899"/>
        <v/>
      </c>
      <c r="AG554" s="155" t="str">
        <f t="shared" ca="1" si="900"/>
        <v/>
      </c>
      <c r="AH554" s="155" t="str">
        <f t="shared" ca="1" si="901"/>
        <v/>
      </c>
      <c r="AI554" s="156" t="str">
        <f t="shared" ca="1" si="902"/>
        <v/>
      </c>
      <c r="AJ554" s="157" t="str">
        <f t="shared" ca="1" si="903"/>
        <v/>
      </c>
      <c r="AK554" s="158" t="str">
        <f t="shared" ca="1" si="884"/>
        <v/>
      </c>
      <c r="AL554" s="158" t="str">
        <f t="shared" ca="1" si="885"/>
        <v/>
      </c>
      <c r="AM554" s="159" t="str">
        <f t="shared" ca="1" si="886"/>
        <v/>
      </c>
      <c r="AN554" s="160" t="str">
        <f t="shared" ca="1" si="907"/>
        <v/>
      </c>
      <c r="AO554" s="161" t="str">
        <f t="shared" ca="1" si="908"/>
        <v/>
      </c>
      <c r="AP554" s="162" t="str">
        <f t="shared" ca="1" si="909"/>
        <v/>
      </c>
      <c r="AQ554" s="163" t="str">
        <f t="shared" ca="1" si="910"/>
        <v/>
      </c>
      <c r="AR554" s="164" t="str">
        <f t="shared" ca="1" si="911"/>
        <v/>
      </c>
      <c r="AS554" s="164" t="str">
        <f t="shared" ca="1" si="912"/>
        <v/>
      </c>
      <c r="AT554" s="164" t="str">
        <f t="shared" ca="1" si="913"/>
        <v/>
      </c>
      <c r="AU554" s="164" t="str">
        <f t="shared" ca="1" si="914"/>
        <v/>
      </c>
      <c r="AV554" s="164" t="str">
        <f t="shared" ca="1" si="915"/>
        <v/>
      </c>
      <c r="AW554" s="164" t="str">
        <f t="shared" ca="1" si="916"/>
        <v/>
      </c>
      <c r="AX554" s="164" t="str">
        <f t="shared" ca="1" si="917"/>
        <v/>
      </c>
      <c r="AY554" s="164" t="str">
        <f t="shared" ca="1" si="918"/>
        <v/>
      </c>
      <c r="AZ554" s="164" t="str">
        <f t="shared" ca="1" si="919"/>
        <v/>
      </c>
      <c r="BA554" s="165" t="str">
        <f t="shared" ca="1" si="920"/>
        <v>nie</v>
      </c>
      <c r="BB554" s="166" t="str">
        <f t="shared" ca="1" si="921"/>
        <v>-</v>
      </c>
      <c r="BC554" s="165" t="str">
        <f t="shared" ca="1" si="874"/>
        <v>nie</v>
      </c>
    </row>
    <row r="555" spans="1:55" ht="14.45" hidden="1" customHeight="1" x14ac:dyDescent="0.25">
      <c r="A555" s="493" t="s">
        <v>24</v>
      </c>
      <c r="B555" s="493" t="s">
        <v>26</v>
      </c>
      <c r="C555" s="494" t="s">
        <v>173</v>
      </c>
      <c r="D555" s="505" t="s">
        <v>174</v>
      </c>
      <c r="E555" s="497">
        <v>801</v>
      </c>
      <c r="F555" s="497">
        <v>80101</v>
      </c>
      <c r="G555" s="497">
        <v>6050</v>
      </c>
      <c r="H555" s="507">
        <v>2023</v>
      </c>
      <c r="I555" s="499" t="str">
        <f ca="1">IF(COUNTIF(OFFSET(I555,-1,-8),"*propon*")&gt;0,OFFSET(I555,4,0),IF(Y555&gt;0,"2033",IF(X555&gt;0,"2032",IF(W555&gt;0,"2031",IF(V555&gt;0,"2030",IF(U555&gt;0,"2029",IF(T555&gt;0,"2028",IF(S555&gt;0,"2027",IF(R555&gt;0,"2026",IF(Q555&gt;0,"2025",IF(P555&gt;0,"2024",IF(M555&gt;0,"2023",IF(L555&gt;0,"2022","")))))))))))))</f>
        <v>2024</v>
      </c>
      <c r="J555" s="168" t="s">
        <v>98</v>
      </c>
      <c r="K555" s="169">
        <f>SUM(N555:O555)</f>
        <v>0</v>
      </c>
      <c r="L555" s="170">
        <f t="shared" ref="L555:M555" si="937">SUM(L556:L557)</f>
        <v>0</v>
      </c>
      <c r="M555" s="171">
        <f t="shared" si="937"/>
        <v>0</v>
      </c>
      <c r="N555" s="172">
        <f>SUM(L555:M555)</f>
        <v>0</v>
      </c>
      <c r="O555" s="169">
        <f>SUM(P555:Y555)</f>
        <v>0</v>
      </c>
      <c r="P555" s="173">
        <f t="shared" ref="P555:R555" si="938">SUM(P556:P557)</f>
        <v>0</v>
      </c>
      <c r="Q555" s="171">
        <f t="shared" si="938"/>
        <v>0</v>
      </c>
      <c r="R555" s="174">
        <f t="shared" si="938"/>
        <v>0</v>
      </c>
      <c r="S555" s="175">
        <f t="shared" ref="S555:Y555" si="939">SUM(S556:S557)</f>
        <v>0</v>
      </c>
      <c r="T555" s="171">
        <f t="shared" si="939"/>
        <v>0</v>
      </c>
      <c r="U555" s="171">
        <f t="shared" si="939"/>
        <v>0</v>
      </c>
      <c r="V555" s="171">
        <f t="shared" si="939"/>
        <v>0</v>
      </c>
      <c r="W555" s="171">
        <f t="shared" si="939"/>
        <v>0</v>
      </c>
      <c r="X555" s="171">
        <f t="shared" si="939"/>
        <v>0</v>
      </c>
      <c r="Y555" s="174">
        <f t="shared" si="939"/>
        <v>0</v>
      </c>
      <c r="Z555" s="149" t="str">
        <f t="shared" ca="1" si="873"/>
        <v>nie</v>
      </c>
      <c r="AA555" s="366"/>
      <c r="AB555" s="150" t="str">
        <f t="shared" ca="1" si="895"/>
        <v>-</v>
      </c>
      <c r="AC555" s="151" t="str">
        <f t="shared" ca="1" si="896"/>
        <v>PROPONOWANA ZMIANA</v>
      </c>
      <c r="AD555" s="152" t="str">
        <f t="shared" ca="1" si="883"/>
        <v>PROPONOWANA ZMIANA</v>
      </c>
      <c r="AE555" s="153" t="str">
        <f t="shared" ca="1" si="898"/>
        <v>C/USN/V/P1/87</v>
      </c>
      <c r="AF555" s="154" t="str">
        <f t="shared" ca="1" si="899"/>
        <v>Termomodernizacja budynku Szkoły Podstawowej nr 343 przy ul. Kopcińskiego 7</v>
      </c>
      <c r="AG555" s="155">
        <f t="shared" ca="1" si="900"/>
        <v>80101</v>
      </c>
      <c r="AH555" s="155" t="str">
        <f t="shared" ca="1" si="901"/>
        <v>6050</v>
      </c>
      <c r="AI555" s="156" t="str">
        <f t="shared" ca="1" si="902"/>
        <v>GMMW</v>
      </c>
      <c r="AJ555" s="157" t="str">
        <f t="shared" ca="1" si="903"/>
        <v>WPF, w tym</v>
      </c>
      <c r="AK555" s="158" t="str">
        <f t="shared" ca="1" si="884"/>
        <v>C/USN/V/P1/87 80101 6050 GMMW</v>
      </c>
      <c r="AL555" s="158" t="str">
        <f t="shared" ca="1" si="885"/>
        <v>C/USN/V/P1/87 80101 6050 WPF, w tym</v>
      </c>
      <c r="AM555" s="159" t="str">
        <f t="shared" ca="1" si="886"/>
        <v>C/USN/V/P1/87 80101 6050 GMMW WPF, w tym</v>
      </c>
      <c r="AN555" s="160">
        <f t="shared" ca="1" si="907"/>
        <v>0</v>
      </c>
      <c r="AO555" s="161">
        <f t="shared" ca="1" si="908"/>
        <v>0</v>
      </c>
      <c r="AP555" s="162">
        <f t="shared" ca="1" si="909"/>
        <v>0</v>
      </c>
      <c r="AQ555" s="163">
        <f t="shared" ca="1" si="910"/>
        <v>0</v>
      </c>
      <c r="AR555" s="164">
        <f t="shared" ca="1" si="911"/>
        <v>0</v>
      </c>
      <c r="AS555" s="164">
        <f t="shared" ca="1" si="912"/>
        <v>0</v>
      </c>
      <c r="AT555" s="164">
        <f t="shared" ca="1" si="913"/>
        <v>0</v>
      </c>
      <c r="AU555" s="164">
        <f t="shared" ca="1" si="914"/>
        <v>0</v>
      </c>
      <c r="AV555" s="164">
        <f t="shared" ca="1" si="915"/>
        <v>0</v>
      </c>
      <c r="AW555" s="164">
        <f t="shared" ca="1" si="916"/>
        <v>0</v>
      </c>
      <c r="AX555" s="164">
        <f t="shared" ca="1" si="917"/>
        <v>0</v>
      </c>
      <c r="AY555" s="164">
        <f t="shared" ca="1" si="918"/>
        <v>0</v>
      </c>
      <c r="AZ555" s="164">
        <f t="shared" ca="1" si="919"/>
        <v>0</v>
      </c>
      <c r="BA555" s="165" t="str">
        <f t="shared" ca="1" si="920"/>
        <v>nie</v>
      </c>
      <c r="BB555" s="166" t="str">
        <f t="shared" ca="1" si="921"/>
        <v>-</v>
      </c>
      <c r="BC555" s="165" t="str">
        <f t="shared" ca="1" si="874"/>
        <v>nie</v>
      </c>
    </row>
    <row r="556" spans="1:55" ht="14.45" hidden="1" customHeight="1" x14ac:dyDescent="0.25">
      <c r="A556" s="493"/>
      <c r="B556" s="493"/>
      <c r="C556" s="494"/>
      <c r="D556" s="506"/>
      <c r="E556" s="497"/>
      <c r="F556" s="497"/>
      <c r="G556" s="497"/>
      <c r="H556" s="498"/>
      <c r="I556" s="499"/>
      <c r="J556" s="177" t="s">
        <v>99</v>
      </c>
      <c r="K556" s="178">
        <f>SUM(N556:O556)</f>
        <v>0</v>
      </c>
      <c r="L556" s="179">
        <f t="shared" ref="L556:M556" si="940">L560-L552</f>
        <v>0</v>
      </c>
      <c r="M556" s="180">
        <f t="shared" si="940"/>
        <v>0</v>
      </c>
      <c r="N556" s="172">
        <f>SUM(L556:M556)</f>
        <v>0</v>
      </c>
      <c r="O556" s="178">
        <f>SUM(P556:Y556)</f>
        <v>0</v>
      </c>
      <c r="P556" s="181">
        <f t="shared" ref="P556:R556" si="941">P560-P552</f>
        <v>0</v>
      </c>
      <c r="Q556" s="180">
        <f t="shared" si="941"/>
        <v>0</v>
      </c>
      <c r="R556" s="182">
        <f t="shared" si="941"/>
        <v>0</v>
      </c>
      <c r="S556" s="183">
        <f t="shared" ref="S556:Y557" si="942">S560-S552</f>
        <v>0</v>
      </c>
      <c r="T556" s="180">
        <f t="shared" si="942"/>
        <v>0</v>
      </c>
      <c r="U556" s="180">
        <f t="shared" si="942"/>
        <v>0</v>
      </c>
      <c r="V556" s="180">
        <f t="shared" si="942"/>
        <v>0</v>
      </c>
      <c r="W556" s="180">
        <f t="shared" si="942"/>
        <v>0</v>
      </c>
      <c r="X556" s="180">
        <f t="shared" si="942"/>
        <v>0</v>
      </c>
      <c r="Y556" s="182">
        <f t="shared" si="942"/>
        <v>0</v>
      </c>
      <c r="Z556" s="149" t="str">
        <f t="shared" ca="1" si="873"/>
        <v>nie</v>
      </c>
      <c r="AA556" s="366"/>
      <c r="AB556" s="150" t="str">
        <f t="shared" ca="1" si="895"/>
        <v>-</v>
      </c>
      <c r="AC556" s="151" t="str">
        <f t="shared" ca="1" si="896"/>
        <v>PROPONOWANA ZMIANA</v>
      </c>
      <c r="AD556" s="152" t="str">
        <f t="shared" ca="1" si="883"/>
        <v>PROPONOWANA ZMIANA</v>
      </c>
      <c r="AE556" s="153" t="str">
        <f t="shared" ca="1" si="898"/>
        <v>C/USN/V/P1/87</v>
      </c>
      <c r="AF556" s="154" t="str">
        <f t="shared" ca="1" si="899"/>
        <v>Termomodernizacja budynku Szkoły Podstawowej nr 343 przy ul. Kopcińskiego 7</v>
      </c>
      <c r="AG556" s="155">
        <f t="shared" ca="1" si="900"/>
        <v>80101</v>
      </c>
      <c r="AH556" s="155" t="str">
        <f t="shared" ca="1" si="901"/>
        <v>6050</v>
      </c>
      <c r="AI556" s="156" t="str">
        <f t="shared" ca="1" si="902"/>
        <v>GMMW</v>
      </c>
      <c r="AJ556" s="157" t="str">
        <f t="shared" ca="1" si="903"/>
        <v>WPF/PM</v>
      </c>
      <c r="AK556" s="158" t="str">
        <f t="shared" ca="1" si="884"/>
        <v>C/USN/V/P1/87 80101 6050 GMMW</v>
      </c>
      <c r="AL556" s="158" t="str">
        <f t="shared" ca="1" si="885"/>
        <v>C/USN/V/P1/87 80101 6050 WPF/PM</v>
      </c>
      <c r="AM556" s="159" t="str">
        <f t="shared" ca="1" si="886"/>
        <v>C/USN/V/P1/87 80101 6050 GMMW WPF/PM</v>
      </c>
      <c r="AN556" s="160">
        <f t="shared" ca="1" si="907"/>
        <v>0</v>
      </c>
      <c r="AO556" s="161">
        <f t="shared" ca="1" si="908"/>
        <v>0</v>
      </c>
      <c r="AP556" s="162">
        <f t="shared" ca="1" si="909"/>
        <v>0</v>
      </c>
      <c r="AQ556" s="163">
        <f t="shared" ca="1" si="910"/>
        <v>0</v>
      </c>
      <c r="AR556" s="164">
        <f t="shared" ca="1" si="911"/>
        <v>0</v>
      </c>
      <c r="AS556" s="164">
        <f t="shared" ca="1" si="912"/>
        <v>0</v>
      </c>
      <c r="AT556" s="164">
        <f t="shared" ca="1" si="913"/>
        <v>0</v>
      </c>
      <c r="AU556" s="164">
        <f t="shared" ca="1" si="914"/>
        <v>0</v>
      </c>
      <c r="AV556" s="164">
        <f t="shared" ca="1" si="915"/>
        <v>0</v>
      </c>
      <c r="AW556" s="164">
        <f t="shared" ca="1" si="916"/>
        <v>0</v>
      </c>
      <c r="AX556" s="164">
        <f t="shared" ca="1" si="917"/>
        <v>0</v>
      </c>
      <c r="AY556" s="164">
        <f t="shared" ca="1" si="918"/>
        <v>0</v>
      </c>
      <c r="AZ556" s="164">
        <f t="shared" ca="1" si="919"/>
        <v>0</v>
      </c>
      <c r="BA556" s="165" t="str">
        <f t="shared" ca="1" si="920"/>
        <v>nie</v>
      </c>
      <c r="BB556" s="166" t="str">
        <f t="shared" ca="1" si="921"/>
        <v>-</v>
      </c>
      <c r="BC556" s="165" t="str">
        <f t="shared" ca="1" si="874"/>
        <v>nie</v>
      </c>
    </row>
    <row r="557" spans="1:55" ht="14.45" hidden="1" customHeight="1" x14ac:dyDescent="0.25">
      <c r="A557" s="493"/>
      <c r="B557" s="493"/>
      <c r="C557" s="494"/>
      <c r="D557" s="506"/>
      <c r="E557" s="497"/>
      <c r="F557" s="497"/>
      <c r="G557" s="497"/>
      <c r="H557" s="498"/>
      <c r="I557" s="499"/>
      <c r="J557" s="177" t="s">
        <v>100</v>
      </c>
      <c r="K557" s="178">
        <f>SUM(N557:O557)</f>
        <v>0</v>
      </c>
      <c r="L557" s="179">
        <f t="shared" ref="L557:M557" si="943">L561-L553</f>
        <v>0</v>
      </c>
      <c r="M557" s="180">
        <f t="shared" si="943"/>
        <v>0</v>
      </c>
      <c r="N557" s="172">
        <f>SUM(L557:M557)</f>
        <v>0</v>
      </c>
      <c r="O557" s="178">
        <f>SUM(P557:Y557)</f>
        <v>0</v>
      </c>
      <c r="P557" s="181">
        <f t="shared" ref="P557:R557" si="944">P561-P553</f>
        <v>0</v>
      </c>
      <c r="Q557" s="180">
        <f t="shared" si="944"/>
        <v>0</v>
      </c>
      <c r="R557" s="182">
        <f t="shared" si="944"/>
        <v>0</v>
      </c>
      <c r="S557" s="183">
        <f t="shared" si="942"/>
        <v>0</v>
      </c>
      <c r="T557" s="180">
        <f t="shared" si="942"/>
        <v>0</v>
      </c>
      <c r="U557" s="180">
        <f t="shared" si="942"/>
        <v>0</v>
      </c>
      <c r="V557" s="180">
        <f t="shared" si="942"/>
        <v>0</v>
      </c>
      <c r="W557" s="180">
        <f t="shared" si="942"/>
        <v>0</v>
      </c>
      <c r="X557" s="180">
        <f t="shared" si="942"/>
        <v>0</v>
      </c>
      <c r="Y557" s="182">
        <f t="shared" si="942"/>
        <v>0</v>
      </c>
      <c r="Z557" s="149" t="str">
        <f t="shared" ca="1" si="873"/>
        <v>nie</v>
      </c>
      <c r="AA557" s="366"/>
      <c r="AB557" s="150" t="str">
        <f t="shared" ca="1" si="895"/>
        <v>-</v>
      </c>
      <c r="AC557" s="151" t="str">
        <f t="shared" ca="1" si="896"/>
        <v>PROPONOWANA ZMIANA</v>
      </c>
      <c r="AD557" s="152" t="str">
        <f t="shared" ca="1" si="883"/>
        <v>PROPONOWANA ZMIANA</v>
      </c>
      <c r="AE557" s="153" t="str">
        <f t="shared" ca="1" si="898"/>
        <v>C/USN/V/P1/87</v>
      </c>
      <c r="AF557" s="154" t="str">
        <f t="shared" ca="1" si="899"/>
        <v>Termomodernizacja budynku Szkoły Podstawowej nr 343 przy ul. Kopcińskiego 7</v>
      </c>
      <c r="AG557" s="155">
        <f t="shared" ca="1" si="900"/>
        <v>80101</v>
      </c>
      <c r="AH557" s="155" t="str">
        <f t="shared" ca="1" si="901"/>
        <v>6050</v>
      </c>
      <c r="AI557" s="156" t="str">
        <f t="shared" ca="1" si="902"/>
        <v>GMMW</v>
      </c>
      <c r="AJ557" s="157" t="str">
        <f t="shared" ca="1" si="903"/>
        <v>WPF/UM</v>
      </c>
      <c r="AK557" s="158" t="str">
        <f t="shared" ca="1" si="884"/>
        <v>C/USN/V/P1/87 80101 6050 GMMW</v>
      </c>
      <c r="AL557" s="158" t="str">
        <f t="shared" ca="1" si="885"/>
        <v>C/USN/V/P1/87 80101 6050 WPF/UM</v>
      </c>
      <c r="AM557" s="159" t="str">
        <f t="shared" ca="1" si="886"/>
        <v>C/USN/V/P1/87 80101 6050 GMMW WPF/UM</v>
      </c>
      <c r="AN557" s="160">
        <f t="shared" ca="1" si="907"/>
        <v>0</v>
      </c>
      <c r="AO557" s="161">
        <f t="shared" ca="1" si="908"/>
        <v>0</v>
      </c>
      <c r="AP557" s="162">
        <f t="shared" ca="1" si="909"/>
        <v>0</v>
      </c>
      <c r="AQ557" s="163">
        <f t="shared" ca="1" si="910"/>
        <v>0</v>
      </c>
      <c r="AR557" s="164">
        <f t="shared" ca="1" si="911"/>
        <v>0</v>
      </c>
      <c r="AS557" s="164">
        <f t="shared" ca="1" si="912"/>
        <v>0</v>
      </c>
      <c r="AT557" s="164">
        <f t="shared" ca="1" si="913"/>
        <v>0</v>
      </c>
      <c r="AU557" s="164">
        <f t="shared" ca="1" si="914"/>
        <v>0</v>
      </c>
      <c r="AV557" s="164">
        <f t="shared" ca="1" si="915"/>
        <v>0</v>
      </c>
      <c r="AW557" s="164">
        <f t="shared" ca="1" si="916"/>
        <v>0</v>
      </c>
      <c r="AX557" s="164">
        <f t="shared" ca="1" si="917"/>
        <v>0</v>
      </c>
      <c r="AY557" s="164">
        <f t="shared" ca="1" si="918"/>
        <v>0</v>
      </c>
      <c r="AZ557" s="164">
        <f t="shared" ca="1" si="919"/>
        <v>0</v>
      </c>
      <c r="BA557" s="165" t="str">
        <f t="shared" ca="1" si="920"/>
        <v>nie</v>
      </c>
      <c r="BB557" s="166" t="str">
        <f t="shared" ca="1" si="921"/>
        <v>-</v>
      </c>
      <c r="BC557" s="165" t="str">
        <f t="shared" ca="1" si="874"/>
        <v>nie</v>
      </c>
    </row>
    <row r="558" spans="1:55" ht="14.45" hidden="1" customHeight="1" x14ac:dyDescent="0.25">
      <c r="A558" s="191" t="s">
        <v>101</v>
      </c>
      <c r="B558" s="192"/>
      <c r="C558" s="193"/>
      <c r="D558" s="192"/>
      <c r="E558" s="192"/>
      <c r="F558" s="192"/>
      <c r="G558" s="192"/>
      <c r="H558" s="192"/>
      <c r="I558" s="192"/>
      <c r="J558" s="192"/>
      <c r="K558" s="192"/>
      <c r="L558" s="192"/>
      <c r="M558" s="192"/>
      <c r="N558" s="192"/>
      <c r="O558" s="192"/>
      <c r="P558" s="192"/>
      <c r="Q558" s="192"/>
      <c r="R558" s="194"/>
      <c r="S558" s="195"/>
      <c r="T558" s="195"/>
      <c r="U558" s="195"/>
      <c r="V558" s="195"/>
      <c r="W558" s="195"/>
      <c r="X558" s="195"/>
      <c r="Y558" s="196"/>
      <c r="Z558" s="149" t="str">
        <f t="shared" ca="1" si="873"/>
        <v>nie</v>
      </c>
      <c r="AA558" s="366"/>
      <c r="AB558" s="150" t="str">
        <f t="shared" ca="1" si="895"/>
        <v>-</v>
      </c>
      <c r="AC558" s="151" t="str">
        <f t="shared" ca="1" si="896"/>
        <v>PO ZMIANIE</v>
      </c>
      <c r="AD558" s="152" t="str">
        <f t="shared" ca="1" si="883"/>
        <v/>
      </c>
      <c r="AE558" s="153" t="str">
        <f t="shared" ca="1" si="898"/>
        <v/>
      </c>
      <c r="AF558" s="154" t="str">
        <f t="shared" ca="1" si="899"/>
        <v/>
      </c>
      <c r="AG558" s="155" t="str">
        <f t="shared" ca="1" si="900"/>
        <v/>
      </c>
      <c r="AH558" s="155" t="str">
        <f t="shared" ca="1" si="901"/>
        <v/>
      </c>
      <c r="AI558" s="156" t="str">
        <f t="shared" ca="1" si="902"/>
        <v/>
      </c>
      <c r="AJ558" s="157" t="str">
        <f t="shared" ca="1" si="903"/>
        <v/>
      </c>
      <c r="AK558" s="158" t="str">
        <f t="shared" ca="1" si="884"/>
        <v/>
      </c>
      <c r="AL558" s="158" t="str">
        <f t="shared" ca="1" si="885"/>
        <v/>
      </c>
      <c r="AM558" s="159" t="str">
        <f t="shared" ca="1" si="886"/>
        <v/>
      </c>
      <c r="AN558" s="160" t="str">
        <f t="shared" ca="1" si="907"/>
        <v/>
      </c>
      <c r="AO558" s="161" t="str">
        <f t="shared" ca="1" si="908"/>
        <v/>
      </c>
      <c r="AP558" s="162" t="str">
        <f t="shared" ca="1" si="909"/>
        <v/>
      </c>
      <c r="AQ558" s="163" t="str">
        <f t="shared" ca="1" si="910"/>
        <v/>
      </c>
      <c r="AR558" s="164" t="str">
        <f t="shared" ca="1" si="911"/>
        <v/>
      </c>
      <c r="AS558" s="164" t="str">
        <f t="shared" ca="1" si="912"/>
        <v/>
      </c>
      <c r="AT558" s="164" t="str">
        <f t="shared" ca="1" si="913"/>
        <v/>
      </c>
      <c r="AU558" s="164" t="str">
        <f t="shared" ca="1" si="914"/>
        <v/>
      </c>
      <c r="AV558" s="164" t="str">
        <f t="shared" ca="1" si="915"/>
        <v/>
      </c>
      <c r="AW558" s="164" t="str">
        <f t="shared" ca="1" si="916"/>
        <v/>
      </c>
      <c r="AX558" s="164" t="str">
        <f t="shared" ca="1" si="917"/>
        <v/>
      </c>
      <c r="AY558" s="164" t="str">
        <f t="shared" ca="1" si="918"/>
        <v/>
      </c>
      <c r="AZ558" s="164" t="str">
        <f t="shared" ca="1" si="919"/>
        <v/>
      </c>
      <c r="BA558" s="165" t="str">
        <f t="shared" ca="1" si="920"/>
        <v>nie</v>
      </c>
      <c r="BB558" s="166" t="str">
        <f t="shared" ca="1" si="921"/>
        <v>-</v>
      </c>
      <c r="BC558" s="165" t="str">
        <f t="shared" ca="1" si="874"/>
        <v>nie</v>
      </c>
    </row>
    <row r="559" spans="1:55" ht="14.45" hidden="1" customHeight="1" x14ac:dyDescent="0.25">
      <c r="A559" s="493" t="s">
        <v>24</v>
      </c>
      <c r="B559" s="493" t="s">
        <v>26</v>
      </c>
      <c r="C559" s="494" t="s">
        <v>173</v>
      </c>
      <c r="D559" s="505" t="s">
        <v>174</v>
      </c>
      <c r="E559" s="497">
        <v>801</v>
      </c>
      <c r="F559" s="497">
        <v>80101</v>
      </c>
      <c r="G559" s="497">
        <v>6050</v>
      </c>
      <c r="H559" s="507">
        <v>2023</v>
      </c>
      <c r="I559" s="499" t="str">
        <f ca="1">IF(COUNTIF(OFFSET(I559,-1,-8),"*propon*")&gt;0,OFFSET(I559,4,0),IF(Y559&gt;0,"2033",IF(X559&gt;0,"2032",IF(W559&gt;0,"2031",IF(V559&gt;0,"2030",IF(U559&gt;0,"2029",IF(T559&gt;0,"2028",IF(S559&gt;0,"2027",IF(R559&gt;0,"2026",IF(Q559&gt;0,"2025",IF(P559&gt;0,"2024",IF(M559&gt;0,"2023",IF(L559&gt;0,"2022","")))))))))))))</f>
        <v>2024</v>
      </c>
      <c r="J559" s="168" t="s">
        <v>102</v>
      </c>
      <c r="K559" s="169">
        <f>SUM(N559:O559)</f>
        <v>700000</v>
      </c>
      <c r="L559" s="170">
        <f t="shared" ref="L559:M559" si="945">SUM(L560:L561)</f>
        <v>0</v>
      </c>
      <c r="M559" s="171">
        <f t="shared" si="945"/>
        <v>176172</v>
      </c>
      <c r="N559" s="172">
        <f>SUM(L559:M559)</f>
        <v>176172</v>
      </c>
      <c r="O559" s="169">
        <f>SUM(P559:Y559)</f>
        <v>523828</v>
      </c>
      <c r="P559" s="173">
        <f t="shared" ref="P559:R559" si="946">SUM(P560:P561)</f>
        <v>523828</v>
      </c>
      <c r="Q559" s="171">
        <f t="shared" si="946"/>
        <v>0</v>
      </c>
      <c r="R559" s="174">
        <f t="shared" si="946"/>
        <v>0</v>
      </c>
      <c r="S559" s="175">
        <f t="shared" ref="S559:Y559" si="947">SUM(S560:S561)</f>
        <v>0</v>
      </c>
      <c r="T559" s="171">
        <f t="shared" si="947"/>
        <v>0</v>
      </c>
      <c r="U559" s="171">
        <f t="shared" si="947"/>
        <v>0</v>
      </c>
      <c r="V559" s="171">
        <f t="shared" si="947"/>
        <v>0</v>
      </c>
      <c r="W559" s="171">
        <f t="shared" si="947"/>
        <v>0</v>
      </c>
      <c r="X559" s="171">
        <f t="shared" si="947"/>
        <v>0</v>
      </c>
      <c r="Y559" s="174">
        <f t="shared" si="947"/>
        <v>0</v>
      </c>
      <c r="Z559" s="149" t="str">
        <f t="shared" ca="1" si="873"/>
        <v>nie</v>
      </c>
      <c r="AA559" s="368"/>
      <c r="AB559" s="150" t="str">
        <f t="shared" ca="1" si="895"/>
        <v>-</v>
      </c>
      <c r="AC559" s="151" t="str">
        <f t="shared" ca="1" si="896"/>
        <v>PO ZMIANIE</v>
      </c>
      <c r="AD559" s="152" t="str">
        <f t="shared" ca="1" si="883"/>
        <v>PO ZMIANIE</v>
      </c>
      <c r="AE559" s="153" t="str">
        <f t="shared" ca="1" si="898"/>
        <v>C/USN/V/P1/87</v>
      </c>
      <c r="AF559" s="154" t="str">
        <f t="shared" ca="1" si="899"/>
        <v>Termomodernizacja budynku Szkoły Podstawowej nr 343 przy ul. Kopcińskiego 7</v>
      </c>
      <c r="AG559" s="155">
        <f t="shared" ca="1" si="900"/>
        <v>80101</v>
      </c>
      <c r="AH559" s="155" t="str">
        <f t="shared" ca="1" si="901"/>
        <v>6050</v>
      </c>
      <c r="AI559" s="156" t="str">
        <f t="shared" ca="1" si="902"/>
        <v>GMMW</v>
      </c>
      <c r="AJ559" s="157" t="str">
        <f t="shared" ca="1" si="903"/>
        <v>WPF, w tym</v>
      </c>
      <c r="AK559" s="158" t="str">
        <f t="shared" ca="1" si="884"/>
        <v>C/USN/V/P1/87 80101 6050 GMMW</v>
      </c>
      <c r="AL559" s="158" t="str">
        <f t="shared" ca="1" si="885"/>
        <v>C/USN/V/P1/87 80101 6050 WPF, w tym</v>
      </c>
      <c r="AM559" s="159" t="str">
        <f t="shared" ca="1" si="886"/>
        <v>C/USN/V/P1/87 80101 6050 GMMW WPF, w tym</v>
      </c>
      <c r="AN559" s="160">
        <f t="shared" ca="1" si="907"/>
        <v>700000</v>
      </c>
      <c r="AO559" s="161">
        <f t="shared" ca="1" si="908"/>
        <v>0</v>
      </c>
      <c r="AP559" s="162">
        <f t="shared" ca="1" si="909"/>
        <v>176172</v>
      </c>
      <c r="AQ559" s="163">
        <f t="shared" ca="1" si="910"/>
        <v>523828</v>
      </c>
      <c r="AR559" s="164">
        <f t="shared" ca="1" si="911"/>
        <v>0</v>
      </c>
      <c r="AS559" s="164">
        <f t="shared" ca="1" si="912"/>
        <v>0</v>
      </c>
      <c r="AT559" s="164">
        <f t="shared" ca="1" si="913"/>
        <v>0</v>
      </c>
      <c r="AU559" s="164">
        <f t="shared" ca="1" si="914"/>
        <v>0</v>
      </c>
      <c r="AV559" s="164">
        <f t="shared" ca="1" si="915"/>
        <v>0</v>
      </c>
      <c r="AW559" s="164">
        <f t="shared" ca="1" si="916"/>
        <v>0</v>
      </c>
      <c r="AX559" s="164">
        <f t="shared" ca="1" si="917"/>
        <v>0</v>
      </c>
      <c r="AY559" s="164">
        <f t="shared" ca="1" si="918"/>
        <v>0</v>
      </c>
      <c r="AZ559" s="164">
        <f t="shared" ca="1" si="919"/>
        <v>0</v>
      </c>
      <c r="BA559" s="165" t="str">
        <f t="shared" ca="1" si="920"/>
        <v>nie</v>
      </c>
      <c r="BB559" s="166" t="str">
        <f t="shared" ca="1" si="921"/>
        <v>-</v>
      </c>
      <c r="BC559" s="165" t="str">
        <f t="shared" ca="1" si="874"/>
        <v>nie</v>
      </c>
    </row>
    <row r="560" spans="1:55" ht="14.45" hidden="1" customHeight="1" x14ac:dyDescent="0.25">
      <c r="A560" s="493"/>
      <c r="B560" s="493"/>
      <c r="C560" s="494"/>
      <c r="D560" s="506"/>
      <c r="E560" s="497"/>
      <c r="F560" s="497"/>
      <c r="G560" s="497"/>
      <c r="H560" s="498"/>
      <c r="I560" s="499"/>
      <c r="J560" s="177" t="s">
        <v>103</v>
      </c>
      <c r="K560" s="178">
        <f>SUM(N560:O560)</f>
        <v>523828</v>
      </c>
      <c r="L560" s="179"/>
      <c r="M560" s="180"/>
      <c r="N560" s="172">
        <f>SUM(L560:M560)</f>
        <v>0</v>
      </c>
      <c r="O560" s="178">
        <f>SUM(P560:Y560)</f>
        <v>523828</v>
      </c>
      <c r="P560" s="181">
        <f>500000+23828</f>
        <v>523828</v>
      </c>
      <c r="Q560" s="180"/>
      <c r="R560" s="182"/>
      <c r="S560" s="183"/>
      <c r="T560" s="180"/>
      <c r="U560" s="180"/>
      <c r="V560" s="180"/>
      <c r="W560" s="180"/>
      <c r="X560" s="180"/>
      <c r="Y560" s="182"/>
      <c r="Z560" s="149" t="str">
        <f t="shared" ca="1" si="873"/>
        <v>nie</v>
      </c>
      <c r="AA560" s="384"/>
      <c r="AB560" s="150" t="str">
        <f t="shared" ca="1" si="895"/>
        <v>-</v>
      </c>
      <c r="AC560" s="151" t="str">
        <f t="shared" ca="1" si="896"/>
        <v>PO ZMIANIE</v>
      </c>
      <c r="AD560" s="152" t="str">
        <f t="shared" ca="1" si="883"/>
        <v>PO ZMIANIE</v>
      </c>
      <c r="AE560" s="153" t="str">
        <f t="shared" ca="1" si="898"/>
        <v>C/USN/V/P1/87</v>
      </c>
      <c r="AF560" s="154" t="str">
        <f t="shared" ca="1" si="899"/>
        <v>Termomodernizacja budynku Szkoły Podstawowej nr 343 przy ul. Kopcińskiego 7</v>
      </c>
      <c r="AG560" s="155">
        <f t="shared" ca="1" si="900"/>
        <v>80101</v>
      </c>
      <c r="AH560" s="155" t="str">
        <f t="shared" ca="1" si="901"/>
        <v>6050</v>
      </c>
      <c r="AI560" s="156" t="str">
        <f t="shared" ca="1" si="902"/>
        <v>GMMW</v>
      </c>
      <c r="AJ560" s="157" t="str">
        <f t="shared" ca="1" si="903"/>
        <v>WPF/PM</v>
      </c>
      <c r="AK560" s="158" t="str">
        <f t="shared" ca="1" si="884"/>
        <v>C/USN/V/P1/87 80101 6050 GMMW</v>
      </c>
      <c r="AL560" s="158" t="str">
        <f t="shared" ca="1" si="885"/>
        <v>C/USN/V/P1/87 80101 6050 WPF/PM</v>
      </c>
      <c r="AM560" s="159" t="str">
        <f t="shared" ca="1" si="886"/>
        <v>C/USN/V/P1/87 80101 6050 GMMW WPF/PM</v>
      </c>
      <c r="AN560" s="160">
        <f t="shared" ca="1" si="907"/>
        <v>523828</v>
      </c>
      <c r="AO560" s="161">
        <f t="shared" ca="1" si="908"/>
        <v>0</v>
      </c>
      <c r="AP560" s="162">
        <f t="shared" ca="1" si="909"/>
        <v>0</v>
      </c>
      <c r="AQ560" s="163">
        <f t="shared" ca="1" si="910"/>
        <v>523828</v>
      </c>
      <c r="AR560" s="164">
        <f t="shared" ca="1" si="911"/>
        <v>0</v>
      </c>
      <c r="AS560" s="164">
        <f t="shared" ca="1" si="912"/>
        <v>0</v>
      </c>
      <c r="AT560" s="164">
        <f t="shared" ca="1" si="913"/>
        <v>0</v>
      </c>
      <c r="AU560" s="164">
        <f t="shared" ca="1" si="914"/>
        <v>0</v>
      </c>
      <c r="AV560" s="164">
        <f t="shared" ca="1" si="915"/>
        <v>0</v>
      </c>
      <c r="AW560" s="164">
        <f t="shared" ca="1" si="916"/>
        <v>0</v>
      </c>
      <c r="AX560" s="164">
        <f t="shared" ca="1" si="917"/>
        <v>0</v>
      </c>
      <c r="AY560" s="164">
        <f t="shared" ca="1" si="918"/>
        <v>0</v>
      </c>
      <c r="AZ560" s="164">
        <f t="shared" ca="1" si="919"/>
        <v>0</v>
      </c>
      <c r="BA560" s="165" t="str">
        <f t="shared" ca="1" si="920"/>
        <v>nie</v>
      </c>
      <c r="BB560" s="166" t="str">
        <f t="shared" ca="1" si="921"/>
        <v>-</v>
      </c>
      <c r="BC560" s="165" t="str">
        <f t="shared" ca="1" si="874"/>
        <v>nie</v>
      </c>
    </row>
    <row r="561" spans="1:55" ht="14.45" hidden="1" customHeight="1" thickBot="1" x14ac:dyDescent="0.3">
      <c r="A561" s="500"/>
      <c r="B561" s="500"/>
      <c r="C561" s="501"/>
      <c r="D561" s="513"/>
      <c r="E561" s="503"/>
      <c r="F561" s="503"/>
      <c r="G561" s="503"/>
      <c r="H561" s="504"/>
      <c r="I561" s="499"/>
      <c r="J561" s="197" t="s">
        <v>104</v>
      </c>
      <c r="K561" s="198">
        <f>SUM(N561:O561)</f>
        <v>176172</v>
      </c>
      <c r="L561" s="199"/>
      <c r="M561" s="200">
        <f>200000+5000000-5023828</f>
        <v>176172</v>
      </c>
      <c r="N561" s="371">
        <f>SUM(L561:M561)</f>
        <v>176172</v>
      </c>
      <c r="O561" s="198">
        <f>SUM(P561:Y561)</f>
        <v>0</v>
      </c>
      <c r="P561" s="201"/>
      <c r="Q561" s="200"/>
      <c r="R561" s="202"/>
      <c r="S561" s="203"/>
      <c r="T561" s="200"/>
      <c r="U561" s="200"/>
      <c r="V561" s="200"/>
      <c r="W561" s="200"/>
      <c r="X561" s="200"/>
      <c r="Y561" s="202"/>
      <c r="Z561" s="149" t="str">
        <f t="shared" ca="1" si="873"/>
        <v>nie</v>
      </c>
      <c r="AA561" s="384"/>
      <c r="AB561" s="150" t="str">
        <f t="shared" ca="1" si="895"/>
        <v>-</v>
      </c>
      <c r="AC561" s="151" t="str">
        <f t="shared" ca="1" si="896"/>
        <v>PO ZMIANIE</v>
      </c>
      <c r="AD561" s="152" t="str">
        <f t="shared" ca="1" si="883"/>
        <v>PO ZMIANIE</v>
      </c>
      <c r="AE561" s="153" t="str">
        <f t="shared" ca="1" si="898"/>
        <v>C/USN/V/P1/87</v>
      </c>
      <c r="AF561" s="154" t="str">
        <f t="shared" ca="1" si="899"/>
        <v>Termomodernizacja budynku Szkoły Podstawowej nr 343 przy ul. Kopcińskiego 7</v>
      </c>
      <c r="AG561" s="155">
        <f t="shared" ca="1" si="900"/>
        <v>80101</v>
      </c>
      <c r="AH561" s="155" t="str">
        <f t="shared" ca="1" si="901"/>
        <v>6050</v>
      </c>
      <c r="AI561" s="156" t="str">
        <f t="shared" ca="1" si="902"/>
        <v>GMMW</v>
      </c>
      <c r="AJ561" s="157" t="str">
        <f t="shared" ca="1" si="903"/>
        <v>WPF/UM</v>
      </c>
      <c r="AK561" s="158" t="str">
        <f t="shared" ca="1" si="884"/>
        <v>C/USN/V/P1/87 80101 6050 GMMW</v>
      </c>
      <c r="AL561" s="158" t="str">
        <f t="shared" ca="1" si="885"/>
        <v>C/USN/V/P1/87 80101 6050 WPF/UM</v>
      </c>
      <c r="AM561" s="159" t="str">
        <f t="shared" ca="1" si="886"/>
        <v>C/USN/V/P1/87 80101 6050 GMMW WPF/UM</v>
      </c>
      <c r="AN561" s="160">
        <f t="shared" ca="1" si="907"/>
        <v>176172</v>
      </c>
      <c r="AO561" s="161">
        <f t="shared" ca="1" si="908"/>
        <v>0</v>
      </c>
      <c r="AP561" s="162">
        <f t="shared" ca="1" si="909"/>
        <v>176172</v>
      </c>
      <c r="AQ561" s="163">
        <f t="shared" ca="1" si="910"/>
        <v>0</v>
      </c>
      <c r="AR561" s="164">
        <f t="shared" ca="1" si="911"/>
        <v>0</v>
      </c>
      <c r="AS561" s="164">
        <f t="shared" ca="1" si="912"/>
        <v>0</v>
      </c>
      <c r="AT561" s="164">
        <f t="shared" ca="1" si="913"/>
        <v>0</v>
      </c>
      <c r="AU561" s="164">
        <f t="shared" ca="1" si="914"/>
        <v>0</v>
      </c>
      <c r="AV561" s="164">
        <f t="shared" ca="1" si="915"/>
        <v>0</v>
      </c>
      <c r="AW561" s="164">
        <f t="shared" ca="1" si="916"/>
        <v>0</v>
      </c>
      <c r="AX561" s="164">
        <f t="shared" ca="1" si="917"/>
        <v>0</v>
      </c>
      <c r="AY561" s="164">
        <f t="shared" ca="1" si="918"/>
        <v>0</v>
      </c>
      <c r="AZ561" s="164">
        <f t="shared" ca="1" si="919"/>
        <v>0</v>
      </c>
      <c r="BA561" s="165" t="str">
        <f t="shared" ca="1" si="920"/>
        <v>nie</v>
      </c>
      <c r="BB561" s="166" t="str">
        <f t="shared" ca="1" si="921"/>
        <v>-</v>
      </c>
      <c r="BC561" s="165" t="str">
        <f t="shared" ca="1" si="874"/>
        <v>nie</v>
      </c>
    </row>
    <row r="562" spans="1:55" ht="14.45" hidden="1" customHeight="1" x14ac:dyDescent="0.25">
      <c r="A562" s="143" t="s">
        <v>91</v>
      </c>
      <c r="B562" s="144"/>
      <c r="C562" s="145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6"/>
      <c r="S562" s="147"/>
      <c r="T562" s="147"/>
      <c r="U562" s="147"/>
      <c r="V562" s="147"/>
      <c r="W562" s="147"/>
      <c r="X562" s="147"/>
      <c r="Y562" s="148"/>
      <c r="Z562" s="149" t="str">
        <f t="shared" ca="1" si="873"/>
        <v>nie</v>
      </c>
      <c r="AA562" s="366"/>
      <c r="AB562" s="150" t="str">
        <f t="shared" ref="AB562:AB573" ca="1" si="948">IF(IF(OR(COUNTIF(AD562,"*bilans*")&gt;0,COUNTIF(AD562,"*prop*")&gt;0),COUNTIF(AO562:AZ562,"")+COUNTIF(AO562:AZ562,"0"),"")&lt;12,AE562,"-")</f>
        <v>-</v>
      </c>
      <c r="AC562" s="151" t="str">
        <f t="shared" ca="1" si="896"/>
        <v>PRZED ZMIANĄ</v>
      </c>
      <c r="AD562" s="152" t="str">
        <f t="shared" ref="AD562:AD573" ca="1" si="949">IF(AE562="","",AC562)</f>
        <v/>
      </c>
      <c r="AE562" s="153" t="str">
        <f t="shared" ca="1" si="898"/>
        <v/>
      </c>
      <c r="AF562" s="154" t="str">
        <f t="shared" ca="1" si="899"/>
        <v/>
      </c>
      <c r="AG562" s="155" t="str">
        <f t="shared" ca="1" si="900"/>
        <v/>
      </c>
      <c r="AH562" s="155" t="str">
        <f t="shared" ca="1" si="901"/>
        <v/>
      </c>
      <c r="AI562" s="156" t="str">
        <f t="shared" ca="1" si="902"/>
        <v/>
      </c>
      <c r="AJ562" s="157" t="str">
        <f t="shared" ca="1" si="903"/>
        <v/>
      </c>
      <c r="AK562" s="158" t="str">
        <f t="shared" ref="AK562:AK573" ca="1" si="950">IF(AH562="","",AE562&amp;" "&amp;AG562&amp;" "&amp;AH562&amp;" "&amp;AI562)</f>
        <v/>
      </c>
      <c r="AL562" s="158" t="str">
        <f t="shared" ref="AL562:AL573" ca="1" si="951">IF(AH562="","",AE562&amp;" "&amp;AG562&amp;" "&amp;AH562&amp;" "&amp;AJ562)</f>
        <v/>
      </c>
      <c r="AM562" s="159" t="str">
        <f t="shared" ref="AM562:AM573" ca="1" si="952">IF(AH562="","",AE562&amp;" "&amp;AG562&amp;" "&amp;AH562&amp;" "&amp;AI562&amp;" "&amp;AJ562)</f>
        <v/>
      </c>
      <c r="AN562" s="160" t="str">
        <f t="shared" ca="1" si="907"/>
        <v/>
      </c>
      <c r="AO562" s="161" t="str">
        <f t="shared" ca="1" si="908"/>
        <v/>
      </c>
      <c r="AP562" s="162" t="str">
        <f t="shared" ca="1" si="909"/>
        <v/>
      </c>
      <c r="AQ562" s="163" t="str">
        <f t="shared" ca="1" si="910"/>
        <v/>
      </c>
      <c r="AR562" s="164" t="str">
        <f t="shared" ca="1" si="911"/>
        <v/>
      </c>
      <c r="AS562" s="164" t="str">
        <f t="shared" ca="1" si="912"/>
        <v/>
      </c>
      <c r="AT562" s="164" t="str">
        <f t="shared" ca="1" si="913"/>
        <v/>
      </c>
      <c r="AU562" s="164" t="str">
        <f t="shared" ca="1" si="914"/>
        <v/>
      </c>
      <c r="AV562" s="164" t="str">
        <f t="shared" ca="1" si="915"/>
        <v/>
      </c>
      <c r="AW562" s="164" t="str">
        <f t="shared" ca="1" si="916"/>
        <v/>
      </c>
      <c r="AX562" s="164" t="str">
        <f t="shared" ca="1" si="917"/>
        <v/>
      </c>
      <c r="AY562" s="164" t="str">
        <f t="shared" ca="1" si="918"/>
        <v/>
      </c>
      <c r="AZ562" s="164" t="str">
        <f t="shared" ca="1" si="919"/>
        <v/>
      </c>
      <c r="BA562" s="165" t="str">
        <f t="shared" ca="1" si="920"/>
        <v>nie</v>
      </c>
      <c r="BB562" s="166" t="str">
        <f t="shared" ref="BB562:BB573" ca="1" si="953">IF(COUNTIF(AD562,"*bilans*")&gt;0,"-",IF(IF(COUNTIF(AD562,"*prop*")&gt;0,COUNTIF(AO562:AZ562,"")+COUNTIF(AO562:AZ562,"0"),"")&lt;12,AK562,"-"))</f>
        <v>-</v>
      </c>
      <c r="BC562" s="165" t="str">
        <f t="shared" ca="1" si="874"/>
        <v>nie</v>
      </c>
    </row>
    <row r="563" spans="1:55" ht="14.45" hidden="1" customHeight="1" x14ac:dyDescent="0.25">
      <c r="A563" s="493" t="s">
        <v>24</v>
      </c>
      <c r="B563" s="493" t="s">
        <v>465</v>
      </c>
      <c r="C563" s="494" t="s">
        <v>173</v>
      </c>
      <c r="D563" s="505" t="s">
        <v>174</v>
      </c>
      <c r="E563" s="497">
        <v>801</v>
      </c>
      <c r="F563" s="497">
        <v>80101</v>
      </c>
      <c r="G563" s="497">
        <v>6050</v>
      </c>
      <c r="H563" s="507">
        <v>2023</v>
      </c>
      <c r="I563" s="499" t="str">
        <f ca="1">IF(COUNTIF(OFFSET(I563,-1,-8),"*propon*")&gt;0,OFFSET(I563,4,0),IF(Y563&gt;0,"2033",IF(X563&gt;0,"2032",IF(W563&gt;0,"2031",IF(V563&gt;0,"2030",IF(U563&gt;0,"2029",IF(T563&gt;0,"2028",IF(S563&gt;0,"2027",IF(R563&gt;0,"2026",IF(Q563&gt;0,"2025",IF(P563&gt;0,"2024",IF(M563&gt;0,"2023",IF(L563&gt;0,"2022","")))))))))))))</f>
        <v>2023</v>
      </c>
      <c r="J563" s="168" t="s">
        <v>94</v>
      </c>
      <c r="K563" s="169">
        <f>SUM(N563:O563)</f>
        <v>2796044</v>
      </c>
      <c r="L563" s="170">
        <f t="shared" ref="L563:M563" si="954">SUM(L564:L565)</f>
        <v>0</v>
      </c>
      <c r="M563" s="171">
        <f t="shared" si="954"/>
        <v>2796044</v>
      </c>
      <c r="N563" s="172">
        <f>SUM(L563:M563)</f>
        <v>2796044</v>
      </c>
      <c r="O563" s="169">
        <f>SUM(P563:Y563)</f>
        <v>0</v>
      </c>
      <c r="P563" s="173">
        <f t="shared" ref="P563:Y563" si="955">SUM(P564:P565)</f>
        <v>0</v>
      </c>
      <c r="Q563" s="171">
        <f t="shared" si="955"/>
        <v>0</v>
      </c>
      <c r="R563" s="174">
        <f t="shared" si="955"/>
        <v>0</v>
      </c>
      <c r="S563" s="175">
        <f t="shared" si="955"/>
        <v>0</v>
      </c>
      <c r="T563" s="171">
        <f t="shared" si="955"/>
        <v>0</v>
      </c>
      <c r="U563" s="171">
        <f t="shared" si="955"/>
        <v>0</v>
      </c>
      <c r="V563" s="171">
        <f t="shared" si="955"/>
        <v>0</v>
      </c>
      <c r="W563" s="171">
        <f t="shared" si="955"/>
        <v>0</v>
      </c>
      <c r="X563" s="171">
        <f t="shared" si="955"/>
        <v>0</v>
      </c>
      <c r="Y563" s="174">
        <f t="shared" si="955"/>
        <v>0</v>
      </c>
      <c r="Z563" s="149" t="str">
        <f t="shared" ca="1" si="873"/>
        <v>nie</v>
      </c>
      <c r="AA563" s="366"/>
      <c r="AB563" s="150" t="str">
        <f t="shared" ca="1" si="948"/>
        <v>-</v>
      </c>
      <c r="AC563" s="151" t="str">
        <f t="shared" ca="1" si="896"/>
        <v>PRZED ZMIANĄ</v>
      </c>
      <c r="AD563" s="152" t="str">
        <f t="shared" ca="1" si="949"/>
        <v>PRZED ZMIANĄ</v>
      </c>
      <c r="AE563" s="153" t="str">
        <f t="shared" ca="1" si="898"/>
        <v>C/USN/V/P1/87</v>
      </c>
      <c r="AF563" s="154" t="str">
        <f t="shared" ca="1" si="899"/>
        <v>Termomodernizacja budynku Szkoły Podstawowej nr 343 przy ul. Kopcińskiego 7</v>
      </c>
      <c r="AG563" s="155">
        <f t="shared" ca="1" si="900"/>
        <v>80101</v>
      </c>
      <c r="AH563" s="155" t="str">
        <f t="shared" ca="1" si="901"/>
        <v>6050</v>
      </c>
      <c r="AI563" s="156" t="str">
        <f t="shared" ca="1" si="902"/>
        <v>MWPO/0022</v>
      </c>
      <c r="AJ563" s="157" t="str">
        <f t="shared" ca="1" si="903"/>
        <v>WPF, w tym</v>
      </c>
      <c r="AK563" s="158" t="str">
        <f t="shared" ca="1" si="950"/>
        <v>C/USN/V/P1/87 80101 6050 MWPO/0022</v>
      </c>
      <c r="AL563" s="158" t="str">
        <f t="shared" ca="1" si="951"/>
        <v>C/USN/V/P1/87 80101 6050 WPF, w tym</v>
      </c>
      <c r="AM563" s="159" t="str">
        <f t="shared" ca="1" si="952"/>
        <v>C/USN/V/P1/87 80101 6050 MWPO/0022 WPF, w tym</v>
      </c>
      <c r="AN563" s="160">
        <f t="shared" ca="1" si="907"/>
        <v>2796044</v>
      </c>
      <c r="AO563" s="161">
        <f t="shared" ca="1" si="908"/>
        <v>0</v>
      </c>
      <c r="AP563" s="162">
        <f t="shared" ca="1" si="909"/>
        <v>2796044</v>
      </c>
      <c r="AQ563" s="163">
        <f t="shared" ca="1" si="910"/>
        <v>0</v>
      </c>
      <c r="AR563" s="164">
        <f t="shared" ca="1" si="911"/>
        <v>0</v>
      </c>
      <c r="AS563" s="164">
        <f t="shared" ca="1" si="912"/>
        <v>0</v>
      </c>
      <c r="AT563" s="164">
        <f t="shared" ca="1" si="913"/>
        <v>0</v>
      </c>
      <c r="AU563" s="164">
        <f t="shared" ca="1" si="914"/>
        <v>0</v>
      </c>
      <c r="AV563" s="164">
        <f t="shared" ca="1" si="915"/>
        <v>0</v>
      </c>
      <c r="AW563" s="164">
        <f t="shared" ca="1" si="916"/>
        <v>0</v>
      </c>
      <c r="AX563" s="164">
        <f t="shared" ca="1" si="917"/>
        <v>0</v>
      </c>
      <c r="AY563" s="164">
        <f t="shared" ca="1" si="918"/>
        <v>0</v>
      </c>
      <c r="AZ563" s="164">
        <f t="shared" ca="1" si="919"/>
        <v>0</v>
      </c>
      <c r="BA563" s="165" t="str">
        <f t="shared" ca="1" si="920"/>
        <v>nie</v>
      </c>
      <c r="BB563" s="166" t="str">
        <f t="shared" ca="1" si="953"/>
        <v>-</v>
      </c>
      <c r="BC563" s="165" t="str">
        <f t="shared" ca="1" si="874"/>
        <v>nie</v>
      </c>
    </row>
    <row r="564" spans="1:55" ht="14.45" hidden="1" customHeight="1" x14ac:dyDescent="0.25">
      <c r="A564" s="493"/>
      <c r="B564" s="493"/>
      <c r="C564" s="494"/>
      <c r="D564" s="506"/>
      <c r="E564" s="497"/>
      <c r="F564" s="497"/>
      <c r="G564" s="497"/>
      <c r="H564" s="498"/>
      <c r="I564" s="499"/>
      <c r="J564" s="177" t="s">
        <v>95</v>
      </c>
      <c r="K564" s="178">
        <f>SUM(N564:O564)</f>
        <v>0</v>
      </c>
      <c r="L564" s="179"/>
      <c r="M564" s="180"/>
      <c r="N564" s="172">
        <f>SUM(L564:M564)</f>
        <v>0</v>
      </c>
      <c r="O564" s="178">
        <f>SUM(P564:Y564)</f>
        <v>0</v>
      </c>
      <c r="P564" s="181"/>
      <c r="Q564" s="180"/>
      <c r="R564" s="182"/>
      <c r="S564" s="183"/>
      <c r="T564" s="180"/>
      <c r="U564" s="180"/>
      <c r="V564" s="180"/>
      <c r="W564" s="180"/>
      <c r="X564" s="180"/>
      <c r="Y564" s="182"/>
      <c r="Z564" s="149" t="str">
        <f t="shared" ca="1" si="873"/>
        <v>nie</v>
      </c>
      <c r="AA564" s="366"/>
      <c r="AB564" s="150" t="str">
        <f t="shared" ca="1" si="948"/>
        <v>-</v>
      </c>
      <c r="AC564" s="151" t="str">
        <f t="shared" ca="1" si="896"/>
        <v>PRZED ZMIANĄ</v>
      </c>
      <c r="AD564" s="152" t="str">
        <f t="shared" ca="1" si="949"/>
        <v>PRZED ZMIANĄ</v>
      </c>
      <c r="AE564" s="153" t="str">
        <f t="shared" ca="1" si="898"/>
        <v>C/USN/V/P1/87</v>
      </c>
      <c r="AF564" s="154" t="str">
        <f t="shared" ca="1" si="899"/>
        <v>Termomodernizacja budynku Szkoły Podstawowej nr 343 przy ul. Kopcińskiego 7</v>
      </c>
      <c r="AG564" s="155">
        <f t="shared" ca="1" si="900"/>
        <v>80101</v>
      </c>
      <c r="AH564" s="155" t="str">
        <f t="shared" ca="1" si="901"/>
        <v>6050</v>
      </c>
      <c r="AI564" s="156" t="str">
        <f t="shared" ca="1" si="902"/>
        <v>MWPO/0022</v>
      </c>
      <c r="AJ564" s="157" t="str">
        <f t="shared" ca="1" si="903"/>
        <v>WPF/PM</v>
      </c>
      <c r="AK564" s="158" t="str">
        <f t="shared" ca="1" si="950"/>
        <v>C/USN/V/P1/87 80101 6050 MWPO/0022</v>
      </c>
      <c r="AL564" s="158" t="str">
        <f t="shared" ca="1" si="951"/>
        <v>C/USN/V/P1/87 80101 6050 WPF/PM</v>
      </c>
      <c r="AM564" s="159" t="str">
        <f t="shared" ca="1" si="952"/>
        <v>C/USN/V/P1/87 80101 6050 MWPO/0022 WPF/PM</v>
      </c>
      <c r="AN564" s="160">
        <f t="shared" ca="1" si="907"/>
        <v>0</v>
      </c>
      <c r="AO564" s="161">
        <f t="shared" ca="1" si="908"/>
        <v>0</v>
      </c>
      <c r="AP564" s="162">
        <f t="shared" ca="1" si="909"/>
        <v>0</v>
      </c>
      <c r="AQ564" s="163">
        <f t="shared" ca="1" si="910"/>
        <v>0</v>
      </c>
      <c r="AR564" s="164">
        <f t="shared" ca="1" si="911"/>
        <v>0</v>
      </c>
      <c r="AS564" s="164">
        <f t="shared" ca="1" si="912"/>
        <v>0</v>
      </c>
      <c r="AT564" s="164">
        <f t="shared" ca="1" si="913"/>
        <v>0</v>
      </c>
      <c r="AU564" s="164">
        <f t="shared" ca="1" si="914"/>
        <v>0</v>
      </c>
      <c r="AV564" s="164">
        <f t="shared" ca="1" si="915"/>
        <v>0</v>
      </c>
      <c r="AW564" s="164">
        <f t="shared" ca="1" si="916"/>
        <v>0</v>
      </c>
      <c r="AX564" s="164">
        <f t="shared" ca="1" si="917"/>
        <v>0</v>
      </c>
      <c r="AY564" s="164">
        <f t="shared" ca="1" si="918"/>
        <v>0</v>
      </c>
      <c r="AZ564" s="164">
        <f t="shared" ca="1" si="919"/>
        <v>0</v>
      </c>
      <c r="BA564" s="165" t="str">
        <f t="shared" ca="1" si="920"/>
        <v>nie</v>
      </c>
      <c r="BB564" s="166" t="str">
        <f t="shared" ca="1" si="953"/>
        <v>-</v>
      </c>
      <c r="BC564" s="165" t="str">
        <f t="shared" ca="1" si="874"/>
        <v>nie</v>
      </c>
    </row>
    <row r="565" spans="1:55" ht="14.45" hidden="1" customHeight="1" x14ac:dyDescent="0.25">
      <c r="A565" s="493"/>
      <c r="B565" s="493"/>
      <c r="C565" s="494"/>
      <c r="D565" s="506"/>
      <c r="E565" s="497"/>
      <c r="F565" s="497"/>
      <c r="G565" s="497"/>
      <c r="H565" s="498"/>
      <c r="I565" s="499"/>
      <c r="J565" s="177" t="s">
        <v>96</v>
      </c>
      <c r="K565" s="178">
        <f>SUM(N565:O565)</f>
        <v>2796044</v>
      </c>
      <c r="L565" s="184"/>
      <c r="M565" s="180">
        <v>2796044</v>
      </c>
      <c r="N565" s="172">
        <f>SUM(L565:M565)</f>
        <v>2796044</v>
      </c>
      <c r="O565" s="178">
        <f>SUM(P565:Y565)</f>
        <v>0</v>
      </c>
      <c r="P565" s="181"/>
      <c r="Q565" s="180"/>
      <c r="R565" s="182"/>
      <c r="S565" s="183"/>
      <c r="T565" s="180"/>
      <c r="U565" s="180"/>
      <c r="V565" s="180"/>
      <c r="W565" s="180"/>
      <c r="X565" s="180"/>
      <c r="Y565" s="182"/>
      <c r="Z565" s="149" t="str">
        <f t="shared" ca="1" si="873"/>
        <v>nie</v>
      </c>
      <c r="AA565" s="366"/>
      <c r="AB565" s="150" t="str">
        <f t="shared" ca="1" si="948"/>
        <v>-</v>
      </c>
      <c r="AC565" s="151" t="str">
        <f t="shared" ca="1" si="896"/>
        <v>PRZED ZMIANĄ</v>
      </c>
      <c r="AD565" s="152" t="str">
        <f t="shared" ca="1" si="949"/>
        <v>PRZED ZMIANĄ</v>
      </c>
      <c r="AE565" s="153" t="str">
        <f t="shared" ca="1" si="898"/>
        <v>C/USN/V/P1/87</v>
      </c>
      <c r="AF565" s="154" t="str">
        <f t="shared" ca="1" si="899"/>
        <v>Termomodernizacja budynku Szkoły Podstawowej nr 343 przy ul. Kopcińskiego 7</v>
      </c>
      <c r="AG565" s="155">
        <f t="shared" ca="1" si="900"/>
        <v>80101</v>
      </c>
      <c r="AH565" s="155" t="str">
        <f t="shared" ca="1" si="901"/>
        <v>6050</v>
      </c>
      <c r="AI565" s="156" t="str">
        <f t="shared" ca="1" si="902"/>
        <v>MWPO/0022</v>
      </c>
      <c r="AJ565" s="157" t="str">
        <f t="shared" ca="1" si="903"/>
        <v>WPF/UM</v>
      </c>
      <c r="AK565" s="158" t="str">
        <f t="shared" ca="1" si="950"/>
        <v>C/USN/V/P1/87 80101 6050 MWPO/0022</v>
      </c>
      <c r="AL565" s="158" t="str">
        <f t="shared" ca="1" si="951"/>
        <v>C/USN/V/P1/87 80101 6050 WPF/UM</v>
      </c>
      <c r="AM565" s="159" t="str">
        <f t="shared" ca="1" si="952"/>
        <v>C/USN/V/P1/87 80101 6050 MWPO/0022 WPF/UM</v>
      </c>
      <c r="AN565" s="160">
        <f t="shared" ca="1" si="907"/>
        <v>2796044</v>
      </c>
      <c r="AO565" s="161">
        <f t="shared" ca="1" si="908"/>
        <v>0</v>
      </c>
      <c r="AP565" s="162">
        <f t="shared" ca="1" si="909"/>
        <v>2796044</v>
      </c>
      <c r="AQ565" s="163">
        <f t="shared" ca="1" si="910"/>
        <v>0</v>
      </c>
      <c r="AR565" s="164">
        <f t="shared" ca="1" si="911"/>
        <v>0</v>
      </c>
      <c r="AS565" s="164">
        <f t="shared" ca="1" si="912"/>
        <v>0</v>
      </c>
      <c r="AT565" s="164">
        <f t="shared" ca="1" si="913"/>
        <v>0</v>
      </c>
      <c r="AU565" s="164">
        <f t="shared" ca="1" si="914"/>
        <v>0</v>
      </c>
      <c r="AV565" s="164">
        <f t="shared" ca="1" si="915"/>
        <v>0</v>
      </c>
      <c r="AW565" s="164">
        <f t="shared" ca="1" si="916"/>
        <v>0</v>
      </c>
      <c r="AX565" s="164">
        <f t="shared" ca="1" si="917"/>
        <v>0</v>
      </c>
      <c r="AY565" s="164">
        <f t="shared" ca="1" si="918"/>
        <v>0</v>
      </c>
      <c r="AZ565" s="164">
        <f t="shared" ca="1" si="919"/>
        <v>0</v>
      </c>
      <c r="BA565" s="165" t="str">
        <f t="shared" ca="1" si="920"/>
        <v>nie</v>
      </c>
      <c r="BB565" s="166" t="str">
        <f t="shared" ca="1" si="953"/>
        <v>-</v>
      </c>
      <c r="BC565" s="165" t="str">
        <f t="shared" ca="1" si="874"/>
        <v>nie</v>
      </c>
    </row>
    <row r="566" spans="1:55" ht="14.45" hidden="1" customHeight="1" x14ac:dyDescent="0.25">
      <c r="A566" s="185" t="s">
        <v>97</v>
      </c>
      <c r="B566" s="186"/>
      <c r="C566" s="187"/>
      <c r="D566" s="186"/>
      <c r="E566" s="186"/>
      <c r="F566" s="186"/>
      <c r="G566" s="186"/>
      <c r="H566" s="186"/>
      <c r="I566" s="186"/>
      <c r="J566" s="186"/>
      <c r="K566" s="186"/>
      <c r="L566" s="186"/>
      <c r="M566" s="186"/>
      <c r="N566" s="186"/>
      <c r="O566" s="186"/>
      <c r="P566" s="186"/>
      <c r="Q566" s="186"/>
      <c r="R566" s="188"/>
      <c r="S566" s="189"/>
      <c r="T566" s="189"/>
      <c r="U566" s="189"/>
      <c r="V566" s="189"/>
      <c r="W566" s="189"/>
      <c r="X566" s="189"/>
      <c r="Y566" s="190"/>
      <c r="Z566" s="149" t="str">
        <f t="shared" ca="1" si="873"/>
        <v>nie</v>
      </c>
      <c r="AA566" s="366"/>
      <c r="AB566" s="150" t="str">
        <f t="shared" ca="1" si="948"/>
        <v>-</v>
      </c>
      <c r="AC566" s="151" t="str">
        <f t="shared" ca="1" si="896"/>
        <v>PROPONOWANA ZMIANA</v>
      </c>
      <c r="AD566" s="152" t="str">
        <f t="shared" ca="1" si="949"/>
        <v/>
      </c>
      <c r="AE566" s="153" t="str">
        <f t="shared" ca="1" si="898"/>
        <v/>
      </c>
      <c r="AF566" s="154" t="str">
        <f t="shared" ca="1" si="899"/>
        <v/>
      </c>
      <c r="AG566" s="155" t="str">
        <f t="shared" ca="1" si="900"/>
        <v/>
      </c>
      <c r="AH566" s="155" t="str">
        <f t="shared" ca="1" si="901"/>
        <v/>
      </c>
      <c r="AI566" s="156" t="str">
        <f t="shared" ca="1" si="902"/>
        <v/>
      </c>
      <c r="AJ566" s="157" t="str">
        <f t="shared" ca="1" si="903"/>
        <v/>
      </c>
      <c r="AK566" s="158" t="str">
        <f t="shared" ca="1" si="950"/>
        <v/>
      </c>
      <c r="AL566" s="158" t="str">
        <f t="shared" ca="1" si="951"/>
        <v/>
      </c>
      <c r="AM566" s="159" t="str">
        <f t="shared" ca="1" si="952"/>
        <v/>
      </c>
      <c r="AN566" s="160" t="str">
        <f t="shared" ca="1" si="907"/>
        <v/>
      </c>
      <c r="AO566" s="161" t="str">
        <f t="shared" ca="1" si="908"/>
        <v/>
      </c>
      <c r="AP566" s="162" t="str">
        <f t="shared" ca="1" si="909"/>
        <v/>
      </c>
      <c r="AQ566" s="163" t="str">
        <f t="shared" ca="1" si="910"/>
        <v/>
      </c>
      <c r="AR566" s="164" t="str">
        <f t="shared" ca="1" si="911"/>
        <v/>
      </c>
      <c r="AS566" s="164" t="str">
        <f t="shared" ca="1" si="912"/>
        <v/>
      </c>
      <c r="AT566" s="164" t="str">
        <f t="shared" ca="1" si="913"/>
        <v/>
      </c>
      <c r="AU566" s="164" t="str">
        <f t="shared" ca="1" si="914"/>
        <v/>
      </c>
      <c r="AV566" s="164" t="str">
        <f t="shared" ca="1" si="915"/>
        <v/>
      </c>
      <c r="AW566" s="164" t="str">
        <f t="shared" ca="1" si="916"/>
        <v/>
      </c>
      <c r="AX566" s="164" t="str">
        <f t="shared" ca="1" si="917"/>
        <v/>
      </c>
      <c r="AY566" s="164" t="str">
        <f t="shared" ca="1" si="918"/>
        <v/>
      </c>
      <c r="AZ566" s="164" t="str">
        <f t="shared" ca="1" si="919"/>
        <v/>
      </c>
      <c r="BA566" s="165" t="str">
        <f t="shared" ca="1" si="920"/>
        <v>nie</v>
      </c>
      <c r="BB566" s="166" t="str">
        <f t="shared" ca="1" si="953"/>
        <v>-</v>
      </c>
      <c r="BC566" s="165" t="str">
        <f t="shared" ca="1" si="874"/>
        <v>nie</v>
      </c>
    </row>
    <row r="567" spans="1:55" ht="14.45" hidden="1" customHeight="1" x14ac:dyDescent="0.25">
      <c r="A567" s="493" t="s">
        <v>24</v>
      </c>
      <c r="B567" s="493" t="s">
        <v>465</v>
      </c>
      <c r="C567" s="494" t="s">
        <v>173</v>
      </c>
      <c r="D567" s="505" t="s">
        <v>174</v>
      </c>
      <c r="E567" s="497">
        <v>801</v>
      </c>
      <c r="F567" s="497">
        <v>80101</v>
      </c>
      <c r="G567" s="497">
        <v>6050</v>
      </c>
      <c r="H567" s="507">
        <v>2023</v>
      </c>
      <c r="I567" s="499" t="str">
        <f ca="1">IF(COUNTIF(OFFSET(I567,-1,-8),"*propon*")&gt;0,OFFSET(I567,4,0),IF(Y567&gt;0,"2033",IF(X567&gt;0,"2032",IF(W567&gt;0,"2031",IF(V567&gt;0,"2030",IF(U567&gt;0,"2029",IF(T567&gt;0,"2028",IF(S567&gt;0,"2027",IF(R567&gt;0,"2026",IF(Q567&gt;0,"2025",IF(P567&gt;0,"2024",IF(M567&gt;0,"2023",IF(L567&gt;0,"2022","")))))))))))))</f>
        <v>2023</v>
      </c>
      <c r="J567" s="168" t="s">
        <v>98</v>
      </c>
      <c r="K567" s="169">
        <f>SUM(N567:O567)</f>
        <v>0</v>
      </c>
      <c r="L567" s="170">
        <f t="shared" ref="L567:M567" si="956">SUM(L568:L569)</f>
        <v>0</v>
      </c>
      <c r="M567" s="171">
        <f t="shared" si="956"/>
        <v>0</v>
      </c>
      <c r="N567" s="172">
        <f>SUM(L567:M567)</f>
        <v>0</v>
      </c>
      <c r="O567" s="169">
        <f>SUM(P567:Y567)</f>
        <v>0</v>
      </c>
      <c r="P567" s="173">
        <f t="shared" ref="P567:Y567" si="957">SUM(P568:P569)</f>
        <v>0</v>
      </c>
      <c r="Q567" s="171">
        <f t="shared" si="957"/>
        <v>0</v>
      </c>
      <c r="R567" s="174">
        <f t="shared" si="957"/>
        <v>0</v>
      </c>
      <c r="S567" s="175">
        <f t="shared" si="957"/>
        <v>0</v>
      </c>
      <c r="T567" s="171">
        <f t="shared" si="957"/>
        <v>0</v>
      </c>
      <c r="U567" s="171">
        <f t="shared" si="957"/>
        <v>0</v>
      </c>
      <c r="V567" s="171">
        <f t="shared" si="957"/>
        <v>0</v>
      </c>
      <c r="W567" s="171">
        <f t="shared" si="957"/>
        <v>0</v>
      </c>
      <c r="X567" s="171">
        <f t="shared" si="957"/>
        <v>0</v>
      </c>
      <c r="Y567" s="174">
        <f t="shared" si="957"/>
        <v>0</v>
      </c>
      <c r="Z567" s="149" t="str">
        <f t="shared" ca="1" si="873"/>
        <v>nie</v>
      </c>
      <c r="AA567" s="366"/>
      <c r="AB567" s="150" t="str">
        <f t="shared" ca="1" si="948"/>
        <v>-</v>
      </c>
      <c r="AC567" s="151" t="str">
        <f t="shared" ca="1" si="896"/>
        <v>PROPONOWANA ZMIANA</v>
      </c>
      <c r="AD567" s="152" t="str">
        <f t="shared" ca="1" si="949"/>
        <v>PROPONOWANA ZMIANA</v>
      </c>
      <c r="AE567" s="153" t="str">
        <f t="shared" ca="1" si="898"/>
        <v>C/USN/V/P1/87</v>
      </c>
      <c r="AF567" s="154" t="str">
        <f t="shared" ca="1" si="899"/>
        <v>Termomodernizacja budynku Szkoły Podstawowej nr 343 przy ul. Kopcińskiego 7</v>
      </c>
      <c r="AG567" s="155">
        <f t="shared" ca="1" si="900"/>
        <v>80101</v>
      </c>
      <c r="AH567" s="155" t="str">
        <f t="shared" ca="1" si="901"/>
        <v>6050</v>
      </c>
      <c r="AI567" s="156" t="str">
        <f t="shared" ca="1" si="902"/>
        <v>MWPO/0022</v>
      </c>
      <c r="AJ567" s="157" t="str">
        <f t="shared" ca="1" si="903"/>
        <v>WPF, w tym</v>
      </c>
      <c r="AK567" s="158" t="str">
        <f t="shared" ca="1" si="950"/>
        <v>C/USN/V/P1/87 80101 6050 MWPO/0022</v>
      </c>
      <c r="AL567" s="158" t="str">
        <f t="shared" ca="1" si="951"/>
        <v>C/USN/V/P1/87 80101 6050 WPF, w tym</v>
      </c>
      <c r="AM567" s="159" t="str">
        <f t="shared" ca="1" si="952"/>
        <v>C/USN/V/P1/87 80101 6050 MWPO/0022 WPF, w tym</v>
      </c>
      <c r="AN567" s="160">
        <f t="shared" ca="1" si="907"/>
        <v>0</v>
      </c>
      <c r="AO567" s="161">
        <f t="shared" ca="1" si="908"/>
        <v>0</v>
      </c>
      <c r="AP567" s="162">
        <f t="shared" ca="1" si="909"/>
        <v>0</v>
      </c>
      <c r="AQ567" s="163">
        <f t="shared" ca="1" si="910"/>
        <v>0</v>
      </c>
      <c r="AR567" s="164">
        <f t="shared" ca="1" si="911"/>
        <v>0</v>
      </c>
      <c r="AS567" s="164">
        <f t="shared" ca="1" si="912"/>
        <v>0</v>
      </c>
      <c r="AT567" s="164">
        <f t="shared" ca="1" si="913"/>
        <v>0</v>
      </c>
      <c r="AU567" s="164">
        <f t="shared" ca="1" si="914"/>
        <v>0</v>
      </c>
      <c r="AV567" s="164">
        <f t="shared" ca="1" si="915"/>
        <v>0</v>
      </c>
      <c r="AW567" s="164">
        <f t="shared" ca="1" si="916"/>
        <v>0</v>
      </c>
      <c r="AX567" s="164">
        <f t="shared" ca="1" si="917"/>
        <v>0</v>
      </c>
      <c r="AY567" s="164">
        <f t="shared" ca="1" si="918"/>
        <v>0</v>
      </c>
      <c r="AZ567" s="164">
        <f t="shared" ca="1" si="919"/>
        <v>0</v>
      </c>
      <c r="BA567" s="165" t="str">
        <f t="shared" ca="1" si="920"/>
        <v>nie</v>
      </c>
      <c r="BB567" s="166" t="str">
        <f t="shared" ca="1" si="953"/>
        <v>-</v>
      </c>
      <c r="BC567" s="165" t="str">
        <f t="shared" ca="1" si="874"/>
        <v>nie</v>
      </c>
    </row>
    <row r="568" spans="1:55" ht="14.45" hidden="1" customHeight="1" x14ac:dyDescent="0.25">
      <c r="A568" s="493"/>
      <c r="B568" s="493"/>
      <c r="C568" s="494"/>
      <c r="D568" s="506"/>
      <c r="E568" s="497"/>
      <c r="F568" s="497"/>
      <c r="G568" s="497"/>
      <c r="H568" s="498"/>
      <c r="I568" s="499"/>
      <c r="J568" s="177" t="s">
        <v>99</v>
      </c>
      <c r="K568" s="178">
        <f>SUM(N568:O568)</f>
        <v>0</v>
      </c>
      <c r="L568" s="179">
        <f t="shared" ref="L568:M568" si="958">L572-L564</f>
        <v>0</v>
      </c>
      <c r="M568" s="180">
        <f t="shared" si="958"/>
        <v>0</v>
      </c>
      <c r="N568" s="172">
        <f>SUM(L568:M568)</f>
        <v>0</v>
      </c>
      <c r="O568" s="178">
        <f>SUM(P568:Y568)</f>
        <v>0</v>
      </c>
      <c r="P568" s="181">
        <f t="shared" ref="P568:Y568" si="959">P572-P564</f>
        <v>0</v>
      </c>
      <c r="Q568" s="180">
        <f t="shared" si="959"/>
        <v>0</v>
      </c>
      <c r="R568" s="182">
        <f t="shared" si="959"/>
        <v>0</v>
      </c>
      <c r="S568" s="183">
        <f t="shared" si="959"/>
        <v>0</v>
      </c>
      <c r="T568" s="180">
        <f t="shared" si="959"/>
        <v>0</v>
      </c>
      <c r="U568" s="180">
        <f t="shared" si="959"/>
        <v>0</v>
      </c>
      <c r="V568" s="180">
        <f t="shared" si="959"/>
        <v>0</v>
      </c>
      <c r="W568" s="180">
        <f t="shared" si="959"/>
        <v>0</v>
      </c>
      <c r="X568" s="180">
        <f t="shared" si="959"/>
        <v>0</v>
      </c>
      <c r="Y568" s="182">
        <f t="shared" si="959"/>
        <v>0</v>
      </c>
      <c r="Z568" s="149" t="str">
        <f t="shared" ca="1" si="873"/>
        <v>nie</v>
      </c>
      <c r="AA568" s="366"/>
      <c r="AB568" s="150" t="str">
        <f t="shared" ca="1" si="948"/>
        <v>-</v>
      </c>
      <c r="AC568" s="151" t="str">
        <f t="shared" ca="1" si="896"/>
        <v>PROPONOWANA ZMIANA</v>
      </c>
      <c r="AD568" s="152" t="str">
        <f t="shared" ca="1" si="949"/>
        <v>PROPONOWANA ZMIANA</v>
      </c>
      <c r="AE568" s="153" t="str">
        <f t="shared" ca="1" si="898"/>
        <v>C/USN/V/P1/87</v>
      </c>
      <c r="AF568" s="154" t="str">
        <f t="shared" ca="1" si="899"/>
        <v>Termomodernizacja budynku Szkoły Podstawowej nr 343 przy ul. Kopcińskiego 7</v>
      </c>
      <c r="AG568" s="155">
        <f t="shared" ca="1" si="900"/>
        <v>80101</v>
      </c>
      <c r="AH568" s="155" t="str">
        <f t="shared" ca="1" si="901"/>
        <v>6050</v>
      </c>
      <c r="AI568" s="156" t="str">
        <f t="shared" ca="1" si="902"/>
        <v>MWPO/0022</v>
      </c>
      <c r="AJ568" s="157" t="str">
        <f t="shared" ca="1" si="903"/>
        <v>WPF/PM</v>
      </c>
      <c r="AK568" s="158" t="str">
        <f t="shared" ca="1" si="950"/>
        <v>C/USN/V/P1/87 80101 6050 MWPO/0022</v>
      </c>
      <c r="AL568" s="158" t="str">
        <f t="shared" ca="1" si="951"/>
        <v>C/USN/V/P1/87 80101 6050 WPF/PM</v>
      </c>
      <c r="AM568" s="159" t="str">
        <f t="shared" ca="1" si="952"/>
        <v>C/USN/V/P1/87 80101 6050 MWPO/0022 WPF/PM</v>
      </c>
      <c r="AN568" s="160">
        <f t="shared" ca="1" si="907"/>
        <v>0</v>
      </c>
      <c r="AO568" s="161">
        <f t="shared" ca="1" si="908"/>
        <v>0</v>
      </c>
      <c r="AP568" s="162">
        <f t="shared" ca="1" si="909"/>
        <v>0</v>
      </c>
      <c r="AQ568" s="163">
        <f t="shared" ca="1" si="910"/>
        <v>0</v>
      </c>
      <c r="AR568" s="164">
        <f t="shared" ca="1" si="911"/>
        <v>0</v>
      </c>
      <c r="AS568" s="164">
        <f t="shared" ca="1" si="912"/>
        <v>0</v>
      </c>
      <c r="AT568" s="164">
        <f t="shared" ca="1" si="913"/>
        <v>0</v>
      </c>
      <c r="AU568" s="164">
        <f t="shared" ca="1" si="914"/>
        <v>0</v>
      </c>
      <c r="AV568" s="164">
        <f t="shared" ca="1" si="915"/>
        <v>0</v>
      </c>
      <c r="AW568" s="164">
        <f t="shared" ca="1" si="916"/>
        <v>0</v>
      </c>
      <c r="AX568" s="164">
        <f t="shared" ca="1" si="917"/>
        <v>0</v>
      </c>
      <c r="AY568" s="164">
        <f t="shared" ca="1" si="918"/>
        <v>0</v>
      </c>
      <c r="AZ568" s="164">
        <f t="shared" ca="1" si="919"/>
        <v>0</v>
      </c>
      <c r="BA568" s="165" t="str">
        <f t="shared" ca="1" si="920"/>
        <v>nie</v>
      </c>
      <c r="BB568" s="166" t="str">
        <f t="shared" ca="1" si="953"/>
        <v>-</v>
      </c>
      <c r="BC568" s="165" t="str">
        <f t="shared" ca="1" si="874"/>
        <v>nie</v>
      </c>
    </row>
    <row r="569" spans="1:55" ht="14.45" hidden="1" customHeight="1" x14ac:dyDescent="0.25">
      <c r="A569" s="493"/>
      <c r="B569" s="493"/>
      <c r="C569" s="494"/>
      <c r="D569" s="506"/>
      <c r="E569" s="497"/>
      <c r="F569" s="497"/>
      <c r="G569" s="497"/>
      <c r="H569" s="498"/>
      <c r="I569" s="499"/>
      <c r="J569" s="177" t="s">
        <v>100</v>
      </c>
      <c r="K569" s="178">
        <f>SUM(N569:O569)</f>
        <v>0</v>
      </c>
      <c r="L569" s="179">
        <f t="shared" ref="L569:M569" si="960">L573-L565</f>
        <v>0</v>
      </c>
      <c r="M569" s="180">
        <f t="shared" si="960"/>
        <v>0</v>
      </c>
      <c r="N569" s="172">
        <f>SUM(L569:M569)</f>
        <v>0</v>
      </c>
      <c r="O569" s="178">
        <f>SUM(P569:Y569)</f>
        <v>0</v>
      </c>
      <c r="P569" s="181">
        <f t="shared" ref="P569:Y569" si="961">P573-P565</f>
        <v>0</v>
      </c>
      <c r="Q569" s="180">
        <f t="shared" si="961"/>
        <v>0</v>
      </c>
      <c r="R569" s="182">
        <f t="shared" si="961"/>
        <v>0</v>
      </c>
      <c r="S569" s="183">
        <f t="shared" si="961"/>
        <v>0</v>
      </c>
      <c r="T569" s="180">
        <f t="shared" si="961"/>
        <v>0</v>
      </c>
      <c r="U569" s="180">
        <f t="shared" si="961"/>
        <v>0</v>
      </c>
      <c r="V569" s="180">
        <f t="shared" si="961"/>
        <v>0</v>
      </c>
      <c r="W569" s="180">
        <f t="shared" si="961"/>
        <v>0</v>
      </c>
      <c r="X569" s="180">
        <f t="shared" si="961"/>
        <v>0</v>
      </c>
      <c r="Y569" s="182">
        <f t="shared" si="961"/>
        <v>0</v>
      </c>
      <c r="Z569" s="149" t="str">
        <f t="shared" ca="1" si="873"/>
        <v>nie</v>
      </c>
      <c r="AA569" s="366"/>
      <c r="AB569" s="150" t="str">
        <f t="shared" ca="1" si="948"/>
        <v>-</v>
      </c>
      <c r="AC569" s="151" t="str">
        <f t="shared" ca="1" si="896"/>
        <v>PROPONOWANA ZMIANA</v>
      </c>
      <c r="AD569" s="152" t="str">
        <f t="shared" ca="1" si="949"/>
        <v>PROPONOWANA ZMIANA</v>
      </c>
      <c r="AE569" s="153" t="str">
        <f t="shared" ca="1" si="898"/>
        <v>C/USN/V/P1/87</v>
      </c>
      <c r="AF569" s="154" t="str">
        <f t="shared" ca="1" si="899"/>
        <v>Termomodernizacja budynku Szkoły Podstawowej nr 343 przy ul. Kopcińskiego 7</v>
      </c>
      <c r="AG569" s="155">
        <f t="shared" ca="1" si="900"/>
        <v>80101</v>
      </c>
      <c r="AH569" s="155" t="str">
        <f t="shared" ca="1" si="901"/>
        <v>6050</v>
      </c>
      <c r="AI569" s="156" t="str">
        <f t="shared" ca="1" si="902"/>
        <v>MWPO/0022</v>
      </c>
      <c r="AJ569" s="157" t="str">
        <f t="shared" ca="1" si="903"/>
        <v>WPF/UM</v>
      </c>
      <c r="AK569" s="158" t="str">
        <f t="shared" ca="1" si="950"/>
        <v>C/USN/V/P1/87 80101 6050 MWPO/0022</v>
      </c>
      <c r="AL569" s="158" t="str">
        <f t="shared" ca="1" si="951"/>
        <v>C/USN/V/P1/87 80101 6050 WPF/UM</v>
      </c>
      <c r="AM569" s="159" t="str">
        <f t="shared" ca="1" si="952"/>
        <v>C/USN/V/P1/87 80101 6050 MWPO/0022 WPF/UM</v>
      </c>
      <c r="AN569" s="160">
        <f t="shared" ca="1" si="907"/>
        <v>0</v>
      </c>
      <c r="AO569" s="161">
        <f t="shared" ca="1" si="908"/>
        <v>0</v>
      </c>
      <c r="AP569" s="162">
        <f t="shared" ca="1" si="909"/>
        <v>0</v>
      </c>
      <c r="AQ569" s="163">
        <f t="shared" ca="1" si="910"/>
        <v>0</v>
      </c>
      <c r="AR569" s="164">
        <f t="shared" ca="1" si="911"/>
        <v>0</v>
      </c>
      <c r="AS569" s="164">
        <f t="shared" ca="1" si="912"/>
        <v>0</v>
      </c>
      <c r="AT569" s="164">
        <f t="shared" ca="1" si="913"/>
        <v>0</v>
      </c>
      <c r="AU569" s="164">
        <f t="shared" ca="1" si="914"/>
        <v>0</v>
      </c>
      <c r="AV569" s="164">
        <f t="shared" ca="1" si="915"/>
        <v>0</v>
      </c>
      <c r="AW569" s="164">
        <f t="shared" ca="1" si="916"/>
        <v>0</v>
      </c>
      <c r="AX569" s="164">
        <f t="shared" ca="1" si="917"/>
        <v>0</v>
      </c>
      <c r="AY569" s="164">
        <f t="shared" ca="1" si="918"/>
        <v>0</v>
      </c>
      <c r="AZ569" s="164">
        <f t="shared" ca="1" si="919"/>
        <v>0</v>
      </c>
      <c r="BA569" s="165" t="str">
        <f t="shared" ca="1" si="920"/>
        <v>nie</v>
      </c>
      <c r="BB569" s="166" t="str">
        <f t="shared" ca="1" si="953"/>
        <v>-</v>
      </c>
      <c r="BC569" s="165" t="str">
        <f t="shared" ca="1" si="874"/>
        <v>nie</v>
      </c>
    </row>
    <row r="570" spans="1:55" ht="14.45" hidden="1" customHeight="1" x14ac:dyDescent="0.25">
      <c r="A570" s="191" t="s">
        <v>101</v>
      </c>
      <c r="B570" s="192"/>
      <c r="C570" s="193"/>
      <c r="D570" s="192"/>
      <c r="E570" s="192"/>
      <c r="F570" s="192"/>
      <c r="G570" s="192"/>
      <c r="H570" s="192"/>
      <c r="I570" s="192"/>
      <c r="J570" s="192"/>
      <c r="K570" s="192"/>
      <c r="L570" s="192"/>
      <c r="M570" s="192"/>
      <c r="N570" s="192"/>
      <c r="O570" s="192"/>
      <c r="P570" s="192"/>
      <c r="Q570" s="192"/>
      <c r="R570" s="194"/>
      <c r="S570" s="195"/>
      <c r="T570" s="195"/>
      <c r="U570" s="195"/>
      <c r="V570" s="195"/>
      <c r="W570" s="195"/>
      <c r="X570" s="195"/>
      <c r="Y570" s="196"/>
      <c r="Z570" s="149" t="str">
        <f t="shared" ca="1" si="873"/>
        <v>nie</v>
      </c>
      <c r="AA570" s="366"/>
      <c r="AB570" s="150" t="str">
        <f t="shared" ca="1" si="948"/>
        <v>-</v>
      </c>
      <c r="AC570" s="151" t="str">
        <f t="shared" ca="1" si="896"/>
        <v>PO ZMIANIE</v>
      </c>
      <c r="AD570" s="152" t="str">
        <f t="shared" ca="1" si="949"/>
        <v/>
      </c>
      <c r="AE570" s="153" t="str">
        <f t="shared" ca="1" si="898"/>
        <v/>
      </c>
      <c r="AF570" s="154" t="str">
        <f t="shared" ca="1" si="899"/>
        <v/>
      </c>
      <c r="AG570" s="155" t="str">
        <f t="shared" ca="1" si="900"/>
        <v/>
      </c>
      <c r="AH570" s="155" t="str">
        <f t="shared" ca="1" si="901"/>
        <v/>
      </c>
      <c r="AI570" s="156" t="str">
        <f t="shared" ca="1" si="902"/>
        <v/>
      </c>
      <c r="AJ570" s="157" t="str">
        <f t="shared" ca="1" si="903"/>
        <v/>
      </c>
      <c r="AK570" s="158" t="str">
        <f t="shared" ca="1" si="950"/>
        <v/>
      </c>
      <c r="AL570" s="158" t="str">
        <f t="shared" ca="1" si="951"/>
        <v/>
      </c>
      <c r="AM570" s="159" t="str">
        <f t="shared" ca="1" si="952"/>
        <v/>
      </c>
      <c r="AN570" s="160" t="str">
        <f t="shared" ca="1" si="907"/>
        <v/>
      </c>
      <c r="AO570" s="161" t="str">
        <f t="shared" ca="1" si="908"/>
        <v/>
      </c>
      <c r="AP570" s="162" t="str">
        <f t="shared" ca="1" si="909"/>
        <v/>
      </c>
      <c r="AQ570" s="163" t="str">
        <f t="shared" ca="1" si="910"/>
        <v/>
      </c>
      <c r="AR570" s="164" t="str">
        <f t="shared" ca="1" si="911"/>
        <v/>
      </c>
      <c r="AS570" s="164" t="str">
        <f t="shared" ca="1" si="912"/>
        <v/>
      </c>
      <c r="AT570" s="164" t="str">
        <f t="shared" ca="1" si="913"/>
        <v/>
      </c>
      <c r="AU570" s="164" t="str">
        <f t="shared" ca="1" si="914"/>
        <v/>
      </c>
      <c r="AV570" s="164" t="str">
        <f t="shared" ca="1" si="915"/>
        <v/>
      </c>
      <c r="AW570" s="164" t="str">
        <f t="shared" ca="1" si="916"/>
        <v/>
      </c>
      <c r="AX570" s="164" t="str">
        <f t="shared" ca="1" si="917"/>
        <v/>
      </c>
      <c r="AY570" s="164" t="str">
        <f t="shared" ca="1" si="918"/>
        <v/>
      </c>
      <c r="AZ570" s="164" t="str">
        <f t="shared" ca="1" si="919"/>
        <v/>
      </c>
      <c r="BA570" s="165" t="str">
        <f t="shared" ca="1" si="920"/>
        <v>nie</v>
      </c>
      <c r="BB570" s="166" t="str">
        <f t="shared" ca="1" si="953"/>
        <v>-</v>
      </c>
      <c r="BC570" s="165" t="str">
        <f t="shared" ca="1" si="874"/>
        <v>nie</v>
      </c>
    </row>
    <row r="571" spans="1:55" ht="14.45" hidden="1" customHeight="1" x14ac:dyDescent="0.25">
      <c r="A571" s="493" t="s">
        <v>24</v>
      </c>
      <c r="B571" s="493" t="s">
        <v>465</v>
      </c>
      <c r="C571" s="494" t="s">
        <v>173</v>
      </c>
      <c r="D571" s="505" t="s">
        <v>174</v>
      </c>
      <c r="E571" s="497">
        <v>801</v>
      </c>
      <c r="F571" s="497">
        <v>80101</v>
      </c>
      <c r="G571" s="497">
        <v>6050</v>
      </c>
      <c r="H571" s="507">
        <v>2023</v>
      </c>
      <c r="I571" s="499" t="str">
        <f ca="1">IF(COUNTIF(OFFSET(I571,-1,-8),"*propon*")&gt;0,OFFSET(I571,4,0),IF(Y571&gt;0,"2033",IF(X571&gt;0,"2032",IF(W571&gt;0,"2031",IF(V571&gt;0,"2030",IF(U571&gt;0,"2029",IF(T571&gt;0,"2028",IF(S571&gt;0,"2027",IF(R571&gt;0,"2026",IF(Q571&gt;0,"2025",IF(P571&gt;0,"2024",IF(M571&gt;0,"2023",IF(L571&gt;0,"2022","")))))))))))))</f>
        <v>2023</v>
      </c>
      <c r="J571" s="168" t="s">
        <v>102</v>
      </c>
      <c r="K571" s="169">
        <f>SUM(N571:O571)</f>
        <v>2796044</v>
      </c>
      <c r="L571" s="170">
        <f t="shared" ref="L571:M571" si="962">SUM(L572:L573)</f>
        <v>0</v>
      </c>
      <c r="M571" s="171">
        <f t="shared" si="962"/>
        <v>2796044</v>
      </c>
      <c r="N571" s="172">
        <f>SUM(L571:M571)</f>
        <v>2796044</v>
      </c>
      <c r="O571" s="169">
        <f>SUM(P571:Y571)</f>
        <v>0</v>
      </c>
      <c r="P571" s="173">
        <f t="shared" ref="P571:Y571" si="963">SUM(P572:P573)</f>
        <v>0</v>
      </c>
      <c r="Q571" s="171">
        <f t="shared" si="963"/>
        <v>0</v>
      </c>
      <c r="R571" s="174">
        <f t="shared" si="963"/>
        <v>0</v>
      </c>
      <c r="S571" s="175">
        <f t="shared" si="963"/>
        <v>0</v>
      </c>
      <c r="T571" s="171">
        <f t="shared" si="963"/>
        <v>0</v>
      </c>
      <c r="U571" s="171">
        <f t="shared" si="963"/>
        <v>0</v>
      </c>
      <c r="V571" s="171">
        <f t="shared" si="963"/>
        <v>0</v>
      </c>
      <c r="W571" s="171">
        <f t="shared" si="963"/>
        <v>0</v>
      </c>
      <c r="X571" s="171">
        <f t="shared" si="963"/>
        <v>0</v>
      </c>
      <c r="Y571" s="174">
        <f t="shared" si="963"/>
        <v>0</v>
      </c>
      <c r="Z571" s="149" t="str">
        <f t="shared" ca="1" si="873"/>
        <v>nie</v>
      </c>
      <c r="AA571" s="366"/>
      <c r="AB571" s="150" t="str">
        <f t="shared" ca="1" si="948"/>
        <v>-</v>
      </c>
      <c r="AC571" s="151" t="str">
        <f t="shared" ca="1" si="896"/>
        <v>PO ZMIANIE</v>
      </c>
      <c r="AD571" s="152" t="str">
        <f t="shared" ca="1" si="949"/>
        <v>PO ZMIANIE</v>
      </c>
      <c r="AE571" s="153" t="str">
        <f t="shared" ca="1" si="898"/>
        <v>C/USN/V/P1/87</v>
      </c>
      <c r="AF571" s="154" t="str">
        <f t="shared" ca="1" si="899"/>
        <v>Termomodernizacja budynku Szkoły Podstawowej nr 343 przy ul. Kopcińskiego 7</v>
      </c>
      <c r="AG571" s="155">
        <f t="shared" ca="1" si="900"/>
        <v>80101</v>
      </c>
      <c r="AH571" s="155" t="str">
        <f t="shared" ca="1" si="901"/>
        <v>6050</v>
      </c>
      <c r="AI571" s="156" t="str">
        <f t="shared" ca="1" si="902"/>
        <v>MWPO/0022</v>
      </c>
      <c r="AJ571" s="157" t="str">
        <f t="shared" ca="1" si="903"/>
        <v>WPF, w tym</v>
      </c>
      <c r="AK571" s="158" t="str">
        <f t="shared" ca="1" si="950"/>
        <v>C/USN/V/P1/87 80101 6050 MWPO/0022</v>
      </c>
      <c r="AL571" s="158" t="str">
        <f t="shared" ca="1" si="951"/>
        <v>C/USN/V/P1/87 80101 6050 WPF, w tym</v>
      </c>
      <c r="AM571" s="159" t="str">
        <f t="shared" ca="1" si="952"/>
        <v>C/USN/V/P1/87 80101 6050 MWPO/0022 WPF, w tym</v>
      </c>
      <c r="AN571" s="160">
        <f t="shared" ca="1" si="907"/>
        <v>2796044</v>
      </c>
      <c r="AO571" s="161">
        <f t="shared" ca="1" si="908"/>
        <v>0</v>
      </c>
      <c r="AP571" s="162">
        <f t="shared" ca="1" si="909"/>
        <v>2796044</v>
      </c>
      <c r="AQ571" s="163">
        <f t="shared" ca="1" si="910"/>
        <v>0</v>
      </c>
      <c r="AR571" s="164">
        <f t="shared" ca="1" si="911"/>
        <v>0</v>
      </c>
      <c r="AS571" s="164">
        <f t="shared" ca="1" si="912"/>
        <v>0</v>
      </c>
      <c r="AT571" s="164">
        <f t="shared" ca="1" si="913"/>
        <v>0</v>
      </c>
      <c r="AU571" s="164">
        <f t="shared" ca="1" si="914"/>
        <v>0</v>
      </c>
      <c r="AV571" s="164">
        <f t="shared" ca="1" si="915"/>
        <v>0</v>
      </c>
      <c r="AW571" s="164">
        <f t="shared" ca="1" si="916"/>
        <v>0</v>
      </c>
      <c r="AX571" s="164">
        <f t="shared" ca="1" si="917"/>
        <v>0</v>
      </c>
      <c r="AY571" s="164">
        <f t="shared" ca="1" si="918"/>
        <v>0</v>
      </c>
      <c r="AZ571" s="164">
        <f t="shared" ca="1" si="919"/>
        <v>0</v>
      </c>
      <c r="BA571" s="165" t="str">
        <f t="shared" ca="1" si="920"/>
        <v>nie</v>
      </c>
      <c r="BB571" s="166" t="str">
        <f t="shared" ca="1" si="953"/>
        <v>-</v>
      </c>
      <c r="BC571" s="165" t="str">
        <f t="shared" ca="1" si="874"/>
        <v>nie</v>
      </c>
    </row>
    <row r="572" spans="1:55" ht="14.45" hidden="1" customHeight="1" x14ac:dyDescent="0.25">
      <c r="A572" s="493"/>
      <c r="B572" s="493"/>
      <c r="C572" s="494"/>
      <c r="D572" s="506"/>
      <c r="E572" s="497"/>
      <c r="F572" s="497"/>
      <c r="G572" s="497"/>
      <c r="H572" s="498"/>
      <c r="I572" s="499"/>
      <c r="J572" s="177" t="s">
        <v>103</v>
      </c>
      <c r="K572" s="178">
        <f>SUM(N572:O572)</f>
        <v>0</v>
      </c>
      <c r="L572" s="179"/>
      <c r="M572" s="180"/>
      <c r="N572" s="172">
        <f>SUM(L572:M572)</f>
        <v>0</v>
      </c>
      <c r="O572" s="178">
        <f>SUM(P572:Y572)</f>
        <v>0</v>
      </c>
      <c r="P572" s="181"/>
      <c r="Q572" s="180"/>
      <c r="R572" s="182"/>
      <c r="S572" s="183"/>
      <c r="T572" s="180"/>
      <c r="U572" s="180"/>
      <c r="V572" s="180"/>
      <c r="W572" s="180"/>
      <c r="X572" s="180"/>
      <c r="Y572" s="182"/>
      <c r="Z572" s="149" t="str">
        <f t="shared" ca="1" si="873"/>
        <v>nie</v>
      </c>
      <c r="AA572" s="384"/>
      <c r="AB572" s="150" t="str">
        <f t="shared" ca="1" si="948"/>
        <v>-</v>
      </c>
      <c r="AC572" s="151" t="str">
        <f t="shared" ca="1" si="896"/>
        <v>PO ZMIANIE</v>
      </c>
      <c r="AD572" s="152" t="str">
        <f t="shared" ca="1" si="949"/>
        <v>PO ZMIANIE</v>
      </c>
      <c r="AE572" s="153" t="str">
        <f t="shared" ca="1" si="898"/>
        <v>C/USN/V/P1/87</v>
      </c>
      <c r="AF572" s="154" t="str">
        <f t="shared" ca="1" si="899"/>
        <v>Termomodernizacja budynku Szkoły Podstawowej nr 343 przy ul. Kopcińskiego 7</v>
      </c>
      <c r="AG572" s="155">
        <f t="shared" ca="1" si="900"/>
        <v>80101</v>
      </c>
      <c r="AH572" s="155" t="str">
        <f t="shared" ca="1" si="901"/>
        <v>6050</v>
      </c>
      <c r="AI572" s="156" t="str">
        <f t="shared" ca="1" si="902"/>
        <v>MWPO/0022</v>
      </c>
      <c r="AJ572" s="157" t="str">
        <f t="shared" ca="1" si="903"/>
        <v>WPF/PM</v>
      </c>
      <c r="AK572" s="158" t="str">
        <f t="shared" ca="1" si="950"/>
        <v>C/USN/V/P1/87 80101 6050 MWPO/0022</v>
      </c>
      <c r="AL572" s="158" t="str">
        <f t="shared" ca="1" si="951"/>
        <v>C/USN/V/P1/87 80101 6050 WPF/PM</v>
      </c>
      <c r="AM572" s="159" t="str">
        <f t="shared" ca="1" si="952"/>
        <v>C/USN/V/P1/87 80101 6050 MWPO/0022 WPF/PM</v>
      </c>
      <c r="AN572" s="160">
        <f t="shared" ca="1" si="907"/>
        <v>0</v>
      </c>
      <c r="AO572" s="161">
        <f t="shared" ca="1" si="908"/>
        <v>0</v>
      </c>
      <c r="AP572" s="162">
        <f t="shared" ca="1" si="909"/>
        <v>0</v>
      </c>
      <c r="AQ572" s="163">
        <f t="shared" ca="1" si="910"/>
        <v>0</v>
      </c>
      <c r="AR572" s="164">
        <f t="shared" ca="1" si="911"/>
        <v>0</v>
      </c>
      <c r="AS572" s="164">
        <f t="shared" ca="1" si="912"/>
        <v>0</v>
      </c>
      <c r="AT572" s="164">
        <f t="shared" ca="1" si="913"/>
        <v>0</v>
      </c>
      <c r="AU572" s="164">
        <f t="shared" ca="1" si="914"/>
        <v>0</v>
      </c>
      <c r="AV572" s="164">
        <f t="shared" ca="1" si="915"/>
        <v>0</v>
      </c>
      <c r="AW572" s="164">
        <f t="shared" ca="1" si="916"/>
        <v>0</v>
      </c>
      <c r="AX572" s="164">
        <f t="shared" ca="1" si="917"/>
        <v>0</v>
      </c>
      <c r="AY572" s="164">
        <f t="shared" ca="1" si="918"/>
        <v>0</v>
      </c>
      <c r="AZ572" s="164">
        <f t="shared" ca="1" si="919"/>
        <v>0</v>
      </c>
      <c r="BA572" s="165" t="str">
        <f t="shared" ca="1" si="920"/>
        <v>nie</v>
      </c>
      <c r="BB572" s="166" t="str">
        <f t="shared" ca="1" si="953"/>
        <v>-</v>
      </c>
      <c r="BC572" s="165" t="str">
        <f t="shared" ca="1" si="874"/>
        <v>nie</v>
      </c>
    </row>
    <row r="573" spans="1:55" ht="14.45" hidden="1" customHeight="1" thickBot="1" x14ac:dyDescent="0.3">
      <c r="A573" s="500"/>
      <c r="B573" s="493"/>
      <c r="C573" s="501"/>
      <c r="D573" s="513"/>
      <c r="E573" s="503"/>
      <c r="F573" s="503"/>
      <c r="G573" s="503"/>
      <c r="H573" s="504"/>
      <c r="I573" s="499"/>
      <c r="J573" s="197" t="s">
        <v>104</v>
      </c>
      <c r="K573" s="198">
        <f>SUM(N573:O573)</f>
        <v>2796044</v>
      </c>
      <c r="L573" s="199"/>
      <c r="M573" s="200">
        <f>2800000-3956</f>
        <v>2796044</v>
      </c>
      <c r="N573" s="371">
        <f>SUM(L573:M573)</f>
        <v>2796044</v>
      </c>
      <c r="O573" s="198">
        <f>SUM(P573:Y573)</f>
        <v>0</v>
      </c>
      <c r="P573" s="201"/>
      <c r="Q573" s="200"/>
      <c r="R573" s="202"/>
      <c r="S573" s="203"/>
      <c r="T573" s="200"/>
      <c r="U573" s="200"/>
      <c r="V573" s="200"/>
      <c r="W573" s="200"/>
      <c r="X573" s="200"/>
      <c r="Y573" s="202"/>
      <c r="Z573" s="149" t="str">
        <f t="shared" ca="1" si="873"/>
        <v>nie</v>
      </c>
      <c r="AA573" s="384"/>
      <c r="AB573" s="150" t="str">
        <f t="shared" ca="1" si="948"/>
        <v>-</v>
      </c>
      <c r="AC573" s="151" t="str">
        <f t="shared" ca="1" si="896"/>
        <v>PO ZMIANIE</v>
      </c>
      <c r="AD573" s="152" t="str">
        <f t="shared" ca="1" si="949"/>
        <v>PO ZMIANIE</v>
      </c>
      <c r="AE573" s="153" t="str">
        <f t="shared" ca="1" si="898"/>
        <v>C/USN/V/P1/87</v>
      </c>
      <c r="AF573" s="154" t="str">
        <f t="shared" ca="1" si="899"/>
        <v>Termomodernizacja budynku Szkoły Podstawowej nr 343 przy ul. Kopcińskiego 7</v>
      </c>
      <c r="AG573" s="155">
        <f t="shared" ca="1" si="900"/>
        <v>80101</v>
      </c>
      <c r="AH573" s="155" t="str">
        <f t="shared" ca="1" si="901"/>
        <v>6050</v>
      </c>
      <c r="AI573" s="156" t="str">
        <f t="shared" ca="1" si="902"/>
        <v>MWPO/0022</v>
      </c>
      <c r="AJ573" s="157" t="str">
        <f t="shared" ca="1" si="903"/>
        <v>WPF/UM</v>
      </c>
      <c r="AK573" s="158" t="str">
        <f t="shared" ca="1" si="950"/>
        <v>C/USN/V/P1/87 80101 6050 MWPO/0022</v>
      </c>
      <c r="AL573" s="158" t="str">
        <f t="shared" ca="1" si="951"/>
        <v>C/USN/V/P1/87 80101 6050 WPF/UM</v>
      </c>
      <c r="AM573" s="159" t="str">
        <f t="shared" ca="1" si="952"/>
        <v>C/USN/V/P1/87 80101 6050 MWPO/0022 WPF/UM</v>
      </c>
      <c r="AN573" s="160">
        <f t="shared" ca="1" si="907"/>
        <v>2796044</v>
      </c>
      <c r="AO573" s="161">
        <f t="shared" ca="1" si="908"/>
        <v>0</v>
      </c>
      <c r="AP573" s="162">
        <f t="shared" ca="1" si="909"/>
        <v>2796044</v>
      </c>
      <c r="AQ573" s="163">
        <f t="shared" ca="1" si="910"/>
        <v>0</v>
      </c>
      <c r="AR573" s="164">
        <f t="shared" ca="1" si="911"/>
        <v>0</v>
      </c>
      <c r="AS573" s="164">
        <f t="shared" ca="1" si="912"/>
        <v>0</v>
      </c>
      <c r="AT573" s="164">
        <f t="shared" ca="1" si="913"/>
        <v>0</v>
      </c>
      <c r="AU573" s="164">
        <f t="shared" ca="1" si="914"/>
        <v>0</v>
      </c>
      <c r="AV573" s="164">
        <f t="shared" ca="1" si="915"/>
        <v>0</v>
      </c>
      <c r="AW573" s="164">
        <f t="shared" ca="1" si="916"/>
        <v>0</v>
      </c>
      <c r="AX573" s="164">
        <f t="shared" ca="1" si="917"/>
        <v>0</v>
      </c>
      <c r="AY573" s="164">
        <f t="shared" ca="1" si="918"/>
        <v>0</v>
      </c>
      <c r="AZ573" s="164">
        <f t="shared" ca="1" si="919"/>
        <v>0</v>
      </c>
      <c r="BA573" s="165" t="str">
        <f t="shared" ca="1" si="920"/>
        <v>nie</v>
      </c>
      <c r="BB573" s="166" t="str">
        <f t="shared" ca="1" si="953"/>
        <v>-</v>
      </c>
      <c r="BC573" s="165" t="str">
        <f t="shared" ca="1" si="874"/>
        <v>nie</v>
      </c>
    </row>
    <row r="574" spans="1:55" ht="14.45" hidden="1" customHeight="1" x14ac:dyDescent="0.25">
      <c r="A574" s="143" t="s">
        <v>91</v>
      </c>
      <c r="B574" s="144"/>
      <c r="C574" s="145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6"/>
      <c r="S574" s="147"/>
      <c r="T574" s="147"/>
      <c r="U574" s="147"/>
      <c r="V574" s="147"/>
      <c r="W574" s="147"/>
      <c r="X574" s="147"/>
      <c r="Y574" s="148"/>
      <c r="Z574" s="149" t="str">
        <f t="shared" ca="1" si="873"/>
        <v>nie</v>
      </c>
      <c r="AA574" s="366"/>
      <c r="AB574" s="150" t="str">
        <f t="shared" ca="1" si="895"/>
        <v>-</v>
      </c>
      <c r="AC574" s="151" t="str">
        <f t="shared" ca="1" si="896"/>
        <v>PRZED ZMIANĄ</v>
      </c>
      <c r="AD574" s="152" t="str">
        <f t="shared" ca="1" si="883"/>
        <v/>
      </c>
      <c r="AE574" s="153" t="str">
        <f t="shared" ca="1" si="898"/>
        <v/>
      </c>
      <c r="AF574" s="154" t="str">
        <f t="shared" ca="1" si="899"/>
        <v/>
      </c>
      <c r="AG574" s="155" t="str">
        <f t="shared" ca="1" si="900"/>
        <v/>
      </c>
      <c r="AH574" s="155" t="str">
        <f t="shared" ca="1" si="901"/>
        <v/>
      </c>
      <c r="AI574" s="156" t="str">
        <f t="shared" ca="1" si="902"/>
        <v/>
      </c>
      <c r="AJ574" s="157" t="str">
        <f t="shared" ca="1" si="903"/>
        <v/>
      </c>
      <c r="AK574" s="158" t="str">
        <f t="shared" ca="1" si="884"/>
        <v/>
      </c>
      <c r="AL574" s="158" t="str">
        <f t="shared" ca="1" si="885"/>
        <v/>
      </c>
      <c r="AM574" s="159" t="str">
        <f t="shared" ca="1" si="886"/>
        <v/>
      </c>
      <c r="AN574" s="160" t="str">
        <f t="shared" ca="1" si="907"/>
        <v/>
      </c>
      <c r="AO574" s="161" t="str">
        <f t="shared" ca="1" si="908"/>
        <v/>
      </c>
      <c r="AP574" s="162" t="str">
        <f t="shared" ca="1" si="909"/>
        <v/>
      </c>
      <c r="AQ574" s="163" t="str">
        <f t="shared" ca="1" si="910"/>
        <v/>
      </c>
      <c r="AR574" s="164" t="str">
        <f t="shared" ca="1" si="911"/>
        <v/>
      </c>
      <c r="AS574" s="164" t="str">
        <f t="shared" ca="1" si="912"/>
        <v/>
      </c>
      <c r="AT574" s="164" t="str">
        <f t="shared" ca="1" si="913"/>
        <v/>
      </c>
      <c r="AU574" s="164" t="str">
        <f t="shared" ca="1" si="914"/>
        <v/>
      </c>
      <c r="AV574" s="164" t="str">
        <f t="shared" ca="1" si="915"/>
        <v/>
      </c>
      <c r="AW574" s="164" t="str">
        <f t="shared" ca="1" si="916"/>
        <v/>
      </c>
      <c r="AX574" s="164" t="str">
        <f t="shared" ca="1" si="917"/>
        <v/>
      </c>
      <c r="AY574" s="164" t="str">
        <f t="shared" ca="1" si="918"/>
        <v/>
      </c>
      <c r="AZ574" s="164" t="str">
        <f t="shared" ca="1" si="919"/>
        <v/>
      </c>
      <c r="BA574" s="165" t="str">
        <f t="shared" ca="1" si="920"/>
        <v>nie</v>
      </c>
      <c r="BB574" s="166" t="str">
        <f t="shared" ca="1" si="921"/>
        <v>-</v>
      </c>
      <c r="BC574" s="165" t="str">
        <f t="shared" ca="1" si="874"/>
        <v>nie</v>
      </c>
    </row>
    <row r="575" spans="1:55" ht="14.45" hidden="1" customHeight="1" x14ac:dyDescent="0.25">
      <c r="A575" s="543" t="s">
        <v>24</v>
      </c>
      <c r="B575" s="543" t="s">
        <v>175</v>
      </c>
      <c r="C575" s="544" t="s">
        <v>173</v>
      </c>
      <c r="D575" s="506" t="s">
        <v>174</v>
      </c>
      <c r="E575" s="545">
        <v>801</v>
      </c>
      <c r="F575" s="545">
        <v>80101</v>
      </c>
      <c r="G575" s="545">
        <v>6050</v>
      </c>
      <c r="H575" s="507">
        <v>2023</v>
      </c>
      <c r="I575" s="499" t="str">
        <f ca="1">IF(COUNTIF(OFFSET(I575,-1,-8),"*propon*")&gt;0,OFFSET(I575,4,0),IF(Y575&gt;0,"2033",IF(X575&gt;0,"2032",IF(W575&gt;0,"2031",IF(V575&gt;0,"2030",IF(U575&gt;0,"2029",IF(T575&gt;0,"2028",IF(S575&gt;0,"2027",IF(R575&gt;0,"2026",IF(Q575&gt;0,"2025",IF(P575&gt;0,"2024",IF(M575&gt;0,"2023",IF(L575&gt;0,"2022","")))))))))))))</f>
        <v>2023</v>
      </c>
      <c r="J575" s="168" t="s">
        <v>94</v>
      </c>
      <c r="K575" s="169">
        <f>SUM(N575:O575)</f>
        <v>934960</v>
      </c>
      <c r="L575" s="170">
        <f t="shared" ref="L575:M575" si="964">SUM(L576:L577)</f>
        <v>0</v>
      </c>
      <c r="M575" s="171">
        <f t="shared" si="964"/>
        <v>934960</v>
      </c>
      <c r="N575" s="172">
        <f>SUM(L575:M575)</f>
        <v>934960</v>
      </c>
      <c r="O575" s="169">
        <f>SUM(P575:Y575)</f>
        <v>0</v>
      </c>
      <c r="P575" s="173">
        <f t="shared" ref="P575:R575" si="965">SUM(P576:P577)</f>
        <v>0</v>
      </c>
      <c r="Q575" s="171">
        <f t="shared" si="965"/>
        <v>0</v>
      </c>
      <c r="R575" s="174">
        <f t="shared" si="965"/>
        <v>0</v>
      </c>
      <c r="S575" s="175">
        <f t="shared" ref="S575:Y575" si="966">SUM(S576:S577)</f>
        <v>0</v>
      </c>
      <c r="T575" s="171">
        <f t="shared" si="966"/>
        <v>0</v>
      </c>
      <c r="U575" s="171">
        <f t="shared" si="966"/>
        <v>0</v>
      </c>
      <c r="V575" s="171">
        <f t="shared" si="966"/>
        <v>0</v>
      </c>
      <c r="W575" s="171">
        <f t="shared" si="966"/>
        <v>0</v>
      </c>
      <c r="X575" s="171">
        <f t="shared" si="966"/>
        <v>0</v>
      </c>
      <c r="Y575" s="174">
        <f t="shared" si="966"/>
        <v>0</v>
      </c>
      <c r="Z575" s="149" t="str">
        <f t="shared" ca="1" si="873"/>
        <v>nie</v>
      </c>
      <c r="AA575" s="366"/>
      <c r="AB575" s="150" t="str">
        <f t="shared" ca="1" si="895"/>
        <v>-</v>
      </c>
      <c r="AC575" s="151" t="str">
        <f t="shared" ca="1" si="896"/>
        <v>PRZED ZMIANĄ</v>
      </c>
      <c r="AD575" s="152" t="str">
        <f t="shared" ca="1" si="883"/>
        <v>PRZED ZMIANĄ</v>
      </c>
      <c r="AE575" s="153" t="str">
        <f t="shared" ca="1" si="898"/>
        <v>C/USN/V/P1/87</v>
      </c>
      <c r="AF575" s="154" t="str">
        <f t="shared" ca="1" si="899"/>
        <v>Termomodernizacja budynku Szkoły Podstawowej nr 343 przy ul. Kopcińskiego 7</v>
      </c>
      <c r="AG575" s="155">
        <f t="shared" ca="1" si="900"/>
        <v>80101</v>
      </c>
      <c r="AH575" s="155" t="str">
        <f t="shared" ca="1" si="901"/>
        <v>6050</v>
      </c>
      <c r="AI575" s="156" t="str">
        <f t="shared" ca="1" si="902"/>
        <v>SFUE/7/23</v>
      </c>
      <c r="AJ575" s="157" t="str">
        <f t="shared" ca="1" si="903"/>
        <v>WPF, w tym</v>
      </c>
      <c r="AK575" s="158" t="str">
        <f t="shared" ca="1" si="884"/>
        <v>C/USN/V/P1/87 80101 6050 SFUE/7/23</v>
      </c>
      <c r="AL575" s="158" t="str">
        <f t="shared" ca="1" si="885"/>
        <v>C/USN/V/P1/87 80101 6050 WPF, w tym</v>
      </c>
      <c r="AM575" s="159" t="str">
        <f t="shared" ca="1" si="886"/>
        <v>C/USN/V/P1/87 80101 6050 SFUE/7/23 WPF, w tym</v>
      </c>
      <c r="AN575" s="160">
        <f t="shared" ca="1" si="907"/>
        <v>934960</v>
      </c>
      <c r="AO575" s="161">
        <f t="shared" ca="1" si="908"/>
        <v>0</v>
      </c>
      <c r="AP575" s="162">
        <f t="shared" ca="1" si="909"/>
        <v>934960</v>
      </c>
      <c r="AQ575" s="163">
        <f t="shared" ca="1" si="910"/>
        <v>0</v>
      </c>
      <c r="AR575" s="164">
        <f t="shared" ca="1" si="911"/>
        <v>0</v>
      </c>
      <c r="AS575" s="164">
        <f t="shared" ca="1" si="912"/>
        <v>0</v>
      </c>
      <c r="AT575" s="164">
        <f t="shared" ca="1" si="913"/>
        <v>0</v>
      </c>
      <c r="AU575" s="164">
        <f t="shared" ca="1" si="914"/>
        <v>0</v>
      </c>
      <c r="AV575" s="164">
        <f t="shared" ca="1" si="915"/>
        <v>0</v>
      </c>
      <c r="AW575" s="164">
        <f t="shared" ca="1" si="916"/>
        <v>0</v>
      </c>
      <c r="AX575" s="164">
        <f t="shared" ca="1" si="917"/>
        <v>0</v>
      </c>
      <c r="AY575" s="164">
        <f t="shared" ca="1" si="918"/>
        <v>0</v>
      </c>
      <c r="AZ575" s="164">
        <f t="shared" ca="1" si="919"/>
        <v>0</v>
      </c>
      <c r="BA575" s="165" t="str">
        <f t="shared" ca="1" si="920"/>
        <v>nie</v>
      </c>
      <c r="BB575" s="166" t="str">
        <f t="shared" ca="1" si="921"/>
        <v>-</v>
      </c>
      <c r="BC575" s="165" t="str">
        <f t="shared" ca="1" si="874"/>
        <v>nie</v>
      </c>
    </row>
    <row r="576" spans="1:55" ht="14.45" hidden="1" customHeight="1" x14ac:dyDescent="0.25">
      <c r="A576" s="543"/>
      <c r="B576" s="543"/>
      <c r="C576" s="544"/>
      <c r="D576" s="506"/>
      <c r="E576" s="545"/>
      <c r="F576" s="545"/>
      <c r="G576" s="545"/>
      <c r="H576" s="498"/>
      <c r="I576" s="499"/>
      <c r="J576" s="177" t="s">
        <v>95</v>
      </c>
      <c r="K576" s="178">
        <f>SUM(N576:O576)</f>
        <v>0</v>
      </c>
      <c r="L576" s="179"/>
      <c r="M576" s="180"/>
      <c r="N576" s="172">
        <f>SUM(L576:M576)</f>
        <v>0</v>
      </c>
      <c r="O576" s="178">
        <f>SUM(P576:Y576)</f>
        <v>0</v>
      </c>
      <c r="P576" s="181"/>
      <c r="Q576" s="180"/>
      <c r="R576" s="182"/>
      <c r="S576" s="183"/>
      <c r="T576" s="180"/>
      <c r="U576" s="180"/>
      <c r="V576" s="180"/>
      <c r="W576" s="180"/>
      <c r="X576" s="180"/>
      <c r="Y576" s="182"/>
      <c r="Z576" s="149" t="str">
        <f t="shared" ca="1" si="873"/>
        <v>nie</v>
      </c>
      <c r="AA576" s="366"/>
      <c r="AB576" s="150" t="str">
        <f t="shared" ca="1" si="895"/>
        <v>-</v>
      </c>
      <c r="AC576" s="151" t="str">
        <f t="shared" ca="1" si="896"/>
        <v>PRZED ZMIANĄ</v>
      </c>
      <c r="AD576" s="152" t="str">
        <f t="shared" ca="1" si="883"/>
        <v>PRZED ZMIANĄ</v>
      </c>
      <c r="AE576" s="153" t="str">
        <f t="shared" ca="1" si="898"/>
        <v>C/USN/V/P1/87</v>
      </c>
      <c r="AF576" s="154" t="str">
        <f t="shared" ca="1" si="899"/>
        <v>Termomodernizacja budynku Szkoły Podstawowej nr 343 przy ul. Kopcińskiego 7</v>
      </c>
      <c r="AG576" s="155">
        <f t="shared" ca="1" si="900"/>
        <v>80101</v>
      </c>
      <c r="AH576" s="155" t="str">
        <f t="shared" ca="1" si="901"/>
        <v>6050</v>
      </c>
      <c r="AI576" s="156" t="str">
        <f t="shared" ca="1" si="902"/>
        <v>SFUE/7/23</v>
      </c>
      <c r="AJ576" s="157" t="str">
        <f t="shared" ca="1" si="903"/>
        <v>WPF/PM</v>
      </c>
      <c r="AK576" s="158" t="str">
        <f t="shared" ca="1" si="884"/>
        <v>C/USN/V/P1/87 80101 6050 SFUE/7/23</v>
      </c>
      <c r="AL576" s="158" t="str">
        <f t="shared" ca="1" si="885"/>
        <v>C/USN/V/P1/87 80101 6050 WPF/PM</v>
      </c>
      <c r="AM576" s="159" t="str">
        <f t="shared" ca="1" si="886"/>
        <v>C/USN/V/P1/87 80101 6050 SFUE/7/23 WPF/PM</v>
      </c>
      <c r="AN576" s="160">
        <f t="shared" ca="1" si="907"/>
        <v>0</v>
      </c>
      <c r="AO576" s="161">
        <f t="shared" ca="1" si="908"/>
        <v>0</v>
      </c>
      <c r="AP576" s="162">
        <f t="shared" ca="1" si="909"/>
        <v>0</v>
      </c>
      <c r="AQ576" s="163">
        <f t="shared" ca="1" si="910"/>
        <v>0</v>
      </c>
      <c r="AR576" s="164">
        <f t="shared" ca="1" si="911"/>
        <v>0</v>
      </c>
      <c r="AS576" s="164">
        <f t="shared" ca="1" si="912"/>
        <v>0</v>
      </c>
      <c r="AT576" s="164">
        <f t="shared" ca="1" si="913"/>
        <v>0</v>
      </c>
      <c r="AU576" s="164">
        <f t="shared" ca="1" si="914"/>
        <v>0</v>
      </c>
      <c r="AV576" s="164">
        <f t="shared" ca="1" si="915"/>
        <v>0</v>
      </c>
      <c r="AW576" s="164">
        <f t="shared" ca="1" si="916"/>
        <v>0</v>
      </c>
      <c r="AX576" s="164">
        <f t="shared" ca="1" si="917"/>
        <v>0</v>
      </c>
      <c r="AY576" s="164">
        <f t="shared" ca="1" si="918"/>
        <v>0</v>
      </c>
      <c r="AZ576" s="164">
        <f t="shared" ca="1" si="919"/>
        <v>0</v>
      </c>
      <c r="BA576" s="165" t="str">
        <f t="shared" ca="1" si="920"/>
        <v>nie</v>
      </c>
      <c r="BB576" s="166" t="str">
        <f t="shared" ca="1" si="921"/>
        <v>-</v>
      </c>
      <c r="BC576" s="165" t="str">
        <f t="shared" ca="1" si="874"/>
        <v>nie</v>
      </c>
    </row>
    <row r="577" spans="1:55" ht="14.45" hidden="1" customHeight="1" x14ac:dyDescent="0.25">
      <c r="A577" s="543"/>
      <c r="B577" s="543"/>
      <c r="C577" s="544"/>
      <c r="D577" s="506"/>
      <c r="E577" s="545"/>
      <c r="F577" s="545"/>
      <c r="G577" s="545"/>
      <c r="H577" s="546"/>
      <c r="I577" s="499"/>
      <c r="J577" s="177" t="s">
        <v>96</v>
      </c>
      <c r="K577" s="178">
        <f>SUM(N577:O577)</f>
        <v>934960</v>
      </c>
      <c r="L577" s="184"/>
      <c r="M577" s="180">
        <v>934960</v>
      </c>
      <c r="N577" s="172">
        <f>SUM(L577:M577)</f>
        <v>934960</v>
      </c>
      <c r="O577" s="178">
        <f>SUM(P577:Y577)</f>
        <v>0</v>
      </c>
      <c r="P577" s="181"/>
      <c r="Q577" s="180"/>
      <c r="R577" s="182"/>
      <c r="S577" s="183"/>
      <c r="T577" s="180"/>
      <c r="U577" s="180"/>
      <c r="V577" s="180"/>
      <c r="W577" s="180"/>
      <c r="X577" s="180"/>
      <c r="Y577" s="182"/>
      <c r="Z577" s="149" t="str">
        <f t="shared" ca="1" si="873"/>
        <v>nie</v>
      </c>
      <c r="AA577" s="366"/>
      <c r="AB577" s="150" t="str">
        <f t="shared" ca="1" si="895"/>
        <v>-</v>
      </c>
      <c r="AC577" s="151" t="str">
        <f t="shared" ca="1" si="896"/>
        <v>PRZED ZMIANĄ</v>
      </c>
      <c r="AD577" s="152" t="str">
        <f t="shared" ca="1" si="883"/>
        <v>PRZED ZMIANĄ</v>
      </c>
      <c r="AE577" s="153" t="str">
        <f t="shared" ca="1" si="898"/>
        <v>C/USN/V/P1/87</v>
      </c>
      <c r="AF577" s="154" t="str">
        <f t="shared" ca="1" si="899"/>
        <v>Termomodernizacja budynku Szkoły Podstawowej nr 343 przy ul. Kopcińskiego 7</v>
      </c>
      <c r="AG577" s="155">
        <f t="shared" ca="1" si="900"/>
        <v>80101</v>
      </c>
      <c r="AH577" s="155" t="str">
        <f t="shared" ca="1" si="901"/>
        <v>6050</v>
      </c>
      <c r="AI577" s="156" t="str">
        <f t="shared" ca="1" si="902"/>
        <v>SFUE/7/23</v>
      </c>
      <c r="AJ577" s="157" t="str">
        <f t="shared" ca="1" si="903"/>
        <v>WPF/UM</v>
      </c>
      <c r="AK577" s="158" t="str">
        <f t="shared" ca="1" si="884"/>
        <v>C/USN/V/P1/87 80101 6050 SFUE/7/23</v>
      </c>
      <c r="AL577" s="158" t="str">
        <f t="shared" ca="1" si="885"/>
        <v>C/USN/V/P1/87 80101 6050 WPF/UM</v>
      </c>
      <c r="AM577" s="159" t="str">
        <f t="shared" ca="1" si="886"/>
        <v>C/USN/V/P1/87 80101 6050 SFUE/7/23 WPF/UM</v>
      </c>
      <c r="AN577" s="160">
        <f t="shared" ca="1" si="907"/>
        <v>934960</v>
      </c>
      <c r="AO577" s="161">
        <f t="shared" ca="1" si="908"/>
        <v>0</v>
      </c>
      <c r="AP577" s="162">
        <f t="shared" ca="1" si="909"/>
        <v>934960</v>
      </c>
      <c r="AQ577" s="163">
        <f t="shared" ca="1" si="910"/>
        <v>0</v>
      </c>
      <c r="AR577" s="164">
        <f t="shared" ca="1" si="911"/>
        <v>0</v>
      </c>
      <c r="AS577" s="164">
        <f t="shared" ca="1" si="912"/>
        <v>0</v>
      </c>
      <c r="AT577" s="164">
        <f t="shared" ca="1" si="913"/>
        <v>0</v>
      </c>
      <c r="AU577" s="164">
        <f t="shared" ca="1" si="914"/>
        <v>0</v>
      </c>
      <c r="AV577" s="164">
        <f t="shared" ca="1" si="915"/>
        <v>0</v>
      </c>
      <c r="AW577" s="164">
        <f t="shared" ca="1" si="916"/>
        <v>0</v>
      </c>
      <c r="AX577" s="164">
        <f t="shared" ca="1" si="917"/>
        <v>0</v>
      </c>
      <c r="AY577" s="164">
        <f t="shared" ca="1" si="918"/>
        <v>0</v>
      </c>
      <c r="AZ577" s="164">
        <f t="shared" ca="1" si="919"/>
        <v>0</v>
      </c>
      <c r="BA577" s="165" t="str">
        <f t="shared" ca="1" si="920"/>
        <v>nie</v>
      </c>
      <c r="BB577" s="166" t="str">
        <f t="shared" ca="1" si="921"/>
        <v>-</v>
      </c>
      <c r="BC577" s="165" t="str">
        <f t="shared" ca="1" si="874"/>
        <v>nie</v>
      </c>
    </row>
    <row r="578" spans="1:55" ht="14.45" hidden="1" customHeight="1" x14ac:dyDescent="0.25">
      <c r="A578" s="205" t="s">
        <v>97</v>
      </c>
      <c r="B578" s="206"/>
      <c r="C578" s="207"/>
      <c r="D578" s="206"/>
      <c r="E578" s="206"/>
      <c r="F578" s="206"/>
      <c r="G578" s="206"/>
      <c r="H578" s="186"/>
      <c r="I578" s="186"/>
      <c r="J578" s="186"/>
      <c r="K578" s="186"/>
      <c r="L578" s="186"/>
      <c r="M578" s="186"/>
      <c r="N578" s="186"/>
      <c r="O578" s="186"/>
      <c r="P578" s="186"/>
      <c r="Q578" s="186"/>
      <c r="R578" s="188"/>
      <c r="S578" s="189"/>
      <c r="T578" s="189"/>
      <c r="U578" s="189"/>
      <c r="V578" s="189"/>
      <c r="W578" s="189"/>
      <c r="X578" s="189"/>
      <c r="Y578" s="190"/>
      <c r="Z578" s="149" t="str">
        <f t="shared" ca="1" si="873"/>
        <v>nie</v>
      </c>
      <c r="AA578" s="366"/>
      <c r="AB578" s="150" t="str">
        <f t="shared" ca="1" si="895"/>
        <v>-</v>
      </c>
      <c r="AC578" s="151" t="str">
        <f t="shared" ref="AC578:AC641" ca="1" si="967">IF(OR(A578="",COUNTIF(A578,"*12.000*")&gt;0),OFFSET(AC578,-1,0),A578)</f>
        <v>PROPONOWANA ZMIANA</v>
      </c>
      <c r="AD578" s="152" t="str">
        <f t="shared" ca="1" si="883"/>
        <v/>
      </c>
      <c r="AE578" s="153" t="str">
        <f t="shared" ref="AE578:AE641" ca="1" si="968">IF(COUNTIF(A578,"*bilans*")&gt;0,"Bilans zmian",IF(COUNTIF(A578,"*zmi*")&gt;0,"",IF(COUNTIF(A578:C578,"")=0,C578,IF(AND(COUNTIF(C578,"")=1,COUNTIF(OFFSET(A578,-1,0),"*przed*")=1,COUNTIF(OFFSET(AE578,4,0),"")=0),OFFSET(AE578,4,0),IF(AND(COUNTIF(A578:B578,"")=0,COUNTIF(OFFSET(A578,-1,0),"*zmi*")=1),"nowe:"&amp;" "&amp;AF578,OFFSET(AE578,-1,0))))))</f>
        <v/>
      </c>
      <c r="AF578" s="154" t="str">
        <f t="shared" ref="AF578:AF641" ca="1" si="969">IF(COUNTIF(A578,"*zmi*")&gt;0,"",IF(COUNTIF(A578:C578,"")=0,D578,IF(AND(COUNTIF(C578,"")=1,COUNTIF(OFFSET(A578,-1,0),"*przed*")=1),OFFSET(AF578,4,0),IF(AND(COUNTIF(A578:B578,"")=0,COUNTIF(OFFSET(A578,-1,0),"*zmi*")=1),D578,OFFSET(AF578,-1,0)))))</f>
        <v/>
      </c>
      <c r="AG578" s="155" t="str">
        <f t="shared" ref="AG578:AG641" ca="1" si="970">IF(COUNTIF($A578,"*zmi*")&gt;0,"",IF(COUNTIF($A578:$C578,"")=0,F578,IF(AND(COUNTIF($C578,"")=1,COUNTIF(OFFSET($A578,-1,0),"*przed*")=1),OFFSET(AG578,4,0),IF(AND(COUNTIF($A578:$B578,"")=0,COUNTIF(OFFSET($A578,-1,0),"*zmi*")=1),F578,OFFSET(AG578,-1,0)))))</f>
        <v/>
      </c>
      <c r="AH578" s="155" t="str">
        <f t="shared" ref="AH578:AH641" ca="1" si="971">IF(COUNTIF($A578,"*zmi*")&gt;0,"",IF(COUNTIF($A578:$C578,"")=0,LEFT(G578,4),IF(AND(COUNTIF($C578,"")=1,COUNTIF(OFFSET($A578,-1,0),"*przed*")=1),OFFSET(AH578,4,0),IF(AND(COUNTIF($A578:$B578,"")=0,COUNTIF(OFFSET($A578,-1,0),"*zmi*")=1),LEFT(G578,4),OFFSET(AH578,-1,0)))))</f>
        <v/>
      </c>
      <c r="AI578" s="156" t="str">
        <f t="shared" ref="AI578:AI641" ca="1" si="972">IF(COUNTIF($A578,"*zmi*")&gt;0,"",IF(COUNTIF($A578:$C578,"")=0,B578,IF(AND(COUNTIF($C578,"")=1,COUNTIF(OFFSET($A578,-1,0),"*przed*")=1),OFFSET(AI578,4,0),IF(AND(COUNTIF($A578:$B578,"")=0,COUNTIF(OFFSET($A578,-1,0),"*zmi*")=1),B578,OFFSET(AI578,-1,0)))))</f>
        <v/>
      </c>
      <c r="AJ578" s="157" t="str">
        <f t="shared" ref="AJ578:AJ641" ca="1" si="973">IF(AH578="","",IF(COUNTIF(A578,"*zmi*")&gt;0,"",SUBSTITUTE(SUBSTITUTE(J578,";",""),":","")))</f>
        <v/>
      </c>
      <c r="AK578" s="158" t="str">
        <f t="shared" ca="1" si="884"/>
        <v/>
      </c>
      <c r="AL578" s="158" t="str">
        <f t="shared" ca="1" si="885"/>
        <v/>
      </c>
      <c r="AM578" s="159" t="str">
        <f t="shared" ca="1" si="886"/>
        <v/>
      </c>
      <c r="AN578" s="160" t="str">
        <f t="shared" ref="AN578:AN641" ca="1" si="974">IF(COUNTIF($AE578,"*bilans*")&gt;0,K578,IF(OR(COUNTIF($A578,"*zmi*")&gt;0,$AI578=""),"",K578))</f>
        <v/>
      </c>
      <c r="AO578" s="161" t="str">
        <f t="shared" ref="AO578:AO641" ca="1" si="975">IF(COUNTIF($AE578,"*bilans*")&gt;0,L578,IF(OR(COUNTIF($A578,"*zmi*")&gt;0,$AI578=""),"",L578))</f>
        <v/>
      </c>
      <c r="AP578" s="162" t="str">
        <f t="shared" ref="AP578:AP641" ca="1" si="976">IF(COUNTIF($AE578,"*bilans*")&gt;0,M578,IF(OR(COUNTIF($A578,"*zmi*")&gt;0,$AI578=""),"",M578))</f>
        <v/>
      </c>
      <c r="AQ578" s="163" t="str">
        <f t="shared" ref="AQ578:AQ641" ca="1" si="977">IF(COUNTIF($AE578,"*bilans*")&gt;0,P578,IF(OR(COUNTIF($A578,"*zmi*")&gt;0,$AI578=""),"",P578))</f>
        <v/>
      </c>
      <c r="AR578" s="164" t="str">
        <f t="shared" ref="AR578:AR641" ca="1" si="978">IF(COUNTIF($AE578,"*bilans*")&gt;0,Q578,IF(OR(COUNTIF($A578,"*zmi*")&gt;0,$AI578=""),"",Q578))</f>
        <v/>
      </c>
      <c r="AS578" s="164" t="str">
        <f t="shared" ref="AS578:AS641" ca="1" si="979">IF(COUNTIF($AE578,"*bilans*")&gt;0,R578,IF(OR(COUNTIF($A578,"*zmi*")&gt;0,$AI578=""),"",R578))</f>
        <v/>
      </c>
      <c r="AT578" s="164" t="str">
        <f t="shared" ref="AT578:AT641" ca="1" si="980">IF(COUNTIF($AE578,"*bilans*")&gt;0,S578,IF(OR(COUNTIF($A578,"*zmi*")&gt;0,$AI578=""),"",S578))</f>
        <v/>
      </c>
      <c r="AU578" s="164" t="str">
        <f t="shared" ref="AU578:AU641" ca="1" si="981">IF(COUNTIF($AE578,"*bilans*")&gt;0,T578,IF(OR(COUNTIF($A578,"*zmi*")&gt;0,$AI578=""),"",T578))</f>
        <v/>
      </c>
      <c r="AV578" s="164" t="str">
        <f t="shared" ref="AV578:AV641" ca="1" si="982">IF(COUNTIF($AE578,"*bilans*")&gt;0,U578,IF(OR(COUNTIF($A578,"*zmi*")&gt;0,$AI578=""),"",U578))</f>
        <v/>
      </c>
      <c r="AW578" s="164" t="str">
        <f t="shared" ref="AW578:AW641" ca="1" si="983">IF(COUNTIF($AE578,"*bilans*")&gt;0,V578,IF(OR(COUNTIF($A578,"*zmi*")&gt;0,$AI578=""),"",V578))</f>
        <v/>
      </c>
      <c r="AX578" s="164" t="str">
        <f t="shared" ref="AX578:AX641" ca="1" si="984">IF(COUNTIF($AE578,"*bilans*")&gt;0,W578,IF(OR(COUNTIF($A578,"*zmi*")&gt;0,$AI578=""),"",W578))</f>
        <v/>
      </c>
      <c r="AY578" s="164" t="str">
        <f t="shared" ref="AY578:AY641" ca="1" si="985">IF(COUNTIF($AE578,"*bilans*")&gt;0,X578,IF(OR(COUNTIF($A578,"*zmi*")&gt;0,$AI578=""),"",X578))</f>
        <v/>
      </c>
      <c r="AZ578" s="164" t="str">
        <f t="shared" ref="AZ578:AZ641" ca="1" si="986">IF(COUNTIF($AE578,"*bilans*")&gt;0,Y578,IF(OR(COUNTIF($A578,"*zmi*")&gt;0,$AI578=""),"",Y578))</f>
        <v/>
      </c>
      <c r="BA578" s="165" t="str">
        <f t="shared" ref="BA578:BA641" ca="1" si="987">Z578</f>
        <v>nie</v>
      </c>
      <c r="BB578" s="166" t="str">
        <f t="shared" ca="1" si="921"/>
        <v>-</v>
      </c>
      <c r="BC578" s="165" t="str">
        <f t="shared" ca="1" si="874"/>
        <v>nie</v>
      </c>
    </row>
    <row r="579" spans="1:55" ht="14.45" hidden="1" customHeight="1" x14ac:dyDescent="0.25">
      <c r="A579" s="543" t="s">
        <v>24</v>
      </c>
      <c r="B579" s="543" t="s">
        <v>175</v>
      </c>
      <c r="C579" s="544" t="s">
        <v>173</v>
      </c>
      <c r="D579" s="506" t="s">
        <v>174</v>
      </c>
      <c r="E579" s="545">
        <v>801</v>
      </c>
      <c r="F579" s="545">
        <v>80101</v>
      </c>
      <c r="G579" s="545">
        <v>6050</v>
      </c>
      <c r="H579" s="507">
        <v>2023</v>
      </c>
      <c r="I579" s="499" t="str">
        <f ca="1">IF(COUNTIF(OFFSET(I579,-1,-8),"*propon*")&gt;0,OFFSET(I579,4,0),IF(Y579&gt;0,"2033",IF(X579&gt;0,"2032",IF(W579&gt;0,"2031",IF(V579&gt;0,"2030",IF(U579&gt;0,"2029",IF(T579&gt;0,"2028",IF(S579&gt;0,"2027",IF(R579&gt;0,"2026",IF(Q579&gt;0,"2025",IF(P579&gt;0,"2024",IF(M579&gt;0,"2023",IF(L579&gt;0,"2022","")))))))))))))</f>
        <v>2023</v>
      </c>
      <c r="J579" s="168" t="s">
        <v>98</v>
      </c>
      <c r="K579" s="169">
        <f>SUM(N579:O579)</f>
        <v>0</v>
      </c>
      <c r="L579" s="170">
        <f t="shared" ref="L579:M579" si="988">SUM(L580:L581)</f>
        <v>0</v>
      </c>
      <c r="M579" s="171">
        <f t="shared" si="988"/>
        <v>0</v>
      </c>
      <c r="N579" s="172">
        <f>SUM(L579:M579)</f>
        <v>0</v>
      </c>
      <c r="O579" s="169">
        <f>SUM(P579:Y579)</f>
        <v>0</v>
      </c>
      <c r="P579" s="173">
        <f t="shared" ref="P579:R579" si="989">SUM(P580:P581)</f>
        <v>0</v>
      </c>
      <c r="Q579" s="171">
        <f t="shared" si="989"/>
        <v>0</v>
      </c>
      <c r="R579" s="174">
        <f t="shared" si="989"/>
        <v>0</v>
      </c>
      <c r="S579" s="175">
        <f t="shared" ref="S579:Y579" si="990">SUM(S580:S581)</f>
        <v>0</v>
      </c>
      <c r="T579" s="171">
        <f t="shared" si="990"/>
        <v>0</v>
      </c>
      <c r="U579" s="171">
        <f t="shared" si="990"/>
        <v>0</v>
      </c>
      <c r="V579" s="171">
        <f t="shared" si="990"/>
        <v>0</v>
      </c>
      <c r="W579" s="171">
        <f t="shared" si="990"/>
        <v>0</v>
      </c>
      <c r="X579" s="171">
        <f t="shared" si="990"/>
        <v>0</v>
      </c>
      <c r="Y579" s="174">
        <f t="shared" si="990"/>
        <v>0</v>
      </c>
      <c r="Z579" s="149" t="str">
        <f t="shared" ca="1" si="873"/>
        <v>nie</v>
      </c>
      <c r="AA579" s="366"/>
      <c r="AB579" s="150" t="str">
        <f t="shared" ca="1" si="895"/>
        <v>-</v>
      </c>
      <c r="AC579" s="151" t="str">
        <f t="shared" ca="1" si="967"/>
        <v>PROPONOWANA ZMIANA</v>
      </c>
      <c r="AD579" s="152" t="str">
        <f t="shared" ca="1" si="883"/>
        <v>PROPONOWANA ZMIANA</v>
      </c>
      <c r="AE579" s="153" t="str">
        <f t="shared" ca="1" si="968"/>
        <v>C/USN/V/P1/87</v>
      </c>
      <c r="AF579" s="154" t="str">
        <f t="shared" ca="1" si="969"/>
        <v>Termomodernizacja budynku Szkoły Podstawowej nr 343 przy ul. Kopcińskiego 7</v>
      </c>
      <c r="AG579" s="155">
        <f t="shared" ca="1" si="970"/>
        <v>80101</v>
      </c>
      <c r="AH579" s="155" t="str">
        <f t="shared" ca="1" si="971"/>
        <v>6050</v>
      </c>
      <c r="AI579" s="156" t="str">
        <f t="shared" ca="1" si="972"/>
        <v>SFUE/7/23</v>
      </c>
      <c r="AJ579" s="157" t="str">
        <f t="shared" ca="1" si="973"/>
        <v>WPF, w tym</v>
      </c>
      <c r="AK579" s="158" t="str">
        <f t="shared" ca="1" si="884"/>
        <v>C/USN/V/P1/87 80101 6050 SFUE/7/23</v>
      </c>
      <c r="AL579" s="158" t="str">
        <f t="shared" ca="1" si="885"/>
        <v>C/USN/V/P1/87 80101 6050 WPF, w tym</v>
      </c>
      <c r="AM579" s="159" t="str">
        <f t="shared" ca="1" si="886"/>
        <v>C/USN/V/P1/87 80101 6050 SFUE/7/23 WPF, w tym</v>
      </c>
      <c r="AN579" s="160">
        <f t="shared" ca="1" si="974"/>
        <v>0</v>
      </c>
      <c r="AO579" s="161">
        <f t="shared" ca="1" si="975"/>
        <v>0</v>
      </c>
      <c r="AP579" s="162">
        <f t="shared" ca="1" si="976"/>
        <v>0</v>
      </c>
      <c r="AQ579" s="163">
        <f t="shared" ca="1" si="977"/>
        <v>0</v>
      </c>
      <c r="AR579" s="164">
        <f t="shared" ca="1" si="978"/>
        <v>0</v>
      </c>
      <c r="AS579" s="164">
        <f t="shared" ca="1" si="979"/>
        <v>0</v>
      </c>
      <c r="AT579" s="164">
        <f t="shared" ca="1" si="980"/>
        <v>0</v>
      </c>
      <c r="AU579" s="164">
        <f t="shared" ca="1" si="981"/>
        <v>0</v>
      </c>
      <c r="AV579" s="164">
        <f t="shared" ca="1" si="982"/>
        <v>0</v>
      </c>
      <c r="AW579" s="164">
        <f t="shared" ca="1" si="983"/>
        <v>0</v>
      </c>
      <c r="AX579" s="164">
        <f t="shared" ca="1" si="984"/>
        <v>0</v>
      </c>
      <c r="AY579" s="164">
        <f t="shared" ca="1" si="985"/>
        <v>0</v>
      </c>
      <c r="AZ579" s="164">
        <f t="shared" ca="1" si="986"/>
        <v>0</v>
      </c>
      <c r="BA579" s="165" t="str">
        <f t="shared" ca="1" si="987"/>
        <v>nie</v>
      </c>
      <c r="BB579" s="166" t="str">
        <f t="shared" ca="1" si="921"/>
        <v>-</v>
      </c>
      <c r="BC579" s="165" t="str">
        <f t="shared" ca="1" si="874"/>
        <v>nie</v>
      </c>
    </row>
    <row r="580" spans="1:55" ht="14.45" hidden="1" customHeight="1" x14ac:dyDescent="0.25">
      <c r="A580" s="543"/>
      <c r="B580" s="543"/>
      <c r="C580" s="544"/>
      <c r="D580" s="506"/>
      <c r="E580" s="545"/>
      <c r="F580" s="545"/>
      <c r="G580" s="545"/>
      <c r="H580" s="498"/>
      <c r="I580" s="499"/>
      <c r="J580" s="177" t="s">
        <v>99</v>
      </c>
      <c r="K580" s="178">
        <f>SUM(N580:O580)</f>
        <v>0</v>
      </c>
      <c r="L580" s="179">
        <f t="shared" ref="L580:M580" si="991">L584-L576</f>
        <v>0</v>
      </c>
      <c r="M580" s="180">
        <f t="shared" si="991"/>
        <v>0</v>
      </c>
      <c r="N580" s="172">
        <f>SUM(L580:M580)</f>
        <v>0</v>
      </c>
      <c r="O580" s="178">
        <f>SUM(P580:Y580)</f>
        <v>0</v>
      </c>
      <c r="P580" s="181">
        <f t="shared" ref="P580:R580" si="992">P584-P576</f>
        <v>0</v>
      </c>
      <c r="Q580" s="180">
        <f t="shared" si="992"/>
        <v>0</v>
      </c>
      <c r="R580" s="182">
        <f t="shared" si="992"/>
        <v>0</v>
      </c>
      <c r="S580" s="183">
        <f t="shared" ref="S580:Y581" si="993">S584-S576</f>
        <v>0</v>
      </c>
      <c r="T580" s="180">
        <f t="shared" si="993"/>
        <v>0</v>
      </c>
      <c r="U580" s="180">
        <f t="shared" si="993"/>
        <v>0</v>
      </c>
      <c r="V580" s="180">
        <f t="shared" si="993"/>
        <v>0</v>
      </c>
      <c r="W580" s="180">
        <f t="shared" si="993"/>
        <v>0</v>
      </c>
      <c r="X580" s="180">
        <f t="shared" si="993"/>
        <v>0</v>
      </c>
      <c r="Y580" s="182">
        <f t="shared" si="993"/>
        <v>0</v>
      </c>
      <c r="Z580" s="149" t="str">
        <f t="shared" ca="1" si="873"/>
        <v>nie</v>
      </c>
      <c r="AA580" s="366"/>
      <c r="AB580" s="150" t="str">
        <f t="shared" ca="1" si="895"/>
        <v>-</v>
      </c>
      <c r="AC580" s="151" t="str">
        <f t="shared" ca="1" si="967"/>
        <v>PROPONOWANA ZMIANA</v>
      </c>
      <c r="AD580" s="152" t="str">
        <f t="shared" ca="1" si="883"/>
        <v>PROPONOWANA ZMIANA</v>
      </c>
      <c r="AE580" s="153" t="str">
        <f t="shared" ca="1" si="968"/>
        <v>C/USN/V/P1/87</v>
      </c>
      <c r="AF580" s="154" t="str">
        <f t="shared" ca="1" si="969"/>
        <v>Termomodernizacja budynku Szkoły Podstawowej nr 343 przy ul. Kopcińskiego 7</v>
      </c>
      <c r="AG580" s="155">
        <f t="shared" ca="1" si="970"/>
        <v>80101</v>
      </c>
      <c r="AH580" s="155" t="str">
        <f t="shared" ca="1" si="971"/>
        <v>6050</v>
      </c>
      <c r="AI580" s="156" t="str">
        <f t="shared" ca="1" si="972"/>
        <v>SFUE/7/23</v>
      </c>
      <c r="AJ580" s="157" t="str">
        <f t="shared" ca="1" si="973"/>
        <v>WPF/PM</v>
      </c>
      <c r="AK580" s="158" t="str">
        <f t="shared" ca="1" si="884"/>
        <v>C/USN/V/P1/87 80101 6050 SFUE/7/23</v>
      </c>
      <c r="AL580" s="158" t="str">
        <f t="shared" ca="1" si="885"/>
        <v>C/USN/V/P1/87 80101 6050 WPF/PM</v>
      </c>
      <c r="AM580" s="159" t="str">
        <f t="shared" ca="1" si="886"/>
        <v>C/USN/V/P1/87 80101 6050 SFUE/7/23 WPF/PM</v>
      </c>
      <c r="AN580" s="160">
        <f t="shared" ca="1" si="974"/>
        <v>0</v>
      </c>
      <c r="AO580" s="161">
        <f t="shared" ca="1" si="975"/>
        <v>0</v>
      </c>
      <c r="AP580" s="162">
        <f t="shared" ca="1" si="976"/>
        <v>0</v>
      </c>
      <c r="AQ580" s="163">
        <f t="shared" ca="1" si="977"/>
        <v>0</v>
      </c>
      <c r="AR580" s="164">
        <f t="shared" ca="1" si="978"/>
        <v>0</v>
      </c>
      <c r="AS580" s="164">
        <f t="shared" ca="1" si="979"/>
        <v>0</v>
      </c>
      <c r="AT580" s="164">
        <f t="shared" ca="1" si="980"/>
        <v>0</v>
      </c>
      <c r="AU580" s="164">
        <f t="shared" ca="1" si="981"/>
        <v>0</v>
      </c>
      <c r="AV580" s="164">
        <f t="shared" ca="1" si="982"/>
        <v>0</v>
      </c>
      <c r="AW580" s="164">
        <f t="shared" ca="1" si="983"/>
        <v>0</v>
      </c>
      <c r="AX580" s="164">
        <f t="shared" ca="1" si="984"/>
        <v>0</v>
      </c>
      <c r="AY580" s="164">
        <f t="shared" ca="1" si="985"/>
        <v>0</v>
      </c>
      <c r="AZ580" s="164">
        <f t="shared" ca="1" si="986"/>
        <v>0</v>
      </c>
      <c r="BA580" s="165" t="str">
        <f t="shared" ca="1" si="987"/>
        <v>nie</v>
      </c>
      <c r="BB580" s="166" t="str">
        <f t="shared" ca="1" si="921"/>
        <v>-</v>
      </c>
      <c r="BC580" s="165" t="str">
        <f t="shared" ca="1" si="874"/>
        <v>nie</v>
      </c>
    </row>
    <row r="581" spans="1:55" ht="14.45" hidden="1" customHeight="1" x14ac:dyDescent="0.25">
      <c r="A581" s="543"/>
      <c r="B581" s="543"/>
      <c r="C581" s="544"/>
      <c r="D581" s="506"/>
      <c r="E581" s="545"/>
      <c r="F581" s="545"/>
      <c r="G581" s="545"/>
      <c r="H581" s="546"/>
      <c r="I581" s="499"/>
      <c r="J581" s="177" t="s">
        <v>100</v>
      </c>
      <c r="K581" s="178">
        <f>SUM(N581:O581)</f>
        <v>0</v>
      </c>
      <c r="L581" s="179">
        <f t="shared" ref="L581:M581" si="994">L585-L577</f>
        <v>0</v>
      </c>
      <c r="M581" s="180">
        <f t="shared" si="994"/>
        <v>0</v>
      </c>
      <c r="N581" s="172">
        <f>SUM(L581:M581)</f>
        <v>0</v>
      </c>
      <c r="O581" s="178">
        <f>SUM(P581:Y581)</f>
        <v>0</v>
      </c>
      <c r="P581" s="181">
        <f t="shared" ref="P581:R581" si="995">P585-P577</f>
        <v>0</v>
      </c>
      <c r="Q581" s="180">
        <f t="shared" si="995"/>
        <v>0</v>
      </c>
      <c r="R581" s="182">
        <f t="shared" si="995"/>
        <v>0</v>
      </c>
      <c r="S581" s="183">
        <f t="shared" si="993"/>
        <v>0</v>
      </c>
      <c r="T581" s="180">
        <f t="shared" si="993"/>
        <v>0</v>
      </c>
      <c r="U581" s="180">
        <f t="shared" si="993"/>
        <v>0</v>
      </c>
      <c r="V581" s="180">
        <f t="shared" si="993"/>
        <v>0</v>
      </c>
      <c r="W581" s="180">
        <f t="shared" si="993"/>
        <v>0</v>
      </c>
      <c r="X581" s="180">
        <f t="shared" si="993"/>
        <v>0</v>
      </c>
      <c r="Y581" s="182">
        <f t="shared" si="993"/>
        <v>0</v>
      </c>
      <c r="Z581" s="149" t="str">
        <f t="shared" ca="1" si="873"/>
        <v>nie</v>
      </c>
      <c r="AA581" s="366"/>
      <c r="AB581" s="150" t="str">
        <f t="shared" ca="1" si="895"/>
        <v>-</v>
      </c>
      <c r="AC581" s="151" t="str">
        <f t="shared" ca="1" si="967"/>
        <v>PROPONOWANA ZMIANA</v>
      </c>
      <c r="AD581" s="152" t="str">
        <f t="shared" ca="1" si="883"/>
        <v>PROPONOWANA ZMIANA</v>
      </c>
      <c r="AE581" s="153" t="str">
        <f t="shared" ca="1" si="968"/>
        <v>C/USN/V/P1/87</v>
      </c>
      <c r="AF581" s="154" t="str">
        <f t="shared" ca="1" si="969"/>
        <v>Termomodernizacja budynku Szkoły Podstawowej nr 343 przy ul. Kopcińskiego 7</v>
      </c>
      <c r="AG581" s="155">
        <f t="shared" ca="1" si="970"/>
        <v>80101</v>
      </c>
      <c r="AH581" s="155" t="str">
        <f t="shared" ca="1" si="971"/>
        <v>6050</v>
      </c>
      <c r="AI581" s="156" t="str">
        <f t="shared" ca="1" si="972"/>
        <v>SFUE/7/23</v>
      </c>
      <c r="AJ581" s="157" t="str">
        <f t="shared" ca="1" si="973"/>
        <v>WPF/UM</v>
      </c>
      <c r="AK581" s="158" t="str">
        <f t="shared" ca="1" si="884"/>
        <v>C/USN/V/P1/87 80101 6050 SFUE/7/23</v>
      </c>
      <c r="AL581" s="158" t="str">
        <f t="shared" ca="1" si="885"/>
        <v>C/USN/V/P1/87 80101 6050 WPF/UM</v>
      </c>
      <c r="AM581" s="159" t="str">
        <f t="shared" ca="1" si="886"/>
        <v>C/USN/V/P1/87 80101 6050 SFUE/7/23 WPF/UM</v>
      </c>
      <c r="AN581" s="160">
        <f t="shared" ca="1" si="974"/>
        <v>0</v>
      </c>
      <c r="AO581" s="161">
        <f t="shared" ca="1" si="975"/>
        <v>0</v>
      </c>
      <c r="AP581" s="162">
        <f t="shared" ca="1" si="976"/>
        <v>0</v>
      </c>
      <c r="AQ581" s="163">
        <f t="shared" ca="1" si="977"/>
        <v>0</v>
      </c>
      <c r="AR581" s="164">
        <f t="shared" ca="1" si="978"/>
        <v>0</v>
      </c>
      <c r="AS581" s="164">
        <f t="shared" ca="1" si="979"/>
        <v>0</v>
      </c>
      <c r="AT581" s="164">
        <f t="shared" ca="1" si="980"/>
        <v>0</v>
      </c>
      <c r="AU581" s="164">
        <f t="shared" ca="1" si="981"/>
        <v>0</v>
      </c>
      <c r="AV581" s="164">
        <f t="shared" ca="1" si="982"/>
        <v>0</v>
      </c>
      <c r="AW581" s="164">
        <f t="shared" ca="1" si="983"/>
        <v>0</v>
      </c>
      <c r="AX581" s="164">
        <f t="shared" ca="1" si="984"/>
        <v>0</v>
      </c>
      <c r="AY581" s="164">
        <f t="shared" ca="1" si="985"/>
        <v>0</v>
      </c>
      <c r="AZ581" s="164">
        <f t="shared" ca="1" si="986"/>
        <v>0</v>
      </c>
      <c r="BA581" s="165" t="str">
        <f t="shared" ca="1" si="987"/>
        <v>nie</v>
      </c>
      <c r="BB581" s="166" t="str">
        <f t="shared" ca="1" si="921"/>
        <v>-</v>
      </c>
      <c r="BC581" s="165" t="str">
        <f t="shared" ca="1" si="874"/>
        <v>nie</v>
      </c>
    </row>
    <row r="582" spans="1:55" ht="14.45" hidden="1" customHeight="1" x14ac:dyDescent="0.25">
      <c r="A582" s="208" t="s">
        <v>101</v>
      </c>
      <c r="B582" s="209"/>
      <c r="C582" s="210"/>
      <c r="D582" s="209"/>
      <c r="E582" s="209"/>
      <c r="F582" s="209"/>
      <c r="G582" s="209"/>
      <c r="H582" s="192"/>
      <c r="I582" s="192"/>
      <c r="J582" s="192"/>
      <c r="K582" s="192"/>
      <c r="L582" s="192"/>
      <c r="M582" s="192"/>
      <c r="N582" s="192"/>
      <c r="O582" s="192"/>
      <c r="P582" s="192"/>
      <c r="Q582" s="192"/>
      <c r="R582" s="194"/>
      <c r="S582" s="195"/>
      <c r="T582" s="195"/>
      <c r="U582" s="195"/>
      <c r="V582" s="195"/>
      <c r="W582" s="195"/>
      <c r="X582" s="195"/>
      <c r="Y582" s="196"/>
      <c r="Z582" s="149" t="str">
        <f t="shared" ca="1" si="873"/>
        <v>nie</v>
      </c>
      <c r="AA582" s="366"/>
      <c r="AB582" s="150" t="str">
        <f t="shared" ca="1" si="895"/>
        <v>-</v>
      </c>
      <c r="AC582" s="151" t="str">
        <f t="shared" ca="1" si="967"/>
        <v>PO ZMIANIE</v>
      </c>
      <c r="AD582" s="152" t="str">
        <f t="shared" ca="1" si="883"/>
        <v/>
      </c>
      <c r="AE582" s="153" t="str">
        <f t="shared" ca="1" si="968"/>
        <v/>
      </c>
      <c r="AF582" s="154" t="str">
        <f t="shared" ca="1" si="969"/>
        <v/>
      </c>
      <c r="AG582" s="155" t="str">
        <f t="shared" ca="1" si="970"/>
        <v/>
      </c>
      <c r="AH582" s="155" t="str">
        <f t="shared" ca="1" si="971"/>
        <v/>
      </c>
      <c r="AI582" s="156" t="str">
        <f t="shared" ca="1" si="972"/>
        <v/>
      </c>
      <c r="AJ582" s="157" t="str">
        <f t="shared" ca="1" si="973"/>
        <v/>
      </c>
      <c r="AK582" s="158" t="str">
        <f t="shared" ca="1" si="884"/>
        <v/>
      </c>
      <c r="AL582" s="158" t="str">
        <f t="shared" ca="1" si="885"/>
        <v/>
      </c>
      <c r="AM582" s="159" t="str">
        <f t="shared" ca="1" si="886"/>
        <v/>
      </c>
      <c r="AN582" s="160" t="str">
        <f t="shared" ca="1" si="974"/>
        <v/>
      </c>
      <c r="AO582" s="161" t="str">
        <f t="shared" ca="1" si="975"/>
        <v/>
      </c>
      <c r="AP582" s="162" t="str">
        <f t="shared" ca="1" si="976"/>
        <v/>
      </c>
      <c r="AQ582" s="163" t="str">
        <f t="shared" ca="1" si="977"/>
        <v/>
      </c>
      <c r="AR582" s="164" t="str">
        <f t="shared" ca="1" si="978"/>
        <v/>
      </c>
      <c r="AS582" s="164" t="str">
        <f t="shared" ca="1" si="979"/>
        <v/>
      </c>
      <c r="AT582" s="164" t="str">
        <f t="shared" ca="1" si="980"/>
        <v/>
      </c>
      <c r="AU582" s="164" t="str">
        <f t="shared" ca="1" si="981"/>
        <v/>
      </c>
      <c r="AV582" s="164" t="str">
        <f t="shared" ca="1" si="982"/>
        <v/>
      </c>
      <c r="AW582" s="164" t="str">
        <f t="shared" ca="1" si="983"/>
        <v/>
      </c>
      <c r="AX582" s="164" t="str">
        <f t="shared" ca="1" si="984"/>
        <v/>
      </c>
      <c r="AY582" s="164" t="str">
        <f t="shared" ca="1" si="985"/>
        <v/>
      </c>
      <c r="AZ582" s="164" t="str">
        <f t="shared" ca="1" si="986"/>
        <v/>
      </c>
      <c r="BA582" s="165" t="str">
        <f t="shared" ca="1" si="987"/>
        <v>nie</v>
      </c>
      <c r="BB582" s="166" t="str">
        <f t="shared" ca="1" si="921"/>
        <v>-</v>
      </c>
      <c r="BC582" s="165" t="str">
        <f t="shared" ca="1" si="874"/>
        <v>nie</v>
      </c>
    </row>
    <row r="583" spans="1:55" ht="14.45" hidden="1" customHeight="1" x14ac:dyDescent="0.25">
      <c r="A583" s="543" t="s">
        <v>24</v>
      </c>
      <c r="B583" s="543" t="s">
        <v>175</v>
      </c>
      <c r="C583" s="544" t="s">
        <v>173</v>
      </c>
      <c r="D583" s="506" t="s">
        <v>174</v>
      </c>
      <c r="E583" s="545">
        <v>801</v>
      </c>
      <c r="F583" s="545">
        <v>80101</v>
      </c>
      <c r="G583" s="545">
        <v>6050</v>
      </c>
      <c r="H583" s="507">
        <v>2023</v>
      </c>
      <c r="I583" s="499" t="str">
        <f ca="1">IF(COUNTIF(OFFSET(I583,-1,-8),"*propon*")&gt;0,OFFSET(I583,4,0),IF(Y583&gt;0,"2033",IF(X583&gt;0,"2032",IF(W583&gt;0,"2031",IF(V583&gt;0,"2030",IF(U583&gt;0,"2029",IF(T583&gt;0,"2028",IF(S583&gt;0,"2027",IF(R583&gt;0,"2026",IF(Q583&gt;0,"2025",IF(P583&gt;0,"2024",IF(M583&gt;0,"2023",IF(L583&gt;0,"2022","")))))))))))))</f>
        <v>2023</v>
      </c>
      <c r="J583" s="168" t="s">
        <v>102</v>
      </c>
      <c r="K583" s="169">
        <f>SUM(N583:O583)</f>
        <v>934960</v>
      </c>
      <c r="L583" s="170">
        <f t="shared" ref="L583:M583" si="996">SUM(L584:L585)</f>
        <v>0</v>
      </c>
      <c r="M583" s="171">
        <f t="shared" si="996"/>
        <v>934960</v>
      </c>
      <c r="N583" s="172">
        <f>SUM(L583:M583)</f>
        <v>934960</v>
      </c>
      <c r="O583" s="169">
        <f>SUM(P583:Y583)</f>
        <v>0</v>
      </c>
      <c r="P583" s="173">
        <f t="shared" ref="P583:R583" si="997">SUM(P584:P585)</f>
        <v>0</v>
      </c>
      <c r="Q583" s="171">
        <f t="shared" si="997"/>
        <v>0</v>
      </c>
      <c r="R583" s="174">
        <f t="shared" si="997"/>
        <v>0</v>
      </c>
      <c r="S583" s="175">
        <f t="shared" ref="S583:Y583" si="998">SUM(S584:S585)</f>
        <v>0</v>
      </c>
      <c r="T583" s="171">
        <f t="shared" si="998"/>
        <v>0</v>
      </c>
      <c r="U583" s="171">
        <f t="shared" si="998"/>
        <v>0</v>
      </c>
      <c r="V583" s="171">
        <f t="shared" si="998"/>
        <v>0</v>
      </c>
      <c r="W583" s="171">
        <f t="shared" si="998"/>
        <v>0</v>
      </c>
      <c r="X583" s="171">
        <f t="shared" si="998"/>
        <v>0</v>
      </c>
      <c r="Y583" s="174">
        <f t="shared" si="998"/>
        <v>0</v>
      </c>
      <c r="Z583" s="149" t="str">
        <f t="shared" ca="1" si="873"/>
        <v>nie</v>
      </c>
      <c r="AA583" s="368"/>
      <c r="AB583" s="150" t="str">
        <f t="shared" ca="1" si="895"/>
        <v>-</v>
      </c>
      <c r="AC583" s="151" t="str">
        <f t="shared" ca="1" si="967"/>
        <v>PO ZMIANIE</v>
      </c>
      <c r="AD583" s="152" t="str">
        <f t="shared" ca="1" si="883"/>
        <v>PO ZMIANIE</v>
      </c>
      <c r="AE583" s="153" t="str">
        <f t="shared" ca="1" si="968"/>
        <v>C/USN/V/P1/87</v>
      </c>
      <c r="AF583" s="154" t="str">
        <f t="shared" ca="1" si="969"/>
        <v>Termomodernizacja budynku Szkoły Podstawowej nr 343 przy ul. Kopcińskiego 7</v>
      </c>
      <c r="AG583" s="155">
        <f t="shared" ca="1" si="970"/>
        <v>80101</v>
      </c>
      <c r="AH583" s="155" t="str">
        <f t="shared" ca="1" si="971"/>
        <v>6050</v>
      </c>
      <c r="AI583" s="156" t="str">
        <f t="shared" ca="1" si="972"/>
        <v>SFUE/7/23</v>
      </c>
      <c r="AJ583" s="157" t="str">
        <f t="shared" ca="1" si="973"/>
        <v>WPF, w tym</v>
      </c>
      <c r="AK583" s="158" t="str">
        <f t="shared" ca="1" si="884"/>
        <v>C/USN/V/P1/87 80101 6050 SFUE/7/23</v>
      </c>
      <c r="AL583" s="158" t="str">
        <f t="shared" ca="1" si="885"/>
        <v>C/USN/V/P1/87 80101 6050 WPF, w tym</v>
      </c>
      <c r="AM583" s="159" t="str">
        <f t="shared" ca="1" si="886"/>
        <v>C/USN/V/P1/87 80101 6050 SFUE/7/23 WPF, w tym</v>
      </c>
      <c r="AN583" s="160">
        <f t="shared" ca="1" si="974"/>
        <v>934960</v>
      </c>
      <c r="AO583" s="161">
        <f t="shared" ca="1" si="975"/>
        <v>0</v>
      </c>
      <c r="AP583" s="162">
        <f t="shared" ca="1" si="976"/>
        <v>934960</v>
      </c>
      <c r="AQ583" s="163">
        <f t="shared" ca="1" si="977"/>
        <v>0</v>
      </c>
      <c r="AR583" s="164">
        <f t="shared" ca="1" si="978"/>
        <v>0</v>
      </c>
      <c r="AS583" s="164">
        <f t="shared" ca="1" si="979"/>
        <v>0</v>
      </c>
      <c r="AT583" s="164">
        <f t="shared" ca="1" si="980"/>
        <v>0</v>
      </c>
      <c r="AU583" s="164">
        <f t="shared" ca="1" si="981"/>
        <v>0</v>
      </c>
      <c r="AV583" s="164">
        <f t="shared" ca="1" si="982"/>
        <v>0</v>
      </c>
      <c r="AW583" s="164">
        <f t="shared" ca="1" si="983"/>
        <v>0</v>
      </c>
      <c r="AX583" s="164">
        <f t="shared" ca="1" si="984"/>
        <v>0</v>
      </c>
      <c r="AY583" s="164">
        <f t="shared" ca="1" si="985"/>
        <v>0</v>
      </c>
      <c r="AZ583" s="164">
        <f t="shared" ca="1" si="986"/>
        <v>0</v>
      </c>
      <c r="BA583" s="165" t="str">
        <f t="shared" ca="1" si="987"/>
        <v>nie</v>
      </c>
      <c r="BB583" s="166" t="str">
        <f t="shared" ca="1" si="921"/>
        <v>-</v>
      </c>
      <c r="BC583" s="165" t="str">
        <f t="shared" ca="1" si="874"/>
        <v>nie</v>
      </c>
    </row>
    <row r="584" spans="1:55" ht="14.45" hidden="1" customHeight="1" x14ac:dyDescent="0.25">
      <c r="A584" s="543"/>
      <c r="B584" s="543"/>
      <c r="C584" s="544"/>
      <c r="D584" s="506"/>
      <c r="E584" s="545"/>
      <c r="F584" s="545"/>
      <c r="G584" s="545"/>
      <c r="H584" s="498"/>
      <c r="I584" s="499"/>
      <c r="J584" s="177" t="s">
        <v>103</v>
      </c>
      <c r="K584" s="178">
        <f>SUM(N584:O584)</f>
        <v>0</v>
      </c>
      <c r="L584" s="179"/>
      <c r="M584" s="180"/>
      <c r="N584" s="172">
        <f>SUM(L584:M584)</f>
        <v>0</v>
      </c>
      <c r="O584" s="178">
        <f>SUM(P584:Y584)</f>
        <v>0</v>
      </c>
      <c r="P584" s="181"/>
      <c r="Q584" s="180"/>
      <c r="R584" s="182"/>
      <c r="S584" s="183"/>
      <c r="T584" s="180"/>
      <c r="U584" s="180"/>
      <c r="V584" s="180"/>
      <c r="W584" s="180"/>
      <c r="X584" s="180"/>
      <c r="Y584" s="182"/>
      <c r="Z584" s="149" t="str">
        <f t="shared" ca="1" si="873"/>
        <v>nie</v>
      </c>
      <c r="AA584" s="384"/>
      <c r="AB584" s="150" t="str">
        <f t="shared" ca="1" si="895"/>
        <v>-</v>
      </c>
      <c r="AC584" s="151" t="str">
        <f t="shared" ca="1" si="967"/>
        <v>PO ZMIANIE</v>
      </c>
      <c r="AD584" s="152" t="str">
        <f t="shared" ca="1" si="883"/>
        <v>PO ZMIANIE</v>
      </c>
      <c r="AE584" s="153" t="str">
        <f t="shared" ca="1" si="968"/>
        <v>C/USN/V/P1/87</v>
      </c>
      <c r="AF584" s="154" t="str">
        <f t="shared" ca="1" si="969"/>
        <v>Termomodernizacja budynku Szkoły Podstawowej nr 343 przy ul. Kopcińskiego 7</v>
      </c>
      <c r="AG584" s="155">
        <f t="shared" ca="1" si="970"/>
        <v>80101</v>
      </c>
      <c r="AH584" s="155" t="str">
        <f t="shared" ca="1" si="971"/>
        <v>6050</v>
      </c>
      <c r="AI584" s="156" t="str">
        <f t="shared" ca="1" si="972"/>
        <v>SFUE/7/23</v>
      </c>
      <c r="AJ584" s="157" t="str">
        <f t="shared" ca="1" si="973"/>
        <v>WPF/PM</v>
      </c>
      <c r="AK584" s="158" t="str">
        <f t="shared" ca="1" si="884"/>
        <v>C/USN/V/P1/87 80101 6050 SFUE/7/23</v>
      </c>
      <c r="AL584" s="158" t="str">
        <f t="shared" ca="1" si="885"/>
        <v>C/USN/V/P1/87 80101 6050 WPF/PM</v>
      </c>
      <c r="AM584" s="159" t="str">
        <f t="shared" ca="1" si="886"/>
        <v>C/USN/V/P1/87 80101 6050 SFUE/7/23 WPF/PM</v>
      </c>
      <c r="AN584" s="160">
        <f t="shared" ca="1" si="974"/>
        <v>0</v>
      </c>
      <c r="AO584" s="161">
        <f t="shared" ca="1" si="975"/>
        <v>0</v>
      </c>
      <c r="AP584" s="162">
        <f t="shared" ca="1" si="976"/>
        <v>0</v>
      </c>
      <c r="AQ584" s="163">
        <f t="shared" ca="1" si="977"/>
        <v>0</v>
      </c>
      <c r="AR584" s="164">
        <f t="shared" ca="1" si="978"/>
        <v>0</v>
      </c>
      <c r="AS584" s="164">
        <f t="shared" ca="1" si="979"/>
        <v>0</v>
      </c>
      <c r="AT584" s="164">
        <f t="shared" ca="1" si="980"/>
        <v>0</v>
      </c>
      <c r="AU584" s="164">
        <f t="shared" ca="1" si="981"/>
        <v>0</v>
      </c>
      <c r="AV584" s="164">
        <f t="shared" ca="1" si="982"/>
        <v>0</v>
      </c>
      <c r="AW584" s="164">
        <f t="shared" ca="1" si="983"/>
        <v>0</v>
      </c>
      <c r="AX584" s="164">
        <f t="shared" ca="1" si="984"/>
        <v>0</v>
      </c>
      <c r="AY584" s="164">
        <f t="shared" ca="1" si="985"/>
        <v>0</v>
      </c>
      <c r="AZ584" s="164">
        <f t="shared" ca="1" si="986"/>
        <v>0</v>
      </c>
      <c r="BA584" s="165" t="str">
        <f t="shared" ca="1" si="987"/>
        <v>nie</v>
      </c>
      <c r="BB584" s="166" t="str">
        <f t="shared" ca="1" si="921"/>
        <v>-</v>
      </c>
      <c r="BC584" s="165" t="str">
        <f t="shared" ca="1" si="874"/>
        <v>nie</v>
      </c>
    </row>
    <row r="585" spans="1:55" ht="14.45" hidden="1" customHeight="1" thickBot="1" x14ac:dyDescent="0.3">
      <c r="A585" s="548"/>
      <c r="B585" s="548"/>
      <c r="C585" s="549"/>
      <c r="D585" s="513"/>
      <c r="E585" s="547"/>
      <c r="F585" s="547"/>
      <c r="G585" s="547"/>
      <c r="H585" s="504"/>
      <c r="I585" s="499"/>
      <c r="J585" s="197" t="s">
        <v>104</v>
      </c>
      <c r="K585" s="198">
        <f>SUM(N585:O585)</f>
        <v>934960</v>
      </c>
      <c r="L585" s="199"/>
      <c r="M585" s="200">
        <f>934960-934960+934960</f>
        <v>934960</v>
      </c>
      <c r="N585" s="371">
        <f>SUM(L585:M585)</f>
        <v>934960</v>
      </c>
      <c r="O585" s="198">
        <f>SUM(P585:Y585)</f>
        <v>0</v>
      </c>
      <c r="P585" s="201"/>
      <c r="Q585" s="200"/>
      <c r="R585" s="202"/>
      <c r="S585" s="203"/>
      <c r="T585" s="200"/>
      <c r="U585" s="200"/>
      <c r="V585" s="200"/>
      <c r="W585" s="200"/>
      <c r="X585" s="200"/>
      <c r="Y585" s="202"/>
      <c r="Z585" s="149" t="str">
        <f t="shared" ca="1" si="873"/>
        <v>nie</v>
      </c>
      <c r="AA585" s="384"/>
      <c r="AB585" s="150" t="str">
        <f t="shared" ca="1" si="895"/>
        <v>-</v>
      </c>
      <c r="AC585" s="151" t="str">
        <f t="shared" ca="1" si="967"/>
        <v>PO ZMIANIE</v>
      </c>
      <c r="AD585" s="152" t="str">
        <f t="shared" ca="1" si="883"/>
        <v>PO ZMIANIE</v>
      </c>
      <c r="AE585" s="153" t="str">
        <f t="shared" ca="1" si="968"/>
        <v>C/USN/V/P1/87</v>
      </c>
      <c r="AF585" s="154" t="str">
        <f t="shared" ca="1" si="969"/>
        <v>Termomodernizacja budynku Szkoły Podstawowej nr 343 przy ul. Kopcińskiego 7</v>
      </c>
      <c r="AG585" s="155">
        <f t="shared" ca="1" si="970"/>
        <v>80101</v>
      </c>
      <c r="AH585" s="155" t="str">
        <f t="shared" ca="1" si="971"/>
        <v>6050</v>
      </c>
      <c r="AI585" s="156" t="str">
        <f t="shared" ca="1" si="972"/>
        <v>SFUE/7/23</v>
      </c>
      <c r="AJ585" s="157" t="str">
        <f t="shared" ca="1" si="973"/>
        <v>WPF/UM</v>
      </c>
      <c r="AK585" s="158" t="str">
        <f t="shared" ca="1" si="884"/>
        <v>C/USN/V/P1/87 80101 6050 SFUE/7/23</v>
      </c>
      <c r="AL585" s="158" t="str">
        <f t="shared" ca="1" si="885"/>
        <v>C/USN/V/P1/87 80101 6050 WPF/UM</v>
      </c>
      <c r="AM585" s="159" t="str">
        <f t="shared" ca="1" si="886"/>
        <v>C/USN/V/P1/87 80101 6050 SFUE/7/23 WPF/UM</v>
      </c>
      <c r="AN585" s="160">
        <f t="shared" ca="1" si="974"/>
        <v>934960</v>
      </c>
      <c r="AO585" s="161">
        <f t="shared" ca="1" si="975"/>
        <v>0</v>
      </c>
      <c r="AP585" s="162">
        <f t="shared" ca="1" si="976"/>
        <v>934960</v>
      </c>
      <c r="AQ585" s="163">
        <f t="shared" ca="1" si="977"/>
        <v>0</v>
      </c>
      <c r="AR585" s="164">
        <f t="shared" ca="1" si="978"/>
        <v>0</v>
      </c>
      <c r="AS585" s="164">
        <f t="shared" ca="1" si="979"/>
        <v>0</v>
      </c>
      <c r="AT585" s="164">
        <f t="shared" ca="1" si="980"/>
        <v>0</v>
      </c>
      <c r="AU585" s="164">
        <f t="shared" ca="1" si="981"/>
        <v>0</v>
      </c>
      <c r="AV585" s="164">
        <f t="shared" ca="1" si="982"/>
        <v>0</v>
      </c>
      <c r="AW585" s="164">
        <f t="shared" ca="1" si="983"/>
        <v>0</v>
      </c>
      <c r="AX585" s="164">
        <f t="shared" ca="1" si="984"/>
        <v>0</v>
      </c>
      <c r="AY585" s="164">
        <f t="shared" ca="1" si="985"/>
        <v>0</v>
      </c>
      <c r="AZ585" s="164">
        <f t="shared" ca="1" si="986"/>
        <v>0</v>
      </c>
      <c r="BA585" s="165" t="str">
        <f t="shared" ca="1" si="987"/>
        <v>nie</v>
      </c>
      <c r="BB585" s="166" t="str">
        <f t="shared" ca="1" si="921"/>
        <v>-</v>
      </c>
      <c r="BC585" s="165" t="str">
        <f t="shared" ca="1" si="874"/>
        <v>nie</v>
      </c>
    </row>
    <row r="586" spans="1:55" ht="14.45" hidden="1" customHeight="1" x14ac:dyDescent="0.25">
      <c r="A586" s="211" t="s">
        <v>91</v>
      </c>
      <c r="B586" s="212"/>
      <c r="C586" s="213"/>
      <c r="D586" s="212"/>
      <c r="E586" s="212"/>
      <c r="F586" s="212"/>
      <c r="G586" s="212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6"/>
      <c r="S586" s="147"/>
      <c r="T586" s="147"/>
      <c r="U586" s="147"/>
      <c r="V586" s="147"/>
      <c r="W586" s="147"/>
      <c r="X586" s="147"/>
      <c r="Y586" s="148"/>
      <c r="Z586" s="149" t="str">
        <f t="shared" ref="Z586:Z649" ca="1" si="999">IF(COUNTIF(A586,"*zmia*")&gt;0,OFFSET(Z586,1,0),IF(COUNTIF($AB$10:$AB$888,AE586)&gt;0,"tak","nie"))</f>
        <v>nie</v>
      </c>
      <c r="AA586" s="366"/>
      <c r="AB586" s="150" t="str">
        <f t="shared" ca="1" si="895"/>
        <v>-</v>
      </c>
      <c r="AC586" s="151" t="str">
        <f t="shared" ca="1" si="967"/>
        <v>PRZED ZMIANĄ</v>
      </c>
      <c r="AD586" s="152" t="str">
        <f t="shared" ca="1" si="883"/>
        <v/>
      </c>
      <c r="AE586" s="153" t="str">
        <f t="shared" ca="1" si="968"/>
        <v/>
      </c>
      <c r="AF586" s="154" t="str">
        <f t="shared" ca="1" si="969"/>
        <v/>
      </c>
      <c r="AG586" s="155" t="str">
        <f t="shared" ca="1" si="970"/>
        <v/>
      </c>
      <c r="AH586" s="155" t="str">
        <f t="shared" ca="1" si="971"/>
        <v/>
      </c>
      <c r="AI586" s="156" t="str">
        <f t="shared" ca="1" si="972"/>
        <v/>
      </c>
      <c r="AJ586" s="157" t="str">
        <f t="shared" ca="1" si="973"/>
        <v/>
      </c>
      <c r="AK586" s="158" t="str">
        <f t="shared" ca="1" si="884"/>
        <v/>
      </c>
      <c r="AL586" s="158" t="str">
        <f t="shared" ca="1" si="885"/>
        <v/>
      </c>
      <c r="AM586" s="159" t="str">
        <f t="shared" ca="1" si="886"/>
        <v/>
      </c>
      <c r="AN586" s="160" t="str">
        <f t="shared" ca="1" si="974"/>
        <v/>
      </c>
      <c r="AO586" s="161" t="str">
        <f t="shared" ca="1" si="975"/>
        <v/>
      </c>
      <c r="AP586" s="162" t="str">
        <f t="shared" ca="1" si="976"/>
        <v/>
      </c>
      <c r="AQ586" s="163" t="str">
        <f t="shared" ca="1" si="977"/>
        <v/>
      </c>
      <c r="AR586" s="164" t="str">
        <f t="shared" ca="1" si="978"/>
        <v/>
      </c>
      <c r="AS586" s="164" t="str">
        <f t="shared" ca="1" si="979"/>
        <v/>
      </c>
      <c r="AT586" s="164" t="str">
        <f t="shared" ca="1" si="980"/>
        <v/>
      </c>
      <c r="AU586" s="164" t="str">
        <f t="shared" ca="1" si="981"/>
        <v/>
      </c>
      <c r="AV586" s="164" t="str">
        <f t="shared" ca="1" si="982"/>
        <v/>
      </c>
      <c r="AW586" s="164" t="str">
        <f t="shared" ca="1" si="983"/>
        <v/>
      </c>
      <c r="AX586" s="164" t="str">
        <f t="shared" ca="1" si="984"/>
        <v/>
      </c>
      <c r="AY586" s="164" t="str">
        <f t="shared" ca="1" si="985"/>
        <v/>
      </c>
      <c r="AZ586" s="164" t="str">
        <f t="shared" ca="1" si="986"/>
        <v/>
      </c>
      <c r="BA586" s="165" t="str">
        <f t="shared" ca="1" si="987"/>
        <v>nie</v>
      </c>
      <c r="BB586" s="166" t="str">
        <f t="shared" ca="1" si="921"/>
        <v>-</v>
      </c>
      <c r="BC586" s="165" t="str">
        <f t="shared" ref="BC586:BC649" ca="1" si="1000">IF(AND(COUNTIF(AD586,"*zmi*")&gt;0,COUNTIF($BB$10:$BB$888,AK586)&gt;0),"tak","nie")</f>
        <v>nie</v>
      </c>
    </row>
    <row r="587" spans="1:55" ht="14.45" hidden="1" customHeight="1" x14ac:dyDescent="0.25">
      <c r="A587" s="543" t="s">
        <v>24</v>
      </c>
      <c r="B587" s="543" t="s">
        <v>175</v>
      </c>
      <c r="C587" s="544" t="s">
        <v>173</v>
      </c>
      <c r="D587" s="506" t="s">
        <v>174</v>
      </c>
      <c r="E587" s="545">
        <v>801</v>
      </c>
      <c r="F587" s="545">
        <v>80101</v>
      </c>
      <c r="G587" s="545" t="s">
        <v>176</v>
      </c>
      <c r="H587" s="507">
        <v>2023</v>
      </c>
      <c r="I587" s="499" t="str">
        <f ca="1">IF(COUNTIF(OFFSET(I587,-1,-8),"*propon*")&gt;0,OFFSET(I587,4,0),IF(Y587&gt;0,"2033",IF(X587&gt;0,"2032",IF(W587&gt;0,"2031",IF(V587&gt;0,"2030",IF(U587&gt;0,"2029",IF(T587&gt;0,"2028",IF(S587&gt;0,"2027",IF(R587&gt;0,"2026",IF(Q587&gt;0,"2025",IF(P587&gt;0,"2024",IF(M587&gt;0,"2023",IF(L587&gt;0,"2022","")))))))))))))</f>
        <v>2023</v>
      </c>
      <c r="J587" s="168" t="s">
        <v>94</v>
      </c>
      <c r="K587" s="169">
        <f>SUM(N587:O587)</f>
        <v>1219512</v>
      </c>
      <c r="L587" s="170">
        <f t="shared" ref="L587:M587" si="1001">SUM(L588:L589)</f>
        <v>0</v>
      </c>
      <c r="M587" s="171">
        <f t="shared" si="1001"/>
        <v>1219512</v>
      </c>
      <c r="N587" s="172">
        <f>SUM(L587:M587)</f>
        <v>1219512</v>
      </c>
      <c r="O587" s="169">
        <f>SUM(P587:Y587)</f>
        <v>0</v>
      </c>
      <c r="P587" s="173">
        <f t="shared" ref="P587:R587" si="1002">SUM(P588:P589)</f>
        <v>0</v>
      </c>
      <c r="Q587" s="171">
        <f t="shared" si="1002"/>
        <v>0</v>
      </c>
      <c r="R587" s="174">
        <f t="shared" si="1002"/>
        <v>0</v>
      </c>
      <c r="S587" s="175">
        <f t="shared" ref="S587:Y587" si="1003">SUM(S588:S589)</f>
        <v>0</v>
      </c>
      <c r="T587" s="171">
        <f t="shared" si="1003"/>
        <v>0</v>
      </c>
      <c r="U587" s="171">
        <f t="shared" si="1003"/>
        <v>0</v>
      </c>
      <c r="V587" s="171">
        <f t="shared" si="1003"/>
        <v>0</v>
      </c>
      <c r="W587" s="171">
        <f t="shared" si="1003"/>
        <v>0</v>
      </c>
      <c r="X587" s="171">
        <f t="shared" si="1003"/>
        <v>0</v>
      </c>
      <c r="Y587" s="174">
        <f t="shared" si="1003"/>
        <v>0</v>
      </c>
      <c r="Z587" s="149" t="str">
        <f t="shared" ca="1" si="999"/>
        <v>nie</v>
      </c>
      <c r="AA587" s="366"/>
      <c r="AB587" s="150" t="str">
        <f t="shared" ca="1" si="895"/>
        <v>-</v>
      </c>
      <c r="AC587" s="151" t="str">
        <f t="shared" ca="1" si="967"/>
        <v>PRZED ZMIANĄ</v>
      </c>
      <c r="AD587" s="152" t="str">
        <f t="shared" ca="1" si="883"/>
        <v>PRZED ZMIANĄ</v>
      </c>
      <c r="AE587" s="153" t="str">
        <f t="shared" ca="1" si="968"/>
        <v>C/USN/V/P1/87</v>
      </c>
      <c r="AF587" s="154" t="str">
        <f t="shared" ca="1" si="969"/>
        <v>Termomodernizacja budynku Szkoły Podstawowej nr 343 przy ul. Kopcińskiego 7</v>
      </c>
      <c r="AG587" s="155">
        <f t="shared" ca="1" si="970"/>
        <v>80101</v>
      </c>
      <c r="AH587" s="155" t="str">
        <f t="shared" ca="1" si="971"/>
        <v>6056</v>
      </c>
      <c r="AI587" s="156" t="str">
        <f t="shared" ca="1" si="972"/>
        <v>SFUE/7/23</v>
      </c>
      <c r="AJ587" s="157" t="str">
        <f t="shared" ca="1" si="973"/>
        <v>WPF, w tym</v>
      </c>
      <c r="AK587" s="158" t="str">
        <f t="shared" ca="1" si="884"/>
        <v>C/USN/V/P1/87 80101 6056 SFUE/7/23</v>
      </c>
      <c r="AL587" s="158" t="str">
        <f t="shared" ca="1" si="885"/>
        <v>C/USN/V/P1/87 80101 6056 WPF, w tym</v>
      </c>
      <c r="AM587" s="159" t="str">
        <f t="shared" ca="1" si="886"/>
        <v>C/USN/V/P1/87 80101 6056 SFUE/7/23 WPF, w tym</v>
      </c>
      <c r="AN587" s="160">
        <f t="shared" ca="1" si="974"/>
        <v>1219512</v>
      </c>
      <c r="AO587" s="161">
        <f t="shared" ca="1" si="975"/>
        <v>0</v>
      </c>
      <c r="AP587" s="162">
        <f t="shared" ca="1" si="976"/>
        <v>1219512</v>
      </c>
      <c r="AQ587" s="163">
        <f t="shared" ca="1" si="977"/>
        <v>0</v>
      </c>
      <c r="AR587" s="164">
        <f t="shared" ca="1" si="978"/>
        <v>0</v>
      </c>
      <c r="AS587" s="164">
        <f t="shared" ca="1" si="979"/>
        <v>0</v>
      </c>
      <c r="AT587" s="164">
        <f t="shared" ca="1" si="980"/>
        <v>0</v>
      </c>
      <c r="AU587" s="164">
        <f t="shared" ca="1" si="981"/>
        <v>0</v>
      </c>
      <c r="AV587" s="164">
        <f t="shared" ca="1" si="982"/>
        <v>0</v>
      </c>
      <c r="AW587" s="164">
        <f t="shared" ca="1" si="983"/>
        <v>0</v>
      </c>
      <c r="AX587" s="164">
        <f t="shared" ca="1" si="984"/>
        <v>0</v>
      </c>
      <c r="AY587" s="164">
        <f t="shared" ca="1" si="985"/>
        <v>0</v>
      </c>
      <c r="AZ587" s="164">
        <f t="shared" ca="1" si="986"/>
        <v>0</v>
      </c>
      <c r="BA587" s="165" t="str">
        <f t="shared" ca="1" si="987"/>
        <v>nie</v>
      </c>
      <c r="BB587" s="166" t="str">
        <f t="shared" ca="1" si="921"/>
        <v>-</v>
      </c>
      <c r="BC587" s="165" t="str">
        <f t="shared" ca="1" si="1000"/>
        <v>nie</v>
      </c>
    </row>
    <row r="588" spans="1:55" ht="14.45" hidden="1" customHeight="1" x14ac:dyDescent="0.25">
      <c r="A588" s="543"/>
      <c r="B588" s="543"/>
      <c r="C588" s="544"/>
      <c r="D588" s="506"/>
      <c r="E588" s="545"/>
      <c r="F588" s="545"/>
      <c r="G588" s="545"/>
      <c r="H588" s="498"/>
      <c r="I588" s="499"/>
      <c r="J588" s="177" t="s">
        <v>95</v>
      </c>
      <c r="K588" s="178">
        <f>SUM(N588:O588)</f>
        <v>0</v>
      </c>
      <c r="L588" s="179"/>
      <c r="M588" s="180"/>
      <c r="N588" s="172">
        <f>SUM(L588:M588)</f>
        <v>0</v>
      </c>
      <c r="O588" s="178">
        <f>SUM(P588:Y588)</f>
        <v>0</v>
      </c>
      <c r="P588" s="181"/>
      <c r="Q588" s="180"/>
      <c r="R588" s="182"/>
      <c r="S588" s="183"/>
      <c r="T588" s="180"/>
      <c r="U588" s="180"/>
      <c r="V588" s="180"/>
      <c r="W588" s="180"/>
      <c r="X588" s="180"/>
      <c r="Y588" s="182"/>
      <c r="Z588" s="149" t="str">
        <f t="shared" ca="1" si="999"/>
        <v>nie</v>
      </c>
      <c r="AA588" s="366"/>
      <c r="AB588" s="150" t="str">
        <f t="shared" ca="1" si="895"/>
        <v>-</v>
      </c>
      <c r="AC588" s="151" t="str">
        <f t="shared" ca="1" si="967"/>
        <v>PRZED ZMIANĄ</v>
      </c>
      <c r="AD588" s="152" t="str">
        <f t="shared" ca="1" si="883"/>
        <v>PRZED ZMIANĄ</v>
      </c>
      <c r="AE588" s="153" t="str">
        <f t="shared" ca="1" si="968"/>
        <v>C/USN/V/P1/87</v>
      </c>
      <c r="AF588" s="154" t="str">
        <f t="shared" ca="1" si="969"/>
        <v>Termomodernizacja budynku Szkoły Podstawowej nr 343 przy ul. Kopcińskiego 7</v>
      </c>
      <c r="AG588" s="155">
        <f t="shared" ca="1" si="970"/>
        <v>80101</v>
      </c>
      <c r="AH588" s="155" t="str">
        <f t="shared" ca="1" si="971"/>
        <v>6056</v>
      </c>
      <c r="AI588" s="156" t="str">
        <f t="shared" ca="1" si="972"/>
        <v>SFUE/7/23</v>
      </c>
      <c r="AJ588" s="157" t="str">
        <f t="shared" ca="1" si="973"/>
        <v>WPF/PM</v>
      </c>
      <c r="AK588" s="158" t="str">
        <f t="shared" ca="1" si="884"/>
        <v>C/USN/V/P1/87 80101 6056 SFUE/7/23</v>
      </c>
      <c r="AL588" s="158" t="str">
        <f t="shared" ca="1" si="885"/>
        <v>C/USN/V/P1/87 80101 6056 WPF/PM</v>
      </c>
      <c r="AM588" s="159" t="str">
        <f t="shared" ca="1" si="886"/>
        <v>C/USN/V/P1/87 80101 6056 SFUE/7/23 WPF/PM</v>
      </c>
      <c r="AN588" s="160">
        <f t="shared" ca="1" si="974"/>
        <v>0</v>
      </c>
      <c r="AO588" s="161">
        <f t="shared" ca="1" si="975"/>
        <v>0</v>
      </c>
      <c r="AP588" s="162">
        <f t="shared" ca="1" si="976"/>
        <v>0</v>
      </c>
      <c r="AQ588" s="163">
        <f t="shared" ca="1" si="977"/>
        <v>0</v>
      </c>
      <c r="AR588" s="164">
        <f t="shared" ca="1" si="978"/>
        <v>0</v>
      </c>
      <c r="AS588" s="164">
        <f t="shared" ca="1" si="979"/>
        <v>0</v>
      </c>
      <c r="AT588" s="164">
        <f t="shared" ca="1" si="980"/>
        <v>0</v>
      </c>
      <c r="AU588" s="164">
        <f t="shared" ca="1" si="981"/>
        <v>0</v>
      </c>
      <c r="AV588" s="164">
        <f t="shared" ca="1" si="982"/>
        <v>0</v>
      </c>
      <c r="AW588" s="164">
        <f t="shared" ca="1" si="983"/>
        <v>0</v>
      </c>
      <c r="AX588" s="164">
        <f t="shared" ca="1" si="984"/>
        <v>0</v>
      </c>
      <c r="AY588" s="164">
        <f t="shared" ca="1" si="985"/>
        <v>0</v>
      </c>
      <c r="AZ588" s="164">
        <f t="shared" ca="1" si="986"/>
        <v>0</v>
      </c>
      <c r="BA588" s="165" t="str">
        <f t="shared" ca="1" si="987"/>
        <v>nie</v>
      </c>
      <c r="BB588" s="166" t="str">
        <f t="shared" ca="1" si="921"/>
        <v>-</v>
      </c>
      <c r="BC588" s="165" t="str">
        <f t="shared" ca="1" si="1000"/>
        <v>nie</v>
      </c>
    </row>
    <row r="589" spans="1:55" ht="14.45" hidden="1" customHeight="1" x14ac:dyDescent="0.25">
      <c r="A589" s="543"/>
      <c r="B589" s="543"/>
      <c r="C589" s="544"/>
      <c r="D589" s="506"/>
      <c r="E589" s="545"/>
      <c r="F589" s="545"/>
      <c r="G589" s="545"/>
      <c r="H589" s="546"/>
      <c r="I589" s="499"/>
      <c r="J589" s="177" t="s">
        <v>96</v>
      </c>
      <c r="K589" s="178">
        <f>SUM(N589:O589)</f>
        <v>1219512</v>
      </c>
      <c r="L589" s="184"/>
      <c r="M589" s="180">
        <v>1219512</v>
      </c>
      <c r="N589" s="172">
        <f>SUM(L589:M589)</f>
        <v>1219512</v>
      </c>
      <c r="O589" s="178">
        <f>SUM(P589:Y589)</f>
        <v>0</v>
      </c>
      <c r="P589" s="181"/>
      <c r="Q589" s="180"/>
      <c r="R589" s="182"/>
      <c r="S589" s="183"/>
      <c r="T589" s="180"/>
      <c r="U589" s="180"/>
      <c r="V589" s="180"/>
      <c r="W589" s="180"/>
      <c r="X589" s="180"/>
      <c r="Y589" s="182"/>
      <c r="Z589" s="149" t="str">
        <f t="shared" ca="1" si="999"/>
        <v>nie</v>
      </c>
      <c r="AA589" s="366"/>
      <c r="AB589" s="150" t="str">
        <f t="shared" ca="1" si="895"/>
        <v>-</v>
      </c>
      <c r="AC589" s="151" t="str">
        <f t="shared" ca="1" si="967"/>
        <v>PRZED ZMIANĄ</v>
      </c>
      <c r="AD589" s="152" t="str">
        <f t="shared" ca="1" si="883"/>
        <v>PRZED ZMIANĄ</v>
      </c>
      <c r="AE589" s="153" t="str">
        <f t="shared" ca="1" si="968"/>
        <v>C/USN/V/P1/87</v>
      </c>
      <c r="AF589" s="154" t="str">
        <f t="shared" ca="1" si="969"/>
        <v>Termomodernizacja budynku Szkoły Podstawowej nr 343 przy ul. Kopcińskiego 7</v>
      </c>
      <c r="AG589" s="155">
        <f t="shared" ca="1" si="970"/>
        <v>80101</v>
      </c>
      <c r="AH589" s="155" t="str">
        <f t="shared" ca="1" si="971"/>
        <v>6056</v>
      </c>
      <c r="AI589" s="156" t="str">
        <f t="shared" ca="1" si="972"/>
        <v>SFUE/7/23</v>
      </c>
      <c r="AJ589" s="157" t="str">
        <f t="shared" ca="1" si="973"/>
        <v>WPF/UM</v>
      </c>
      <c r="AK589" s="158" t="str">
        <f t="shared" ca="1" si="884"/>
        <v>C/USN/V/P1/87 80101 6056 SFUE/7/23</v>
      </c>
      <c r="AL589" s="158" t="str">
        <f t="shared" ca="1" si="885"/>
        <v>C/USN/V/P1/87 80101 6056 WPF/UM</v>
      </c>
      <c r="AM589" s="159" t="str">
        <f t="shared" ca="1" si="886"/>
        <v>C/USN/V/P1/87 80101 6056 SFUE/7/23 WPF/UM</v>
      </c>
      <c r="AN589" s="160">
        <f t="shared" ca="1" si="974"/>
        <v>1219512</v>
      </c>
      <c r="AO589" s="161">
        <f t="shared" ca="1" si="975"/>
        <v>0</v>
      </c>
      <c r="AP589" s="162">
        <f t="shared" ca="1" si="976"/>
        <v>1219512</v>
      </c>
      <c r="AQ589" s="163">
        <f t="shared" ca="1" si="977"/>
        <v>0</v>
      </c>
      <c r="AR589" s="164">
        <f t="shared" ca="1" si="978"/>
        <v>0</v>
      </c>
      <c r="AS589" s="164">
        <f t="shared" ca="1" si="979"/>
        <v>0</v>
      </c>
      <c r="AT589" s="164">
        <f t="shared" ca="1" si="980"/>
        <v>0</v>
      </c>
      <c r="AU589" s="164">
        <f t="shared" ca="1" si="981"/>
        <v>0</v>
      </c>
      <c r="AV589" s="164">
        <f t="shared" ca="1" si="982"/>
        <v>0</v>
      </c>
      <c r="AW589" s="164">
        <f t="shared" ca="1" si="983"/>
        <v>0</v>
      </c>
      <c r="AX589" s="164">
        <f t="shared" ca="1" si="984"/>
        <v>0</v>
      </c>
      <c r="AY589" s="164">
        <f t="shared" ca="1" si="985"/>
        <v>0</v>
      </c>
      <c r="AZ589" s="164">
        <f t="shared" ca="1" si="986"/>
        <v>0</v>
      </c>
      <c r="BA589" s="165" t="str">
        <f t="shared" ca="1" si="987"/>
        <v>nie</v>
      </c>
      <c r="BB589" s="166" t="str">
        <f t="shared" ca="1" si="921"/>
        <v>-</v>
      </c>
      <c r="BC589" s="165" t="str">
        <f t="shared" ca="1" si="1000"/>
        <v>nie</v>
      </c>
    </row>
    <row r="590" spans="1:55" ht="14.45" hidden="1" customHeight="1" x14ac:dyDescent="0.25">
      <c r="A590" s="205" t="s">
        <v>97</v>
      </c>
      <c r="B590" s="206"/>
      <c r="C590" s="207"/>
      <c r="D590" s="206"/>
      <c r="E590" s="206"/>
      <c r="F590" s="206"/>
      <c r="G590" s="206"/>
      <c r="H590" s="186"/>
      <c r="I590" s="186"/>
      <c r="J590" s="186"/>
      <c r="K590" s="186"/>
      <c r="L590" s="186"/>
      <c r="M590" s="186"/>
      <c r="N590" s="186"/>
      <c r="O590" s="186"/>
      <c r="P590" s="186"/>
      <c r="Q590" s="186"/>
      <c r="R590" s="188"/>
      <c r="S590" s="189"/>
      <c r="T590" s="189"/>
      <c r="U590" s="189"/>
      <c r="V590" s="189"/>
      <c r="W590" s="189"/>
      <c r="X590" s="189"/>
      <c r="Y590" s="190"/>
      <c r="Z590" s="149" t="str">
        <f t="shared" ca="1" si="999"/>
        <v>nie</v>
      </c>
      <c r="AA590" s="366"/>
      <c r="AB590" s="150" t="str">
        <f t="shared" ca="1" si="895"/>
        <v>-</v>
      </c>
      <c r="AC590" s="151" t="str">
        <f t="shared" ca="1" si="967"/>
        <v>PROPONOWANA ZMIANA</v>
      </c>
      <c r="AD590" s="152" t="str">
        <f t="shared" ca="1" si="883"/>
        <v/>
      </c>
      <c r="AE590" s="153" t="str">
        <f t="shared" ca="1" si="968"/>
        <v/>
      </c>
      <c r="AF590" s="154" t="str">
        <f t="shared" ca="1" si="969"/>
        <v/>
      </c>
      <c r="AG590" s="155" t="str">
        <f t="shared" ca="1" si="970"/>
        <v/>
      </c>
      <c r="AH590" s="155" t="str">
        <f t="shared" ca="1" si="971"/>
        <v/>
      </c>
      <c r="AI590" s="156" t="str">
        <f t="shared" ca="1" si="972"/>
        <v/>
      </c>
      <c r="AJ590" s="157" t="str">
        <f t="shared" ca="1" si="973"/>
        <v/>
      </c>
      <c r="AK590" s="158" t="str">
        <f t="shared" ca="1" si="884"/>
        <v/>
      </c>
      <c r="AL590" s="158" t="str">
        <f t="shared" ca="1" si="885"/>
        <v/>
      </c>
      <c r="AM590" s="159" t="str">
        <f t="shared" ca="1" si="886"/>
        <v/>
      </c>
      <c r="AN590" s="160" t="str">
        <f t="shared" ca="1" si="974"/>
        <v/>
      </c>
      <c r="AO590" s="161" t="str">
        <f t="shared" ca="1" si="975"/>
        <v/>
      </c>
      <c r="AP590" s="162" t="str">
        <f t="shared" ca="1" si="976"/>
        <v/>
      </c>
      <c r="AQ590" s="163" t="str">
        <f t="shared" ca="1" si="977"/>
        <v/>
      </c>
      <c r="AR590" s="164" t="str">
        <f t="shared" ca="1" si="978"/>
        <v/>
      </c>
      <c r="AS590" s="164" t="str">
        <f t="shared" ca="1" si="979"/>
        <v/>
      </c>
      <c r="AT590" s="164" t="str">
        <f t="shared" ca="1" si="980"/>
        <v/>
      </c>
      <c r="AU590" s="164" t="str">
        <f t="shared" ca="1" si="981"/>
        <v/>
      </c>
      <c r="AV590" s="164" t="str">
        <f t="shared" ca="1" si="982"/>
        <v/>
      </c>
      <c r="AW590" s="164" t="str">
        <f t="shared" ca="1" si="983"/>
        <v/>
      </c>
      <c r="AX590" s="164" t="str">
        <f t="shared" ca="1" si="984"/>
        <v/>
      </c>
      <c r="AY590" s="164" t="str">
        <f t="shared" ca="1" si="985"/>
        <v/>
      </c>
      <c r="AZ590" s="164" t="str">
        <f t="shared" ca="1" si="986"/>
        <v/>
      </c>
      <c r="BA590" s="165" t="str">
        <f t="shared" ca="1" si="987"/>
        <v>nie</v>
      </c>
      <c r="BB590" s="166" t="str">
        <f t="shared" ca="1" si="921"/>
        <v>-</v>
      </c>
      <c r="BC590" s="165" t="str">
        <f t="shared" ca="1" si="1000"/>
        <v>nie</v>
      </c>
    </row>
    <row r="591" spans="1:55" ht="14.45" hidden="1" customHeight="1" x14ac:dyDescent="0.25">
      <c r="A591" s="543" t="s">
        <v>24</v>
      </c>
      <c r="B591" s="543" t="s">
        <v>175</v>
      </c>
      <c r="C591" s="544" t="s">
        <v>173</v>
      </c>
      <c r="D591" s="506" t="s">
        <v>174</v>
      </c>
      <c r="E591" s="545">
        <v>801</v>
      </c>
      <c r="F591" s="545">
        <v>80101</v>
      </c>
      <c r="G591" s="545" t="s">
        <v>176</v>
      </c>
      <c r="H591" s="507">
        <v>2023</v>
      </c>
      <c r="I591" s="499" t="str">
        <f ca="1">IF(COUNTIF(OFFSET(I591,-1,-8),"*propon*")&gt;0,OFFSET(I591,4,0),IF(Y591&gt;0,"2033",IF(X591&gt;0,"2032",IF(W591&gt;0,"2031",IF(V591&gt;0,"2030",IF(U591&gt;0,"2029",IF(T591&gt;0,"2028",IF(S591&gt;0,"2027",IF(R591&gt;0,"2026",IF(Q591&gt;0,"2025",IF(P591&gt;0,"2024",IF(M591&gt;0,"2023",IF(L591&gt;0,"2022","")))))))))))))</f>
        <v>2023</v>
      </c>
      <c r="J591" s="168" t="s">
        <v>98</v>
      </c>
      <c r="K591" s="169">
        <f>SUM(N591:O591)</f>
        <v>0</v>
      </c>
      <c r="L591" s="170">
        <f t="shared" ref="L591:M591" si="1004">SUM(L592:L593)</f>
        <v>0</v>
      </c>
      <c r="M591" s="171">
        <f t="shared" si="1004"/>
        <v>0</v>
      </c>
      <c r="N591" s="172">
        <f>SUM(L591:M591)</f>
        <v>0</v>
      </c>
      <c r="O591" s="169">
        <f>SUM(P591:Y591)</f>
        <v>0</v>
      </c>
      <c r="P591" s="173">
        <f t="shared" ref="P591:R591" si="1005">SUM(P592:P593)</f>
        <v>0</v>
      </c>
      <c r="Q591" s="171">
        <f t="shared" si="1005"/>
        <v>0</v>
      </c>
      <c r="R591" s="174">
        <f t="shared" si="1005"/>
        <v>0</v>
      </c>
      <c r="S591" s="175">
        <f t="shared" ref="S591:Y591" si="1006">SUM(S592:S593)</f>
        <v>0</v>
      </c>
      <c r="T591" s="171">
        <f t="shared" si="1006"/>
        <v>0</v>
      </c>
      <c r="U591" s="171">
        <f t="shared" si="1006"/>
        <v>0</v>
      </c>
      <c r="V591" s="171">
        <f t="shared" si="1006"/>
        <v>0</v>
      </c>
      <c r="W591" s="171">
        <f t="shared" si="1006"/>
        <v>0</v>
      </c>
      <c r="X591" s="171">
        <f t="shared" si="1006"/>
        <v>0</v>
      </c>
      <c r="Y591" s="174">
        <f t="shared" si="1006"/>
        <v>0</v>
      </c>
      <c r="Z591" s="149" t="str">
        <f t="shared" ca="1" si="999"/>
        <v>nie</v>
      </c>
      <c r="AA591" s="366"/>
      <c r="AB591" s="150" t="str">
        <f t="shared" ca="1" si="895"/>
        <v>-</v>
      </c>
      <c r="AC591" s="151" t="str">
        <f t="shared" ca="1" si="967"/>
        <v>PROPONOWANA ZMIANA</v>
      </c>
      <c r="AD591" s="152" t="str">
        <f t="shared" ca="1" si="883"/>
        <v>PROPONOWANA ZMIANA</v>
      </c>
      <c r="AE591" s="153" t="str">
        <f t="shared" ca="1" si="968"/>
        <v>C/USN/V/P1/87</v>
      </c>
      <c r="AF591" s="154" t="str">
        <f t="shared" ca="1" si="969"/>
        <v>Termomodernizacja budynku Szkoły Podstawowej nr 343 przy ul. Kopcińskiego 7</v>
      </c>
      <c r="AG591" s="155">
        <f t="shared" ca="1" si="970"/>
        <v>80101</v>
      </c>
      <c r="AH591" s="155" t="str">
        <f t="shared" ca="1" si="971"/>
        <v>6056</v>
      </c>
      <c r="AI591" s="156" t="str">
        <f t="shared" ca="1" si="972"/>
        <v>SFUE/7/23</v>
      </c>
      <c r="AJ591" s="157" t="str">
        <f t="shared" ca="1" si="973"/>
        <v>WPF, w tym</v>
      </c>
      <c r="AK591" s="158" t="str">
        <f t="shared" ca="1" si="884"/>
        <v>C/USN/V/P1/87 80101 6056 SFUE/7/23</v>
      </c>
      <c r="AL591" s="158" t="str">
        <f t="shared" ca="1" si="885"/>
        <v>C/USN/V/P1/87 80101 6056 WPF, w tym</v>
      </c>
      <c r="AM591" s="159" t="str">
        <f t="shared" ca="1" si="886"/>
        <v>C/USN/V/P1/87 80101 6056 SFUE/7/23 WPF, w tym</v>
      </c>
      <c r="AN591" s="160">
        <f t="shared" ca="1" si="974"/>
        <v>0</v>
      </c>
      <c r="AO591" s="161">
        <f t="shared" ca="1" si="975"/>
        <v>0</v>
      </c>
      <c r="AP591" s="162">
        <f t="shared" ca="1" si="976"/>
        <v>0</v>
      </c>
      <c r="AQ591" s="163">
        <f t="shared" ca="1" si="977"/>
        <v>0</v>
      </c>
      <c r="AR591" s="164">
        <f t="shared" ca="1" si="978"/>
        <v>0</v>
      </c>
      <c r="AS591" s="164">
        <f t="shared" ca="1" si="979"/>
        <v>0</v>
      </c>
      <c r="AT591" s="164">
        <f t="shared" ca="1" si="980"/>
        <v>0</v>
      </c>
      <c r="AU591" s="164">
        <f t="shared" ca="1" si="981"/>
        <v>0</v>
      </c>
      <c r="AV591" s="164">
        <f t="shared" ca="1" si="982"/>
        <v>0</v>
      </c>
      <c r="AW591" s="164">
        <f t="shared" ca="1" si="983"/>
        <v>0</v>
      </c>
      <c r="AX591" s="164">
        <f t="shared" ca="1" si="984"/>
        <v>0</v>
      </c>
      <c r="AY591" s="164">
        <f t="shared" ca="1" si="985"/>
        <v>0</v>
      </c>
      <c r="AZ591" s="164">
        <f t="shared" ca="1" si="986"/>
        <v>0</v>
      </c>
      <c r="BA591" s="165" t="str">
        <f t="shared" ca="1" si="987"/>
        <v>nie</v>
      </c>
      <c r="BB591" s="166" t="str">
        <f t="shared" ca="1" si="921"/>
        <v>-</v>
      </c>
      <c r="BC591" s="165" t="str">
        <f t="shared" ca="1" si="1000"/>
        <v>nie</v>
      </c>
    </row>
    <row r="592" spans="1:55" ht="14.45" hidden="1" customHeight="1" x14ac:dyDescent="0.25">
      <c r="A592" s="543"/>
      <c r="B592" s="543"/>
      <c r="C592" s="544"/>
      <c r="D592" s="506"/>
      <c r="E592" s="545"/>
      <c r="F592" s="545"/>
      <c r="G592" s="545"/>
      <c r="H592" s="498"/>
      <c r="I592" s="499"/>
      <c r="J592" s="177" t="s">
        <v>99</v>
      </c>
      <c r="K592" s="178">
        <f>SUM(N592:O592)</f>
        <v>0</v>
      </c>
      <c r="L592" s="179">
        <f t="shared" ref="L592:M592" si="1007">L596-L588</f>
        <v>0</v>
      </c>
      <c r="M592" s="180">
        <f t="shared" si="1007"/>
        <v>0</v>
      </c>
      <c r="N592" s="172">
        <f>SUM(L592:M592)</f>
        <v>0</v>
      </c>
      <c r="O592" s="178">
        <f>SUM(P592:Y592)</f>
        <v>0</v>
      </c>
      <c r="P592" s="181">
        <f t="shared" ref="P592:R592" si="1008">P596-P588</f>
        <v>0</v>
      </c>
      <c r="Q592" s="180">
        <f t="shared" si="1008"/>
        <v>0</v>
      </c>
      <c r="R592" s="182">
        <f t="shared" si="1008"/>
        <v>0</v>
      </c>
      <c r="S592" s="183">
        <f t="shared" ref="S592:Y593" si="1009">S596-S588</f>
        <v>0</v>
      </c>
      <c r="T592" s="180">
        <f t="shared" si="1009"/>
        <v>0</v>
      </c>
      <c r="U592" s="180">
        <f t="shared" si="1009"/>
        <v>0</v>
      </c>
      <c r="V592" s="180">
        <f t="shared" si="1009"/>
        <v>0</v>
      </c>
      <c r="W592" s="180">
        <f t="shared" si="1009"/>
        <v>0</v>
      </c>
      <c r="X592" s="180">
        <f t="shared" si="1009"/>
        <v>0</v>
      </c>
      <c r="Y592" s="182">
        <f t="shared" si="1009"/>
        <v>0</v>
      </c>
      <c r="Z592" s="149" t="str">
        <f t="shared" ca="1" si="999"/>
        <v>nie</v>
      </c>
      <c r="AA592" s="366"/>
      <c r="AB592" s="150" t="str">
        <f t="shared" ca="1" si="895"/>
        <v>-</v>
      </c>
      <c r="AC592" s="151" t="str">
        <f t="shared" ca="1" si="967"/>
        <v>PROPONOWANA ZMIANA</v>
      </c>
      <c r="AD592" s="152" t="str">
        <f t="shared" ca="1" si="883"/>
        <v>PROPONOWANA ZMIANA</v>
      </c>
      <c r="AE592" s="153" t="str">
        <f t="shared" ca="1" si="968"/>
        <v>C/USN/V/P1/87</v>
      </c>
      <c r="AF592" s="154" t="str">
        <f t="shared" ca="1" si="969"/>
        <v>Termomodernizacja budynku Szkoły Podstawowej nr 343 przy ul. Kopcińskiego 7</v>
      </c>
      <c r="AG592" s="155">
        <f t="shared" ca="1" si="970"/>
        <v>80101</v>
      </c>
      <c r="AH592" s="155" t="str">
        <f t="shared" ca="1" si="971"/>
        <v>6056</v>
      </c>
      <c r="AI592" s="156" t="str">
        <f t="shared" ca="1" si="972"/>
        <v>SFUE/7/23</v>
      </c>
      <c r="AJ592" s="157" t="str">
        <f t="shared" ca="1" si="973"/>
        <v>WPF/PM</v>
      </c>
      <c r="AK592" s="158" t="str">
        <f t="shared" ca="1" si="884"/>
        <v>C/USN/V/P1/87 80101 6056 SFUE/7/23</v>
      </c>
      <c r="AL592" s="158" t="str">
        <f t="shared" ca="1" si="885"/>
        <v>C/USN/V/P1/87 80101 6056 WPF/PM</v>
      </c>
      <c r="AM592" s="159" t="str">
        <f t="shared" ca="1" si="886"/>
        <v>C/USN/V/P1/87 80101 6056 SFUE/7/23 WPF/PM</v>
      </c>
      <c r="AN592" s="160">
        <f t="shared" ca="1" si="974"/>
        <v>0</v>
      </c>
      <c r="AO592" s="161">
        <f t="shared" ca="1" si="975"/>
        <v>0</v>
      </c>
      <c r="AP592" s="162">
        <f t="shared" ca="1" si="976"/>
        <v>0</v>
      </c>
      <c r="AQ592" s="163">
        <f t="shared" ca="1" si="977"/>
        <v>0</v>
      </c>
      <c r="AR592" s="164">
        <f t="shared" ca="1" si="978"/>
        <v>0</v>
      </c>
      <c r="AS592" s="164">
        <f t="shared" ca="1" si="979"/>
        <v>0</v>
      </c>
      <c r="AT592" s="164">
        <f t="shared" ca="1" si="980"/>
        <v>0</v>
      </c>
      <c r="AU592" s="164">
        <f t="shared" ca="1" si="981"/>
        <v>0</v>
      </c>
      <c r="AV592" s="164">
        <f t="shared" ca="1" si="982"/>
        <v>0</v>
      </c>
      <c r="AW592" s="164">
        <f t="shared" ca="1" si="983"/>
        <v>0</v>
      </c>
      <c r="AX592" s="164">
        <f t="shared" ca="1" si="984"/>
        <v>0</v>
      </c>
      <c r="AY592" s="164">
        <f t="shared" ca="1" si="985"/>
        <v>0</v>
      </c>
      <c r="AZ592" s="164">
        <f t="shared" ca="1" si="986"/>
        <v>0</v>
      </c>
      <c r="BA592" s="165" t="str">
        <f t="shared" ca="1" si="987"/>
        <v>nie</v>
      </c>
      <c r="BB592" s="166" t="str">
        <f t="shared" ca="1" si="921"/>
        <v>-</v>
      </c>
      <c r="BC592" s="165" t="str">
        <f t="shared" ca="1" si="1000"/>
        <v>nie</v>
      </c>
    </row>
    <row r="593" spans="1:55" ht="14.45" hidden="1" customHeight="1" x14ac:dyDescent="0.25">
      <c r="A593" s="543"/>
      <c r="B593" s="543"/>
      <c r="C593" s="544"/>
      <c r="D593" s="506"/>
      <c r="E593" s="545"/>
      <c r="F593" s="545"/>
      <c r="G593" s="545"/>
      <c r="H593" s="546"/>
      <c r="I593" s="499"/>
      <c r="J593" s="177" t="s">
        <v>100</v>
      </c>
      <c r="K593" s="178">
        <f>SUM(N593:O593)</f>
        <v>0</v>
      </c>
      <c r="L593" s="179">
        <f t="shared" ref="L593:M593" si="1010">L597-L589</f>
        <v>0</v>
      </c>
      <c r="M593" s="180">
        <f t="shared" si="1010"/>
        <v>0</v>
      </c>
      <c r="N593" s="172">
        <f>SUM(L593:M593)</f>
        <v>0</v>
      </c>
      <c r="O593" s="178">
        <f>SUM(P593:Y593)</f>
        <v>0</v>
      </c>
      <c r="P593" s="181">
        <f t="shared" ref="P593:R593" si="1011">P597-P589</f>
        <v>0</v>
      </c>
      <c r="Q593" s="180">
        <f t="shared" si="1011"/>
        <v>0</v>
      </c>
      <c r="R593" s="182">
        <f t="shared" si="1011"/>
        <v>0</v>
      </c>
      <c r="S593" s="183">
        <f t="shared" si="1009"/>
        <v>0</v>
      </c>
      <c r="T593" s="180">
        <f t="shared" si="1009"/>
        <v>0</v>
      </c>
      <c r="U593" s="180">
        <f t="shared" si="1009"/>
        <v>0</v>
      </c>
      <c r="V593" s="180">
        <f t="shared" si="1009"/>
        <v>0</v>
      </c>
      <c r="W593" s="180">
        <f t="shared" si="1009"/>
        <v>0</v>
      </c>
      <c r="X593" s="180">
        <f t="shared" si="1009"/>
        <v>0</v>
      </c>
      <c r="Y593" s="182">
        <f t="shared" si="1009"/>
        <v>0</v>
      </c>
      <c r="Z593" s="149" t="str">
        <f t="shared" ca="1" si="999"/>
        <v>nie</v>
      </c>
      <c r="AA593" s="366"/>
      <c r="AB593" s="150" t="str">
        <f t="shared" ca="1" si="895"/>
        <v>-</v>
      </c>
      <c r="AC593" s="151" t="str">
        <f t="shared" ca="1" si="967"/>
        <v>PROPONOWANA ZMIANA</v>
      </c>
      <c r="AD593" s="152" t="str">
        <f t="shared" ca="1" si="883"/>
        <v>PROPONOWANA ZMIANA</v>
      </c>
      <c r="AE593" s="153" t="str">
        <f t="shared" ca="1" si="968"/>
        <v>C/USN/V/P1/87</v>
      </c>
      <c r="AF593" s="154" t="str">
        <f t="shared" ca="1" si="969"/>
        <v>Termomodernizacja budynku Szkoły Podstawowej nr 343 przy ul. Kopcińskiego 7</v>
      </c>
      <c r="AG593" s="155">
        <f t="shared" ca="1" si="970"/>
        <v>80101</v>
      </c>
      <c r="AH593" s="155" t="str">
        <f t="shared" ca="1" si="971"/>
        <v>6056</v>
      </c>
      <c r="AI593" s="156" t="str">
        <f t="shared" ca="1" si="972"/>
        <v>SFUE/7/23</v>
      </c>
      <c r="AJ593" s="157" t="str">
        <f t="shared" ca="1" si="973"/>
        <v>WPF/UM</v>
      </c>
      <c r="AK593" s="158" t="str">
        <f t="shared" ca="1" si="884"/>
        <v>C/USN/V/P1/87 80101 6056 SFUE/7/23</v>
      </c>
      <c r="AL593" s="158" t="str">
        <f t="shared" ca="1" si="885"/>
        <v>C/USN/V/P1/87 80101 6056 WPF/UM</v>
      </c>
      <c r="AM593" s="159" t="str">
        <f t="shared" ca="1" si="886"/>
        <v>C/USN/V/P1/87 80101 6056 SFUE/7/23 WPF/UM</v>
      </c>
      <c r="AN593" s="160">
        <f t="shared" ca="1" si="974"/>
        <v>0</v>
      </c>
      <c r="AO593" s="161">
        <f t="shared" ca="1" si="975"/>
        <v>0</v>
      </c>
      <c r="AP593" s="162">
        <f t="shared" ca="1" si="976"/>
        <v>0</v>
      </c>
      <c r="AQ593" s="163">
        <f t="shared" ca="1" si="977"/>
        <v>0</v>
      </c>
      <c r="AR593" s="164">
        <f t="shared" ca="1" si="978"/>
        <v>0</v>
      </c>
      <c r="AS593" s="164">
        <f t="shared" ca="1" si="979"/>
        <v>0</v>
      </c>
      <c r="AT593" s="164">
        <f t="shared" ca="1" si="980"/>
        <v>0</v>
      </c>
      <c r="AU593" s="164">
        <f t="shared" ca="1" si="981"/>
        <v>0</v>
      </c>
      <c r="AV593" s="164">
        <f t="shared" ca="1" si="982"/>
        <v>0</v>
      </c>
      <c r="AW593" s="164">
        <f t="shared" ca="1" si="983"/>
        <v>0</v>
      </c>
      <c r="AX593" s="164">
        <f t="shared" ca="1" si="984"/>
        <v>0</v>
      </c>
      <c r="AY593" s="164">
        <f t="shared" ca="1" si="985"/>
        <v>0</v>
      </c>
      <c r="AZ593" s="164">
        <f t="shared" ca="1" si="986"/>
        <v>0</v>
      </c>
      <c r="BA593" s="165" t="str">
        <f t="shared" ca="1" si="987"/>
        <v>nie</v>
      </c>
      <c r="BB593" s="166" t="str">
        <f t="shared" ca="1" si="921"/>
        <v>-</v>
      </c>
      <c r="BC593" s="165" t="str">
        <f t="shared" ca="1" si="1000"/>
        <v>nie</v>
      </c>
    </row>
    <row r="594" spans="1:55" ht="14.45" hidden="1" customHeight="1" x14ac:dyDescent="0.25">
      <c r="A594" s="208" t="s">
        <v>101</v>
      </c>
      <c r="B594" s="209"/>
      <c r="C594" s="210"/>
      <c r="D594" s="209"/>
      <c r="E594" s="209"/>
      <c r="F594" s="209"/>
      <c r="G594" s="209"/>
      <c r="H594" s="192"/>
      <c r="I594" s="192"/>
      <c r="J594" s="192"/>
      <c r="K594" s="192"/>
      <c r="L594" s="192"/>
      <c r="M594" s="192"/>
      <c r="N594" s="192"/>
      <c r="O594" s="192"/>
      <c r="P594" s="192"/>
      <c r="Q594" s="192"/>
      <c r="R594" s="194"/>
      <c r="S594" s="195"/>
      <c r="T594" s="195"/>
      <c r="U594" s="195"/>
      <c r="V594" s="195"/>
      <c r="W594" s="195"/>
      <c r="X594" s="195"/>
      <c r="Y594" s="196"/>
      <c r="Z594" s="149" t="str">
        <f t="shared" ca="1" si="999"/>
        <v>nie</v>
      </c>
      <c r="AA594" s="366"/>
      <c r="AB594" s="150" t="str">
        <f t="shared" ca="1" si="895"/>
        <v>-</v>
      </c>
      <c r="AC594" s="151" t="str">
        <f t="shared" ca="1" si="967"/>
        <v>PO ZMIANIE</v>
      </c>
      <c r="AD594" s="152" t="str">
        <f t="shared" ca="1" si="883"/>
        <v/>
      </c>
      <c r="AE594" s="153" t="str">
        <f t="shared" ca="1" si="968"/>
        <v/>
      </c>
      <c r="AF594" s="154" t="str">
        <f t="shared" ca="1" si="969"/>
        <v/>
      </c>
      <c r="AG594" s="155" t="str">
        <f t="shared" ca="1" si="970"/>
        <v/>
      </c>
      <c r="AH594" s="155" t="str">
        <f t="shared" ca="1" si="971"/>
        <v/>
      </c>
      <c r="AI594" s="156" t="str">
        <f t="shared" ca="1" si="972"/>
        <v/>
      </c>
      <c r="AJ594" s="157" t="str">
        <f t="shared" ca="1" si="973"/>
        <v/>
      </c>
      <c r="AK594" s="158" t="str">
        <f t="shared" ca="1" si="884"/>
        <v/>
      </c>
      <c r="AL594" s="158" t="str">
        <f t="shared" ca="1" si="885"/>
        <v/>
      </c>
      <c r="AM594" s="159" t="str">
        <f t="shared" ca="1" si="886"/>
        <v/>
      </c>
      <c r="AN594" s="160" t="str">
        <f t="shared" ca="1" si="974"/>
        <v/>
      </c>
      <c r="AO594" s="161" t="str">
        <f t="shared" ca="1" si="975"/>
        <v/>
      </c>
      <c r="AP594" s="162" t="str">
        <f t="shared" ca="1" si="976"/>
        <v/>
      </c>
      <c r="AQ594" s="163" t="str">
        <f t="shared" ca="1" si="977"/>
        <v/>
      </c>
      <c r="AR594" s="164" t="str">
        <f t="shared" ca="1" si="978"/>
        <v/>
      </c>
      <c r="AS594" s="164" t="str">
        <f t="shared" ca="1" si="979"/>
        <v/>
      </c>
      <c r="AT594" s="164" t="str">
        <f t="shared" ca="1" si="980"/>
        <v/>
      </c>
      <c r="AU594" s="164" t="str">
        <f t="shared" ca="1" si="981"/>
        <v/>
      </c>
      <c r="AV594" s="164" t="str">
        <f t="shared" ca="1" si="982"/>
        <v/>
      </c>
      <c r="AW594" s="164" t="str">
        <f t="shared" ca="1" si="983"/>
        <v/>
      </c>
      <c r="AX594" s="164" t="str">
        <f t="shared" ca="1" si="984"/>
        <v/>
      </c>
      <c r="AY594" s="164" t="str">
        <f t="shared" ca="1" si="985"/>
        <v/>
      </c>
      <c r="AZ594" s="164" t="str">
        <f t="shared" ca="1" si="986"/>
        <v/>
      </c>
      <c r="BA594" s="165" t="str">
        <f t="shared" ca="1" si="987"/>
        <v>nie</v>
      </c>
      <c r="BB594" s="166" t="str">
        <f t="shared" ca="1" si="921"/>
        <v>-</v>
      </c>
      <c r="BC594" s="165" t="str">
        <f t="shared" ca="1" si="1000"/>
        <v>nie</v>
      </c>
    </row>
    <row r="595" spans="1:55" ht="14.45" hidden="1" customHeight="1" x14ac:dyDescent="0.25">
      <c r="A595" s="543" t="s">
        <v>24</v>
      </c>
      <c r="B595" s="543" t="s">
        <v>175</v>
      </c>
      <c r="C595" s="544" t="s">
        <v>173</v>
      </c>
      <c r="D595" s="506" t="s">
        <v>174</v>
      </c>
      <c r="E595" s="545">
        <v>801</v>
      </c>
      <c r="F595" s="545">
        <v>80101</v>
      </c>
      <c r="G595" s="545" t="s">
        <v>176</v>
      </c>
      <c r="H595" s="507">
        <v>2023</v>
      </c>
      <c r="I595" s="499" t="str">
        <f ca="1">IF(COUNTIF(OFFSET(I595,-1,-8),"*propon*")&gt;0,OFFSET(I595,4,0),IF(Y595&gt;0,"2033",IF(X595&gt;0,"2032",IF(W595&gt;0,"2031",IF(V595&gt;0,"2030",IF(U595&gt;0,"2029",IF(T595&gt;0,"2028",IF(S595&gt;0,"2027",IF(R595&gt;0,"2026",IF(Q595&gt;0,"2025",IF(P595&gt;0,"2024",IF(M595&gt;0,"2023",IF(L595&gt;0,"2022","")))))))))))))</f>
        <v>2023</v>
      </c>
      <c r="J595" s="168" t="s">
        <v>102</v>
      </c>
      <c r="K595" s="169">
        <f>SUM(N595:O595)</f>
        <v>1219512</v>
      </c>
      <c r="L595" s="170">
        <f t="shared" ref="L595:M595" si="1012">SUM(L596:L597)</f>
        <v>0</v>
      </c>
      <c r="M595" s="171">
        <f t="shared" si="1012"/>
        <v>1219512</v>
      </c>
      <c r="N595" s="172">
        <f>SUM(L595:M595)</f>
        <v>1219512</v>
      </c>
      <c r="O595" s="169">
        <f>SUM(P595:Y595)</f>
        <v>0</v>
      </c>
      <c r="P595" s="173">
        <f t="shared" ref="P595:R595" si="1013">SUM(P596:P597)</f>
        <v>0</v>
      </c>
      <c r="Q595" s="171">
        <f t="shared" si="1013"/>
        <v>0</v>
      </c>
      <c r="R595" s="174">
        <f t="shared" si="1013"/>
        <v>0</v>
      </c>
      <c r="S595" s="175">
        <f t="shared" ref="S595:Y595" si="1014">SUM(S596:S597)</f>
        <v>0</v>
      </c>
      <c r="T595" s="171">
        <f t="shared" si="1014"/>
        <v>0</v>
      </c>
      <c r="U595" s="171">
        <f t="shared" si="1014"/>
        <v>0</v>
      </c>
      <c r="V595" s="171">
        <f t="shared" si="1014"/>
        <v>0</v>
      </c>
      <c r="W595" s="171">
        <f t="shared" si="1014"/>
        <v>0</v>
      </c>
      <c r="X595" s="171">
        <f t="shared" si="1014"/>
        <v>0</v>
      </c>
      <c r="Y595" s="174">
        <f t="shared" si="1014"/>
        <v>0</v>
      </c>
      <c r="Z595" s="149" t="str">
        <f t="shared" ca="1" si="999"/>
        <v>nie</v>
      </c>
      <c r="AA595" s="368"/>
      <c r="AB595" s="150" t="str">
        <f t="shared" ca="1" si="895"/>
        <v>-</v>
      </c>
      <c r="AC595" s="151" t="str">
        <f t="shared" ca="1" si="967"/>
        <v>PO ZMIANIE</v>
      </c>
      <c r="AD595" s="152" t="str">
        <f t="shared" ref="AD595:AD670" ca="1" si="1015">IF(AE595="","",AC595)</f>
        <v>PO ZMIANIE</v>
      </c>
      <c r="AE595" s="153" t="str">
        <f t="shared" ca="1" si="968"/>
        <v>C/USN/V/P1/87</v>
      </c>
      <c r="AF595" s="154" t="str">
        <f t="shared" ca="1" si="969"/>
        <v>Termomodernizacja budynku Szkoły Podstawowej nr 343 przy ul. Kopcińskiego 7</v>
      </c>
      <c r="AG595" s="155">
        <f t="shared" ca="1" si="970"/>
        <v>80101</v>
      </c>
      <c r="AH595" s="155" t="str">
        <f t="shared" ca="1" si="971"/>
        <v>6056</v>
      </c>
      <c r="AI595" s="156" t="str">
        <f t="shared" ca="1" si="972"/>
        <v>SFUE/7/23</v>
      </c>
      <c r="AJ595" s="157" t="str">
        <f t="shared" ca="1" si="973"/>
        <v>WPF, w tym</v>
      </c>
      <c r="AK595" s="158" t="str">
        <f t="shared" ref="AK595:AK670" ca="1" si="1016">IF(AH595="","",AE595&amp;" "&amp;AG595&amp;" "&amp;AH595&amp;" "&amp;AI595)</f>
        <v>C/USN/V/P1/87 80101 6056 SFUE/7/23</v>
      </c>
      <c r="AL595" s="158" t="str">
        <f t="shared" ref="AL595:AL670" ca="1" si="1017">IF(AH595="","",AE595&amp;" "&amp;AG595&amp;" "&amp;AH595&amp;" "&amp;AJ595)</f>
        <v>C/USN/V/P1/87 80101 6056 WPF, w tym</v>
      </c>
      <c r="AM595" s="159" t="str">
        <f t="shared" ref="AM595:AM670" ca="1" si="1018">IF(AH595="","",AE595&amp;" "&amp;AG595&amp;" "&amp;AH595&amp;" "&amp;AI595&amp;" "&amp;AJ595)</f>
        <v>C/USN/V/P1/87 80101 6056 SFUE/7/23 WPF, w tym</v>
      </c>
      <c r="AN595" s="160">
        <f t="shared" ca="1" si="974"/>
        <v>1219512</v>
      </c>
      <c r="AO595" s="161">
        <f t="shared" ca="1" si="975"/>
        <v>0</v>
      </c>
      <c r="AP595" s="162">
        <f t="shared" ca="1" si="976"/>
        <v>1219512</v>
      </c>
      <c r="AQ595" s="163">
        <f t="shared" ca="1" si="977"/>
        <v>0</v>
      </c>
      <c r="AR595" s="164">
        <f t="shared" ca="1" si="978"/>
        <v>0</v>
      </c>
      <c r="AS595" s="164">
        <f t="shared" ca="1" si="979"/>
        <v>0</v>
      </c>
      <c r="AT595" s="164">
        <f t="shared" ca="1" si="980"/>
        <v>0</v>
      </c>
      <c r="AU595" s="164">
        <f t="shared" ca="1" si="981"/>
        <v>0</v>
      </c>
      <c r="AV595" s="164">
        <f t="shared" ca="1" si="982"/>
        <v>0</v>
      </c>
      <c r="AW595" s="164">
        <f t="shared" ca="1" si="983"/>
        <v>0</v>
      </c>
      <c r="AX595" s="164">
        <f t="shared" ca="1" si="984"/>
        <v>0</v>
      </c>
      <c r="AY595" s="164">
        <f t="shared" ca="1" si="985"/>
        <v>0</v>
      </c>
      <c r="AZ595" s="164">
        <f t="shared" ca="1" si="986"/>
        <v>0</v>
      </c>
      <c r="BA595" s="165" t="str">
        <f t="shared" ca="1" si="987"/>
        <v>nie</v>
      </c>
      <c r="BB595" s="166" t="str">
        <f t="shared" ca="1" si="921"/>
        <v>-</v>
      </c>
      <c r="BC595" s="165" t="str">
        <f t="shared" ca="1" si="1000"/>
        <v>nie</v>
      </c>
    </row>
    <row r="596" spans="1:55" ht="14.45" hidden="1" customHeight="1" x14ac:dyDescent="0.25">
      <c r="A596" s="543"/>
      <c r="B596" s="543"/>
      <c r="C596" s="544"/>
      <c r="D596" s="506"/>
      <c r="E596" s="545"/>
      <c r="F596" s="545"/>
      <c r="G596" s="545"/>
      <c r="H596" s="498"/>
      <c r="I596" s="499"/>
      <c r="J596" s="177" t="s">
        <v>103</v>
      </c>
      <c r="K596" s="178">
        <f>SUM(N596:O596)</f>
        <v>0</v>
      </c>
      <c r="L596" s="179"/>
      <c r="M596" s="180"/>
      <c r="N596" s="172">
        <f>SUM(L596:M596)</f>
        <v>0</v>
      </c>
      <c r="O596" s="178">
        <f>SUM(P596:Y596)</f>
        <v>0</v>
      </c>
      <c r="P596" s="181"/>
      <c r="Q596" s="180"/>
      <c r="R596" s="182"/>
      <c r="S596" s="183"/>
      <c r="T596" s="180"/>
      <c r="U596" s="180"/>
      <c r="V596" s="180"/>
      <c r="W596" s="180"/>
      <c r="X596" s="180"/>
      <c r="Y596" s="182"/>
      <c r="Z596" s="149" t="str">
        <f t="shared" ca="1" si="999"/>
        <v>nie</v>
      </c>
      <c r="AA596" s="384"/>
      <c r="AB596" s="150" t="str">
        <f t="shared" ca="1" si="895"/>
        <v>-</v>
      </c>
      <c r="AC596" s="151" t="str">
        <f t="shared" ca="1" si="967"/>
        <v>PO ZMIANIE</v>
      </c>
      <c r="AD596" s="152" t="str">
        <f t="shared" ca="1" si="1015"/>
        <v>PO ZMIANIE</v>
      </c>
      <c r="AE596" s="153" t="str">
        <f t="shared" ca="1" si="968"/>
        <v>C/USN/V/P1/87</v>
      </c>
      <c r="AF596" s="154" t="str">
        <f t="shared" ca="1" si="969"/>
        <v>Termomodernizacja budynku Szkoły Podstawowej nr 343 przy ul. Kopcińskiego 7</v>
      </c>
      <c r="AG596" s="155">
        <f t="shared" ca="1" si="970"/>
        <v>80101</v>
      </c>
      <c r="AH596" s="155" t="str">
        <f t="shared" ca="1" si="971"/>
        <v>6056</v>
      </c>
      <c r="AI596" s="156" t="str">
        <f t="shared" ca="1" si="972"/>
        <v>SFUE/7/23</v>
      </c>
      <c r="AJ596" s="157" t="str">
        <f t="shared" ca="1" si="973"/>
        <v>WPF/PM</v>
      </c>
      <c r="AK596" s="158" t="str">
        <f t="shared" ca="1" si="1016"/>
        <v>C/USN/V/P1/87 80101 6056 SFUE/7/23</v>
      </c>
      <c r="AL596" s="158" t="str">
        <f t="shared" ca="1" si="1017"/>
        <v>C/USN/V/P1/87 80101 6056 WPF/PM</v>
      </c>
      <c r="AM596" s="159" t="str">
        <f t="shared" ca="1" si="1018"/>
        <v>C/USN/V/P1/87 80101 6056 SFUE/7/23 WPF/PM</v>
      </c>
      <c r="AN596" s="160">
        <f t="shared" ca="1" si="974"/>
        <v>0</v>
      </c>
      <c r="AO596" s="161">
        <f t="shared" ca="1" si="975"/>
        <v>0</v>
      </c>
      <c r="AP596" s="162">
        <f t="shared" ca="1" si="976"/>
        <v>0</v>
      </c>
      <c r="AQ596" s="163">
        <f t="shared" ca="1" si="977"/>
        <v>0</v>
      </c>
      <c r="AR596" s="164">
        <f t="shared" ca="1" si="978"/>
        <v>0</v>
      </c>
      <c r="AS596" s="164">
        <f t="shared" ca="1" si="979"/>
        <v>0</v>
      </c>
      <c r="AT596" s="164">
        <f t="shared" ca="1" si="980"/>
        <v>0</v>
      </c>
      <c r="AU596" s="164">
        <f t="shared" ca="1" si="981"/>
        <v>0</v>
      </c>
      <c r="AV596" s="164">
        <f t="shared" ca="1" si="982"/>
        <v>0</v>
      </c>
      <c r="AW596" s="164">
        <f t="shared" ca="1" si="983"/>
        <v>0</v>
      </c>
      <c r="AX596" s="164">
        <f t="shared" ca="1" si="984"/>
        <v>0</v>
      </c>
      <c r="AY596" s="164">
        <f t="shared" ca="1" si="985"/>
        <v>0</v>
      </c>
      <c r="AZ596" s="164">
        <f t="shared" ca="1" si="986"/>
        <v>0</v>
      </c>
      <c r="BA596" s="165" t="str">
        <f t="shared" ca="1" si="987"/>
        <v>nie</v>
      </c>
      <c r="BB596" s="166" t="str">
        <f t="shared" ca="1" si="921"/>
        <v>-</v>
      </c>
      <c r="BC596" s="165" t="str">
        <f t="shared" ca="1" si="1000"/>
        <v>nie</v>
      </c>
    </row>
    <row r="597" spans="1:55" ht="14.45" hidden="1" customHeight="1" thickBot="1" x14ac:dyDescent="0.3">
      <c r="A597" s="548"/>
      <c r="B597" s="548"/>
      <c r="C597" s="549"/>
      <c r="D597" s="513"/>
      <c r="E597" s="547"/>
      <c r="F597" s="547"/>
      <c r="G597" s="547"/>
      <c r="H597" s="504"/>
      <c r="I597" s="499"/>
      <c r="J597" s="197" t="s">
        <v>104</v>
      </c>
      <c r="K597" s="198">
        <f>SUM(N597:O597)</f>
        <v>1219512</v>
      </c>
      <c r="L597" s="199"/>
      <c r="M597" s="200">
        <f>1219512-1219512+1219512</f>
        <v>1219512</v>
      </c>
      <c r="N597" s="371">
        <f>SUM(L597:M597)</f>
        <v>1219512</v>
      </c>
      <c r="O597" s="198">
        <f>SUM(P597:Y597)</f>
        <v>0</v>
      </c>
      <c r="P597" s="201"/>
      <c r="Q597" s="200"/>
      <c r="R597" s="202"/>
      <c r="S597" s="203"/>
      <c r="T597" s="200"/>
      <c r="U597" s="200"/>
      <c r="V597" s="200"/>
      <c r="W597" s="200"/>
      <c r="X597" s="200"/>
      <c r="Y597" s="202"/>
      <c r="Z597" s="149" t="str">
        <f t="shared" ca="1" si="999"/>
        <v>nie</v>
      </c>
      <c r="AA597" s="384"/>
      <c r="AB597" s="150" t="str">
        <f t="shared" ca="1" si="895"/>
        <v>-</v>
      </c>
      <c r="AC597" s="151" t="str">
        <f t="shared" ca="1" si="967"/>
        <v>PO ZMIANIE</v>
      </c>
      <c r="AD597" s="152" t="str">
        <f t="shared" ca="1" si="1015"/>
        <v>PO ZMIANIE</v>
      </c>
      <c r="AE597" s="153" t="str">
        <f t="shared" ca="1" si="968"/>
        <v>C/USN/V/P1/87</v>
      </c>
      <c r="AF597" s="154" t="str">
        <f t="shared" ca="1" si="969"/>
        <v>Termomodernizacja budynku Szkoły Podstawowej nr 343 przy ul. Kopcińskiego 7</v>
      </c>
      <c r="AG597" s="155">
        <f t="shared" ca="1" si="970"/>
        <v>80101</v>
      </c>
      <c r="AH597" s="155" t="str">
        <f t="shared" ca="1" si="971"/>
        <v>6056</v>
      </c>
      <c r="AI597" s="156" t="str">
        <f t="shared" ca="1" si="972"/>
        <v>SFUE/7/23</v>
      </c>
      <c r="AJ597" s="157" t="str">
        <f t="shared" ca="1" si="973"/>
        <v>WPF/UM</v>
      </c>
      <c r="AK597" s="158" t="str">
        <f t="shared" ca="1" si="1016"/>
        <v>C/USN/V/P1/87 80101 6056 SFUE/7/23</v>
      </c>
      <c r="AL597" s="158" t="str">
        <f t="shared" ca="1" si="1017"/>
        <v>C/USN/V/P1/87 80101 6056 WPF/UM</v>
      </c>
      <c r="AM597" s="159" t="str">
        <f t="shared" ca="1" si="1018"/>
        <v>C/USN/V/P1/87 80101 6056 SFUE/7/23 WPF/UM</v>
      </c>
      <c r="AN597" s="160">
        <f t="shared" ca="1" si="974"/>
        <v>1219512</v>
      </c>
      <c r="AO597" s="161">
        <f t="shared" ca="1" si="975"/>
        <v>0</v>
      </c>
      <c r="AP597" s="162">
        <f t="shared" ca="1" si="976"/>
        <v>1219512</v>
      </c>
      <c r="AQ597" s="163">
        <f t="shared" ca="1" si="977"/>
        <v>0</v>
      </c>
      <c r="AR597" s="164">
        <f t="shared" ca="1" si="978"/>
        <v>0</v>
      </c>
      <c r="AS597" s="164">
        <f t="shared" ca="1" si="979"/>
        <v>0</v>
      </c>
      <c r="AT597" s="164">
        <f t="shared" ca="1" si="980"/>
        <v>0</v>
      </c>
      <c r="AU597" s="164">
        <f t="shared" ca="1" si="981"/>
        <v>0</v>
      </c>
      <c r="AV597" s="164">
        <f t="shared" ca="1" si="982"/>
        <v>0</v>
      </c>
      <c r="AW597" s="164">
        <f t="shared" ca="1" si="983"/>
        <v>0</v>
      </c>
      <c r="AX597" s="164">
        <f t="shared" ca="1" si="984"/>
        <v>0</v>
      </c>
      <c r="AY597" s="164">
        <f t="shared" ca="1" si="985"/>
        <v>0</v>
      </c>
      <c r="AZ597" s="164">
        <f t="shared" ca="1" si="986"/>
        <v>0</v>
      </c>
      <c r="BA597" s="165" t="str">
        <f t="shared" ca="1" si="987"/>
        <v>nie</v>
      </c>
      <c r="BB597" s="166" t="str">
        <f t="shared" ca="1" si="921"/>
        <v>-</v>
      </c>
      <c r="BC597" s="165" t="str">
        <f t="shared" ca="1" si="1000"/>
        <v>nie</v>
      </c>
    </row>
    <row r="598" spans="1:55" ht="14.45" hidden="1" customHeight="1" x14ac:dyDescent="0.25">
      <c r="A598" s="211" t="s">
        <v>91</v>
      </c>
      <c r="B598" s="212"/>
      <c r="C598" s="213"/>
      <c r="D598" s="212"/>
      <c r="E598" s="212"/>
      <c r="F598" s="212"/>
      <c r="G598" s="212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6"/>
      <c r="S598" s="147"/>
      <c r="T598" s="147"/>
      <c r="U598" s="147"/>
      <c r="V598" s="147"/>
      <c r="W598" s="147"/>
      <c r="X598" s="147"/>
      <c r="Y598" s="148"/>
      <c r="Z598" s="149" t="str">
        <f t="shared" ca="1" si="999"/>
        <v>nie</v>
      </c>
      <c r="AA598" s="366"/>
      <c r="AB598" s="150" t="str">
        <f t="shared" ca="1" si="895"/>
        <v>-</v>
      </c>
      <c r="AC598" s="151" t="str">
        <f t="shared" ca="1" si="967"/>
        <v>PRZED ZMIANĄ</v>
      </c>
      <c r="AD598" s="152" t="str">
        <f t="shared" ca="1" si="1015"/>
        <v/>
      </c>
      <c r="AE598" s="153" t="str">
        <f t="shared" ca="1" si="968"/>
        <v/>
      </c>
      <c r="AF598" s="154" t="str">
        <f t="shared" ca="1" si="969"/>
        <v/>
      </c>
      <c r="AG598" s="155" t="str">
        <f t="shared" ca="1" si="970"/>
        <v/>
      </c>
      <c r="AH598" s="155" t="str">
        <f t="shared" ca="1" si="971"/>
        <v/>
      </c>
      <c r="AI598" s="156" t="str">
        <f t="shared" ca="1" si="972"/>
        <v/>
      </c>
      <c r="AJ598" s="157" t="str">
        <f t="shared" ca="1" si="973"/>
        <v/>
      </c>
      <c r="AK598" s="158" t="str">
        <f t="shared" ca="1" si="1016"/>
        <v/>
      </c>
      <c r="AL598" s="158" t="str">
        <f t="shared" ca="1" si="1017"/>
        <v/>
      </c>
      <c r="AM598" s="159" t="str">
        <f t="shared" ca="1" si="1018"/>
        <v/>
      </c>
      <c r="AN598" s="160" t="str">
        <f t="shared" ca="1" si="974"/>
        <v/>
      </c>
      <c r="AO598" s="161" t="str">
        <f t="shared" ca="1" si="975"/>
        <v/>
      </c>
      <c r="AP598" s="162" t="str">
        <f t="shared" ca="1" si="976"/>
        <v/>
      </c>
      <c r="AQ598" s="163" t="str">
        <f t="shared" ca="1" si="977"/>
        <v/>
      </c>
      <c r="AR598" s="164" t="str">
        <f t="shared" ca="1" si="978"/>
        <v/>
      </c>
      <c r="AS598" s="164" t="str">
        <f t="shared" ca="1" si="979"/>
        <v/>
      </c>
      <c r="AT598" s="164" t="str">
        <f t="shared" ca="1" si="980"/>
        <v/>
      </c>
      <c r="AU598" s="164" t="str">
        <f t="shared" ca="1" si="981"/>
        <v/>
      </c>
      <c r="AV598" s="164" t="str">
        <f t="shared" ca="1" si="982"/>
        <v/>
      </c>
      <c r="AW598" s="164" t="str">
        <f t="shared" ca="1" si="983"/>
        <v/>
      </c>
      <c r="AX598" s="164" t="str">
        <f t="shared" ca="1" si="984"/>
        <v/>
      </c>
      <c r="AY598" s="164" t="str">
        <f t="shared" ca="1" si="985"/>
        <v/>
      </c>
      <c r="AZ598" s="164" t="str">
        <f t="shared" ca="1" si="986"/>
        <v/>
      </c>
      <c r="BA598" s="165" t="str">
        <f t="shared" ca="1" si="987"/>
        <v>nie</v>
      </c>
      <c r="BB598" s="166" t="str">
        <f t="shared" ca="1" si="921"/>
        <v>-</v>
      </c>
      <c r="BC598" s="165" t="str">
        <f t="shared" ca="1" si="1000"/>
        <v>nie</v>
      </c>
    </row>
    <row r="599" spans="1:55" ht="14.45" hidden="1" customHeight="1" x14ac:dyDescent="0.25">
      <c r="A599" s="543" t="s">
        <v>24</v>
      </c>
      <c r="B599" s="543" t="s">
        <v>175</v>
      </c>
      <c r="C599" s="544" t="s">
        <v>173</v>
      </c>
      <c r="D599" s="506" t="s">
        <v>174</v>
      </c>
      <c r="E599" s="545">
        <v>801</v>
      </c>
      <c r="F599" s="545">
        <v>80101</v>
      </c>
      <c r="G599" s="545" t="s">
        <v>177</v>
      </c>
      <c r="H599" s="507">
        <v>2023</v>
      </c>
      <c r="I599" s="499" t="str">
        <f ca="1">IF(COUNTIF(OFFSET(I599,-1,-8),"*propon*")&gt;0,OFFSET(I599,4,0),IF(Y599&gt;0,"2033",IF(X599&gt;0,"2032",IF(W599&gt;0,"2031",IF(V599&gt;0,"2030",IF(U599&gt;0,"2029",IF(T599&gt;0,"2028",IF(S599&gt;0,"2027",IF(R599&gt;0,"2026",IF(Q599&gt;0,"2025",IF(P599&gt;0,"2024",IF(M599&gt;0,"2023",IF(L599&gt;0,"2022","")))))))))))))</f>
        <v>2023</v>
      </c>
      <c r="J599" s="168" t="s">
        <v>94</v>
      </c>
      <c r="K599" s="169">
        <f>SUM(N599:O599)</f>
        <v>426829</v>
      </c>
      <c r="L599" s="170">
        <f t="shared" ref="L599:M599" si="1019">SUM(L600:L601)</f>
        <v>0</v>
      </c>
      <c r="M599" s="171">
        <f t="shared" si="1019"/>
        <v>426829</v>
      </c>
      <c r="N599" s="172">
        <f>SUM(L599:M599)</f>
        <v>426829</v>
      </c>
      <c r="O599" s="169">
        <f>SUM(P599:Y599)</f>
        <v>0</v>
      </c>
      <c r="P599" s="173">
        <f t="shared" ref="P599:R599" si="1020">SUM(P600:P601)</f>
        <v>0</v>
      </c>
      <c r="Q599" s="171">
        <f t="shared" si="1020"/>
        <v>0</v>
      </c>
      <c r="R599" s="174">
        <f t="shared" si="1020"/>
        <v>0</v>
      </c>
      <c r="S599" s="175">
        <f t="shared" ref="S599:Y599" si="1021">SUM(S600:S601)</f>
        <v>0</v>
      </c>
      <c r="T599" s="171">
        <f t="shared" si="1021"/>
        <v>0</v>
      </c>
      <c r="U599" s="171">
        <f t="shared" si="1021"/>
        <v>0</v>
      </c>
      <c r="V599" s="171">
        <f t="shared" si="1021"/>
        <v>0</v>
      </c>
      <c r="W599" s="171">
        <f t="shared" si="1021"/>
        <v>0</v>
      </c>
      <c r="X599" s="171">
        <f t="shared" si="1021"/>
        <v>0</v>
      </c>
      <c r="Y599" s="174">
        <f t="shared" si="1021"/>
        <v>0</v>
      </c>
      <c r="Z599" s="149" t="str">
        <f t="shared" ca="1" si="999"/>
        <v>nie</v>
      </c>
      <c r="AA599" s="366"/>
      <c r="AB599" s="150" t="str">
        <f t="shared" ca="1" si="895"/>
        <v>-</v>
      </c>
      <c r="AC599" s="151" t="str">
        <f t="shared" ca="1" si="967"/>
        <v>PRZED ZMIANĄ</v>
      </c>
      <c r="AD599" s="152" t="str">
        <f t="shared" ca="1" si="1015"/>
        <v>PRZED ZMIANĄ</v>
      </c>
      <c r="AE599" s="153" t="str">
        <f t="shared" ca="1" si="968"/>
        <v>C/USN/V/P1/87</v>
      </c>
      <c r="AF599" s="154" t="str">
        <f t="shared" ca="1" si="969"/>
        <v>Termomodernizacja budynku Szkoły Podstawowej nr 343 przy ul. Kopcińskiego 7</v>
      </c>
      <c r="AG599" s="155">
        <f t="shared" ca="1" si="970"/>
        <v>80101</v>
      </c>
      <c r="AH599" s="155" t="str">
        <f t="shared" ca="1" si="971"/>
        <v>6056</v>
      </c>
      <c r="AI599" s="156" t="str">
        <f t="shared" ca="1" si="972"/>
        <v>SFUE/7/23</v>
      </c>
      <c r="AJ599" s="157" t="str">
        <f t="shared" ca="1" si="973"/>
        <v>WPF, w tym</v>
      </c>
      <c r="AK599" s="158" t="str">
        <f t="shared" ca="1" si="1016"/>
        <v>C/USN/V/P1/87 80101 6056 SFUE/7/23</v>
      </c>
      <c r="AL599" s="158" t="str">
        <f t="shared" ca="1" si="1017"/>
        <v>C/USN/V/P1/87 80101 6056 WPF, w tym</v>
      </c>
      <c r="AM599" s="159" t="str">
        <f t="shared" ca="1" si="1018"/>
        <v>C/USN/V/P1/87 80101 6056 SFUE/7/23 WPF, w tym</v>
      </c>
      <c r="AN599" s="160">
        <f t="shared" ca="1" si="974"/>
        <v>426829</v>
      </c>
      <c r="AO599" s="161">
        <f t="shared" ca="1" si="975"/>
        <v>0</v>
      </c>
      <c r="AP599" s="162">
        <f t="shared" ca="1" si="976"/>
        <v>426829</v>
      </c>
      <c r="AQ599" s="163">
        <f t="shared" ca="1" si="977"/>
        <v>0</v>
      </c>
      <c r="AR599" s="164">
        <f t="shared" ca="1" si="978"/>
        <v>0</v>
      </c>
      <c r="AS599" s="164">
        <f t="shared" ca="1" si="979"/>
        <v>0</v>
      </c>
      <c r="AT599" s="164">
        <f t="shared" ca="1" si="980"/>
        <v>0</v>
      </c>
      <c r="AU599" s="164">
        <f t="shared" ca="1" si="981"/>
        <v>0</v>
      </c>
      <c r="AV599" s="164">
        <f t="shared" ca="1" si="982"/>
        <v>0</v>
      </c>
      <c r="AW599" s="164">
        <f t="shared" ca="1" si="983"/>
        <v>0</v>
      </c>
      <c r="AX599" s="164">
        <f t="shared" ca="1" si="984"/>
        <v>0</v>
      </c>
      <c r="AY599" s="164">
        <f t="shared" ca="1" si="985"/>
        <v>0</v>
      </c>
      <c r="AZ599" s="164">
        <f t="shared" ca="1" si="986"/>
        <v>0</v>
      </c>
      <c r="BA599" s="165" t="str">
        <f t="shared" ca="1" si="987"/>
        <v>nie</v>
      </c>
      <c r="BB599" s="166" t="str">
        <f t="shared" ca="1" si="921"/>
        <v>-</v>
      </c>
      <c r="BC599" s="165" t="str">
        <f t="shared" ca="1" si="1000"/>
        <v>nie</v>
      </c>
    </row>
    <row r="600" spans="1:55" ht="14.45" hidden="1" customHeight="1" x14ac:dyDescent="0.25">
      <c r="A600" s="543"/>
      <c r="B600" s="543"/>
      <c r="C600" s="544"/>
      <c r="D600" s="506"/>
      <c r="E600" s="545"/>
      <c r="F600" s="545"/>
      <c r="G600" s="545"/>
      <c r="H600" s="498"/>
      <c r="I600" s="499"/>
      <c r="J600" s="177" t="s">
        <v>95</v>
      </c>
      <c r="K600" s="178">
        <f>SUM(N600:O600)</f>
        <v>0</v>
      </c>
      <c r="L600" s="179"/>
      <c r="M600" s="180"/>
      <c r="N600" s="172">
        <f>SUM(L600:M600)</f>
        <v>0</v>
      </c>
      <c r="O600" s="178">
        <f>SUM(P600:Y600)</f>
        <v>0</v>
      </c>
      <c r="P600" s="181"/>
      <c r="Q600" s="180"/>
      <c r="R600" s="182"/>
      <c r="S600" s="183"/>
      <c r="T600" s="180"/>
      <c r="U600" s="180"/>
      <c r="V600" s="180"/>
      <c r="W600" s="180"/>
      <c r="X600" s="180"/>
      <c r="Y600" s="182"/>
      <c r="Z600" s="149" t="str">
        <f t="shared" ca="1" si="999"/>
        <v>nie</v>
      </c>
      <c r="AA600" s="366"/>
      <c r="AB600" s="150" t="str">
        <f t="shared" ca="1" si="895"/>
        <v>-</v>
      </c>
      <c r="AC600" s="151" t="str">
        <f t="shared" ca="1" si="967"/>
        <v>PRZED ZMIANĄ</v>
      </c>
      <c r="AD600" s="152" t="str">
        <f t="shared" ca="1" si="1015"/>
        <v>PRZED ZMIANĄ</v>
      </c>
      <c r="AE600" s="153" t="str">
        <f t="shared" ca="1" si="968"/>
        <v>C/USN/V/P1/87</v>
      </c>
      <c r="AF600" s="154" t="str">
        <f t="shared" ca="1" si="969"/>
        <v>Termomodernizacja budynku Szkoły Podstawowej nr 343 przy ul. Kopcińskiego 7</v>
      </c>
      <c r="AG600" s="155">
        <f t="shared" ca="1" si="970"/>
        <v>80101</v>
      </c>
      <c r="AH600" s="155" t="str">
        <f t="shared" ca="1" si="971"/>
        <v>6056</v>
      </c>
      <c r="AI600" s="156" t="str">
        <f t="shared" ca="1" si="972"/>
        <v>SFUE/7/23</v>
      </c>
      <c r="AJ600" s="157" t="str">
        <f t="shared" ca="1" si="973"/>
        <v>WPF/PM</v>
      </c>
      <c r="AK600" s="158" t="str">
        <f t="shared" ca="1" si="1016"/>
        <v>C/USN/V/P1/87 80101 6056 SFUE/7/23</v>
      </c>
      <c r="AL600" s="158" t="str">
        <f t="shared" ca="1" si="1017"/>
        <v>C/USN/V/P1/87 80101 6056 WPF/PM</v>
      </c>
      <c r="AM600" s="159" t="str">
        <f t="shared" ca="1" si="1018"/>
        <v>C/USN/V/P1/87 80101 6056 SFUE/7/23 WPF/PM</v>
      </c>
      <c r="AN600" s="160">
        <f t="shared" ca="1" si="974"/>
        <v>0</v>
      </c>
      <c r="AO600" s="161">
        <f t="shared" ca="1" si="975"/>
        <v>0</v>
      </c>
      <c r="AP600" s="162">
        <f t="shared" ca="1" si="976"/>
        <v>0</v>
      </c>
      <c r="AQ600" s="163">
        <f t="shared" ca="1" si="977"/>
        <v>0</v>
      </c>
      <c r="AR600" s="164">
        <f t="shared" ca="1" si="978"/>
        <v>0</v>
      </c>
      <c r="AS600" s="164">
        <f t="shared" ca="1" si="979"/>
        <v>0</v>
      </c>
      <c r="AT600" s="164">
        <f t="shared" ca="1" si="980"/>
        <v>0</v>
      </c>
      <c r="AU600" s="164">
        <f t="shared" ca="1" si="981"/>
        <v>0</v>
      </c>
      <c r="AV600" s="164">
        <f t="shared" ca="1" si="982"/>
        <v>0</v>
      </c>
      <c r="AW600" s="164">
        <f t="shared" ca="1" si="983"/>
        <v>0</v>
      </c>
      <c r="AX600" s="164">
        <f t="shared" ca="1" si="984"/>
        <v>0</v>
      </c>
      <c r="AY600" s="164">
        <f t="shared" ca="1" si="985"/>
        <v>0</v>
      </c>
      <c r="AZ600" s="164">
        <f t="shared" ca="1" si="986"/>
        <v>0</v>
      </c>
      <c r="BA600" s="165" t="str">
        <f t="shared" ca="1" si="987"/>
        <v>nie</v>
      </c>
      <c r="BB600" s="166" t="str">
        <f t="shared" ca="1" si="921"/>
        <v>-</v>
      </c>
      <c r="BC600" s="165" t="str">
        <f t="shared" ca="1" si="1000"/>
        <v>nie</v>
      </c>
    </row>
    <row r="601" spans="1:55" ht="14.45" hidden="1" customHeight="1" x14ac:dyDescent="0.25">
      <c r="A601" s="543"/>
      <c r="B601" s="543"/>
      <c r="C601" s="544"/>
      <c r="D601" s="506"/>
      <c r="E601" s="545"/>
      <c r="F601" s="545"/>
      <c r="G601" s="545"/>
      <c r="H601" s="546"/>
      <c r="I601" s="499"/>
      <c r="J601" s="177" t="s">
        <v>96</v>
      </c>
      <c r="K601" s="178">
        <f>SUM(N601:O601)</f>
        <v>426829</v>
      </c>
      <c r="L601" s="184"/>
      <c r="M601" s="180">
        <v>426829</v>
      </c>
      <c r="N601" s="172">
        <f>SUM(L601:M601)</f>
        <v>426829</v>
      </c>
      <c r="O601" s="178">
        <f>SUM(P601:Y601)</f>
        <v>0</v>
      </c>
      <c r="P601" s="181"/>
      <c r="Q601" s="180"/>
      <c r="R601" s="182"/>
      <c r="S601" s="183"/>
      <c r="T601" s="180"/>
      <c r="U601" s="180"/>
      <c r="V601" s="180"/>
      <c r="W601" s="180"/>
      <c r="X601" s="180"/>
      <c r="Y601" s="182"/>
      <c r="Z601" s="149" t="str">
        <f t="shared" ca="1" si="999"/>
        <v>nie</v>
      </c>
      <c r="AA601" s="366"/>
      <c r="AB601" s="150" t="str">
        <f t="shared" ca="1" si="895"/>
        <v>-</v>
      </c>
      <c r="AC601" s="151" t="str">
        <f t="shared" ca="1" si="967"/>
        <v>PRZED ZMIANĄ</v>
      </c>
      <c r="AD601" s="152" t="str">
        <f t="shared" ca="1" si="1015"/>
        <v>PRZED ZMIANĄ</v>
      </c>
      <c r="AE601" s="153" t="str">
        <f t="shared" ca="1" si="968"/>
        <v>C/USN/V/P1/87</v>
      </c>
      <c r="AF601" s="154" t="str">
        <f t="shared" ca="1" si="969"/>
        <v>Termomodernizacja budynku Szkoły Podstawowej nr 343 przy ul. Kopcińskiego 7</v>
      </c>
      <c r="AG601" s="155">
        <f t="shared" ca="1" si="970"/>
        <v>80101</v>
      </c>
      <c r="AH601" s="155" t="str">
        <f t="shared" ca="1" si="971"/>
        <v>6056</v>
      </c>
      <c r="AI601" s="156" t="str">
        <f t="shared" ca="1" si="972"/>
        <v>SFUE/7/23</v>
      </c>
      <c r="AJ601" s="157" t="str">
        <f t="shared" ca="1" si="973"/>
        <v>WPF/UM</v>
      </c>
      <c r="AK601" s="158" t="str">
        <f t="shared" ca="1" si="1016"/>
        <v>C/USN/V/P1/87 80101 6056 SFUE/7/23</v>
      </c>
      <c r="AL601" s="158" t="str">
        <f t="shared" ca="1" si="1017"/>
        <v>C/USN/V/P1/87 80101 6056 WPF/UM</v>
      </c>
      <c r="AM601" s="159" t="str">
        <f t="shared" ca="1" si="1018"/>
        <v>C/USN/V/P1/87 80101 6056 SFUE/7/23 WPF/UM</v>
      </c>
      <c r="AN601" s="160">
        <f t="shared" ca="1" si="974"/>
        <v>426829</v>
      </c>
      <c r="AO601" s="161">
        <f t="shared" ca="1" si="975"/>
        <v>0</v>
      </c>
      <c r="AP601" s="162">
        <f t="shared" ca="1" si="976"/>
        <v>426829</v>
      </c>
      <c r="AQ601" s="163">
        <f t="shared" ca="1" si="977"/>
        <v>0</v>
      </c>
      <c r="AR601" s="164">
        <f t="shared" ca="1" si="978"/>
        <v>0</v>
      </c>
      <c r="AS601" s="164">
        <f t="shared" ca="1" si="979"/>
        <v>0</v>
      </c>
      <c r="AT601" s="164">
        <f t="shared" ca="1" si="980"/>
        <v>0</v>
      </c>
      <c r="AU601" s="164">
        <f t="shared" ca="1" si="981"/>
        <v>0</v>
      </c>
      <c r="AV601" s="164">
        <f t="shared" ca="1" si="982"/>
        <v>0</v>
      </c>
      <c r="AW601" s="164">
        <f t="shared" ca="1" si="983"/>
        <v>0</v>
      </c>
      <c r="AX601" s="164">
        <f t="shared" ca="1" si="984"/>
        <v>0</v>
      </c>
      <c r="AY601" s="164">
        <f t="shared" ca="1" si="985"/>
        <v>0</v>
      </c>
      <c r="AZ601" s="164">
        <f t="shared" ca="1" si="986"/>
        <v>0</v>
      </c>
      <c r="BA601" s="165" t="str">
        <f t="shared" ca="1" si="987"/>
        <v>nie</v>
      </c>
      <c r="BB601" s="166" t="str">
        <f t="shared" ca="1" si="921"/>
        <v>-</v>
      </c>
      <c r="BC601" s="165" t="str">
        <f t="shared" ca="1" si="1000"/>
        <v>nie</v>
      </c>
    </row>
    <row r="602" spans="1:55" ht="14.45" hidden="1" customHeight="1" x14ac:dyDescent="0.25">
      <c r="A602" s="205" t="s">
        <v>97</v>
      </c>
      <c r="B602" s="206"/>
      <c r="C602" s="207"/>
      <c r="D602" s="206"/>
      <c r="E602" s="206"/>
      <c r="F602" s="206"/>
      <c r="G602" s="206"/>
      <c r="H602" s="186"/>
      <c r="I602" s="186"/>
      <c r="J602" s="186"/>
      <c r="K602" s="186"/>
      <c r="L602" s="186"/>
      <c r="M602" s="186"/>
      <c r="N602" s="186"/>
      <c r="O602" s="186"/>
      <c r="P602" s="186"/>
      <c r="Q602" s="186"/>
      <c r="R602" s="188"/>
      <c r="S602" s="189"/>
      <c r="T602" s="189"/>
      <c r="U602" s="189"/>
      <c r="V602" s="189"/>
      <c r="W602" s="189"/>
      <c r="X602" s="189"/>
      <c r="Y602" s="190"/>
      <c r="Z602" s="149" t="str">
        <f t="shared" ca="1" si="999"/>
        <v>nie</v>
      </c>
      <c r="AA602" s="366"/>
      <c r="AB602" s="150" t="str">
        <f t="shared" ca="1" si="895"/>
        <v>-</v>
      </c>
      <c r="AC602" s="151" t="str">
        <f t="shared" ca="1" si="967"/>
        <v>PROPONOWANA ZMIANA</v>
      </c>
      <c r="AD602" s="152" t="str">
        <f t="shared" ca="1" si="1015"/>
        <v/>
      </c>
      <c r="AE602" s="153" t="str">
        <f t="shared" ca="1" si="968"/>
        <v/>
      </c>
      <c r="AF602" s="154" t="str">
        <f t="shared" ca="1" si="969"/>
        <v/>
      </c>
      <c r="AG602" s="155" t="str">
        <f t="shared" ca="1" si="970"/>
        <v/>
      </c>
      <c r="AH602" s="155" t="str">
        <f t="shared" ca="1" si="971"/>
        <v/>
      </c>
      <c r="AI602" s="156" t="str">
        <f t="shared" ca="1" si="972"/>
        <v/>
      </c>
      <c r="AJ602" s="157" t="str">
        <f t="shared" ca="1" si="973"/>
        <v/>
      </c>
      <c r="AK602" s="158" t="str">
        <f t="shared" ca="1" si="1016"/>
        <v/>
      </c>
      <c r="AL602" s="158" t="str">
        <f t="shared" ca="1" si="1017"/>
        <v/>
      </c>
      <c r="AM602" s="159" t="str">
        <f t="shared" ca="1" si="1018"/>
        <v/>
      </c>
      <c r="AN602" s="160" t="str">
        <f t="shared" ca="1" si="974"/>
        <v/>
      </c>
      <c r="AO602" s="161" t="str">
        <f t="shared" ca="1" si="975"/>
        <v/>
      </c>
      <c r="AP602" s="162" t="str">
        <f t="shared" ca="1" si="976"/>
        <v/>
      </c>
      <c r="AQ602" s="163" t="str">
        <f t="shared" ca="1" si="977"/>
        <v/>
      </c>
      <c r="AR602" s="164" t="str">
        <f t="shared" ca="1" si="978"/>
        <v/>
      </c>
      <c r="AS602" s="164" t="str">
        <f t="shared" ca="1" si="979"/>
        <v/>
      </c>
      <c r="AT602" s="164" t="str">
        <f t="shared" ca="1" si="980"/>
        <v/>
      </c>
      <c r="AU602" s="164" t="str">
        <f t="shared" ca="1" si="981"/>
        <v/>
      </c>
      <c r="AV602" s="164" t="str">
        <f t="shared" ca="1" si="982"/>
        <v/>
      </c>
      <c r="AW602" s="164" t="str">
        <f t="shared" ca="1" si="983"/>
        <v/>
      </c>
      <c r="AX602" s="164" t="str">
        <f t="shared" ca="1" si="984"/>
        <v/>
      </c>
      <c r="AY602" s="164" t="str">
        <f t="shared" ca="1" si="985"/>
        <v/>
      </c>
      <c r="AZ602" s="164" t="str">
        <f t="shared" ca="1" si="986"/>
        <v/>
      </c>
      <c r="BA602" s="165" t="str">
        <f t="shared" ca="1" si="987"/>
        <v>nie</v>
      </c>
      <c r="BB602" s="166" t="str">
        <f t="shared" ca="1" si="921"/>
        <v>-</v>
      </c>
      <c r="BC602" s="165" t="str">
        <f t="shared" ca="1" si="1000"/>
        <v>nie</v>
      </c>
    </row>
    <row r="603" spans="1:55" ht="14.45" hidden="1" customHeight="1" x14ac:dyDescent="0.25">
      <c r="A603" s="543" t="s">
        <v>24</v>
      </c>
      <c r="B603" s="543" t="s">
        <v>175</v>
      </c>
      <c r="C603" s="544" t="s">
        <v>173</v>
      </c>
      <c r="D603" s="506" t="s">
        <v>174</v>
      </c>
      <c r="E603" s="545">
        <v>801</v>
      </c>
      <c r="F603" s="545">
        <v>80101</v>
      </c>
      <c r="G603" s="545" t="s">
        <v>177</v>
      </c>
      <c r="H603" s="507">
        <v>2023</v>
      </c>
      <c r="I603" s="499" t="str">
        <f ca="1">IF(COUNTIF(OFFSET(I603,-1,-8),"*propon*")&gt;0,OFFSET(I603,4,0),IF(Y603&gt;0,"2033",IF(X603&gt;0,"2032",IF(W603&gt;0,"2031",IF(V603&gt;0,"2030",IF(U603&gt;0,"2029",IF(T603&gt;0,"2028",IF(S603&gt;0,"2027",IF(R603&gt;0,"2026",IF(Q603&gt;0,"2025",IF(P603&gt;0,"2024",IF(M603&gt;0,"2023",IF(L603&gt;0,"2022","")))))))))))))</f>
        <v>2023</v>
      </c>
      <c r="J603" s="168" t="s">
        <v>98</v>
      </c>
      <c r="K603" s="169">
        <f>SUM(N603:O603)</f>
        <v>0</v>
      </c>
      <c r="L603" s="170">
        <f t="shared" ref="L603:M603" si="1022">SUM(L604:L605)</f>
        <v>0</v>
      </c>
      <c r="M603" s="171">
        <f t="shared" si="1022"/>
        <v>0</v>
      </c>
      <c r="N603" s="172">
        <f>SUM(L603:M603)</f>
        <v>0</v>
      </c>
      <c r="O603" s="169">
        <f>SUM(P603:Y603)</f>
        <v>0</v>
      </c>
      <c r="P603" s="173">
        <f t="shared" ref="P603:R603" si="1023">SUM(P604:P605)</f>
        <v>0</v>
      </c>
      <c r="Q603" s="171">
        <f t="shared" si="1023"/>
        <v>0</v>
      </c>
      <c r="R603" s="174">
        <f t="shared" si="1023"/>
        <v>0</v>
      </c>
      <c r="S603" s="175">
        <f t="shared" ref="S603:Y603" si="1024">SUM(S604:S605)</f>
        <v>0</v>
      </c>
      <c r="T603" s="171">
        <f t="shared" si="1024"/>
        <v>0</v>
      </c>
      <c r="U603" s="171">
        <f t="shared" si="1024"/>
        <v>0</v>
      </c>
      <c r="V603" s="171">
        <f t="shared" si="1024"/>
        <v>0</v>
      </c>
      <c r="W603" s="171">
        <f t="shared" si="1024"/>
        <v>0</v>
      </c>
      <c r="X603" s="171">
        <f t="shared" si="1024"/>
        <v>0</v>
      </c>
      <c r="Y603" s="174">
        <f t="shared" si="1024"/>
        <v>0</v>
      </c>
      <c r="Z603" s="149" t="str">
        <f t="shared" ca="1" si="999"/>
        <v>nie</v>
      </c>
      <c r="AA603" s="366"/>
      <c r="AB603" s="150" t="str">
        <f t="shared" ca="1" si="895"/>
        <v>-</v>
      </c>
      <c r="AC603" s="151" t="str">
        <f t="shared" ca="1" si="967"/>
        <v>PROPONOWANA ZMIANA</v>
      </c>
      <c r="AD603" s="152" t="str">
        <f t="shared" ca="1" si="1015"/>
        <v>PROPONOWANA ZMIANA</v>
      </c>
      <c r="AE603" s="153" t="str">
        <f t="shared" ca="1" si="968"/>
        <v>C/USN/V/P1/87</v>
      </c>
      <c r="AF603" s="154" t="str">
        <f t="shared" ca="1" si="969"/>
        <v>Termomodernizacja budynku Szkoły Podstawowej nr 343 przy ul. Kopcińskiego 7</v>
      </c>
      <c r="AG603" s="155">
        <f t="shared" ca="1" si="970"/>
        <v>80101</v>
      </c>
      <c r="AH603" s="155" t="str">
        <f t="shared" ca="1" si="971"/>
        <v>6056</v>
      </c>
      <c r="AI603" s="156" t="str">
        <f t="shared" ca="1" si="972"/>
        <v>SFUE/7/23</v>
      </c>
      <c r="AJ603" s="157" t="str">
        <f t="shared" ca="1" si="973"/>
        <v>WPF, w tym</v>
      </c>
      <c r="AK603" s="158" t="str">
        <f t="shared" ca="1" si="1016"/>
        <v>C/USN/V/P1/87 80101 6056 SFUE/7/23</v>
      </c>
      <c r="AL603" s="158" t="str">
        <f t="shared" ca="1" si="1017"/>
        <v>C/USN/V/P1/87 80101 6056 WPF, w tym</v>
      </c>
      <c r="AM603" s="159" t="str">
        <f t="shared" ca="1" si="1018"/>
        <v>C/USN/V/P1/87 80101 6056 SFUE/7/23 WPF, w tym</v>
      </c>
      <c r="AN603" s="160">
        <f t="shared" ca="1" si="974"/>
        <v>0</v>
      </c>
      <c r="AO603" s="161">
        <f t="shared" ca="1" si="975"/>
        <v>0</v>
      </c>
      <c r="AP603" s="162">
        <f t="shared" ca="1" si="976"/>
        <v>0</v>
      </c>
      <c r="AQ603" s="163">
        <f t="shared" ca="1" si="977"/>
        <v>0</v>
      </c>
      <c r="AR603" s="164">
        <f t="shared" ca="1" si="978"/>
        <v>0</v>
      </c>
      <c r="AS603" s="164">
        <f t="shared" ca="1" si="979"/>
        <v>0</v>
      </c>
      <c r="AT603" s="164">
        <f t="shared" ca="1" si="980"/>
        <v>0</v>
      </c>
      <c r="AU603" s="164">
        <f t="shared" ca="1" si="981"/>
        <v>0</v>
      </c>
      <c r="AV603" s="164">
        <f t="shared" ca="1" si="982"/>
        <v>0</v>
      </c>
      <c r="AW603" s="164">
        <f t="shared" ca="1" si="983"/>
        <v>0</v>
      </c>
      <c r="AX603" s="164">
        <f t="shared" ca="1" si="984"/>
        <v>0</v>
      </c>
      <c r="AY603" s="164">
        <f t="shared" ca="1" si="985"/>
        <v>0</v>
      </c>
      <c r="AZ603" s="164">
        <f t="shared" ca="1" si="986"/>
        <v>0</v>
      </c>
      <c r="BA603" s="165" t="str">
        <f t="shared" ca="1" si="987"/>
        <v>nie</v>
      </c>
      <c r="BB603" s="166" t="str">
        <f t="shared" ca="1" si="921"/>
        <v>-</v>
      </c>
      <c r="BC603" s="165" t="str">
        <f t="shared" ca="1" si="1000"/>
        <v>nie</v>
      </c>
    </row>
    <row r="604" spans="1:55" ht="14.45" hidden="1" customHeight="1" x14ac:dyDescent="0.25">
      <c r="A604" s="543"/>
      <c r="B604" s="543"/>
      <c r="C604" s="544"/>
      <c r="D604" s="506"/>
      <c r="E604" s="545"/>
      <c r="F604" s="545"/>
      <c r="G604" s="545"/>
      <c r="H604" s="498"/>
      <c r="I604" s="499"/>
      <c r="J604" s="177" t="s">
        <v>99</v>
      </c>
      <c r="K604" s="178">
        <f>SUM(N604:O604)</f>
        <v>0</v>
      </c>
      <c r="L604" s="179">
        <f t="shared" ref="L604:M604" si="1025">L608-L600</f>
        <v>0</v>
      </c>
      <c r="M604" s="180">
        <f t="shared" si="1025"/>
        <v>0</v>
      </c>
      <c r="N604" s="172">
        <f>SUM(L604:M604)</f>
        <v>0</v>
      </c>
      <c r="O604" s="178">
        <f>SUM(P604:Y604)</f>
        <v>0</v>
      </c>
      <c r="P604" s="181">
        <f t="shared" ref="P604:R604" si="1026">P608-P600</f>
        <v>0</v>
      </c>
      <c r="Q604" s="180">
        <f t="shared" si="1026"/>
        <v>0</v>
      </c>
      <c r="R604" s="182">
        <f t="shared" si="1026"/>
        <v>0</v>
      </c>
      <c r="S604" s="183">
        <f t="shared" ref="S604:Y605" si="1027">S608-S600</f>
        <v>0</v>
      </c>
      <c r="T604" s="180">
        <f t="shared" si="1027"/>
        <v>0</v>
      </c>
      <c r="U604" s="180">
        <f t="shared" si="1027"/>
        <v>0</v>
      </c>
      <c r="V604" s="180">
        <f t="shared" si="1027"/>
        <v>0</v>
      </c>
      <c r="W604" s="180">
        <f t="shared" si="1027"/>
        <v>0</v>
      </c>
      <c r="X604" s="180">
        <f t="shared" si="1027"/>
        <v>0</v>
      </c>
      <c r="Y604" s="182">
        <f t="shared" si="1027"/>
        <v>0</v>
      </c>
      <c r="Z604" s="149" t="str">
        <f t="shared" ca="1" si="999"/>
        <v>nie</v>
      </c>
      <c r="AA604" s="366"/>
      <c r="AB604" s="150" t="str">
        <f t="shared" ca="1" si="895"/>
        <v>-</v>
      </c>
      <c r="AC604" s="151" t="str">
        <f t="shared" ca="1" si="967"/>
        <v>PROPONOWANA ZMIANA</v>
      </c>
      <c r="AD604" s="152" t="str">
        <f t="shared" ca="1" si="1015"/>
        <v>PROPONOWANA ZMIANA</v>
      </c>
      <c r="AE604" s="153" t="str">
        <f t="shared" ca="1" si="968"/>
        <v>C/USN/V/P1/87</v>
      </c>
      <c r="AF604" s="154" t="str">
        <f t="shared" ca="1" si="969"/>
        <v>Termomodernizacja budynku Szkoły Podstawowej nr 343 przy ul. Kopcińskiego 7</v>
      </c>
      <c r="AG604" s="155">
        <f t="shared" ca="1" si="970"/>
        <v>80101</v>
      </c>
      <c r="AH604" s="155" t="str">
        <f t="shared" ca="1" si="971"/>
        <v>6056</v>
      </c>
      <c r="AI604" s="156" t="str">
        <f t="shared" ca="1" si="972"/>
        <v>SFUE/7/23</v>
      </c>
      <c r="AJ604" s="157" t="str">
        <f t="shared" ca="1" si="973"/>
        <v>WPF/PM</v>
      </c>
      <c r="AK604" s="158" t="str">
        <f t="shared" ca="1" si="1016"/>
        <v>C/USN/V/P1/87 80101 6056 SFUE/7/23</v>
      </c>
      <c r="AL604" s="158" t="str">
        <f t="shared" ca="1" si="1017"/>
        <v>C/USN/V/P1/87 80101 6056 WPF/PM</v>
      </c>
      <c r="AM604" s="159" t="str">
        <f t="shared" ca="1" si="1018"/>
        <v>C/USN/V/P1/87 80101 6056 SFUE/7/23 WPF/PM</v>
      </c>
      <c r="AN604" s="160">
        <f t="shared" ca="1" si="974"/>
        <v>0</v>
      </c>
      <c r="AO604" s="161">
        <f t="shared" ca="1" si="975"/>
        <v>0</v>
      </c>
      <c r="AP604" s="162">
        <f t="shared" ca="1" si="976"/>
        <v>0</v>
      </c>
      <c r="AQ604" s="163">
        <f t="shared" ca="1" si="977"/>
        <v>0</v>
      </c>
      <c r="AR604" s="164">
        <f t="shared" ca="1" si="978"/>
        <v>0</v>
      </c>
      <c r="AS604" s="164">
        <f t="shared" ca="1" si="979"/>
        <v>0</v>
      </c>
      <c r="AT604" s="164">
        <f t="shared" ca="1" si="980"/>
        <v>0</v>
      </c>
      <c r="AU604" s="164">
        <f t="shared" ca="1" si="981"/>
        <v>0</v>
      </c>
      <c r="AV604" s="164">
        <f t="shared" ca="1" si="982"/>
        <v>0</v>
      </c>
      <c r="AW604" s="164">
        <f t="shared" ca="1" si="983"/>
        <v>0</v>
      </c>
      <c r="AX604" s="164">
        <f t="shared" ca="1" si="984"/>
        <v>0</v>
      </c>
      <c r="AY604" s="164">
        <f t="shared" ca="1" si="985"/>
        <v>0</v>
      </c>
      <c r="AZ604" s="164">
        <f t="shared" ca="1" si="986"/>
        <v>0</v>
      </c>
      <c r="BA604" s="165" t="str">
        <f t="shared" ca="1" si="987"/>
        <v>nie</v>
      </c>
      <c r="BB604" s="166" t="str">
        <f t="shared" ca="1" si="921"/>
        <v>-</v>
      </c>
      <c r="BC604" s="165" t="str">
        <f t="shared" ca="1" si="1000"/>
        <v>nie</v>
      </c>
    </row>
    <row r="605" spans="1:55" ht="14.45" hidden="1" customHeight="1" x14ac:dyDescent="0.25">
      <c r="A605" s="543"/>
      <c r="B605" s="543"/>
      <c r="C605" s="544"/>
      <c r="D605" s="506"/>
      <c r="E605" s="545"/>
      <c r="F605" s="545"/>
      <c r="G605" s="545"/>
      <c r="H605" s="546"/>
      <c r="I605" s="499"/>
      <c r="J605" s="177" t="s">
        <v>100</v>
      </c>
      <c r="K605" s="178">
        <f>SUM(N605:O605)</f>
        <v>0</v>
      </c>
      <c r="L605" s="179">
        <f t="shared" ref="L605:M605" si="1028">L609-L601</f>
        <v>0</v>
      </c>
      <c r="M605" s="180">
        <f t="shared" si="1028"/>
        <v>0</v>
      </c>
      <c r="N605" s="172">
        <f>SUM(L605:M605)</f>
        <v>0</v>
      </c>
      <c r="O605" s="178">
        <f>SUM(P605:Y605)</f>
        <v>0</v>
      </c>
      <c r="P605" s="181">
        <f t="shared" ref="P605:R605" si="1029">P609-P601</f>
        <v>0</v>
      </c>
      <c r="Q605" s="180">
        <f t="shared" si="1029"/>
        <v>0</v>
      </c>
      <c r="R605" s="182">
        <f t="shared" si="1029"/>
        <v>0</v>
      </c>
      <c r="S605" s="183">
        <f t="shared" si="1027"/>
        <v>0</v>
      </c>
      <c r="T605" s="180">
        <f t="shared" si="1027"/>
        <v>0</v>
      </c>
      <c r="U605" s="180">
        <f t="shared" si="1027"/>
        <v>0</v>
      </c>
      <c r="V605" s="180">
        <f t="shared" si="1027"/>
        <v>0</v>
      </c>
      <c r="W605" s="180">
        <f t="shared" si="1027"/>
        <v>0</v>
      </c>
      <c r="X605" s="180">
        <f t="shared" si="1027"/>
        <v>0</v>
      </c>
      <c r="Y605" s="182">
        <f t="shared" si="1027"/>
        <v>0</v>
      </c>
      <c r="Z605" s="149" t="str">
        <f t="shared" ca="1" si="999"/>
        <v>nie</v>
      </c>
      <c r="AA605" s="366"/>
      <c r="AB605" s="150" t="str">
        <f t="shared" ca="1" si="895"/>
        <v>-</v>
      </c>
      <c r="AC605" s="151" t="str">
        <f t="shared" ca="1" si="967"/>
        <v>PROPONOWANA ZMIANA</v>
      </c>
      <c r="AD605" s="152" t="str">
        <f t="shared" ca="1" si="1015"/>
        <v>PROPONOWANA ZMIANA</v>
      </c>
      <c r="AE605" s="153" t="str">
        <f t="shared" ca="1" si="968"/>
        <v>C/USN/V/P1/87</v>
      </c>
      <c r="AF605" s="154" t="str">
        <f t="shared" ca="1" si="969"/>
        <v>Termomodernizacja budynku Szkoły Podstawowej nr 343 przy ul. Kopcińskiego 7</v>
      </c>
      <c r="AG605" s="155">
        <f t="shared" ca="1" si="970"/>
        <v>80101</v>
      </c>
      <c r="AH605" s="155" t="str">
        <f t="shared" ca="1" si="971"/>
        <v>6056</v>
      </c>
      <c r="AI605" s="156" t="str">
        <f t="shared" ca="1" si="972"/>
        <v>SFUE/7/23</v>
      </c>
      <c r="AJ605" s="157" t="str">
        <f t="shared" ca="1" si="973"/>
        <v>WPF/UM</v>
      </c>
      <c r="AK605" s="158" t="str">
        <f t="shared" ca="1" si="1016"/>
        <v>C/USN/V/P1/87 80101 6056 SFUE/7/23</v>
      </c>
      <c r="AL605" s="158" t="str">
        <f t="shared" ca="1" si="1017"/>
        <v>C/USN/V/P1/87 80101 6056 WPF/UM</v>
      </c>
      <c r="AM605" s="159" t="str">
        <f t="shared" ca="1" si="1018"/>
        <v>C/USN/V/P1/87 80101 6056 SFUE/7/23 WPF/UM</v>
      </c>
      <c r="AN605" s="160">
        <f t="shared" ca="1" si="974"/>
        <v>0</v>
      </c>
      <c r="AO605" s="161">
        <f t="shared" ca="1" si="975"/>
        <v>0</v>
      </c>
      <c r="AP605" s="162">
        <f t="shared" ca="1" si="976"/>
        <v>0</v>
      </c>
      <c r="AQ605" s="163">
        <f t="shared" ca="1" si="977"/>
        <v>0</v>
      </c>
      <c r="AR605" s="164">
        <f t="shared" ca="1" si="978"/>
        <v>0</v>
      </c>
      <c r="AS605" s="164">
        <f t="shared" ca="1" si="979"/>
        <v>0</v>
      </c>
      <c r="AT605" s="164">
        <f t="shared" ca="1" si="980"/>
        <v>0</v>
      </c>
      <c r="AU605" s="164">
        <f t="shared" ca="1" si="981"/>
        <v>0</v>
      </c>
      <c r="AV605" s="164">
        <f t="shared" ca="1" si="982"/>
        <v>0</v>
      </c>
      <c r="AW605" s="164">
        <f t="shared" ca="1" si="983"/>
        <v>0</v>
      </c>
      <c r="AX605" s="164">
        <f t="shared" ca="1" si="984"/>
        <v>0</v>
      </c>
      <c r="AY605" s="164">
        <f t="shared" ca="1" si="985"/>
        <v>0</v>
      </c>
      <c r="AZ605" s="164">
        <f t="shared" ca="1" si="986"/>
        <v>0</v>
      </c>
      <c r="BA605" s="165" t="str">
        <f t="shared" ca="1" si="987"/>
        <v>nie</v>
      </c>
      <c r="BB605" s="166" t="str">
        <f t="shared" ca="1" si="921"/>
        <v>-</v>
      </c>
      <c r="BC605" s="165" t="str">
        <f t="shared" ca="1" si="1000"/>
        <v>nie</v>
      </c>
    </row>
    <row r="606" spans="1:55" ht="14.45" hidden="1" customHeight="1" x14ac:dyDescent="0.25">
      <c r="A606" s="208" t="s">
        <v>101</v>
      </c>
      <c r="B606" s="209"/>
      <c r="C606" s="210"/>
      <c r="D606" s="209"/>
      <c r="E606" s="209"/>
      <c r="F606" s="209"/>
      <c r="G606" s="209"/>
      <c r="H606" s="192"/>
      <c r="I606" s="192"/>
      <c r="J606" s="192"/>
      <c r="K606" s="192"/>
      <c r="L606" s="192"/>
      <c r="M606" s="192"/>
      <c r="N606" s="192"/>
      <c r="O606" s="192"/>
      <c r="P606" s="192"/>
      <c r="Q606" s="192"/>
      <c r="R606" s="194"/>
      <c r="S606" s="195"/>
      <c r="T606" s="195"/>
      <c r="U606" s="195"/>
      <c r="V606" s="195"/>
      <c r="W606" s="195"/>
      <c r="X606" s="195"/>
      <c r="Y606" s="196"/>
      <c r="Z606" s="149" t="str">
        <f t="shared" ca="1" si="999"/>
        <v>nie</v>
      </c>
      <c r="AA606" s="366"/>
      <c r="AB606" s="150" t="str">
        <f t="shared" ca="1" si="895"/>
        <v>-</v>
      </c>
      <c r="AC606" s="151" t="str">
        <f t="shared" ca="1" si="967"/>
        <v>PO ZMIANIE</v>
      </c>
      <c r="AD606" s="152" t="str">
        <f t="shared" ca="1" si="1015"/>
        <v/>
      </c>
      <c r="AE606" s="153" t="str">
        <f t="shared" ca="1" si="968"/>
        <v/>
      </c>
      <c r="AF606" s="154" t="str">
        <f t="shared" ca="1" si="969"/>
        <v/>
      </c>
      <c r="AG606" s="155" t="str">
        <f t="shared" ca="1" si="970"/>
        <v/>
      </c>
      <c r="AH606" s="155" t="str">
        <f t="shared" ca="1" si="971"/>
        <v/>
      </c>
      <c r="AI606" s="156" t="str">
        <f t="shared" ca="1" si="972"/>
        <v/>
      </c>
      <c r="AJ606" s="157" t="str">
        <f t="shared" ca="1" si="973"/>
        <v/>
      </c>
      <c r="AK606" s="158" t="str">
        <f t="shared" ca="1" si="1016"/>
        <v/>
      </c>
      <c r="AL606" s="158" t="str">
        <f t="shared" ca="1" si="1017"/>
        <v/>
      </c>
      <c r="AM606" s="159" t="str">
        <f t="shared" ca="1" si="1018"/>
        <v/>
      </c>
      <c r="AN606" s="160" t="str">
        <f t="shared" ca="1" si="974"/>
        <v/>
      </c>
      <c r="AO606" s="161" t="str">
        <f t="shared" ca="1" si="975"/>
        <v/>
      </c>
      <c r="AP606" s="162" t="str">
        <f t="shared" ca="1" si="976"/>
        <v/>
      </c>
      <c r="AQ606" s="163" t="str">
        <f t="shared" ca="1" si="977"/>
        <v/>
      </c>
      <c r="AR606" s="164" t="str">
        <f t="shared" ca="1" si="978"/>
        <v/>
      </c>
      <c r="AS606" s="164" t="str">
        <f t="shared" ca="1" si="979"/>
        <v/>
      </c>
      <c r="AT606" s="164" t="str">
        <f t="shared" ca="1" si="980"/>
        <v/>
      </c>
      <c r="AU606" s="164" t="str">
        <f t="shared" ca="1" si="981"/>
        <v/>
      </c>
      <c r="AV606" s="164" t="str">
        <f t="shared" ca="1" si="982"/>
        <v/>
      </c>
      <c r="AW606" s="164" t="str">
        <f t="shared" ca="1" si="983"/>
        <v/>
      </c>
      <c r="AX606" s="164" t="str">
        <f t="shared" ca="1" si="984"/>
        <v/>
      </c>
      <c r="AY606" s="164" t="str">
        <f t="shared" ca="1" si="985"/>
        <v/>
      </c>
      <c r="AZ606" s="164" t="str">
        <f t="shared" ca="1" si="986"/>
        <v/>
      </c>
      <c r="BA606" s="165" t="str">
        <f t="shared" ca="1" si="987"/>
        <v>nie</v>
      </c>
      <c r="BB606" s="166" t="str">
        <f t="shared" ca="1" si="921"/>
        <v>-</v>
      </c>
      <c r="BC606" s="165" t="str">
        <f t="shared" ca="1" si="1000"/>
        <v>nie</v>
      </c>
    </row>
    <row r="607" spans="1:55" ht="14.45" hidden="1" customHeight="1" x14ac:dyDescent="0.25">
      <c r="A607" s="543" t="s">
        <v>24</v>
      </c>
      <c r="B607" s="543" t="s">
        <v>175</v>
      </c>
      <c r="C607" s="544" t="s">
        <v>173</v>
      </c>
      <c r="D607" s="506" t="s">
        <v>174</v>
      </c>
      <c r="E607" s="545">
        <v>801</v>
      </c>
      <c r="F607" s="545">
        <v>80101</v>
      </c>
      <c r="G607" s="545" t="s">
        <v>177</v>
      </c>
      <c r="H607" s="507">
        <v>2023</v>
      </c>
      <c r="I607" s="499" t="str">
        <f ca="1">IF(COUNTIF(OFFSET(I607,-1,-8),"*propon*")&gt;0,OFFSET(I607,4,0),IF(Y607&gt;0,"2033",IF(X607&gt;0,"2032",IF(W607&gt;0,"2031",IF(V607&gt;0,"2030",IF(U607&gt;0,"2029",IF(T607&gt;0,"2028",IF(S607&gt;0,"2027",IF(R607&gt;0,"2026",IF(Q607&gt;0,"2025",IF(P607&gt;0,"2024",IF(M607&gt;0,"2023",IF(L607&gt;0,"2022","")))))))))))))</f>
        <v>2023</v>
      </c>
      <c r="J607" s="168" t="s">
        <v>102</v>
      </c>
      <c r="K607" s="169">
        <f>SUM(N607:O607)</f>
        <v>426829</v>
      </c>
      <c r="L607" s="170">
        <f t="shared" ref="L607:M607" si="1030">SUM(L608:L609)</f>
        <v>0</v>
      </c>
      <c r="M607" s="171">
        <f t="shared" si="1030"/>
        <v>426829</v>
      </c>
      <c r="N607" s="172">
        <f>SUM(L607:M607)</f>
        <v>426829</v>
      </c>
      <c r="O607" s="169">
        <f>SUM(P607:Y607)</f>
        <v>0</v>
      </c>
      <c r="P607" s="173">
        <f t="shared" ref="P607:R607" si="1031">SUM(P608:P609)</f>
        <v>0</v>
      </c>
      <c r="Q607" s="171">
        <f t="shared" si="1031"/>
        <v>0</v>
      </c>
      <c r="R607" s="174">
        <f t="shared" si="1031"/>
        <v>0</v>
      </c>
      <c r="S607" s="175">
        <f t="shared" ref="S607:Y607" si="1032">SUM(S608:S609)</f>
        <v>0</v>
      </c>
      <c r="T607" s="171">
        <f t="shared" si="1032"/>
        <v>0</v>
      </c>
      <c r="U607" s="171">
        <f t="shared" si="1032"/>
        <v>0</v>
      </c>
      <c r="V607" s="171">
        <f t="shared" si="1032"/>
        <v>0</v>
      </c>
      <c r="W607" s="171">
        <f t="shared" si="1032"/>
        <v>0</v>
      </c>
      <c r="X607" s="171">
        <f t="shared" si="1032"/>
        <v>0</v>
      </c>
      <c r="Y607" s="174">
        <f t="shared" si="1032"/>
        <v>0</v>
      </c>
      <c r="Z607" s="149" t="str">
        <f t="shared" ca="1" si="999"/>
        <v>nie</v>
      </c>
      <c r="AA607" s="368"/>
      <c r="AB607" s="150" t="str">
        <f t="shared" ca="1" si="895"/>
        <v>-</v>
      </c>
      <c r="AC607" s="151" t="str">
        <f t="shared" ca="1" si="967"/>
        <v>PO ZMIANIE</v>
      </c>
      <c r="AD607" s="152" t="str">
        <f t="shared" ca="1" si="1015"/>
        <v>PO ZMIANIE</v>
      </c>
      <c r="AE607" s="153" t="str">
        <f t="shared" ca="1" si="968"/>
        <v>C/USN/V/P1/87</v>
      </c>
      <c r="AF607" s="154" t="str">
        <f t="shared" ca="1" si="969"/>
        <v>Termomodernizacja budynku Szkoły Podstawowej nr 343 przy ul. Kopcińskiego 7</v>
      </c>
      <c r="AG607" s="155">
        <f t="shared" ca="1" si="970"/>
        <v>80101</v>
      </c>
      <c r="AH607" s="155" t="str">
        <f t="shared" ca="1" si="971"/>
        <v>6056</v>
      </c>
      <c r="AI607" s="156" t="str">
        <f t="shared" ca="1" si="972"/>
        <v>SFUE/7/23</v>
      </c>
      <c r="AJ607" s="157" t="str">
        <f t="shared" ca="1" si="973"/>
        <v>WPF, w tym</v>
      </c>
      <c r="AK607" s="158" t="str">
        <f t="shared" ca="1" si="1016"/>
        <v>C/USN/V/P1/87 80101 6056 SFUE/7/23</v>
      </c>
      <c r="AL607" s="158" t="str">
        <f t="shared" ca="1" si="1017"/>
        <v>C/USN/V/P1/87 80101 6056 WPF, w tym</v>
      </c>
      <c r="AM607" s="159" t="str">
        <f t="shared" ca="1" si="1018"/>
        <v>C/USN/V/P1/87 80101 6056 SFUE/7/23 WPF, w tym</v>
      </c>
      <c r="AN607" s="160">
        <f t="shared" ca="1" si="974"/>
        <v>426829</v>
      </c>
      <c r="AO607" s="161">
        <f t="shared" ca="1" si="975"/>
        <v>0</v>
      </c>
      <c r="AP607" s="162">
        <f t="shared" ca="1" si="976"/>
        <v>426829</v>
      </c>
      <c r="AQ607" s="163">
        <f t="shared" ca="1" si="977"/>
        <v>0</v>
      </c>
      <c r="AR607" s="164">
        <f t="shared" ca="1" si="978"/>
        <v>0</v>
      </c>
      <c r="AS607" s="164">
        <f t="shared" ca="1" si="979"/>
        <v>0</v>
      </c>
      <c r="AT607" s="164">
        <f t="shared" ca="1" si="980"/>
        <v>0</v>
      </c>
      <c r="AU607" s="164">
        <f t="shared" ca="1" si="981"/>
        <v>0</v>
      </c>
      <c r="AV607" s="164">
        <f t="shared" ca="1" si="982"/>
        <v>0</v>
      </c>
      <c r="AW607" s="164">
        <f t="shared" ca="1" si="983"/>
        <v>0</v>
      </c>
      <c r="AX607" s="164">
        <f t="shared" ca="1" si="984"/>
        <v>0</v>
      </c>
      <c r="AY607" s="164">
        <f t="shared" ca="1" si="985"/>
        <v>0</v>
      </c>
      <c r="AZ607" s="164">
        <f t="shared" ca="1" si="986"/>
        <v>0</v>
      </c>
      <c r="BA607" s="165" t="str">
        <f t="shared" ca="1" si="987"/>
        <v>nie</v>
      </c>
      <c r="BB607" s="166" t="str">
        <f t="shared" ca="1" si="921"/>
        <v>-</v>
      </c>
      <c r="BC607" s="165" t="str">
        <f t="shared" ca="1" si="1000"/>
        <v>nie</v>
      </c>
    </row>
    <row r="608" spans="1:55" ht="14.45" hidden="1" customHeight="1" x14ac:dyDescent="0.25">
      <c r="A608" s="543"/>
      <c r="B608" s="543"/>
      <c r="C608" s="544"/>
      <c r="D608" s="506"/>
      <c r="E608" s="545"/>
      <c r="F608" s="545"/>
      <c r="G608" s="545"/>
      <c r="H608" s="498"/>
      <c r="I608" s="499"/>
      <c r="J608" s="177" t="s">
        <v>103</v>
      </c>
      <c r="K608" s="178">
        <f>SUM(N608:O608)</f>
        <v>0</v>
      </c>
      <c r="L608" s="179"/>
      <c r="M608" s="180"/>
      <c r="N608" s="172">
        <f>SUM(L608:M608)</f>
        <v>0</v>
      </c>
      <c r="O608" s="178">
        <f>SUM(P608:Y608)</f>
        <v>0</v>
      </c>
      <c r="P608" s="181"/>
      <c r="Q608" s="180"/>
      <c r="R608" s="182"/>
      <c r="S608" s="183"/>
      <c r="T608" s="180"/>
      <c r="U608" s="180"/>
      <c r="V608" s="180"/>
      <c r="W608" s="180"/>
      <c r="X608" s="180"/>
      <c r="Y608" s="182"/>
      <c r="Z608" s="149" t="str">
        <f t="shared" ca="1" si="999"/>
        <v>nie</v>
      </c>
      <c r="AA608" s="384"/>
      <c r="AB608" s="150" t="str">
        <f t="shared" ca="1" si="895"/>
        <v>-</v>
      </c>
      <c r="AC608" s="151" t="str">
        <f t="shared" ca="1" si="967"/>
        <v>PO ZMIANIE</v>
      </c>
      <c r="AD608" s="152" t="str">
        <f t="shared" ca="1" si="1015"/>
        <v>PO ZMIANIE</v>
      </c>
      <c r="AE608" s="153" t="str">
        <f t="shared" ca="1" si="968"/>
        <v>C/USN/V/P1/87</v>
      </c>
      <c r="AF608" s="154" t="str">
        <f t="shared" ca="1" si="969"/>
        <v>Termomodernizacja budynku Szkoły Podstawowej nr 343 przy ul. Kopcińskiego 7</v>
      </c>
      <c r="AG608" s="155">
        <f t="shared" ca="1" si="970"/>
        <v>80101</v>
      </c>
      <c r="AH608" s="155" t="str">
        <f t="shared" ca="1" si="971"/>
        <v>6056</v>
      </c>
      <c r="AI608" s="156" t="str">
        <f t="shared" ca="1" si="972"/>
        <v>SFUE/7/23</v>
      </c>
      <c r="AJ608" s="157" t="str">
        <f t="shared" ca="1" si="973"/>
        <v>WPF/PM</v>
      </c>
      <c r="AK608" s="158" t="str">
        <f t="shared" ca="1" si="1016"/>
        <v>C/USN/V/P1/87 80101 6056 SFUE/7/23</v>
      </c>
      <c r="AL608" s="158" t="str">
        <f t="shared" ca="1" si="1017"/>
        <v>C/USN/V/P1/87 80101 6056 WPF/PM</v>
      </c>
      <c r="AM608" s="159" t="str">
        <f t="shared" ca="1" si="1018"/>
        <v>C/USN/V/P1/87 80101 6056 SFUE/7/23 WPF/PM</v>
      </c>
      <c r="AN608" s="160">
        <f t="shared" ca="1" si="974"/>
        <v>0</v>
      </c>
      <c r="AO608" s="161">
        <f t="shared" ca="1" si="975"/>
        <v>0</v>
      </c>
      <c r="AP608" s="162">
        <f t="shared" ca="1" si="976"/>
        <v>0</v>
      </c>
      <c r="AQ608" s="163">
        <f t="shared" ca="1" si="977"/>
        <v>0</v>
      </c>
      <c r="AR608" s="164">
        <f t="shared" ca="1" si="978"/>
        <v>0</v>
      </c>
      <c r="AS608" s="164">
        <f t="shared" ca="1" si="979"/>
        <v>0</v>
      </c>
      <c r="AT608" s="164">
        <f t="shared" ca="1" si="980"/>
        <v>0</v>
      </c>
      <c r="AU608" s="164">
        <f t="shared" ca="1" si="981"/>
        <v>0</v>
      </c>
      <c r="AV608" s="164">
        <f t="shared" ca="1" si="982"/>
        <v>0</v>
      </c>
      <c r="AW608" s="164">
        <f t="shared" ca="1" si="983"/>
        <v>0</v>
      </c>
      <c r="AX608" s="164">
        <f t="shared" ca="1" si="984"/>
        <v>0</v>
      </c>
      <c r="AY608" s="164">
        <f t="shared" ca="1" si="985"/>
        <v>0</v>
      </c>
      <c r="AZ608" s="164">
        <f t="shared" ca="1" si="986"/>
        <v>0</v>
      </c>
      <c r="BA608" s="165" t="str">
        <f t="shared" ca="1" si="987"/>
        <v>nie</v>
      </c>
      <c r="BB608" s="166" t="str">
        <f t="shared" ca="1" si="921"/>
        <v>-</v>
      </c>
      <c r="BC608" s="165" t="str">
        <f t="shared" ca="1" si="1000"/>
        <v>nie</v>
      </c>
    </row>
    <row r="609" spans="1:55" ht="14.45" hidden="1" customHeight="1" thickBot="1" x14ac:dyDescent="0.3">
      <c r="A609" s="548"/>
      <c r="B609" s="548"/>
      <c r="C609" s="549"/>
      <c r="D609" s="513"/>
      <c r="E609" s="547"/>
      <c r="F609" s="547"/>
      <c r="G609" s="547"/>
      <c r="H609" s="504"/>
      <c r="I609" s="499"/>
      <c r="J609" s="197" t="s">
        <v>104</v>
      </c>
      <c r="K609" s="198">
        <f>SUM(N609:O609)</f>
        <v>426829</v>
      </c>
      <c r="L609" s="199"/>
      <c r="M609" s="200">
        <f>426829-426829+426829</f>
        <v>426829</v>
      </c>
      <c r="N609" s="371">
        <f>SUM(L609:M609)</f>
        <v>426829</v>
      </c>
      <c r="O609" s="198">
        <f>SUM(P609:Y609)</f>
        <v>0</v>
      </c>
      <c r="P609" s="201"/>
      <c r="Q609" s="200"/>
      <c r="R609" s="202"/>
      <c r="S609" s="203"/>
      <c r="T609" s="200"/>
      <c r="U609" s="200"/>
      <c r="V609" s="200"/>
      <c r="W609" s="200"/>
      <c r="X609" s="200"/>
      <c r="Y609" s="202"/>
      <c r="Z609" s="149" t="str">
        <f t="shared" ca="1" si="999"/>
        <v>nie</v>
      </c>
      <c r="AA609" s="384"/>
      <c r="AB609" s="150" t="str">
        <f t="shared" ca="1" si="895"/>
        <v>-</v>
      </c>
      <c r="AC609" s="151" t="str">
        <f t="shared" ca="1" si="967"/>
        <v>PO ZMIANIE</v>
      </c>
      <c r="AD609" s="152" t="str">
        <f t="shared" ca="1" si="1015"/>
        <v>PO ZMIANIE</v>
      </c>
      <c r="AE609" s="153" t="str">
        <f t="shared" ca="1" si="968"/>
        <v>C/USN/V/P1/87</v>
      </c>
      <c r="AF609" s="154" t="str">
        <f t="shared" ca="1" si="969"/>
        <v>Termomodernizacja budynku Szkoły Podstawowej nr 343 przy ul. Kopcińskiego 7</v>
      </c>
      <c r="AG609" s="155">
        <f t="shared" ca="1" si="970"/>
        <v>80101</v>
      </c>
      <c r="AH609" s="155" t="str">
        <f t="shared" ca="1" si="971"/>
        <v>6056</v>
      </c>
      <c r="AI609" s="156" t="str">
        <f t="shared" ca="1" si="972"/>
        <v>SFUE/7/23</v>
      </c>
      <c r="AJ609" s="157" t="str">
        <f t="shared" ca="1" si="973"/>
        <v>WPF/UM</v>
      </c>
      <c r="AK609" s="158" t="str">
        <f t="shared" ca="1" si="1016"/>
        <v>C/USN/V/P1/87 80101 6056 SFUE/7/23</v>
      </c>
      <c r="AL609" s="158" t="str">
        <f t="shared" ca="1" si="1017"/>
        <v>C/USN/V/P1/87 80101 6056 WPF/UM</v>
      </c>
      <c r="AM609" s="159" t="str">
        <f t="shared" ca="1" si="1018"/>
        <v>C/USN/V/P1/87 80101 6056 SFUE/7/23 WPF/UM</v>
      </c>
      <c r="AN609" s="160">
        <f t="shared" ca="1" si="974"/>
        <v>426829</v>
      </c>
      <c r="AO609" s="161">
        <f t="shared" ca="1" si="975"/>
        <v>0</v>
      </c>
      <c r="AP609" s="162">
        <f t="shared" ca="1" si="976"/>
        <v>426829</v>
      </c>
      <c r="AQ609" s="163">
        <f t="shared" ca="1" si="977"/>
        <v>0</v>
      </c>
      <c r="AR609" s="164">
        <f t="shared" ca="1" si="978"/>
        <v>0</v>
      </c>
      <c r="AS609" s="164">
        <f t="shared" ca="1" si="979"/>
        <v>0</v>
      </c>
      <c r="AT609" s="164">
        <f t="shared" ca="1" si="980"/>
        <v>0</v>
      </c>
      <c r="AU609" s="164">
        <f t="shared" ca="1" si="981"/>
        <v>0</v>
      </c>
      <c r="AV609" s="164">
        <f t="shared" ca="1" si="982"/>
        <v>0</v>
      </c>
      <c r="AW609" s="164">
        <f t="shared" ca="1" si="983"/>
        <v>0</v>
      </c>
      <c r="AX609" s="164">
        <f t="shared" ca="1" si="984"/>
        <v>0</v>
      </c>
      <c r="AY609" s="164">
        <f t="shared" ca="1" si="985"/>
        <v>0</v>
      </c>
      <c r="AZ609" s="164">
        <f t="shared" ca="1" si="986"/>
        <v>0</v>
      </c>
      <c r="BA609" s="165" t="str">
        <f t="shared" ca="1" si="987"/>
        <v>nie</v>
      </c>
      <c r="BB609" s="166" t="str">
        <f t="shared" ca="1" si="921"/>
        <v>-</v>
      </c>
      <c r="BC609" s="165" t="str">
        <f t="shared" ca="1" si="1000"/>
        <v>nie</v>
      </c>
    </row>
    <row r="610" spans="1:55" ht="14.45" hidden="1" customHeight="1" x14ac:dyDescent="0.25">
      <c r="A610" s="211" t="s">
        <v>91</v>
      </c>
      <c r="B610" s="212"/>
      <c r="C610" s="213"/>
      <c r="D610" s="212"/>
      <c r="E610" s="212"/>
      <c r="F610" s="212"/>
      <c r="G610" s="212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6"/>
      <c r="S610" s="147"/>
      <c r="T610" s="147"/>
      <c r="U610" s="147"/>
      <c r="V610" s="147"/>
      <c r="W610" s="147"/>
      <c r="X610" s="147"/>
      <c r="Y610" s="148"/>
      <c r="Z610" s="149" t="str">
        <f t="shared" ca="1" si="999"/>
        <v>nie</v>
      </c>
      <c r="AA610" s="366"/>
      <c r="AB610" s="150" t="str">
        <f t="shared" ca="1" si="895"/>
        <v>-</v>
      </c>
      <c r="AC610" s="151" t="str">
        <f t="shared" ca="1" si="967"/>
        <v>PRZED ZMIANĄ</v>
      </c>
      <c r="AD610" s="152" t="str">
        <f t="shared" ca="1" si="1015"/>
        <v/>
      </c>
      <c r="AE610" s="153" t="str">
        <f t="shared" ca="1" si="968"/>
        <v/>
      </c>
      <c r="AF610" s="154" t="str">
        <f t="shared" ca="1" si="969"/>
        <v/>
      </c>
      <c r="AG610" s="155" t="str">
        <f t="shared" ca="1" si="970"/>
        <v/>
      </c>
      <c r="AH610" s="155" t="str">
        <f t="shared" ca="1" si="971"/>
        <v/>
      </c>
      <c r="AI610" s="156" t="str">
        <f t="shared" ca="1" si="972"/>
        <v/>
      </c>
      <c r="AJ610" s="157" t="str">
        <f t="shared" ca="1" si="973"/>
        <v/>
      </c>
      <c r="AK610" s="158" t="str">
        <f t="shared" ca="1" si="1016"/>
        <v/>
      </c>
      <c r="AL610" s="158" t="str">
        <f t="shared" ca="1" si="1017"/>
        <v/>
      </c>
      <c r="AM610" s="159" t="str">
        <f t="shared" ca="1" si="1018"/>
        <v/>
      </c>
      <c r="AN610" s="160" t="str">
        <f t="shared" ca="1" si="974"/>
        <v/>
      </c>
      <c r="AO610" s="161" t="str">
        <f t="shared" ca="1" si="975"/>
        <v/>
      </c>
      <c r="AP610" s="162" t="str">
        <f t="shared" ca="1" si="976"/>
        <v/>
      </c>
      <c r="AQ610" s="163" t="str">
        <f t="shared" ca="1" si="977"/>
        <v/>
      </c>
      <c r="AR610" s="164" t="str">
        <f t="shared" ca="1" si="978"/>
        <v/>
      </c>
      <c r="AS610" s="164" t="str">
        <f t="shared" ca="1" si="979"/>
        <v/>
      </c>
      <c r="AT610" s="164" t="str">
        <f t="shared" ca="1" si="980"/>
        <v/>
      </c>
      <c r="AU610" s="164" t="str">
        <f t="shared" ca="1" si="981"/>
        <v/>
      </c>
      <c r="AV610" s="164" t="str">
        <f t="shared" ca="1" si="982"/>
        <v/>
      </c>
      <c r="AW610" s="164" t="str">
        <f t="shared" ca="1" si="983"/>
        <v/>
      </c>
      <c r="AX610" s="164" t="str">
        <f t="shared" ca="1" si="984"/>
        <v/>
      </c>
      <c r="AY610" s="164" t="str">
        <f t="shared" ca="1" si="985"/>
        <v/>
      </c>
      <c r="AZ610" s="164" t="str">
        <f t="shared" ca="1" si="986"/>
        <v/>
      </c>
      <c r="BA610" s="165" t="str">
        <f t="shared" ca="1" si="987"/>
        <v>nie</v>
      </c>
      <c r="BB610" s="166" t="str">
        <f t="shared" ca="1" si="921"/>
        <v>-</v>
      </c>
      <c r="BC610" s="165" t="str">
        <f t="shared" ca="1" si="1000"/>
        <v>nie</v>
      </c>
    </row>
    <row r="611" spans="1:55" ht="14.45" hidden="1" customHeight="1" x14ac:dyDescent="0.25">
      <c r="A611" s="543" t="s">
        <v>24</v>
      </c>
      <c r="B611" s="543" t="s">
        <v>175</v>
      </c>
      <c r="C611" s="544" t="s">
        <v>173</v>
      </c>
      <c r="D611" s="506" t="s">
        <v>174</v>
      </c>
      <c r="E611" s="545">
        <v>801</v>
      </c>
      <c r="F611" s="545">
        <v>80101</v>
      </c>
      <c r="G611" s="545">
        <v>6057</v>
      </c>
      <c r="H611" s="507">
        <v>2023</v>
      </c>
      <c r="I611" s="499" t="str">
        <f ca="1">IF(COUNTIF(OFFSET(I611,-1,-8),"*propon*")&gt;0,OFFSET(I611,4,0),IF(Y611&gt;0,"2033",IF(X611&gt;0,"2032",IF(W611&gt;0,"2031",IF(V611&gt;0,"2030",IF(U611&gt;0,"2029",IF(T611&gt;0,"2028",IF(S611&gt;0,"2027",IF(R611&gt;0,"2026",IF(Q611&gt;0,"2025",IF(P611&gt;0,"2024",IF(M611&gt;0,"2023",IF(L611&gt;0,"2022","")))))))))))))</f>
        <v>2023</v>
      </c>
      <c r="J611" s="168" t="s">
        <v>94</v>
      </c>
      <c r="K611" s="169">
        <f>SUM(N611:O611)</f>
        <v>2418699</v>
      </c>
      <c r="L611" s="170">
        <f t="shared" ref="L611:M611" si="1033">SUM(L612:L613)</f>
        <v>0</v>
      </c>
      <c r="M611" s="171">
        <f t="shared" si="1033"/>
        <v>2418699</v>
      </c>
      <c r="N611" s="172">
        <f>SUM(L611:M611)</f>
        <v>2418699</v>
      </c>
      <c r="O611" s="169">
        <f>SUM(P611:Y611)</f>
        <v>0</v>
      </c>
      <c r="P611" s="173">
        <f t="shared" ref="P611:R611" si="1034">SUM(P612:P613)</f>
        <v>0</v>
      </c>
      <c r="Q611" s="171">
        <f t="shared" si="1034"/>
        <v>0</v>
      </c>
      <c r="R611" s="174">
        <f t="shared" si="1034"/>
        <v>0</v>
      </c>
      <c r="S611" s="175">
        <f t="shared" ref="S611:Y611" si="1035">SUM(S612:S613)</f>
        <v>0</v>
      </c>
      <c r="T611" s="171">
        <f t="shared" si="1035"/>
        <v>0</v>
      </c>
      <c r="U611" s="171">
        <f t="shared" si="1035"/>
        <v>0</v>
      </c>
      <c r="V611" s="171">
        <f t="shared" si="1035"/>
        <v>0</v>
      </c>
      <c r="W611" s="171">
        <f t="shared" si="1035"/>
        <v>0</v>
      </c>
      <c r="X611" s="171">
        <f t="shared" si="1035"/>
        <v>0</v>
      </c>
      <c r="Y611" s="174">
        <f t="shared" si="1035"/>
        <v>0</v>
      </c>
      <c r="Z611" s="149" t="str">
        <f t="shared" ca="1" si="999"/>
        <v>nie</v>
      </c>
      <c r="AA611" s="366"/>
      <c r="AB611" s="150" t="str">
        <f t="shared" ca="1" si="895"/>
        <v>-</v>
      </c>
      <c r="AC611" s="151" t="str">
        <f t="shared" ca="1" si="967"/>
        <v>PRZED ZMIANĄ</v>
      </c>
      <c r="AD611" s="152" t="str">
        <f t="shared" ca="1" si="1015"/>
        <v>PRZED ZMIANĄ</v>
      </c>
      <c r="AE611" s="153" t="str">
        <f t="shared" ca="1" si="968"/>
        <v>C/USN/V/P1/87</v>
      </c>
      <c r="AF611" s="154" t="str">
        <f t="shared" ca="1" si="969"/>
        <v>Termomodernizacja budynku Szkoły Podstawowej nr 343 przy ul. Kopcińskiego 7</v>
      </c>
      <c r="AG611" s="155">
        <f t="shared" ca="1" si="970"/>
        <v>80101</v>
      </c>
      <c r="AH611" s="155" t="str">
        <f t="shared" ca="1" si="971"/>
        <v>6057</v>
      </c>
      <c r="AI611" s="156" t="str">
        <f t="shared" ca="1" si="972"/>
        <v>SFUE/7/23</v>
      </c>
      <c r="AJ611" s="157" t="str">
        <f t="shared" ca="1" si="973"/>
        <v>WPF, w tym</v>
      </c>
      <c r="AK611" s="158" t="str">
        <f t="shared" ca="1" si="1016"/>
        <v>C/USN/V/P1/87 80101 6057 SFUE/7/23</v>
      </c>
      <c r="AL611" s="158" t="str">
        <f t="shared" ca="1" si="1017"/>
        <v>C/USN/V/P1/87 80101 6057 WPF, w tym</v>
      </c>
      <c r="AM611" s="159" t="str">
        <f t="shared" ca="1" si="1018"/>
        <v>C/USN/V/P1/87 80101 6057 SFUE/7/23 WPF, w tym</v>
      </c>
      <c r="AN611" s="160">
        <f t="shared" ca="1" si="974"/>
        <v>2418699</v>
      </c>
      <c r="AO611" s="161">
        <f t="shared" ca="1" si="975"/>
        <v>0</v>
      </c>
      <c r="AP611" s="162">
        <f t="shared" ca="1" si="976"/>
        <v>2418699</v>
      </c>
      <c r="AQ611" s="163">
        <f t="shared" ca="1" si="977"/>
        <v>0</v>
      </c>
      <c r="AR611" s="164">
        <f t="shared" ca="1" si="978"/>
        <v>0</v>
      </c>
      <c r="AS611" s="164">
        <f t="shared" ca="1" si="979"/>
        <v>0</v>
      </c>
      <c r="AT611" s="164">
        <f t="shared" ca="1" si="980"/>
        <v>0</v>
      </c>
      <c r="AU611" s="164">
        <f t="shared" ca="1" si="981"/>
        <v>0</v>
      </c>
      <c r="AV611" s="164">
        <f t="shared" ca="1" si="982"/>
        <v>0</v>
      </c>
      <c r="AW611" s="164">
        <f t="shared" ca="1" si="983"/>
        <v>0</v>
      </c>
      <c r="AX611" s="164">
        <f t="shared" ca="1" si="984"/>
        <v>0</v>
      </c>
      <c r="AY611" s="164">
        <f t="shared" ca="1" si="985"/>
        <v>0</v>
      </c>
      <c r="AZ611" s="164">
        <f t="shared" ca="1" si="986"/>
        <v>0</v>
      </c>
      <c r="BA611" s="165" t="str">
        <f t="shared" ca="1" si="987"/>
        <v>nie</v>
      </c>
      <c r="BB611" s="166" t="str">
        <f t="shared" ca="1" si="921"/>
        <v>-</v>
      </c>
      <c r="BC611" s="165" t="str">
        <f t="shared" ca="1" si="1000"/>
        <v>nie</v>
      </c>
    </row>
    <row r="612" spans="1:55" ht="14.45" hidden="1" customHeight="1" x14ac:dyDescent="0.25">
      <c r="A612" s="543"/>
      <c r="B612" s="543"/>
      <c r="C612" s="544"/>
      <c r="D612" s="506"/>
      <c r="E612" s="545"/>
      <c r="F612" s="545"/>
      <c r="G612" s="545"/>
      <c r="H612" s="498"/>
      <c r="I612" s="499"/>
      <c r="J612" s="177" t="s">
        <v>95</v>
      </c>
      <c r="K612" s="178">
        <f>SUM(N612:O612)</f>
        <v>0</v>
      </c>
      <c r="L612" s="179"/>
      <c r="M612" s="180"/>
      <c r="N612" s="172">
        <f>SUM(L612:M612)</f>
        <v>0</v>
      </c>
      <c r="O612" s="178">
        <f>SUM(P612:Y612)</f>
        <v>0</v>
      </c>
      <c r="P612" s="181"/>
      <c r="Q612" s="180"/>
      <c r="R612" s="182"/>
      <c r="S612" s="183"/>
      <c r="T612" s="180"/>
      <c r="U612" s="180"/>
      <c r="V612" s="180"/>
      <c r="W612" s="180"/>
      <c r="X612" s="180"/>
      <c r="Y612" s="182"/>
      <c r="Z612" s="149" t="str">
        <f t="shared" ca="1" si="999"/>
        <v>nie</v>
      </c>
      <c r="AA612" s="366"/>
      <c r="AB612" s="150" t="str">
        <f t="shared" ca="1" si="895"/>
        <v>-</v>
      </c>
      <c r="AC612" s="151" t="str">
        <f t="shared" ca="1" si="967"/>
        <v>PRZED ZMIANĄ</v>
      </c>
      <c r="AD612" s="152" t="str">
        <f t="shared" ca="1" si="1015"/>
        <v>PRZED ZMIANĄ</v>
      </c>
      <c r="AE612" s="153" t="str">
        <f t="shared" ca="1" si="968"/>
        <v>C/USN/V/P1/87</v>
      </c>
      <c r="AF612" s="154" t="str">
        <f t="shared" ca="1" si="969"/>
        <v>Termomodernizacja budynku Szkoły Podstawowej nr 343 przy ul. Kopcińskiego 7</v>
      </c>
      <c r="AG612" s="155">
        <f t="shared" ca="1" si="970"/>
        <v>80101</v>
      </c>
      <c r="AH612" s="155" t="str">
        <f t="shared" ca="1" si="971"/>
        <v>6057</v>
      </c>
      <c r="AI612" s="156" t="str">
        <f t="shared" ca="1" si="972"/>
        <v>SFUE/7/23</v>
      </c>
      <c r="AJ612" s="157" t="str">
        <f t="shared" ca="1" si="973"/>
        <v>WPF/PM</v>
      </c>
      <c r="AK612" s="158" t="str">
        <f t="shared" ca="1" si="1016"/>
        <v>C/USN/V/P1/87 80101 6057 SFUE/7/23</v>
      </c>
      <c r="AL612" s="158" t="str">
        <f t="shared" ca="1" si="1017"/>
        <v>C/USN/V/P1/87 80101 6057 WPF/PM</v>
      </c>
      <c r="AM612" s="159" t="str">
        <f t="shared" ca="1" si="1018"/>
        <v>C/USN/V/P1/87 80101 6057 SFUE/7/23 WPF/PM</v>
      </c>
      <c r="AN612" s="160">
        <f t="shared" ca="1" si="974"/>
        <v>0</v>
      </c>
      <c r="AO612" s="161">
        <f t="shared" ca="1" si="975"/>
        <v>0</v>
      </c>
      <c r="AP612" s="162">
        <f t="shared" ca="1" si="976"/>
        <v>0</v>
      </c>
      <c r="AQ612" s="163">
        <f t="shared" ca="1" si="977"/>
        <v>0</v>
      </c>
      <c r="AR612" s="164">
        <f t="shared" ca="1" si="978"/>
        <v>0</v>
      </c>
      <c r="AS612" s="164">
        <f t="shared" ca="1" si="979"/>
        <v>0</v>
      </c>
      <c r="AT612" s="164">
        <f t="shared" ca="1" si="980"/>
        <v>0</v>
      </c>
      <c r="AU612" s="164">
        <f t="shared" ca="1" si="981"/>
        <v>0</v>
      </c>
      <c r="AV612" s="164">
        <f t="shared" ca="1" si="982"/>
        <v>0</v>
      </c>
      <c r="AW612" s="164">
        <f t="shared" ca="1" si="983"/>
        <v>0</v>
      </c>
      <c r="AX612" s="164">
        <f t="shared" ca="1" si="984"/>
        <v>0</v>
      </c>
      <c r="AY612" s="164">
        <f t="shared" ca="1" si="985"/>
        <v>0</v>
      </c>
      <c r="AZ612" s="164">
        <f t="shared" ca="1" si="986"/>
        <v>0</v>
      </c>
      <c r="BA612" s="165" t="str">
        <f t="shared" ca="1" si="987"/>
        <v>nie</v>
      </c>
      <c r="BB612" s="166" t="str">
        <f t="shared" ca="1" si="921"/>
        <v>-</v>
      </c>
      <c r="BC612" s="165" t="str">
        <f t="shared" ca="1" si="1000"/>
        <v>nie</v>
      </c>
    </row>
    <row r="613" spans="1:55" ht="14.45" hidden="1" customHeight="1" x14ac:dyDescent="0.25">
      <c r="A613" s="543"/>
      <c r="B613" s="543"/>
      <c r="C613" s="544"/>
      <c r="D613" s="506"/>
      <c r="E613" s="545"/>
      <c r="F613" s="545"/>
      <c r="G613" s="545"/>
      <c r="H613" s="546"/>
      <c r="I613" s="499"/>
      <c r="J613" s="177" t="s">
        <v>96</v>
      </c>
      <c r="K613" s="178">
        <f>SUM(N613:O613)</f>
        <v>2418699</v>
      </c>
      <c r="L613" s="184"/>
      <c r="M613" s="180">
        <v>2418699</v>
      </c>
      <c r="N613" s="172">
        <f>SUM(L613:M613)</f>
        <v>2418699</v>
      </c>
      <c r="O613" s="178">
        <f>SUM(P613:Y613)</f>
        <v>0</v>
      </c>
      <c r="P613" s="181"/>
      <c r="Q613" s="180"/>
      <c r="R613" s="182"/>
      <c r="S613" s="183"/>
      <c r="T613" s="180"/>
      <c r="U613" s="180"/>
      <c r="V613" s="180"/>
      <c r="W613" s="180"/>
      <c r="X613" s="180"/>
      <c r="Y613" s="182"/>
      <c r="Z613" s="149" t="str">
        <f t="shared" ca="1" si="999"/>
        <v>nie</v>
      </c>
      <c r="AA613" s="366"/>
      <c r="AB613" s="150" t="str">
        <f t="shared" ca="1" si="895"/>
        <v>-</v>
      </c>
      <c r="AC613" s="151" t="str">
        <f t="shared" ca="1" si="967"/>
        <v>PRZED ZMIANĄ</v>
      </c>
      <c r="AD613" s="152" t="str">
        <f t="shared" ca="1" si="1015"/>
        <v>PRZED ZMIANĄ</v>
      </c>
      <c r="AE613" s="153" t="str">
        <f t="shared" ca="1" si="968"/>
        <v>C/USN/V/P1/87</v>
      </c>
      <c r="AF613" s="154" t="str">
        <f t="shared" ca="1" si="969"/>
        <v>Termomodernizacja budynku Szkoły Podstawowej nr 343 przy ul. Kopcińskiego 7</v>
      </c>
      <c r="AG613" s="155">
        <f t="shared" ca="1" si="970"/>
        <v>80101</v>
      </c>
      <c r="AH613" s="155" t="str">
        <f t="shared" ca="1" si="971"/>
        <v>6057</v>
      </c>
      <c r="AI613" s="156" t="str">
        <f t="shared" ca="1" si="972"/>
        <v>SFUE/7/23</v>
      </c>
      <c r="AJ613" s="157" t="str">
        <f t="shared" ca="1" si="973"/>
        <v>WPF/UM</v>
      </c>
      <c r="AK613" s="158" t="str">
        <f t="shared" ca="1" si="1016"/>
        <v>C/USN/V/P1/87 80101 6057 SFUE/7/23</v>
      </c>
      <c r="AL613" s="158" t="str">
        <f t="shared" ca="1" si="1017"/>
        <v>C/USN/V/P1/87 80101 6057 WPF/UM</v>
      </c>
      <c r="AM613" s="159" t="str">
        <f t="shared" ca="1" si="1018"/>
        <v>C/USN/V/P1/87 80101 6057 SFUE/7/23 WPF/UM</v>
      </c>
      <c r="AN613" s="160">
        <f t="shared" ca="1" si="974"/>
        <v>2418699</v>
      </c>
      <c r="AO613" s="161">
        <f t="shared" ca="1" si="975"/>
        <v>0</v>
      </c>
      <c r="AP613" s="162">
        <f t="shared" ca="1" si="976"/>
        <v>2418699</v>
      </c>
      <c r="AQ613" s="163">
        <f t="shared" ca="1" si="977"/>
        <v>0</v>
      </c>
      <c r="AR613" s="164">
        <f t="shared" ca="1" si="978"/>
        <v>0</v>
      </c>
      <c r="AS613" s="164">
        <f t="shared" ca="1" si="979"/>
        <v>0</v>
      </c>
      <c r="AT613" s="164">
        <f t="shared" ca="1" si="980"/>
        <v>0</v>
      </c>
      <c r="AU613" s="164">
        <f t="shared" ca="1" si="981"/>
        <v>0</v>
      </c>
      <c r="AV613" s="164">
        <f t="shared" ca="1" si="982"/>
        <v>0</v>
      </c>
      <c r="AW613" s="164">
        <f t="shared" ca="1" si="983"/>
        <v>0</v>
      </c>
      <c r="AX613" s="164">
        <f t="shared" ca="1" si="984"/>
        <v>0</v>
      </c>
      <c r="AY613" s="164">
        <f t="shared" ca="1" si="985"/>
        <v>0</v>
      </c>
      <c r="AZ613" s="164">
        <f t="shared" ca="1" si="986"/>
        <v>0</v>
      </c>
      <c r="BA613" s="165" t="str">
        <f t="shared" ca="1" si="987"/>
        <v>nie</v>
      </c>
      <c r="BB613" s="166" t="str">
        <f t="shared" ca="1" si="921"/>
        <v>-</v>
      </c>
      <c r="BC613" s="165" t="str">
        <f t="shared" ca="1" si="1000"/>
        <v>nie</v>
      </c>
    </row>
    <row r="614" spans="1:55" ht="14.45" hidden="1" customHeight="1" x14ac:dyDescent="0.25">
      <c r="A614" s="205" t="s">
        <v>97</v>
      </c>
      <c r="B614" s="206"/>
      <c r="C614" s="207"/>
      <c r="D614" s="206"/>
      <c r="E614" s="206"/>
      <c r="F614" s="206"/>
      <c r="G614" s="206"/>
      <c r="H614" s="186"/>
      <c r="I614" s="186"/>
      <c r="J614" s="186"/>
      <c r="K614" s="186"/>
      <c r="L614" s="186"/>
      <c r="M614" s="186"/>
      <c r="N614" s="186"/>
      <c r="O614" s="186"/>
      <c r="P614" s="186"/>
      <c r="Q614" s="186"/>
      <c r="R614" s="188"/>
      <c r="S614" s="189"/>
      <c r="T614" s="189"/>
      <c r="U614" s="189"/>
      <c r="V614" s="189"/>
      <c r="W614" s="189"/>
      <c r="X614" s="189"/>
      <c r="Y614" s="190"/>
      <c r="Z614" s="149" t="str">
        <f t="shared" ca="1" si="999"/>
        <v>nie</v>
      </c>
      <c r="AA614" s="366"/>
      <c r="AB614" s="150" t="str">
        <f t="shared" ca="1" si="895"/>
        <v>-</v>
      </c>
      <c r="AC614" s="151" t="str">
        <f t="shared" ca="1" si="967"/>
        <v>PROPONOWANA ZMIANA</v>
      </c>
      <c r="AD614" s="152" t="str">
        <f t="shared" ca="1" si="1015"/>
        <v/>
      </c>
      <c r="AE614" s="153" t="str">
        <f t="shared" ca="1" si="968"/>
        <v/>
      </c>
      <c r="AF614" s="154" t="str">
        <f t="shared" ca="1" si="969"/>
        <v/>
      </c>
      <c r="AG614" s="155" t="str">
        <f t="shared" ca="1" si="970"/>
        <v/>
      </c>
      <c r="AH614" s="155" t="str">
        <f t="shared" ca="1" si="971"/>
        <v/>
      </c>
      <c r="AI614" s="156" t="str">
        <f t="shared" ca="1" si="972"/>
        <v/>
      </c>
      <c r="AJ614" s="157" t="str">
        <f t="shared" ca="1" si="973"/>
        <v/>
      </c>
      <c r="AK614" s="158" t="str">
        <f t="shared" ca="1" si="1016"/>
        <v/>
      </c>
      <c r="AL614" s="158" t="str">
        <f t="shared" ca="1" si="1017"/>
        <v/>
      </c>
      <c r="AM614" s="159" t="str">
        <f t="shared" ca="1" si="1018"/>
        <v/>
      </c>
      <c r="AN614" s="160" t="str">
        <f t="shared" ca="1" si="974"/>
        <v/>
      </c>
      <c r="AO614" s="161" t="str">
        <f t="shared" ca="1" si="975"/>
        <v/>
      </c>
      <c r="AP614" s="162" t="str">
        <f t="shared" ca="1" si="976"/>
        <v/>
      </c>
      <c r="AQ614" s="163" t="str">
        <f t="shared" ca="1" si="977"/>
        <v/>
      </c>
      <c r="AR614" s="164" t="str">
        <f t="shared" ca="1" si="978"/>
        <v/>
      </c>
      <c r="AS614" s="164" t="str">
        <f t="shared" ca="1" si="979"/>
        <v/>
      </c>
      <c r="AT614" s="164" t="str">
        <f t="shared" ca="1" si="980"/>
        <v/>
      </c>
      <c r="AU614" s="164" t="str">
        <f t="shared" ca="1" si="981"/>
        <v/>
      </c>
      <c r="AV614" s="164" t="str">
        <f t="shared" ca="1" si="982"/>
        <v/>
      </c>
      <c r="AW614" s="164" t="str">
        <f t="shared" ca="1" si="983"/>
        <v/>
      </c>
      <c r="AX614" s="164" t="str">
        <f t="shared" ca="1" si="984"/>
        <v/>
      </c>
      <c r="AY614" s="164" t="str">
        <f t="shared" ca="1" si="985"/>
        <v/>
      </c>
      <c r="AZ614" s="164" t="str">
        <f t="shared" ca="1" si="986"/>
        <v/>
      </c>
      <c r="BA614" s="165" t="str">
        <f t="shared" ca="1" si="987"/>
        <v>nie</v>
      </c>
      <c r="BB614" s="166" t="str">
        <f t="shared" ca="1" si="921"/>
        <v>-</v>
      </c>
      <c r="BC614" s="165" t="str">
        <f t="shared" ca="1" si="1000"/>
        <v>nie</v>
      </c>
    </row>
    <row r="615" spans="1:55" ht="14.45" hidden="1" customHeight="1" x14ac:dyDescent="0.25">
      <c r="A615" s="543" t="s">
        <v>24</v>
      </c>
      <c r="B615" s="543" t="s">
        <v>175</v>
      </c>
      <c r="C615" s="544" t="s">
        <v>173</v>
      </c>
      <c r="D615" s="506" t="s">
        <v>174</v>
      </c>
      <c r="E615" s="545">
        <v>801</v>
      </c>
      <c r="F615" s="545">
        <v>80101</v>
      </c>
      <c r="G615" s="545">
        <v>6057</v>
      </c>
      <c r="H615" s="507">
        <v>2023</v>
      </c>
      <c r="I615" s="499" t="str">
        <f ca="1">IF(COUNTIF(OFFSET(I615,-1,-8),"*propon*")&gt;0,OFFSET(I615,4,0),IF(Y615&gt;0,"2033",IF(X615&gt;0,"2032",IF(W615&gt;0,"2031",IF(V615&gt;0,"2030",IF(U615&gt;0,"2029",IF(T615&gt;0,"2028",IF(S615&gt;0,"2027",IF(R615&gt;0,"2026",IF(Q615&gt;0,"2025",IF(P615&gt;0,"2024",IF(M615&gt;0,"2023",IF(L615&gt;0,"2022","")))))))))))))</f>
        <v>2023</v>
      </c>
      <c r="J615" s="168" t="s">
        <v>98</v>
      </c>
      <c r="K615" s="169">
        <f>SUM(N615:O615)</f>
        <v>0</v>
      </c>
      <c r="L615" s="170">
        <f t="shared" ref="L615:M615" si="1036">SUM(L616:L617)</f>
        <v>0</v>
      </c>
      <c r="M615" s="171">
        <f t="shared" si="1036"/>
        <v>0</v>
      </c>
      <c r="N615" s="172">
        <f>SUM(L615:M615)</f>
        <v>0</v>
      </c>
      <c r="O615" s="169">
        <f>SUM(P615:Y615)</f>
        <v>0</v>
      </c>
      <c r="P615" s="173">
        <f t="shared" ref="P615:R615" si="1037">SUM(P616:P617)</f>
        <v>0</v>
      </c>
      <c r="Q615" s="171">
        <f t="shared" si="1037"/>
        <v>0</v>
      </c>
      <c r="R615" s="174">
        <f t="shared" si="1037"/>
        <v>0</v>
      </c>
      <c r="S615" s="175">
        <f t="shared" ref="S615:Y615" si="1038">SUM(S616:S617)</f>
        <v>0</v>
      </c>
      <c r="T615" s="171">
        <f t="shared" si="1038"/>
        <v>0</v>
      </c>
      <c r="U615" s="171">
        <f t="shared" si="1038"/>
        <v>0</v>
      </c>
      <c r="V615" s="171">
        <f t="shared" si="1038"/>
        <v>0</v>
      </c>
      <c r="W615" s="171">
        <f t="shared" si="1038"/>
        <v>0</v>
      </c>
      <c r="X615" s="171">
        <f t="shared" si="1038"/>
        <v>0</v>
      </c>
      <c r="Y615" s="174">
        <f t="shared" si="1038"/>
        <v>0</v>
      </c>
      <c r="Z615" s="149" t="str">
        <f t="shared" ca="1" si="999"/>
        <v>nie</v>
      </c>
      <c r="AA615" s="366"/>
      <c r="AB615" s="150" t="str">
        <f t="shared" ca="1" si="895"/>
        <v>-</v>
      </c>
      <c r="AC615" s="151" t="str">
        <f t="shared" ca="1" si="967"/>
        <v>PROPONOWANA ZMIANA</v>
      </c>
      <c r="AD615" s="152" t="str">
        <f t="shared" ca="1" si="1015"/>
        <v>PROPONOWANA ZMIANA</v>
      </c>
      <c r="AE615" s="153" t="str">
        <f t="shared" ca="1" si="968"/>
        <v>C/USN/V/P1/87</v>
      </c>
      <c r="AF615" s="154" t="str">
        <f t="shared" ca="1" si="969"/>
        <v>Termomodernizacja budynku Szkoły Podstawowej nr 343 przy ul. Kopcińskiego 7</v>
      </c>
      <c r="AG615" s="155">
        <f t="shared" ca="1" si="970"/>
        <v>80101</v>
      </c>
      <c r="AH615" s="155" t="str">
        <f t="shared" ca="1" si="971"/>
        <v>6057</v>
      </c>
      <c r="AI615" s="156" t="str">
        <f t="shared" ca="1" si="972"/>
        <v>SFUE/7/23</v>
      </c>
      <c r="AJ615" s="157" t="str">
        <f t="shared" ca="1" si="973"/>
        <v>WPF, w tym</v>
      </c>
      <c r="AK615" s="158" t="str">
        <f t="shared" ca="1" si="1016"/>
        <v>C/USN/V/P1/87 80101 6057 SFUE/7/23</v>
      </c>
      <c r="AL615" s="158" t="str">
        <f t="shared" ca="1" si="1017"/>
        <v>C/USN/V/P1/87 80101 6057 WPF, w tym</v>
      </c>
      <c r="AM615" s="159" t="str">
        <f t="shared" ca="1" si="1018"/>
        <v>C/USN/V/P1/87 80101 6057 SFUE/7/23 WPF, w tym</v>
      </c>
      <c r="AN615" s="160">
        <f t="shared" ca="1" si="974"/>
        <v>0</v>
      </c>
      <c r="AO615" s="161">
        <f t="shared" ca="1" si="975"/>
        <v>0</v>
      </c>
      <c r="AP615" s="162">
        <f t="shared" ca="1" si="976"/>
        <v>0</v>
      </c>
      <c r="AQ615" s="163">
        <f t="shared" ca="1" si="977"/>
        <v>0</v>
      </c>
      <c r="AR615" s="164">
        <f t="shared" ca="1" si="978"/>
        <v>0</v>
      </c>
      <c r="AS615" s="164">
        <f t="shared" ca="1" si="979"/>
        <v>0</v>
      </c>
      <c r="AT615" s="164">
        <f t="shared" ca="1" si="980"/>
        <v>0</v>
      </c>
      <c r="AU615" s="164">
        <f t="shared" ca="1" si="981"/>
        <v>0</v>
      </c>
      <c r="AV615" s="164">
        <f t="shared" ca="1" si="982"/>
        <v>0</v>
      </c>
      <c r="AW615" s="164">
        <f t="shared" ca="1" si="983"/>
        <v>0</v>
      </c>
      <c r="AX615" s="164">
        <f t="shared" ca="1" si="984"/>
        <v>0</v>
      </c>
      <c r="AY615" s="164">
        <f t="shared" ca="1" si="985"/>
        <v>0</v>
      </c>
      <c r="AZ615" s="164">
        <f t="shared" ca="1" si="986"/>
        <v>0</v>
      </c>
      <c r="BA615" s="165" t="str">
        <f t="shared" ca="1" si="987"/>
        <v>nie</v>
      </c>
      <c r="BB615" s="166" t="str">
        <f t="shared" ca="1" si="921"/>
        <v>-</v>
      </c>
      <c r="BC615" s="165" t="str">
        <f t="shared" ca="1" si="1000"/>
        <v>nie</v>
      </c>
    </row>
    <row r="616" spans="1:55" ht="14.45" hidden="1" customHeight="1" x14ac:dyDescent="0.25">
      <c r="A616" s="543"/>
      <c r="B616" s="543"/>
      <c r="C616" s="544"/>
      <c r="D616" s="506"/>
      <c r="E616" s="545"/>
      <c r="F616" s="545"/>
      <c r="G616" s="545"/>
      <c r="H616" s="498"/>
      <c r="I616" s="499"/>
      <c r="J616" s="177" t="s">
        <v>99</v>
      </c>
      <c r="K616" s="178">
        <f>SUM(N616:O616)</f>
        <v>0</v>
      </c>
      <c r="L616" s="179">
        <f t="shared" ref="L616:M616" si="1039">L620-L612</f>
        <v>0</v>
      </c>
      <c r="M616" s="180">
        <f t="shared" si="1039"/>
        <v>0</v>
      </c>
      <c r="N616" s="172">
        <f>SUM(L616:M616)</f>
        <v>0</v>
      </c>
      <c r="O616" s="178">
        <f>SUM(P616:Y616)</f>
        <v>0</v>
      </c>
      <c r="P616" s="181">
        <f t="shared" ref="P616:R616" si="1040">P620-P612</f>
        <v>0</v>
      </c>
      <c r="Q616" s="180">
        <f t="shared" si="1040"/>
        <v>0</v>
      </c>
      <c r="R616" s="182">
        <f t="shared" si="1040"/>
        <v>0</v>
      </c>
      <c r="S616" s="183">
        <f t="shared" ref="S616:Y617" si="1041">S620-S612</f>
        <v>0</v>
      </c>
      <c r="T616" s="180">
        <f t="shared" si="1041"/>
        <v>0</v>
      </c>
      <c r="U616" s="180">
        <f t="shared" si="1041"/>
        <v>0</v>
      </c>
      <c r="V616" s="180">
        <f t="shared" si="1041"/>
        <v>0</v>
      </c>
      <c r="W616" s="180">
        <f t="shared" si="1041"/>
        <v>0</v>
      </c>
      <c r="X616" s="180">
        <f t="shared" si="1041"/>
        <v>0</v>
      </c>
      <c r="Y616" s="182">
        <f t="shared" si="1041"/>
        <v>0</v>
      </c>
      <c r="Z616" s="149" t="str">
        <f t="shared" ca="1" si="999"/>
        <v>nie</v>
      </c>
      <c r="AA616" s="366"/>
      <c r="AB616" s="150" t="str">
        <f t="shared" ca="1" si="895"/>
        <v>-</v>
      </c>
      <c r="AC616" s="151" t="str">
        <f t="shared" ca="1" si="967"/>
        <v>PROPONOWANA ZMIANA</v>
      </c>
      <c r="AD616" s="152" t="str">
        <f t="shared" ca="1" si="1015"/>
        <v>PROPONOWANA ZMIANA</v>
      </c>
      <c r="AE616" s="153" t="str">
        <f t="shared" ca="1" si="968"/>
        <v>C/USN/V/P1/87</v>
      </c>
      <c r="AF616" s="154" t="str">
        <f t="shared" ca="1" si="969"/>
        <v>Termomodernizacja budynku Szkoły Podstawowej nr 343 przy ul. Kopcińskiego 7</v>
      </c>
      <c r="AG616" s="155">
        <f t="shared" ca="1" si="970"/>
        <v>80101</v>
      </c>
      <c r="AH616" s="155" t="str">
        <f t="shared" ca="1" si="971"/>
        <v>6057</v>
      </c>
      <c r="AI616" s="156" t="str">
        <f t="shared" ca="1" si="972"/>
        <v>SFUE/7/23</v>
      </c>
      <c r="AJ616" s="157" t="str">
        <f t="shared" ca="1" si="973"/>
        <v>WPF/PM</v>
      </c>
      <c r="AK616" s="158" t="str">
        <f t="shared" ca="1" si="1016"/>
        <v>C/USN/V/P1/87 80101 6057 SFUE/7/23</v>
      </c>
      <c r="AL616" s="158" t="str">
        <f t="shared" ca="1" si="1017"/>
        <v>C/USN/V/P1/87 80101 6057 WPF/PM</v>
      </c>
      <c r="AM616" s="159" t="str">
        <f t="shared" ca="1" si="1018"/>
        <v>C/USN/V/P1/87 80101 6057 SFUE/7/23 WPF/PM</v>
      </c>
      <c r="AN616" s="160">
        <f t="shared" ca="1" si="974"/>
        <v>0</v>
      </c>
      <c r="AO616" s="161">
        <f t="shared" ca="1" si="975"/>
        <v>0</v>
      </c>
      <c r="AP616" s="162">
        <f t="shared" ca="1" si="976"/>
        <v>0</v>
      </c>
      <c r="AQ616" s="163">
        <f t="shared" ca="1" si="977"/>
        <v>0</v>
      </c>
      <c r="AR616" s="164">
        <f t="shared" ca="1" si="978"/>
        <v>0</v>
      </c>
      <c r="AS616" s="164">
        <f t="shared" ca="1" si="979"/>
        <v>0</v>
      </c>
      <c r="AT616" s="164">
        <f t="shared" ca="1" si="980"/>
        <v>0</v>
      </c>
      <c r="AU616" s="164">
        <f t="shared" ca="1" si="981"/>
        <v>0</v>
      </c>
      <c r="AV616" s="164">
        <f t="shared" ca="1" si="982"/>
        <v>0</v>
      </c>
      <c r="AW616" s="164">
        <f t="shared" ca="1" si="983"/>
        <v>0</v>
      </c>
      <c r="AX616" s="164">
        <f t="shared" ca="1" si="984"/>
        <v>0</v>
      </c>
      <c r="AY616" s="164">
        <f t="shared" ca="1" si="985"/>
        <v>0</v>
      </c>
      <c r="AZ616" s="164">
        <f t="shared" ca="1" si="986"/>
        <v>0</v>
      </c>
      <c r="BA616" s="165" t="str">
        <f t="shared" ca="1" si="987"/>
        <v>nie</v>
      </c>
      <c r="BB616" s="166" t="str">
        <f t="shared" ca="1" si="921"/>
        <v>-</v>
      </c>
      <c r="BC616" s="165" t="str">
        <f t="shared" ca="1" si="1000"/>
        <v>nie</v>
      </c>
    </row>
    <row r="617" spans="1:55" ht="14.45" hidden="1" customHeight="1" x14ac:dyDescent="0.25">
      <c r="A617" s="543"/>
      <c r="B617" s="543"/>
      <c r="C617" s="544"/>
      <c r="D617" s="506"/>
      <c r="E617" s="545"/>
      <c r="F617" s="545"/>
      <c r="G617" s="545"/>
      <c r="H617" s="546"/>
      <c r="I617" s="499"/>
      <c r="J617" s="177" t="s">
        <v>100</v>
      </c>
      <c r="K617" s="178">
        <f>SUM(N617:O617)</f>
        <v>0</v>
      </c>
      <c r="L617" s="179">
        <f t="shared" ref="L617:M617" si="1042">L621-L613</f>
        <v>0</v>
      </c>
      <c r="M617" s="180">
        <f t="shared" si="1042"/>
        <v>0</v>
      </c>
      <c r="N617" s="172">
        <f>SUM(L617:M617)</f>
        <v>0</v>
      </c>
      <c r="O617" s="178">
        <f>SUM(P617:Y617)</f>
        <v>0</v>
      </c>
      <c r="P617" s="181">
        <f t="shared" ref="P617:R617" si="1043">P621-P613</f>
        <v>0</v>
      </c>
      <c r="Q617" s="180">
        <f t="shared" si="1043"/>
        <v>0</v>
      </c>
      <c r="R617" s="182">
        <f t="shared" si="1043"/>
        <v>0</v>
      </c>
      <c r="S617" s="183">
        <f t="shared" si="1041"/>
        <v>0</v>
      </c>
      <c r="T617" s="180">
        <f t="shared" si="1041"/>
        <v>0</v>
      </c>
      <c r="U617" s="180">
        <f t="shared" si="1041"/>
        <v>0</v>
      </c>
      <c r="V617" s="180">
        <f t="shared" si="1041"/>
        <v>0</v>
      </c>
      <c r="W617" s="180">
        <f t="shared" si="1041"/>
        <v>0</v>
      </c>
      <c r="X617" s="180">
        <f t="shared" si="1041"/>
        <v>0</v>
      </c>
      <c r="Y617" s="182">
        <f t="shared" si="1041"/>
        <v>0</v>
      </c>
      <c r="Z617" s="149" t="str">
        <f t="shared" ca="1" si="999"/>
        <v>nie</v>
      </c>
      <c r="AA617" s="366"/>
      <c r="AB617" s="150" t="str">
        <f t="shared" ca="1" si="895"/>
        <v>-</v>
      </c>
      <c r="AC617" s="151" t="str">
        <f t="shared" ca="1" si="967"/>
        <v>PROPONOWANA ZMIANA</v>
      </c>
      <c r="AD617" s="152" t="str">
        <f t="shared" ca="1" si="1015"/>
        <v>PROPONOWANA ZMIANA</v>
      </c>
      <c r="AE617" s="153" t="str">
        <f t="shared" ca="1" si="968"/>
        <v>C/USN/V/P1/87</v>
      </c>
      <c r="AF617" s="154" t="str">
        <f t="shared" ca="1" si="969"/>
        <v>Termomodernizacja budynku Szkoły Podstawowej nr 343 przy ul. Kopcińskiego 7</v>
      </c>
      <c r="AG617" s="155">
        <f t="shared" ca="1" si="970"/>
        <v>80101</v>
      </c>
      <c r="AH617" s="155" t="str">
        <f t="shared" ca="1" si="971"/>
        <v>6057</v>
      </c>
      <c r="AI617" s="156" t="str">
        <f t="shared" ca="1" si="972"/>
        <v>SFUE/7/23</v>
      </c>
      <c r="AJ617" s="157" t="str">
        <f t="shared" ca="1" si="973"/>
        <v>WPF/UM</v>
      </c>
      <c r="AK617" s="158" t="str">
        <f t="shared" ca="1" si="1016"/>
        <v>C/USN/V/P1/87 80101 6057 SFUE/7/23</v>
      </c>
      <c r="AL617" s="158" t="str">
        <f t="shared" ca="1" si="1017"/>
        <v>C/USN/V/P1/87 80101 6057 WPF/UM</v>
      </c>
      <c r="AM617" s="159" t="str">
        <f t="shared" ca="1" si="1018"/>
        <v>C/USN/V/P1/87 80101 6057 SFUE/7/23 WPF/UM</v>
      </c>
      <c r="AN617" s="160">
        <f t="shared" ca="1" si="974"/>
        <v>0</v>
      </c>
      <c r="AO617" s="161">
        <f t="shared" ca="1" si="975"/>
        <v>0</v>
      </c>
      <c r="AP617" s="162">
        <f t="shared" ca="1" si="976"/>
        <v>0</v>
      </c>
      <c r="AQ617" s="163">
        <f t="shared" ca="1" si="977"/>
        <v>0</v>
      </c>
      <c r="AR617" s="164">
        <f t="shared" ca="1" si="978"/>
        <v>0</v>
      </c>
      <c r="AS617" s="164">
        <f t="shared" ca="1" si="979"/>
        <v>0</v>
      </c>
      <c r="AT617" s="164">
        <f t="shared" ca="1" si="980"/>
        <v>0</v>
      </c>
      <c r="AU617" s="164">
        <f t="shared" ca="1" si="981"/>
        <v>0</v>
      </c>
      <c r="AV617" s="164">
        <f t="shared" ca="1" si="982"/>
        <v>0</v>
      </c>
      <c r="AW617" s="164">
        <f t="shared" ca="1" si="983"/>
        <v>0</v>
      </c>
      <c r="AX617" s="164">
        <f t="shared" ca="1" si="984"/>
        <v>0</v>
      </c>
      <c r="AY617" s="164">
        <f t="shared" ca="1" si="985"/>
        <v>0</v>
      </c>
      <c r="AZ617" s="164">
        <f t="shared" ca="1" si="986"/>
        <v>0</v>
      </c>
      <c r="BA617" s="165" t="str">
        <f t="shared" ca="1" si="987"/>
        <v>nie</v>
      </c>
      <c r="BB617" s="166" t="str">
        <f t="shared" ca="1" si="921"/>
        <v>-</v>
      </c>
      <c r="BC617" s="165" t="str">
        <f t="shared" ca="1" si="1000"/>
        <v>nie</v>
      </c>
    </row>
    <row r="618" spans="1:55" ht="14.45" hidden="1" customHeight="1" x14ac:dyDescent="0.25">
      <c r="A618" s="208" t="s">
        <v>101</v>
      </c>
      <c r="B618" s="209"/>
      <c r="C618" s="210"/>
      <c r="D618" s="209"/>
      <c r="E618" s="209"/>
      <c r="F618" s="209"/>
      <c r="G618" s="209"/>
      <c r="H618" s="192"/>
      <c r="I618" s="192"/>
      <c r="J618" s="192"/>
      <c r="K618" s="192"/>
      <c r="L618" s="192"/>
      <c r="M618" s="192"/>
      <c r="N618" s="192"/>
      <c r="O618" s="192"/>
      <c r="P618" s="192"/>
      <c r="Q618" s="192"/>
      <c r="R618" s="194"/>
      <c r="S618" s="195"/>
      <c r="T618" s="195"/>
      <c r="U618" s="195"/>
      <c r="V618" s="195"/>
      <c r="W618" s="195"/>
      <c r="X618" s="195"/>
      <c r="Y618" s="196"/>
      <c r="Z618" s="149" t="str">
        <f t="shared" ca="1" si="999"/>
        <v>nie</v>
      </c>
      <c r="AA618" s="366"/>
      <c r="AB618" s="150" t="str">
        <f t="shared" ca="1" si="895"/>
        <v>-</v>
      </c>
      <c r="AC618" s="151" t="str">
        <f t="shared" ca="1" si="967"/>
        <v>PO ZMIANIE</v>
      </c>
      <c r="AD618" s="152" t="str">
        <f t="shared" ca="1" si="1015"/>
        <v/>
      </c>
      <c r="AE618" s="153" t="str">
        <f t="shared" ca="1" si="968"/>
        <v/>
      </c>
      <c r="AF618" s="154" t="str">
        <f t="shared" ca="1" si="969"/>
        <v/>
      </c>
      <c r="AG618" s="155" t="str">
        <f t="shared" ca="1" si="970"/>
        <v/>
      </c>
      <c r="AH618" s="155" t="str">
        <f t="shared" ca="1" si="971"/>
        <v/>
      </c>
      <c r="AI618" s="156" t="str">
        <f t="shared" ca="1" si="972"/>
        <v/>
      </c>
      <c r="AJ618" s="157" t="str">
        <f t="shared" ca="1" si="973"/>
        <v/>
      </c>
      <c r="AK618" s="158" t="str">
        <f t="shared" ca="1" si="1016"/>
        <v/>
      </c>
      <c r="AL618" s="158" t="str">
        <f t="shared" ca="1" si="1017"/>
        <v/>
      </c>
      <c r="AM618" s="159" t="str">
        <f t="shared" ca="1" si="1018"/>
        <v/>
      </c>
      <c r="AN618" s="160" t="str">
        <f t="shared" ca="1" si="974"/>
        <v/>
      </c>
      <c r="AO618" s="161" t="str">
        <f t="shared" ca="1" si="975"/>
        <v/>
      </c>
      <c r="AP618" s="162" t="str">
        <f t="shared" ca="1" si="976"/>
        <v/>
      </c>
      <c r="AQ618" s="163" t="str">
        <f t="shared" ca="1" si="977"/>
        <v/>
      </c>
      <c r="AR618" s="164" t="str">
        <f t="shared" ca="1" si="978"/>
        <v/>
      </c>
      <c r="AS618" s="164" t="str">
        <f t="shared" ca="1" si="979"/>
        <v/>
      </c>
      <c r="AT618" s="164" t="str">
        <f t="shared" ca="1" si="980"/>
        <v/>
      </c>
      <c r="AU618" s="164" t="str">
        <f t="shared" ca="1" si="981"/>
        <v/>
      </c>
      <c r="AV618" s="164" t="str">
        <f t="shared" ca="1" si="982"/>
        <v/>
      </c>
      <c r="AW618" s="164" t="str">
        <f t="shared" ca="1" si="983"/>
        <v/>
      </c>
      <c r="AX618" s="164" t="str">
        <f t="shared" ca="1" si="984"/>
        <v/>
      </c>
      <c r="AY618" s="164" t="str">
        <f t="shared" ca="1" si="985"/>
        <v/>
      </c>
      <c r="AZ618" s="164" t="str">
        <f t="shared" ca="1" si="986"/>
        <v/>
      </c>
      <c r="BA618" s="165" t="str">
        <f t="shared" ca="1" si="987"/>
        <v>nie</v>
      </c>
      <c r="BB618" s="166" t="str">
        <f t="shared" ca="1" si="921"/>
        <v>-</v>
      </c>
      <c r="BC618" s="165" t="str">
        <f t="shared" ca="1" si="1000"/>
        <v>nie</v>
      </c>
    </row>
    <row r="619" spans="1:55" ht="14.45" hidden="1" customHeight="1" x14ac:dyDescent="0.25">
      <c r="A619" s="543" t="s">
        <v>24</v>
      </c>
      <c r="B619" s="543" t="s">
        <v>175</v>
      </c>
      <c r="C619" s="544" t="s">
        <v>173</v>
      </c>
      <c r="D619" s="506" t="s">
        <v>174</v>
      </c>
      <c r="E619" s="545">
        <v>801</v>
      </c>
      <c r="F619" s="545">
        <v>80101</v>
      </c>
      <c r="G619" s="545">
        <v>6057</v>
      </c>
      <c r="H619" s="507">
        <v>2023</v>
      </c>
      <c r="I619" s="499" t="str">
        <f ca="1">IF(COUNTIF(OFFSET(I619,-1,-8),"*propon*")&gt;0,OFFSET(I619,4,0),IF(Y619&gt;0,"2033",IF(X619&gt;0,"2032",IF(W619&gt;0,"2031",IF(V619&gt;0,"2030",IF(U619&gt;0,"2029",IF(T619&gt;0,"2028",IF(S619&gt;0,"2027",IF(R619&gt;0,"2026",IF(Q619&gt;0,"2025",IF(P619&gt;0,"2024",IF(M619&gt;0,"2023",IF(L619&gt;0,"2022","")))))))))))))</f>
        <v>2023</v>
      </c>
      <c r="J619" s="168" t="s">
        <v>102</v>
      </c>
      <c r="K619" s="169">
        <f>SUM(N619:O619)</f>
        <v>2418699</v>
      </c>
      <c r="L619" s="170">
        <f t="shared" ref="L619:M619" si="1044">SUM(L620:L621)</f>
        <v>0</v>
      </c>
      <c r="M619" s="171">
        <f t="shared" si="1044"/>
        <v>2418699</v>
      </c>
      <c r="N619" s="172">
        <f>SUM(L619:M619)</f>
        <v>2418699</v>
      </c>
      <c r="O619" s="169">
        <f>SUM(P619:Y619)</f>
        <v>0</v>
      </c>
      <c r="P619" s="173">
        <f t="shared" ref="P619:R619" si="1045">SUM(P620:P621)</f>
        <v>0</v>
      </c>
      <c r="Q619" s="171">
        <f t="shared" si="1045"/>
        <v>0</v>
      </c>
      <c r="R619" s="174">
        <f t="shared" si="1045"/>
        <v>0</v>
      </c>
      <c r="S619" s="175">
        <f t="shared" ref="S619:Y619" si="1046">SUM(S620:S621)</f>
        <v>0</v>
      </c>
      <c r="T619" s="171">
        <f t="shared" si="1046"/>
        <v>0</v>
      </c>
      <c r="U619" s="171">
        <f t="shared" si="1046"/>
        <v>0</v>
      </c>
      <c r="V619" s="171">
        <f t="shared" si="1046"/>
        <v>0</v>
      </c>
      <c r="W619" s="171">
        <f t="shared" si="1046"/>
        <v>0</v>
      </c>
      <c r="X619" s="171">
        <f t="shared" si="1046"/>
        <v>0</v>
      </c>
      <c r="Y619" s="174">
        <f t="shared" si="1046"/>
        <v>0</v>
      </c>
      <c r="Z619" s="149" t="str">
        <f t="shared" ca="1" si="999"/>
        <v>nie</v>
      </c>
      <c r="AA619" s="368"/>
      <c r="AB619" s="150" t="str">
        <f t="shared" ca="1" si="895"/>
        <v>-</v>
      </c>
      <c r="AC619" s="151" t="str">
        <f t="shared" ca="1" si="967"/>
        <v>PO ZMIANIE</v>
      </c>
      <c r="AD619" s="152" t="str">
        <f t="shared" ca="1" si="1015"/>
        <v>PO ZMIANIE</v>
      </c>
      <c r="AE619" s="153" t="str">
        <f t="shared" ca="1" si="968"/>
        <v>C/USN/V/P1/87</v>
      </c>
      <c r="AF619" s="154" t="str">
        <f t="shared" ca="1" si="969"/>
        <v>Termomodernizacja budynku Szkoły Podstawowej nr 343 przy ul. Kopcińskiego 7</v>
      </c>
      <c r="AG619" s="155">
        <f t="shared" ca="1" si="970"/>
        <v>80101</v>
      </c>
      <c r="AH619" s="155" t="str">
        <f t="shared" ca="1" si="971"/>
        <v>6057</v>
      </c>
      <c r="AI619" s="156" t="str">
        <f t="shared" ca="1" si="972"/>
        <v>SFUE/7/23</v>
      </c>
      <c r="AJ619" s="157" t="str">
        <f t="shared" ca="1" si="973"/>
        <v>WPF, w tym</v>
      </c>
      <c r="AK619" s="158" t="str">
        <f t="shared" ca="1" si="1016"/>
        <v>C/USN/V/P1/87 80101 6057 SFUE/7/23</v>
      </c>
      <c r="AL619" s="158" t="str">
        <f t="shared" ca="1" si="1017"/>
        <v>C/USN/V/P1/87 80101 6057 WPF, w tym</v>
      </c>
      <c r="AM619" s="159" t="str">
        <f t="shared" ca="1" si="1018"/>
        <v>C/USN/V/P1/87 80101 6057 SFUE/7/23 WPF, w tym</v>
      </c>
      <c r="AN619" s="160">
        <f t="shared" ca="1" si="974"/>
        <v>2418699</v>
      </c>
      <c r="AO619" s="161">
        <f t="shared" ca="1" si="975"/>
        <v>0</v>
      </c>
      <c r="AP619" s="162">
        <f t="shared" ca="1" si="976"/>
        <v>2418699</v>
      </c>
      <c r="AQ619" s="163">
        <f t="shared" ca="1" si="977"/>
        <v>0</v>
      </c>
      <c r="AR619" s="164">
        <f t="shared" ca="1" si="978"/>
        <v>0</v>
      </c>
      <c r="AS619" s="164">
        <f t="shared" ca="1" si="979"/>
        <v>0</v>
      </c>
      <c r="AT619" s="164">
        <f t="shared" ca="1" si="980"/>
        <v>0</v>
      </c>
      <c r="AU619" s="164">
        <f t="shared" ca="1" si="981"/>
        <v>0</v>
      </c>
      <c r="AV619" s="164">
        <f t="shared" ca="1" si="982"/>
        <v>0</v>
      </c>
      <c r="AW619" s="164">
        <f t="shared" ca="1" si="983"/>
        <v>0</v>
      </c>
      <c r="AX619" s="164">
        <f t="shared" ca="1" si="984"/>
        <v>0</v>
      </c>
      <c r="AY619" s="164">
        <f t="shared" ca="1" si="985"/>
        <v>0</v>
      </c>
      <c r="AZ619" s="164">
        <f t="shared" ca="1" si="986"/>
        <v>0</v>
      </c>
      <c r="BA619" s="165" t="str">
        <f t="shared" ca="1" si="987"/>
        <v>nie</v>
      </c>
      <c r="BB619" s="166" t="str">
        <f t="shared" ca="1" si="921"/>
        <v>-</v>
      </c>
      <c r="BC619" s="165" t="str">
        <f t="shared" ca="1" si="1000"/>
        <v>nie</v>
      </c>
    </row>
    <row r="620" spans="1:55" ht="14.45" hidden="1" customHeight="1" x14ac:dyDescent="0.25">
      <c r="A620" s="543"/>
      <c r="B620" s="543"/>
      <c r="C620" s="544"/>
      <c r="D620" s="506"/>
      <c r="E620" s="545"/>
      <c r="F620" s="545"/>
      <c r="G620" s="545"/>
      <c r="H620" s="498"/>
      <c r="I620" s="499"/>
      <c r="J620" s="177" t="s">
        <v>103</v>
      </c>
      <c r="K620" s="178">
        <f>SUM(N620:O620)</f>
        <v>0</v>
      </c>
      <c r="L620" s="179"/>
      <c r="M620" s="180"/>
      <c r="N620" s="172">
        <f>SUM(L620:M620)</f>
        <v>0</v>
      </c>
      <c r="O620" s="178">
        <f>SUM(P620:Y620)</f>
        <v>0</v>
      </c>
      <c r="P620" s="181"/>
      <c r="Q620" s="180"/>
      <c r="R620" s="182"/>
      <c r="S620" s="183"/>
      <c r="T620" s="180"/>
      <c r="U620" s="180"/>
      <c r="V620" s="180"/>
      <c r="W620" s="180"/>
      <c r="X620" s="180"/>
      <c r="Y620" s="182"/>
      <c r="Z620" s="149" t="str">
        <f t="shared" ca="1" si="999"/>
        <v>nie</v>
      </c>
      <c r="AA620" s="384"/>
      <c r="AB620" s="150" t="str">
        <f t="shared" ca="1" si="895"/>
        <v>-</v>
      </c>
      <c r="AC620" s="151" t="str">
        <f t="shared" ca="1" si="967"/>
        <v>PO ZMIANIE</v>
      </c>
      <c r="AD620" s="152" t="str">
        <f t="shared" ca="1" si="1015"/>
        <v>PO ZMIANIE</v>
      </c>
      <c r="AE620" s="153" t="str">
        <f t="shared" ca="1" si="968"/>
        <v>C/USN/V/P1/87</v>
      </c>
      <c r="AF620" s="154" t="str">
        <f t="shared" ca="1" si="969"/>
        <v>Termomodernizacja budynku Szkoły Podstawowej nr 343 przy ul. Kopcińskiego 7</v>
      </c>
      <c r="AG620" s="155">
        <f t="shared" ca="1" si="970"/>
        <v>80101</v>
      </c>
      <c r="AH620" s="155" t="str">
        <f t="shared" ca="1" si="971"/>
        <v>6057</v>
      </c>
      <c r="AI620" s="156" t="str">
        <f t="shared" ca="1" si="972"/>
        <v>SFUE/7/23</v>
      </c>
      <c r="AJ620" s="157" t="str">
        <f t="shared" ca="1" si="973"/>
        <v>WPF/PM</v>
      </c>
      <c r="AK620" s="158" t="str">
        <f t="shared" ca="1" si="1016"/>
        <v>C/USN/V/P1/87 80101 6057 SFUE/7/23</v>
      </c>
      <c r="AL620" s="158" t="str">
        <f t="shared" ca="1" si="1017"/>
        <v>C/USN/V/P1/87 80101 6057 WPF/PM</v>
      </c>
      <c r="AM620" s="159" t="str">
        <f t="shared" ca="1" si="1018"/>
        <v>C/USN/V/P1/87 80101 6057 SFUE/7/23 WPF/PM</v>
      </c>
      <c r="AN620" s="160">
        <f t="shared" ca="1" si="974"/>
        <v>0</v>
      </c>
      <c r="AO620" s="161">
        <f t="shared" ca="1" si="975"/>
        <v>0</v>
      </c>
      <c r="AP620" s="162">
        <f t="shared" ca="1" si="976"/>
        <v>0</v>
      </c>
      <c r="AQ620" s="163">
        <f t="shared" ca="1" si="977"/>
        <v>0</v>
      </c>
      <c r="AR620" s="164">
        <f t="shared" ca="1" si="978"/>
        <v>0</v>
      </c>
      <c r="AS620" s="164">
        <f t="shared" ca="1" si="979"/>
        <v>0</v>
      </c>
      <c r="AT620" s="164">
        <f t="shared" ca="1" si="980"/>
        <v>0</v>
      </c>
      <c r="AU620" s="164">
        <f t="shared" ca="1" si="981"/>
        <v>0</v>
      </c>
      <c r="AV620" s="164">
        <f t="shared" ca="1" si="982"/>
        <v>0</v>
      </c>
      <c r="AW620" s="164">
        <f t="shared" ca="1" si="983"/>
        <v>0</v>
      </c>
      <c r="AX620" s="164">
        <f t="shared" ca="1" si="984"/>
        <v>0</v>
      </c>
      <c r="AY620" s="164">
        <f t="shared" ca="1" si="985"/>
        <v>0</v>
      </c>
      <c r="AZ620" s="164">
        <f t="shared" ca="1" si="986"/>
        <v>0</v>
      </c>
      <c r="BA620" s="165" t="str">
        <f t="shared" ca="1" si="987"/>
        <v>nie</v>
      </c>
      <c r="BB620" s="166" t="str">
        <f t="shared" ca="1" si="921"/>
        <v>-</v>
      </c>
      <c r="BC620" s="165" t="str">
        <f t="shared" ca="1" si="1000"/>
        <v>nie</v>
      </c>
    </row>
    <row r="621" spans="1:55" ht="14.45" hidden="1" customHeight="1" thickBot="1" x14ac:dyDescent="0.3">
      <c r="A621" s="548"/>
      <c r="B621" s="548"/>
      <c r="C621" s="549"/>
      <c r="D621" s="513"/>
      <c r="E621" s="547"/>
      <c r="F621" s="547"/>
      <c r="G621" s="547"/>
      <c r="H621" s="504"/>
      <c r="I621" s="499"/>
      <c r="J621" s="197" t="s">
        <v>104</v>
      </c>
      <c r="K621" s="198">
        <f>SUM(N621:O621)</f>
        <v>2418699</v>
      </c>
      <c r="L621" s="199"/>
      <c r="M621" s="200">
        <f>2418699-2418699+2418699</f>
        <v>2418699</v>
      </c>
      <c r="N621" s="371">
        <f>SUM(L621:M621)</f>
        <v>2418699</v>
      </c>
      <c r="O621" s="198">
        <f>SUM(P621:Y621)</f>
        <v>0</v>
      </c>
      <c r="P621" s="201"/>
      <c r="Q621" s="200"/>
      <c r="R621" s="202"/>
      <c r="S621" s="203"/>
      <c r="T621" s="200"/>
      <c r="U621" s="200"/>
      <c r="V621" s="200"/>
      <c r="W621" s="200"/>
      <c r="X621" s="200"/>
      <c r="Y621" s="202"/>
      <c r="Z621" s="149" t="str">
        <f t="shared" ca="1" si="999"/>
        <v>nie</v>
      </c>
      <c r="AA621" s="384"/>
      <c r="AB621" s="150" t="str">
        <f t="shared" ca="1" si="895"/>
        <v>-</v>
      </c>
      <c r="AC621" s="151" t="str">
        <f t="shared" ca="1" si="967"/>
        <v>PO ZMIANIE</v>
      </c>
      <c r="AD621" s="152" t="str">
        <f t="shared" ca="1" si="1015"/>
        <v>PO ZMIANIE</v>
      </c>
      <c r="AE621" s="153" t="str">
        <f t="shared" ca="1" si="968"/>
        <v>C/USN/V/P1/87</v>
      </c>
      <c r="AF621" s="154" t="str">
        <f t="shared" ca="1" si="969"/>
        <v>Termomodernizacja budynku Szkoły Podstawowej nr 343 przy ul. Kopcińskiego 7</v>
      </c>
      <c r="AG621" s="155">
        <f t="shared" ca="1" si="970"/>
        <v>80101</v>
      </c>
      <c r="AH621" s="155" t="str">
        <f t="shared" ca="1" si="971"/>
        <v>6057</v>
      </c>
      <c r="AI621" s="156" t="str">
        <f t="shared" ca="1" si="972"/>
        <v>SFUE/7/23</v>
      </c>
      <c r="AJ621" s="157" t="str">
        <f t="shared" ca="1" si="973"/>
        <v>WPF/UM</v>
      </c>
      <c r="AK621" s="158" t="str">
        <f t="shared" ca="1" si="1016"/>
        <v>C/USN/V/P1/87 80101 6057 SFUE/7/23</v>
      </c>
      <c r="AL621" s="158" t="str">
        <f t="shared" ca="1" si="1017"/>
        <v>C/USN/V/P1/87 80101 6057 WPF/UM</v>
      </c>
      <c r="AM621" s="159" t="str">
        <f t="shared" ca="1" si="1018"/>
        <v>C/USN/V/P1/87 80101 6057 SFUE/7/23 WPF/UM</v>
      </c>
      <c r="AN621" s="160">
        <f t="shared" ca="1" si="974"/>
        <v>2418699</v>
      </c>
      <c r="AO621" s="161">
        <f t="shared" ca="1" si="975"/>
        <v>0</v>
      </c>
      <c r="AP621" s="162">
        <f t="shared" ca="1" si="976"/>
        <v>2418699</v>
      </c>
      <c r="AQ621" s="163">
        <f t="shared" ca="1" si="977"/>
        <v>0</v>
      </c>
      <c r="AR621" s="164">
        <f t="shared" ca="1" si="978"/>
        <v>0</v>
      </c>
      <c r="AS621" s="164">
        <f t="shared" ca="1" si="979"/>
        <v>0</v>
      </c>
      <c r="AT621" s="164">
        <f t="shared" ca="1" si="980"/>
        <v>0</v>
      </c>
      <c r="AU621" s="164">
        <f t="shared" ca="1" si="981"/>
        <v>0</v>
      </c>
      <c r="AV621" s="164">
        <f t="shared" ca="1" si="982"/>
        <v>0</v>
      </c>
      <c r="AW621" s="164">
        <f t="shared" ca="1" si="983"/>
        <v>0</v>
      </c>
      <c r="AX621" s="164">
        <f t="shared" ca="1" si="984"/>
        <v>0</v>
      </c>
      <c r="AY621" s="164">
        <f t="shared" ca="1" si="985"/>
        <v>0</v>
      </c>
      <c r="AZ621" s="164">
        <f t="shared" ca="1" si="986"/>
        <v>0</v>
      </c>
      <c r="BA621" s="165" t="str">
        <f t="shared" ca="1" si="987"/>
        <v>nie</v>
      </c>
      <c r="BB621" s="166" t="str">
        <f t="shared" ca="1" si="921"/>
        <v>-</v>
      </c>
      <c r="BC621" s="165" t="str">
        <f t="shared" ca="1" si="1000"/>
        <v>nie</v>
      </c>
    </row>
    <row r="622" spans="1:55" ht="14.45" hidden="1" customHeight="1" x14ac:dyDescent="0.25">
      <c r="A622" s="143" t="s">
        <v>91</v>
      </c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6"/>
      <c r="S622" s="147"/>
      <c r="T622" s="147"/>
      <c r="U622" s="147"/>
      <c r="V622" s="147"/>
      <c r="W622" s="147"/>
      <c r="X622" s="147"/>
      <c r="Y622" s="148"/>
      <c r="Z622" s="149" t="str">
        <f t="shared" ca="1" si="999"/>
        <v>nie</v>
      </c>
      <c r="AA622" s="366"/>
      <c r="AB622" s="150" t="str">
        <f t="shared" ca="1" si="895"/>
        <v>-</v>
      </c>
      <c r="AC622" s="151" t="str">
        <f t="shared" ca="1" si="967"/>
        <v>PRZED ZMIANĄ</v>
      </c>
      <c r="AD622" s="152" t="str">
        <f t="shared" ca="1" si="1015"/>
        <v/>
      </c>
      <c r="AE622" s="153" t="str">
        <f t="shared" ca="1" si="968"/>
        <v/>
      </c>
      <c r="AF622" s="154" t="str">
        <f t="shared" ca="1" si="969"/>
        <v/>
      </c>
      <c r="AG622" s="155" t="str">
        <f t="shared" ca="1" si="970"/>
        <v/>
      </c>
      <c r="AH622" s="155" t="str">
        <f t="shared" ca="1" si="971"/>
        <v/>
      </c>
      <c r="AI622" s="156" t="str">
        <f t="shared" ca="1" si="972"/>
        <v/>
      </c>
      <c r="AJ622" s="157" t="str">
        <f t="shared" ca="1" si="973"/>
        <v/>
      </c>
      <c r="AK622" s="158" t="str">
        <f t="shared" ca="1" si="1016"/>
        <v/>
      </c>
      <c r="AL622" s="158" t="str">
        <f t="shared" ca="1" si="1017"/>
        <v/>
      </c>
      <c r="AM622" s="159" t="str">
        <f t="shared" ca="1" si="1018"/>
        <v/>
      </c>
      <c r="AN622" s="160" t="str">
        <f t="shared" ca="1" si="974"/>
        <v/>
      </c>
      <c r="AO622" s="161" t="str">
        <f t="shared" ca="1" si="975"/>
        <v/>
      </c>
      <c r="AP622" s="162" t="str">
        <f t="shared" ca="1" si="976"/>
        <v/>
      </c>
      <c r="AQ622" s="163" t="str">
        <f t="shared" ca="1" si="977"/>
        <v/>
      </c>
      <c r="AR622" s="164" t="str">
        <f t="shared" ca="1" si="978"/>
        <v/>
      </c>
      <c r="AS622" s="164" t="str">
        <f t="shared" ca="1" si="979"/>
        <v/>
      </c>
      <c r="AT622" s="164" t="str">
        <f t="shared" ca="1" si="980"/>
        <v/>
      </c>
      <c r="AU622" s="164" t="str">
        <f t="shared" ca="1" si="981"/>
        <v/>
      </c>
      <c r="AV622" s="164" t="str">
        <f t="shared" ca="1" si="982"/>
        <v/>
      </c>
      <c r="AW622" s="164" t="str">
        <f t="shared" ca="1" si="983"/>
        <v/>
      </c>
      <c r="AX622" s="164" t="str">
        <f t="shared" ca="1" si="984"/>
        <v/>
      </c>
      <c r="AY622" s="164" t="str">
        <f t="shared" ca="1" si="985"/>
        <v/>
      </c>
      <c r="AZ622" s="164" t="str">
        <f t="shared" ca="1" si="986"/>
        <v/>
      </c>
      <c r="BA622" s="165" t="str">
        <f t="shared" ca="1" si="987"/>
        <v>nie</v>
      </c>
      <c r="BB622" s="166" t="str">
        <f t="shared" ca="1" si="921"/>
        <v>-</v>
      </c>
      <c r="BC622" s="165" t="str">
        <f t="shared" ca="1" si="1000"/>
        <v>nie</v>
      </c>
    </row>
    <row r="623" spans="1:55" ht="14.45" hidden="1" customHeight="1" x14ac:dyDescent="0.25">
      <c r="A623" s="493" t="s">
        <v>24</v>
      </c>
      <c r="B623" s="493" t="s">
        <v>26</v>
      </c>
      <c r="C623" s="494" t="s">
        <v>178</v>
      </c>
      <c r="D623" s="505" t="s">
        <v>179</v>
      </c>
      <c r="E623" s="497">
        <v>801</v>
      </c>
      <c r="F623" s="497">
        <v>80195</v>
      </c>
      <c r="G623" s="497">
        <v>6050</v>
      </c>
      <c r="H623" s="498" t="s">
        <v>162</v>
      </c>
      <c r="I623" s="499" t="str">
        <f ca="1">IF(COUNTIF(OFFSET(I623,-1,-8),"*propon*")&gt;0,OFFSET(I623,4,0),IF(Y623&gt;0,"2033",IF(X623&gt;0,"2032",IF(W623&gt;0,"2031",IF(V623&gt;0,"2030",IF(U623&gt;0,"2029",IF(T623&gt;0,"2028",IF(S623&gt;0,"2027",IF(R623&gt;0,"2026",IF(Q623&gt;0,"2025",IF(P623&gt;0,"2024",IF(M623&gt;0,"2023",IF(L623&gt;0,"2022","")))))))))))))</f>
        <v>2024</v>
      </c>
      <c r="J623" s="168" t="s">
        <v>94</v>
      </c>
      <c r="K623" s="169">
        <f>SUM(N623:O623)</f>
        <v>3100000</v>
      </c>
      <c r="L623" s="170">
        <f t="shared" ref="L623:M623" si="1047">SUM(L624:L625)</f>
        <v>0</v>
      </c>
      <c r="M623" s="171">
        <f t="shared" si="1047"/>
        <v>0</v>
      </c>
      <c r="N623" s="172">
        <f>SUM(L623:M623)</f>
        <v>0</v>
      </c>
      <c r="O623" s="169">
        <f>SUM(P623:Y623)</f>
        <v>3100000</v>
      </c>
      <c r="P623" s="173">
        <f t="shared" ref="P623:R623" si="1048">SUM(P624:P625)</f>
        <v>3100000</v>
      </c>
      <c r="Q623" s="171">
        <f t="shared" si="1048"/>
        <v>0</v>
      </c>
      <c r="R623" s="174">
        <f t="shared" si="1048"/>
        <v>0</v>
      </c>
      <c r="S623" s="175">
        <f t="shared" ref="S623:Y623" si="1049">SUM(S624:S625)</f>
        <v>0</v>
      </c>
      <c r="T623" s="171">
        <f t="shared" si="1049"/>
        <v>0</v>
      </c>
      <c r="U623" s="171">
        <f t="shared" si="1049"/>
        <v>0</v>
      </c>
      <c r="V623" s="171">
        <f t="shared" si="1049"/>
        <v>0</v>
      </c>
      <c r="W623" s="171">
        <f t="shared" si="1049"/>
        <v>0</v>
      </c>
      <c r="X623" s="171">
        <f t="shared" si="1049"/>
        <v>0</v>
      </c>
      <c r="Y623" s="174">
        <f t="shared" si="1049"/>
        <v>0</v>
      </c>
      <c r="Z623" s="149" t="str">
        <f t="shared" ca="1" si="999"/>
        <v>nie</v>
      </c>
      <c r="AA623" s="366"/>
      <c r="AB623" s="150" t="str">
        <f t="shared" ca="1" si="895"/>
        <v>-</v>
      </c>
      <c r="AC623" s="151" t="str">
        <f t="shared" ca="1" si="967"/>
        <v>PRZED ZMIANĄ</v>
      </c>
      <c r="AD623" s="152" t="str">
        <f t="shared" ca="1" si="1015"/>
        <v>PRZED ZMIANĄ</v>
      </c>
      <c r="AE623" s="153" t="str">
        <f t="shared" ca="1" si="968"/>
        <v>C/USN/V/P1/92</v>
      </c>
      <c r="AF623" s="154" t="str">
        <f t="shared" ca="1" si="969"/>
        <v>Program wdrożenia systemu do zarządzania energią wraz z poprawą efektywności energetycznej w obiektach oświatowych</v>
      </c>
      <c r="AG623" s="155">
        <f t="shared" ca="1" si="970"/>
        <v>80195</v>
      </c>
      <c r="AH623" s="155" t="str">
        <f t="shared" ca="1" si="971"/>
        <v>6050</v>
      </c>
      <c r="AI623" s="156" t="str">
        <f t="shared" ca="1" si="972"/>
        <v>GMMW</v>
      </c>
      <c r="AJ623" s="157" t="str">
        <f t="shared" ca="1" si="973"/>
        <v>WPF, w tym</v>
      </c>
      <c r="AK623" s="158" t="str">
        <f t="shared" ca="1" si="1016"/>
        <v>C/USN/V/P1/92 80195 6050 GMMW</v>
      </c>
      <c r="AL623" s="158" t="str">
        <f t="shared" ca="1" si="1017"/>
        <v>C/USN/V/P1/92 80195 6050 WPF, w tym</v>
      </c>
      <c r="AM623" s="159" t="str">
        <f t="shared" ca="1" si="1018"/>
        <v>C/USN/V/P1/92 80195 6050 GMMW WPF, w tym</v>
      </c>
      <c r="AN623" s="160">
        <f t="shared" ca="1" si="974"/>
        <v>3100000</v>
      </c>
      <c r="AO623" s="161">
        <f t="shared" ca="1" si="975"/>
        <v>0</v>
      </c>
      <c r="AP623" s="162">
        <f t="shared" ca="1" si="976"/>
        <v>0</v>
      </c>
      <c r="AQ623" s="163">
        <f t="shared" ca="1" si="977"/>
        <v>3100000</v>
      </c>
      <c r="AR623" s="164">
        <f t="shared" ca="1" si="978"/>
        <v>0</v>
      </c>
      <c r="AS623" s="164">
        <f t="shared" ca="1" si="979"/>
        <v>0</v>
      </c>
      <c r="AT623" s="164">
        <f t="shared" ca="1" si="980"/>
        <v>0</v>
      </c>
      <c r="AU623" s="164">
        <f t="shared" ca="1" si="981"/>
        <v>0</v>
      </c>
      <c r="AV623" s="164">
        <f t="shared" ca="1" si="982"/>
        <v>0</v>
      </c>
      <c r="AW623" s="164">
        <f t="shared" ca="1" si="983"/>
        <v>0</v>
      </c>
      <c r="AX623" s="164">
        <f t="shared" ca="1" si="984"/>
        <v>0</v>
      </c>
      <c r="AY623" s="164">
        <f t="shared" ca="1" si="985"/>
        <v>0</v>
      </c>
      <c r="AZ623" s="164">
        <f t="shared" ca="1" si="986"/>
        <v>0</v>
      </c>
      <c r="BA623" s="165" t="str">
        <f t="shared" ca="1" si="987"/>
        <v>nie</v>
      </c>
      <c r="BB623" s="166" t="str">
        <f t="shared" ca="1" si="921"/>
        <v>-</v>
      </c>
      <c r="BC623" s="165" t="str">
        <f t="shared" ca="1" si="1000"/>
        <v>nie</v>
      </c>
    </row>
    <row r="624" spans="1:55" ht="14.45" hidden="1" customHeight="1" x14ac:dyDescent="0.25">
      <c r="A624" s="493"/>
      <c r="B624" s="493"/>
      <c r="C624" s="494"/>
      <c r="D624" s="506"/>
      <c r="E624" s="497"/>
      <c r="F624" s="497"/>
      <c r="G624" s="497"/>
      <c r="H624" s="498"/>
      <c r="I624" s="499"/>
      <c r="J624" s="177" t="s">
        <v>95</v>
      </c>
      <c r="K624" s="178">
        <f>SUM(N624:O624)</f>
        <v>3100000</v>
      </c>
      <c r="L624" s="179"/>
      <c r="M624" s="180"/>
      <c r="N624" s="172">
        <f>SUM(L624:M624)</f>
        <v>0</v>
      </c>
      <c r="O624" s="178">
        <f>SUM(P624:Y624)</f>
        <v>3100000</v>
      </c>
      <c r="P624" s="181">
        <v>3100000</v>
      </c>
      <c r="Q624" s="180"/>
      <c r="R624" s="182"/>
      <c r="S624" s="183"/>
      <c r="T624" s="180"/>
      <c r="U624" s="180"/>
      <c r="V624" s="180"/>
      <c r="W624" s="180"/>
      <c r="X624" s="180"/>
      <c r="Y624" s="182"/>
      <c r="Z624" s="149" t="str">
        <f t="shared" ca="1" si="999"/>
        <v>nie</v>
      </c>
      <c r="AA624" s="366"/>
      <c r="AB624" s="150" t="str">
        <f t="shared" ca="1" si="895"/>
        <v>-</v>
      </c>
      <c r="AC624" s="151" t="str">
        <f t="shared" ca="1" si="967"/>
        <v>PRZED ZMIANĄ</v>
      </c>
      <c r="AD624" s="152" t="str">
        <f t="shared" ca="1" si="1015"/>
        <v>PRZED ZMIANĄ</v>
      </c>
      <c r="AE624" s="153" t="str">
        <f t="shared" ca="1" si="968"/>
        <v>C/USN/V/P1/92</v>
      </c>
      <c r="AF624" s="154" t="str">
        <f t="shared" ca="1" si="969"/>
        <v>Program wdrożenia systemu do zarządzania energią wraz z poprawą efektywności energetycznej w obiektach oświatowych</v>
      </c>
      <c r="AG624" s="155">
        <f t="shared" ca="1" si="970"/>
        <v>80195</v>
      </c>
      <c r="AH624" s="155" t="str">
        <f t="shared" ca="1" si="971"/>
        <v>6050</v>
      </c>
      <c r="AI624" s="156" t="str">
        <f t="shared" ca="1" si="972"/>
        <v>GMMW</v>
      </c>
      <c r="AJ624" s="157" t="str">
        <f t="shared" ca="1" si="973"/>
        <v>WPF/PM</v>
      </c>
      <c r="AK624" s="158" t="str">
        <f t="shared" ca="1" si="1016"/>
        <v>C/USN/V/P1/92 80195 6050 GMMW</v>
      </c>
      <c r="AL624" s="158" t="str">
        <f t="shared" ca="1" si="1017"/>
        <v>C/USN/V/P1/92 80195 6050 WPF/PM</v>
      </c>
      <c r="AM624" s="159" t="str">
        <f t="shared" ca="1" si="1018"/>
        <v>C/USN/V/P1/92 80195 6050 GMMW WPF/PM</v>
      </c>
      <c r="AN624" s="160">
        <f t="shared" ca="1" si="974"/>
        <v>3100000</v>
      </c>
      <c r="AO624" s="161">
        <f t="shared" ca="1" si="975"/>
        <v>0</v>
      </c>
      <c r="AP624" s="162">
        <f t="shared" ca="1" si="976"/>
        <v>0</v>
      </c>
      <c r="AQ624" s="163">
        <f t="shared" ca="1" si="977"/>
        <v>3100000</v>
      </c>
      <c r="AR624" s="164">
        <f t="shared" ca="1" si="978"/>
        <v>0</v>
      </c>
      <c r="AS624" s="164">
        <f t="shared" ca="1" si="979"/>
        <v>0</v>
      </c>
      <c r="AT624" s="164">
        <f t="shared" ca="1" si="980"/>
        <v>0</v>
      </c>
      <c r="AU624" s="164">
        <f t="shared" ca="1" si="981"/>
        <v>0</v>
      </c>
      <c r="AV624" s="164">
        <f t="shared" ca="1" si="982"/>
        <v>0</v>
      </c>
      <c r="AW624" s="164">
        <f t="shared" ca="1" si="983"/>
        <v>0</v>
      </c>
      <c r="AX624" s="164">
        <f t="shared" ca="1" si="984"/>
        <v>0</v>
      </c>
      <c r="AY624" s="164">
        <f t="shared" ca="1" si="985"/>
        <v>0</v>
      </c>
      <c r="AZ624" s="164">
        <f t="shared" ca="1" si="986"/>
        <v>0</v>
      </c>
      <c r="BA624" s="165" t="str">
        <f t="shared" ca="1" si="987"/>
        <v>nie</v>
      </c>
      <c r="BB624" s="166" t="str">
        <f t="shared" ca="1" si="921"/>
        <v>-</v>
      </c>
      <c r="BC624" s="165" t="str">
        <f t="shared" ca="1" si="1000"/>
        <v>nie</v>
      </c>
    </row>
    <row r="625" spans="1:55" ht="14.45" hidden="1" customHeight="1" x14ac:dyDescent="0.25">
      <c r="A625" s="550"/>
      <c r="B625" s="550"/>
      <c r="C625" s="551"/>
      <c r="D625" s="506"/>
      <c r="E625" s="497"/>
      <c r="F625" s="497"/>
      <c r="G625" s="497"/>
      <c r="H625" s="498"/>
      <c r="I625" s="499"/>
      <c r="J625" s="177" t="s">
        <v>96</v>
      </c>
      <c r="K625" s="178">
        <f>SUM(N625:O625)</f>
        <v>0</v>
      </c>
      <c r="L625" s="184"/>
      <c r="M625" s="180"/>
      <c r="N625" s="172">
        <f>SUM(L625:M625)</f>
        <v>0</v>
      </c>
      <c r="O625" s="178">
        <f>SUM(P625:Y625)</f>
        <v>0</v>
      </c>
      <c r="P625" s="181"/>
      <c r="Q625" s="180"/>
      <c r="R625" s="182"/>
      <c r="S625" s="183"/>
      <c r="T625" s="180"/>
      <c r="U625" s="180"/>
      <c r="V625" s="180"/>
      <c r="W625" s="180"/>
      <c r="X625" s="180"/>
      <c r="Y625" s="182"/>
      <c r="Z625" s="149" t="str">
        <f t="shared" ca="1" si="999"/>
        <v>nie</v>
      </c>
      <c r="AA625" s="366"/>
      <c r="AB625" s="150" t="str">
        <f t="shared" ca="1" si="895"/>
        <v>-</v>
      </c>
      <c r="AC625" s="151" t="str">
        <f t="shared" ca="1" si="967"/>
        <v>PRZED ZMIANĄ</v>
      </c>
      <c r="AD625" s="152" t="str">
        <f t="shared" ca="1" si="1015"/>
        <v>PRZED ZMIANĄ</v>
      </c>
      <c r="AE625" s="153" t="str">
        <f t="shared" ca="1" si="968"/>
        <v>C/USN/V/P1/92</v>
      </c>
      <c r="AF625" s="154" t="str">
        <f t="shared" ca="1" si="969"/>
        <v>Program wdrożenia systemu do zarządzania energią wraz z poprawą efektywności energetycznej w obiektach oświatowych</v>
      </c>
      <c r="AG625" s="155">
        <f t="shared" ca="1" si="970"/>
        <v>80195</v>
      </c>
      <c r="AH625" s="155" t="str">
        <f t="shared" ca="1" si="971"/>
        <v>6050</v>
      </c>
      <c r="AI625" s="156" t="str">
        <f t="shared" ca="1" si="972"/>
        <v>GMMW</v>
      </c>
      <c r="AJ625" s="157" t="str">
        <f t="shared" ca="1" si="973"/>
        <v>WPF/UM</v>
      </c>
      <c r="AK625" s="158" t="str">
        <f t="shared" ca="1" si="1016"/>
        <v>C/USN/V/P1/92 80195 6050 GMMW</v>
      </c>
      <c r="AL625" s="158" t="str">
        <f t="shared" ca="1" si="1017"/>
        <v>C/USN/V/P1/92 80195 6050 WPF/UM</v>
      </c>
      <c r="AM625" s="159" t="str">
        <f t="shared" ca="1" si="1018"/>
        <v>C/USN/V/P1/92 80195 6050 GMMW WPF/UM</v>
      </c>
      <c r="AN625" s="160">
        <f t="shared" ca="1" si="974"/>
        <v>0</v>
      </c>
      <c r="AO625" s="161">
        <f t="shared" ca="1" si="975"/>
        <v>0</v>
      </c>
      <c r="AP625" s="162">
        <f t="shared" ca="1" si="976"/>
        <v>0</v>
      </c>
      <c r="AQ625" s="163">
        <f t="shared" ca="1" si="977"/>
        <v>0</v>
      </c>
      <c r="AR625" s="164">
        <f t="shared" ca="1" si="978"/>
        <v>0</v>
      </c>
      <c r="AS625" s="164">
        <f t="shared" ca="1" si="979"/>
        <v>0</v>
      </c>
      <c r="AT625" s="164">
        <f t="shared" ca="1" si="980"/>
        <v>0</v>
      </c>
      <c r="AU625" s="164">
        <f t="shared" ca="1" si="981"/>
        <v>0</v>
      </c>
      <c r="AV625" s="164">
        <f t="shared" ca="1" si="982"/>
        <v>0</v>
      </c>
      <c r="AW625" s="164">
        <f t="shared" ca="1" si="983"/>
        <v>0</v>
      </c>
      <c r="AX625" s="164">
        <f t="shared" ca="1" si="984"/>
        <v>0</v>
      </c>
      <c r="AY625" s="164">
        <f t="shared" ca="1" si="985"/>
        <v>0</v>
      </c>
      <c r="AZ625" s="164">
        <f t="shared" ca="1" si="986"/>
        <v>0</v>
      </c>
      <c r="BA625" s="165" t="str">
        <f t="shared" ca="1" si="987"/>
        <v>nie</v>
      </c>
      <c r="BB625" s="166" t="str">
        <f t="shared" ca="1" si="921"/>
        <v>-</v>
      </c>
      <c r="BC625" s="165" t="str">
        <f t="shared" ca="1" si="1000"/>
        <v>nie</v>
      </c>
    </row>
    <row r="626" spans="1:55" ht="14.45" hidden="1" customHeight="1" x14ac:dyDescent="0.25">
      <c r="A626" s="185" t="s">
        <v>97</v>
      </c>
      <c r="B626" s="186"/>
      <c r="C626" s="187"/>
      <c r="D626" s="186"/>
      <c r="E626" s="186"/>
      <c r="F626" s="186"/>
      <c r="G626" s="186"/>
      <c r="H626" s="186"/>
      <c r="I626" s="186"/>
      <c r="J626" s="186"/>
      <c r="K626" s="186"/>
      <c r="L626" s="186"/>
      <c r="M626" s="186"/>
      <c r="N626" s="186"/>
      <c r="O626" s="186"/>
      <c r="P626" s="186"/>
      <c r="Q626" s="186"/>
      <c r="R626" s="188"/>
      <c r="S626" s="189"/>
      <c r="T626" s="189"/>
      <c r="U626" s="189"/>
      <c r="V626" s="189"/>
      <c r="W626" s="189"/>
      <c r="X626" s="189"/>
      <c r="Y626" s="190"/>
      <c r="Z626" s="149" t="str">
        <f t="shared" ca="1" si="999"/>
        <v>nie</v>
      </c>
      <c r="AA626" s="366"/>
      <c r="AB626" s="150" t="str">
        <f t="shared" ca="1" si="895"/>
        <v>-</v>
      </c>
      <c r="AC626" s="151" t="str">
        <f t="shared" ca="1" si="967"/>
        <v>PROPONOWANA ZMIANA</v>
      </c>
      <c r="AD626" s="152" t="str">
        <f t="shared" ca="1" si="1015"/>
        <v/>
      </c>
      <c r="AE626" s="153" t="str">
        <f t="shared" ca="1" si="968"/>
        <v/>
      </c>
      <c r="AF626" s="154" t="str">
        <f t="shared" ca="1" si="969"/>
        <v/>
      </c>
      <c r="AG626" s="155" t="str">
        <f t="shared" ca="1" si="970"/>
        <v/>
      </c>
      <c r="AH626" s="155" t="str">
        <f t="shared" ca="1" si="971"/>
        <v/>
      </c>
      <c r="AI626" s="156" t="str">
        <f t="shared" ca="1" si="972"/>
        <v/>
      </c>
      <c r="AJ626" s="157" t="str">
        <f t="shared" ca="1" si="973"/>
        <v/>
      </c>
      <c r="AK626" s="158" t="str">
        <f t="shared" ca="1" si="1016"/>
        <v/>
      </c>
      <c r="AL626" s="158" t="str">
        <f t="shared" ca="1" si="1017"/>
        <v/>
      </c>
      <c r="AM626" s="159" t="str">
        <f t="shared" ca="1" si="1018"/>
        <v/>
      </c>
      <c r="AN626" s="160" t="str">
        <f t="shared" ca="1" si="974"/>
        <v/>
      </c>
      <c r="AO626" s="161" t="str">
        <f t="shared" ca="1" si="975"/>
        <v/>
      </c>
      <c r="AP626" s="162" t="str">
        <f t="shared" ca="1" si="976"/>
        <v/>
      </c>
      <c r="AQ626" s="163" t="str">
        <f t="shared" ca="1" si="977"/>
        <v/>
      </c>
      <c r="AR626" s="164" t="str">
        <f t="shared" ca="1" si="978"/>
        <v/>
      </c>
      <c r="AS626" s="164" t="str">
        <f t="shared" ca="1" si="979"/>
        <v/>
      </c>
      <c r="AT626" s="164" t="str">
        <f t="shared" ca="1" si="980"/>
        <v/>
      </c>
      <c r="AU626" s="164" t="str">
        <f t="shared" ca="1" si="981"/>
        <v/>
      </c>
      <c r="AV626" s="164" t="str">
        <f t="shared" ca="1" si="982"/>
        <v/>
      </c>
      <c r="AW626" s="164" t="str">
        <f t="shared" ca="1" si="983"/>
        <v/>
      </c>
      <c r="AX626" s="164" t="str">
        <f t="shared" ca="1" si="984"/>
        <v/>
      </c>
      <c r="AY626" s="164" t="str">
        <f t="shared" ca="1" si="985"/>
        <v/>
      </c>
      <c r="AZ626" s="164" t="str">
        <f t="shared" ca="1" si="986"/>
        <v/>
      </c>
      <c r="BA626" s="165" t="str">
        <f t="shared" ca="1" si="987"/>
        <v>nie</v>
      </c>
      <c r="BB626" s="166" t="str">
        <f t="shared" ca="1" si="921"/>
        <v>-</v>
      </c>
      <c r="BC626" s="165" t="str">
        <f t="shared" ca="1" si="1000"/>
        <v>nie</v>
      </c>
    </row>
    <row r="627" spans="1:55" ht="14.45" hidden="1" customHeight="1" x14ac:dyDescent="0.25">
      <c r="A627" s="493" t="s">
        <v>24</v>
      </c>
      <c r="B627" s="493" t="s">
        <v>26</v>
      </c>
      <c r="C627" s="494" t="s">
        <v>178</v>
      </c>
      <c r="D627" s="505" t="s">
        <v>179</v>
      </c>
      <c r="E627" s="497">
        <v>801</v>
      </c>
      <c r="F627" s="497">
        <v>80195</v>
      </c>
      <c r="G627" s="497">
        <v>6050</v>
      </c>
      <c r="H627" s="498" t="s">
        <v>162</v>
      </c>
      <c r="I627" s="499" t="str">
        <f ca="1">IF(COUNTIF(OFFSET(I627,-1,-8),"*propon*")&gt;0,OFFSET(I627,4,0),IF(Y627&gt;0,"2033",IF(X627&gt;0,"2032",IF(W627&gt;0,"2031",IF(V627&gt;0,"2030",IF(U627&gt;0,"2029",IF(T627&gt;0,"2028",IF(S627&gt;0,"2027",IF(R627&gt;0,"2026",IF(Q627&gt;0,"2025",IF(P627&gt;0,"2024",IF(M627&gt;0,"2023",IF(L627&gt;0,"2022","")))))))))))))</f>
        <v>2024</v>
      </c>
      <c r="J627" s="168" t="s">
        <v>98</v>
      </c>
      <c r="K627" s="169">
        <f>SUM(N627:O627)</f>
        <v>0</v>
      </c>
      <c r="L627" s="170">
        <f t="shared" ref="L627:M627" si="1050">SUM(L628:L629)</f>
        <v>0</v>
      </c>
      <c r="M627" s="171">
        <f t="shared" si="1050"/>
        <v>0</v>
      </c>
      <c r="N627" s="172">
        <f>SUM(L627:M627)</f>
        <v>0</v>
      </c>
      <c r="O627" s="169">
        <f>SUM(P627:Y627)</f>
        <v>0</v>
      </c>
      <c r="P627" s="173">
        <f t="shared" ref="P627:R627" si="1051">SUM(P628:P629)</f>
        <v>0</v>
      </c>
      <c r="Q627" s="171">
        <f t="shared" si="1051"/>
        <v>0</v>
      </c>
      <c r="R627" s="174">
        <f t="shared" si="1051"/>
        <v>0</v>
      </c>
      <c r="S627" s="175">
        <f t="shared" ref="S627:Y627" si="1052">SUM(S628:S629)</f>
        <v>0</v>
      </c>
      <c r="T627" s="171">
        <f t="shared" si="1052"/>
        <v>0</v>
      </c>
      <c r="U627" s="171">
        <f t="shared" si="1052"/>
        <v>0</v>
      </c>
      <c r="V627" s="171">
        <f t="shared" si="1052"/>
        <v>0</v>
      </c>
      <c r="W627" s="171">
        <f t="shared" si="1052"/>
        <v>0</v>
      </c>
      <c r="X627" s="171">
        <f t="shared" si="1052"/>
        <v>0</v>
      </c>
      <c r="Y627" s="174">
        <f t="shared" si="1052"/>
        <v>0</v>
      </c>
      <c r="Z627" s="149" t="str">
        <f t="shared" ca="1" si="999"/>
        <v>nie</v>
      </c>
      <c r="AA627" s="366"/>
      <c r="AB627" s="150" t="str">
        <f t="shared" ca="1" si="895"/>
        <v>-</v>
      </c>
      <c r="AC627" s="151" t="str">
        <f t="shared" ca="1" si="967"/>
        <v>PROPONOWANA ZMIANA</v>
      </c>
      <c r="AD627" s="152" t="str">
        <f t="shared" ca="1" si="1015"/>
        <v>PROPONOWANA ZMIANA</v>
      </c>
      <c r="AE627" s="153" t="str">
        <f t="shared" ca="1" si="968"/>
        <v>C/USN/V/P1/92</v>
      </c>
      <c r="AF627" s="154" t="str">
        <f t="shared" ca="1" si="969"/>
        <v>Program wdrożenia systemu do zarządzania energią wraz z poprawą efektywności energetycznej w obiektach oświatowych</v>
      </c>
      <c r="AG627" s="155">
        <f t="shared" ca="1" si="970"/>
        <v>80195</v>
      </c>
      <c r="AH627" s="155" t="str">
        <f t="shared" ca="1" si="971"/>
        <v>6050</v>
      </c>
      <c r="AI627" s="156" t="str">
        <f t="shared" ca="1" si="972"/>
        <v>GMMW</v>
      </c>
      <c r="AJ627" s="157" t="str">
        <f t="shared" ca="1" si="973"/>
        <v>WPF, w tym</v>
      </c>
      <c r="AK627" s="158" t="str">
        <f t="shared" ca="1" si="1016"/>
        <v>C/USN/V/P1/92 80195 6050 GMMW</v>
      </c>
      <c r="AL627" s="158" t="str">
        <f t="shared" ca="1" si="1017"/>
        <v>C/USN/V/P1/92 80195 6050 WPF, w tym</v>
      </c>
      <c r="AM627" s="159" t="str">
        <f t="shared" ca="1" si="1018"/>
        <v>C/USN/V/P1/92 80195 6050 GMMW WPF, w tym</v>
      </c>
      <c r="AN627" s="160">
        <f t="shared" ca="1" si="974"/>
        <v>0</v>
      </c>
      <c r="AO627" s="161">
        <f t="shared" ca="1" si="975"/>
        <v>0</v>
      </c>
      <c r="AP627" s="162">
        <f t="shared" ca="1" si="976"/>
        <v>0</v>
      </c>
      <c r="AQ627" s="163">
        <f t="shared" ca="1" si="977"/>
        <v>0</v>
      </c>
      <c r="AR627" s="164">
        <f t="shared" ca="1" si="978"/>
        <v>0</v>
      </c>
      <c r="AS627" s="164">
        <f t="shared" ca="1" si="979"/>
        <v>0</v>
      </c>
      <c r="AT627" s="164">
        <f t="shared" ca="1" si="980"/>
        <v>0</v>
      </c>
      <c r="AU627" s="164">
        <f t="shared" ca="1" si="981"/>
        <v>0</v>
      </c>
      <c r="AV627" s="164">
        <f t="shared" ca="1" si="982"/>
        <v>0</v>
      </c>
      <c r="AW627" s="164">
        <f t="shared" ca="1" si="983"/>
        <v>0</v>
      </c>
      <c r="AX627" s="164">
        <f t="shared" ca="1" si="984"/>
        <v>0</v>
      </c>
      <c r="AY627" s="164">
        <f t="shared" ca="1" si="985"/>
        <v>0</v>
      </c>
      <c r="AZ627" s="164">
        <f t="shared" ca="1" si="986"/>
        <v>0</v>
      </c>
      <c r="BA627" s="165" t="str">
        <f t="shared" ca="1" si="987"/>
        <v>nie</v>
      </c>
      <c r="BB627" s="166" t="str">
        <f t="shared" ca="1" si="921"/>
        <v>-</v>
      </c>
      <c r="BC627" s="165" t="str">
        <f t="shared" ca="1" si="1000"/>
        <v>nie</v>
      </c>
    </row>
    <row r="628" spans="1:55" ht="14.45" hidden="1" customHeight="1" x14ac:dyDescent="0.25">
      <c r="A628" s="493"/>
      <c r="B628" s="493"/>
      <c r="C628" s="494"/>
      <c r="D628" s="506"/>
      <c r="E628" s="497"/>
      <c r="F628" s="497"/>
      <c r="G628" s="497"/>
      <c r="H628" s="498"/>
      <c r="I628" s="499"/>
      <c r="J628" s="177" t="s">
        <v>99</v>
      </c>
      <c r="K628" s="178">
        <f>SUM(N628:O628)</f>
        <v>0</v>
      </c>
      <c r="L628" s="179">
        <f t="shared" ref="L628:M628" si="1053">L632-L624</f>
        <v>0</v>
      </c>
      <c r="M628" s="180">
        <f t="shared" si="1053"/>
        <v>0</v>
      </c>
      <c r="N628" s="172">
        <f>SUM(L628:M628)</f>
        <v>0</v>
      </c>
      <c r="O628" s="178">
        <f>SUM(P628:Y628)</f>
        <v>0</v>
      </c>
      <c r="P628" s="181">
        <f t="shared" ref="P628:R628" si="1054">P632-P624</f>
        <v>0</v>
      </c>
      <c r="Q628" s="180">
        <f t="shared" si="1054"/>
        <v>0</v>
      </c>
      <c r="R628" s="182">
        <f t="shared" si="1054"/>
        <v>0</v>
      </c>
      <c r="S628" s="183">
        <f t="shared" ref="S628:Y629" si="1055">S632-S624</f>
        <v>0</v>
      </c>
      <c r="T628" s="180">
        <f t="shared" si="1055"/>
        <v>0</v>
      </c>
      <c r="U628" s="180">
        <f t="shared" si="1055"/>
        <v>0</v>
      </c>
      <c r="V628" s="180">
        <f t="shared" si="1055"/>
        <v>0</v>
      </c>
      <c r="W628" s="180">
        <f t="shared" si="1055"/>
        <v>0</v>
      </c>
      <c r="X628" s="180">
        <f t="shared" si="1055"/>
        <v>0</v>
      </c>
      <c r="Y628" s="182">
        <f t="shared" si="1055"/>
        <v>0</v>
      </c>
      <c r="Z628" s="149" t="str">
        <f t="shared" ca="1" si="999"/>
        <v>nie</v>
      </c>
      <c r="AA628" s="366"/>
      <c r="AB628" s="150" t="str">
        <f t="shared" ca="1" si="895"/>
        <v>-</v>
      </c>
      <c r="AC628" s="151" t="str">
        <f t="shared" ca="1" si="967"/>
        <v>PROPONOWANA ZMIANA</v>
      </c>
      <c r="AD628" s="152" t="str">
        <f t="shared" ca="1" si="1015"/>
        <v>PROPONOWANA ZMIANA</v>
      </c>
      <c r="AE628" s="153" t="str">
        <f t="shared" ca="1" si="968"/>
        <v>C/USN/V/P1/92</v>
      </c>
      <c r="AF628" s="154" t="str">
        <f t="shared" ca="1" si="969"/>
        <v>Program wdrożenia systemu do zarządzania energią wraz z poprawą efektywności energetycznej w obiektach oświatowych</v>
      </c>
      <c r="AG628" s="155">
        <f t="shared" ca="1" si="970"/>
        <v>80195</v>
      </c>
      <c r="AH628" s="155" t="str">
        <f t="shared" ca="1" si="971"/>
        <v>6050</v>
      </c>
      <c r="AI628" s="156" t="str">
        <f t="shared" ca="1" si="972"/>
        <v>GMMW</v>
      </c>
      <c r="AJ628" s="157" t="str">
        <f t="shared" ca="1" si="973"/>
        <v>WPF/PM</v>
      </c>
      <c r="AK628" s="158" t="str">
        <f t="shared" ca="1" si="1016"/>
        <v>C/USN/V/P1/92 80195 6050 GMMW</v>
      </c>
      <c r="AL628" s="158" t="str">
        <f t="shared" ca="1" si="1017"/>
        <v>C/USN/V/P1/92 80195 6050 WPF/PM</v>
      </c>
      <c r="AM628" s="159" t="str">
        <f t="shared" ca="1" si="1018"/>
        <v>C/USN/V/P1/92 80195 6050 GMMW WPF/PM</v>
      </c>
      <c r="AN628" s="160">
        <f t="shared" ca="1" si="974"/>
        <v>0</v>
      </c>
      <c r="AO628" s="161">
        <f t="shared" ca="1" si="975"/>
        <v>0</v>
      </c>
      <c r="AP628" s="162">
        <f t="shared" ca="1" si="976"/>
        <v>0</v>
      </c>
      <c r="AQ628" s="163">
        <f t="shared" ca="1" si="977"/>
        <v>0</v>
      </c>
      <c r="AR628" s="164">
        <f t="shared" ca="1" si="978"/>
        <v>0</v>
      </c>
      <c r="AS628" s="164">
        <f t="shared" ca="1" si="979"/>
        <v>0</v>
      </c>
      <c r="AT628" s="164">
        <f t="shared" ca="1" si="980"/>
        <v>0</v>
      </c>
      <c r="AU628" s="164">
        <f t="shared" ca="1" si="981"/>
        <v>0</v>
      </c>
      <c r="AV628" s="164">
        <f t="shared" ca="1" si="982"/>
        <v>0</v>
      </c>
      <c r="AW628" s="164">
        <f t="shared" ca="1" si="983"/>
        <v>0</v>
      </c>
      <c r="AX628" s="164">
        <f t="shared" ca="1" si="984"/>
        <v>0</v>
      </c>
      <c r="AY628" s="164">
        <f t="shared" ca="1" si="985"/>
        <v>0</v>
      </c>
      <c r="AZ628" s="164">
        <f t="shared" ca="1" si="986"/>
        <v>0</v>
      </c>
      <c r="BA628" s="165" t="str">
        <f t="shared" ca="1" si="987"/>
        <v>nie</v>
      </c>
      <c r="BB628" s="166" t="str">
        <f t="shared" ca="1" si="921"/>
        <v>-</v>
      </c>
      <c r="BC628" s="165" t="str">
        <f t="shared" ca="1" si="1000"/>
        <v>nie</v>
      </c>
    </row>
    <row r="629" spans="1:55" ht="14.45" hidden="1" customHeight="1" x14ac:dyDescent="0.25">
      <c r="A629" s="550"/>
      <c r="B629" s="550"/>
      <c r="C629" s="551"/>
      <c r="D629" s="506"/>
      <c r="E629" s="497"/>
      <c r="F629" s="497"/>
      <c r="G629" s="497"/>
      <c r="H629" s="498"/>
      <c r="I629" s="499"/>
      <c r="J629" s="177" t="s">
        <v>100</v>
      </c>
      <c r="K629" s="178">
        <f>SUM(N629:O629)</f>
        <v>0</v>
      </c>
      <c r="L629" s="179">
        <f t="shared" ref="L629:M629" si="1056">L633-L625</f>
        <v>0</v>
      </c>
      <c r="M629" s="180">
        <f t="shared" si="1056"/>
        <v>0</v>
      </c>
      <c r="N629" s="172">
        <f>SUM(L629:M629)</f>
        <v>0</v>
      </c>
      <c r="O629" s="178">
        <f>SUM(P629:Y629)</f>
        <v>0</v>
      </c>
      <c r="P629" s="181">
        <f t="shared" ref="P629:R629" si="1057">P633-P625</f>
        <v>0</v>
      </c>
      <c r="Q629" s="180">
        <f t="shared" si="1057"/>
        <v>0</v>
      </c>
      <c r="R629" s="182">
        <f t="shared" si="1057"/>
        <v>0</v>
      </c>
      <c r="S629" s="183">
        <f t="shared" si="1055"/>
        <v>0</v>
      </c>
      <c r="T629" s="180">
        <f t="shared" si="1055"/>
        <v>0</v>
      </c>
      <c r="U629" s="180">
        <f t="shared" si="1055"/>
        <v>0</v>
      </c>
      <c r="V629" s="180">
        <f t="shared" si="1055"/>
        <v>0</v>
      </c>
      <c r="W629" s="180">
        <f t="shared" si="1055"/>
        <v>0</v>
      </c>
      <c r="X629" s="180">
        <f t="shared" si="1055"/>
        <v>0</v>
      </c>
      <c r="Y629" s="182">
        <f t="shared" si="1055"/>
        <v>0</v>
      </c>
      <c r="Z629" s="149" t="str">
        <f t="shared" ca="1" si="999"/>
        <v>nie</v>
      </c>
      <c r="AA629" s="366"/>
      <c r="AB629" s="150" t="str">
        <f t="shared" ca="1" si="895"/>
        <v>-</v>
      </c>
      <c r="AC629" s="151" t="str">
        <f t="shared" ca="1" si="967"/>
        <v>PROPONOWANA ZMIANA</v>
      </c>
      <c r="AD629" s="152" t="str">
        <f t="shared" ca="1" si="1015"/>
        <v>PROPONOWANA ZMIANA</v>
      </c>
      <c r="AE629" s="153" t="str">
        <f t="shared" ca="1" si="968"/>
        <v>C/USN/V/P1/92</v>
      </c>
      <c r="AF629" s="154" t="str">
        <f t="shared" ca="1" si="969"/>
        <v>Program wdrożenia systemu do zarządzania energią wraz z poprawą efektywności energetycznej w obiektach oświatowych</v>
      </c>
      <c r="AG629" s="155">
        <f t="shared" ca="1" si="970"/>
        <v>80195</v>
      </c>
      <c r="AH629" s="155" t="str">
        <f t="shared" ca="1" si="971"/>
        <v>6050</v>
      </c>
      <c r="AI629" s="156" t="str">
        <f t="shared" ca="1" si="972"/>
        <v>GMMW</v>
      </c>
      <c r="AJ629" s="157" t="str">
        <f t="shared" ca="1" si="973"/>
        <v>WPF/UM</v>
      </c>
      <c r="AK629" s="158" t="str">
        <f t="shared" ca="1" si="1016"/>
        <v>C/USN/V/P1/92 80195 6050 GMMW</v>
      </c>
      <c r="AL629" s="158" t="str">
        <f t="shared" ca="1" si="1017"/>
        <v>C/USN/V/P1/92 80195 6050 WPF/UM</v>
      </c>
      <c r="AM629" s="159" t="str">
        <f t="shared" ca="1" si="1018"/>
        <v>C/USN/V/P1/92 80195 6050 GMMW WPF/UM</v>
      </c>
      <c r="AN629" s="160">
        <f t="shared" ca="1" si="974"/>
        <v>0</v>
      </c>
      <c r="AO629" s="161">
        <f t="shared" ca="1" si="975"/>
        <v>0</v>
      </c>
      <c r="AP629" s="162">
        <f t="shared" ca="1" si="976"/>
        <v>0</v>
      </c>
      <c r="AQ629" s="163">
        <f t="shared" ca="1" si="977"/>
        <v>0</v>
      </c>
      <c r="AR629" s="164">
        <f t="shared" ca="1" si="978"/>
        <v>0</v>
      </c>
      <c r="AS629" s="164">
        <f t="shared" ca="1" si="979"/>
        <v>0</v>
      </c>
      <c r="AT629" s="164">
        <f t="shared" ca="1" si="980"/>
        <v>0</v>
      </c>
      <c r="AU629" s="164">
        <f t="shared" ca="1" si="981"/>
        <v>0</v>
      </c>
      <c r="AV629" s="164">
        <f t="shared" ca="1" si="982"/>
        <v>0</v>
      </c>
      <c r="AW629" s="164">
        <f t="shared" ca="1" si="983"/>
        <v>0</v>
      </c>
      <c r="AX629" s="164">
        <f t="shared" ca="1" si="984"/>
        <v>0</v>
      </c>
      <c r="AY629" s="164">
        <f t="shared" ca="1" si="985"/>
        <v>0</v>
      </c>
      <c r="AZ629" s="164">
        <f t="shared" ca="1" si="986"/>
        <v>0</v>
      </c>
      <c r="BA629" s="165" t="str">
        <f t="shared" ca="1" si="987"/>
        <v>nie</v>
      </c>
      <c r="BB629" s="166" t="str">
        <f t="shared" ca="1" si="921"/>
        <v>-</v>
      </c>
      <c r="BC629" s="165" t="str">
        <f t="shared" ca="1" si="1000"/>
        <v>nie</v>
      </c>
    </row>
    <row r="630" spans="1:55" ht="14.45" hidden="1" customHeight="1" x14ac:dyDescent="0.25">
      <c r="A630" s="191" t="s">
        <v>101</v>
      </c>
      <c r="B630" s="192"/>
      <c r="C630" s="193"/>
      <c r="D630" s="192"/>
      <c r="E630" s="192"/>
      <c r="F630" s="192"/>
      <c r="G630" s="192"/>
      <c r="H630" s="192"/>
      <c r="I630" s="192"/>
      <c r="J630" s="192"/>
      <c r="K630" s="192"/>
      <c r="L630" s="192"/>
      <c r="M630" s="192"/>
      <c r="N630" s="192"/>
      <c r="O630" s="192"/>
      <c r="P630" s="192"/>
      <c r="Q630" s="192"/>
      <c r="R630" s="194"/>
      <c r="S630" s="195"/>
      <c r="T630" s="195"/>
      <c r="U630" s="195"/>
      <c r="V630" s="195"/>
      <c r="W630" s="195"/>
      <c r="X630" s="195"/>
      <c r="Y630" s="196"/>
      <c r="Z630" s="149" t="str">
        <f t="shared" ca="1" si="999"/>
        <v>nie</v>
      </c>
      <c r="AA630" s="366"/>
      <c r="AB630" s="150" t="str">
        <f t="shared" ca="1" si="895"/>
        <v>-</v>
      </c>
      <c r="AC630" s="151" t="str">
        <f t="shared" ca="1" si="967"/>
        <v>PO ZMIANIE</v>
      </c>
      <c r="AD630" s="152" t="str">
        <f t="shared" ca="1" si="1015"/>
        <v/>
      </c>
      <c r="AE630" s="153" t="str">
        <f t="shared" ca="1" si="968"/>
        <v/>
      </c>
      <c r="AF630" s="154" t="str">
        <f t="shared" ca="1" si="969"/>
        <v/>
      </c>
      <c r="AG630" s="155" t="str">
        <f t="shared" ca="1" si="970"/>
        <v/>
      </c>
      <c r="AH630" s="155" t="str">
        <f t="shared" ca="1" si="971"/>
        <v/>
      </c>
      <c r="AI630" s="156" t="str">
        <f t="shared" ca="1" si="972"/>
        <v/>
      </c>
      <c r="AJ630" s="157" t="str">
        <f t="shared" ca="1" si="973"/>
        <v/>
      </c>
      <c r="AK630" s="158" t="str">
        <f t="shared" ca="1" si="1016"/>
        <v/>
      </c>
      <c r="AL630" s="158" t="str">
        <f t="shared" ca="1" si="1017"/>
        <v/>
      </c>
      <c r="AM630" s="159" t="str">
        <f t="shared" ca="1" si="1018"/>
        <v/>
      </c>
      <c r="AN630" s="160" t="str">
        <f t="shared" ca="1" si="974"/>
        <v/>
      </c>
      <c r="AO630" s="161" t="str">
        <f t="shared" ca="1" si="975"/>
        <v/>
      </c>
      <c r="AP630" s="162" t="str">
        <f t="shared" ca="1" si="976"/>
        <v/>
      </c>
      <c r="AQ630" s="163" t="str">
        <f t="shared" ca="1" si="977"/>
        <v/>
      </c>
      <c r="AR630" s="164" t="str">
        <f t="shared" ca="1" si="978"/>
        <v/>
      </c>
      <c r="AS630" s="164" t="str">
        <f t="shared" ca="1" si="979"/>
        <v/>
      </c>
      <c r="AT630" s="164" t="str">
        <f t="shared" ca="1" si="980"/>
        <v/>
      </c>
      <c r="AU630" s="164" t="str">
        <f t="shared" ca="1" si="981"/>
        <v/>
      </c>
      <c r="AV630" s="164" t="str">
        <f t="shared" ca="1" si="982"/>
        <v/>
      </c>
      <c r="AW630" s="164" t="str">
        <f t="shared" ca="1" si="983"/>
        <v/>
      </c>
      <c r="AX630" s="164" t="str">
        <f t="shared" ca="1" si="984"/>
        <v/>
      </c>
      <c r="AY630" s="164" t="str">
        <f t="shared" ca="1" si="985"/>
        <v/>
      </c>
      <c r="AZ630" s="164" t="str">
        <f t="shared" ca="1" si="986"/>
        <v/>
      </c>
      <c r="BA630" s="165" t="str">
        <f t="shared" ca="1" si="987"/>
        <v>nie</v>
      </c>
      <c r="BB630" s="166" t="str">
        <f t="shared" ca="1" si="921"/>
        <v>-</v>
      </c>
      <c r="BC630" s="165" t="str">
        <f t="shared" ca="1" si="1000"/>
        <v>nie</v>
      </c>
    </row>
    <row r="631" spans="1:55" ht="14.45" hidden="1" customHeight="1" x14ac:dyDescent="0.25">
      <c r="A631" s="493" t="s">
        <v>24</v>
      </c>
      <c r="B631" s="493" t="s">
        <v>26</v>
      </c>
      <c r="C631" s="494" t="s">
        <v>178</v>
      </c>
      <c r="D631" s="505" t="s">
        <v>179</v>
      </c>
      <c r="E631" s="497">
        <v>801</v>
      </c>
      <c r="F631" s="497">
        <v>80195</v>
      </c>
      <c r="G631" s="497">
        <v>6050</v>
      </c>
      <c r="H631" s="498" t="s">
        <v>162</v>
      </c>
      <c r="I631" s="499" t="str">
        <f ca="1">IF(COUNTIF(OFFSET(I631,-1,-8),"*propon*")&gt;0,OFFSET(I631,4,0),IF(Y631&gt;0,"2033",IF(X631&gt;0,"2032",IF(W631&gt;0,"2031",IF(V631&gt;0,"2030",IF(U631&gt;0,"2029",IF(T631&gt;0,"2028",IF(S631&gt;0,"2027",IF(R631&gt;0,"2026",IF(Q631&gt;0,"2025",IF(P631&gt;0,"2024",IF(M631&gt;0,"2023",IF(L631&gt;0,"2022","")))))))))))))</f>
        <v>2024</v>
      </c>
      <c r="J631" s="168" t="s">
        <v>102</v>
      </c>
      <c r="K631" s="169">
        <f>SUM(N631:O631)</f>
        <v>3100000</v>
      </c>
      <c r="L631" s="170">
        <f t="shared" ref="L631:M631" si="1058">SUM(L632:L633)</f>
        <v>0</v>
      </c>
      <c r="M631" s="171">
        <f t="shared" si="1058"/>
        <v>0</v>
      </c>
      <c r="N631" s="172">
        <f>SUM(L631:M631)</f>
        <v>0</v>
      </c>
      <c r="O631" s="169">
        <f>SUM(P631:Y631)</f>
        <v>3100000</v>
      </c>
      <c r="P631" s="173">
        <f t="shared" ref="P631:R631" si="1059">SUM(P632:P633)</f>
        <v>3100000</v>
      </c>
      <c r="Q631" s="171">
        <f t="shared" si="1059"/>
        <v>0</v>
      </c>
      <c r="R631" s="174">
        <f t="shared" si="1059"/>
        <v>0</v>
      </c>
      <c r="S631" s="175">
        <f t="shared" ref="S631:Y631" si="1060">SUM(S632:S633)</f>
        <v>0</v>
      </c>
      <c r="T631" s="171">
        <f t="shared" si="1060"/>
        <v>0</v>
      </c>
      <c r="U631" s="171">
        <f t="shared" si="1060"/>
        <v>0</v>
      </c>
      <c r="V631" s="171">
        <f t="shared" si="1060"/>
        <v>0</v>
      </c>
      <c r="W631" s="171">
        <f t="shared" si="1060"/>
        <v>0</v>
      </c>
      <c r="X631" s="171">
        <f t="shared" si="1060"/>
        <v>0</v>
      </c>
      <c r="Y631" s="174">
        <f t="shared" si="1060"/>
        <v>0</v>
      </c>
      <c r="Z631" s="149" t="str">
        <f t="shared" ca="1" si="999"/>
        <v>nie</v>
      </c>
      <c r="AA631" s="366"/>
      <c r="AB631" s="150" t="str">
        <f t="shared" ca="1" si="895"/>
        <v>-</v>
      </c>
      <c r="AC631" s="151" t="str">
        <f t="shared" ca="1" si="967"/>
        <v>PO ZMIANIE</v>
      </c>
      <c r="AD631" s="152" t="str">
        <f t="shared" ca="1" si="1015"/>
        <v>PO ZMIANIE</v>
      </c>
      <c r="AE631" s="153" t="str">
        <f t="shared" ca="1" si="968"/>
        <v>C/USN/V/P1/92</v>
      </c>
      <c r="AF631" s="154" t="str">
        <f t="shared" ca="1" si="969"/>
        <v>Program wdrożenia systemu do zarządzania energią wraz z poprawą efektywności energetycznej w obiektach oświatowych</v>
      </c>
      <c r="AG631" s="155">
        <f t="shared" ca="1" si="970"/>
        <v>80195</v>
      </c>
      <c r="AH631" s="155" t="str">
        <f t="shared" ca="1" si="971"/>
        <v>6050</v>
      </c>
      <c r="AI631" s="156" t="str">
        <f t="shared" ca="1" si="972"/>
        <v>GMMW</v>
      </c>
      <c r="AJ631" s="157" t="str">
        <f t="shared" ca="1" si="973"/>
        <v>WPF, w tym</v>
      </c>
      <c r="AK631" s="158" t="str">
        <f t="shared" ca="1" si="1016"/>
        <v>C/USN/V/P1/92 80195 6050 GMMW</v>
      </c>
      <c r="AL631" s="158" t="str">
        <f t="shared" ca="1" si="1017"/>
        <v>C/USN/V/P1/92 80195 6050 WPF, w tym</v>
      </c>
      <c r="AM631" s="159" t="str">
        <f t="shared" ca="1" si="1018"/>
        <v>C/USN/V/P1/92 80195 6050 GMMW WPF, w tym</v>
      </c>
      <c r="AN631" s="160">
        <f t="shared" ca="1" si="974"/>
        <v>3100000</v>
      </c>
      <c r="AO631" s="161">
        <f t="shared" ca="1" si="975"/>
        <v>0</v>
      </c>
      <c r="AP631" s="162">
        <f t="shared" ca="1" si="976"/>
        <v>0</v>
      </c>
      <c r="AQ631" s="163">
        <f t="shared" ca="1" si="977"/>
        <v>3100000</v>
      </c>
      <c r="AR631" s="164">
        <f t="shared" ca="1" si="978"/>
        <v>0</v>
      </c>
      <c r="AS631" s="164">
        <f t="shared" ca="1" si="979"/>
        <v>0</v>
      </c>
      <c r="AT631" s="164">
        <f t="shared" ca="1" si="980"/>
        <v>0</v>
      </c>
      <c r="AU631" s="164">
        <f t="shared" ca="1" si="981"/>
        <v>0</v>
      </c>
      <c r="AV631" s="164">
        <f t="shared" ca="1" si="982"/>
        <v>0</v>
      </c>
      <c r="AW631" s="164">
        <f t="shared" ca="1" si="983"/>
        <v>0</v>
      </c>
      <c r="AX631" s="164">
        <f t="shared" ca="1" si="984"/>
        <v>0</v>
      </c>
      <c r="AY631" s="164">
        <f t="shared" ca="1" si="985"/>
        <v>0</v>
      </c>
      <c r="AZ631" s="164">
        <f t="shared" ca="1" si="986"/>
        <v>0</v>
      </c>
      <c r="BA631" s="165" t="str">
        <f t="shared" ca="1" si="987"/>
        <v>nie</v>
      </c>
      <c r="BB631" s="166" t="str">
        <f t="shared" ca="1" si="921"/>
        <v>-</v>
      </c>
      <c r="BC631" s="165" t="str">
        <f t="shared" ca="1" si="1000"/>
        <v>nie</v>
      </c>
    </row>
    <row r="632" spans="1:55" ht="14.45" hidden="1" customHeight="1" x14ac:dyDescent="0.25">
      <c r="A632" s="493"/>
      <c r="B632" s="493"/>
      <c r="C632" s="494"/>
      <c r="D632" s="506"/>
      <c r="E632" s="497"/>
      <c r="F632" s="497"/>
      <c r="G632" s="497"/>
      <c r="H632" s="498"/>
      <c r="I632" s="499"/>
      <c r="J632" s="177" t="s">
        <v>103</v>
      </c>
      <c r="K632" s="178">
        <f>SUM(N632:O632)</f>
        <v>3100000</v>
      </c>
      <c r="L632" s="179"/>
      <c r="M632" s="180"/>
      <c r="N632" s="172">
        <f>SUM(L632:M632)</f>
        <v>0</v>
      </c>
      <c r="O632" s="178">
        <f>SUM(P632:Y632)</f>
        <v>3100000</v>
      </c>
      <c r="P632" s="181">
        <v>3100000</v>
      </c>
      <c r="Q632" s="180"/>
      <c r="R632" s="182"/>
      <c r="S632" s="183"/>
      <c r="T632" s="180"/>
      <c r="U632" s="180"/>
      <c r="V632" s="180"/>
      <c r="W632" s="180"/>
      <c r="X632" s="180"/>
      <c r="Y632" s="182"/>
      <c r="Z632" s="149" t="str">
        <f t="shared" ca="1" si="999"/>
        <v>nie</v>
      </c>
      <c r="AA632" s="384"/>
      <c r="AB632" s="150" t="str">
        <f t="shared" ca="1" si="895"/>
        <v>-</v>
      </c>
      <c r="AC632" s="151" t="str">
        <f t="shared" ca="1" si="967"/>
        <v>PO ZMIANIE</v>
      </c>
      <c r="AD632" s="152" t="str">
        <f t="shared" ca="1" si="1015"/>
        <v>PO ZMIANIE</v>
      </c>
      <c r="AE632" s="153" t="str">
        <f t="shared" ca="1" si="968"/>
        <v>C/USN/V/P1/92</v>
      </c>
      <c r="AF632" s="154" t="str">
        <f t="shared" ca="1" si="969"/>
        <v>Program wdrożenia systemu do zarządzania energią wraz z poprawą efektywności energetycznej w obiektach oświatowych</v>
      </c>
      <c r="AG632" s="155">
        <f t="shared" ca="1" si="970"/>
        <v>80195</v>
      </c>
      <c r="AH632" s="155" t="str">
        <f t="shared" ca="1" si="971"/>
        <v>6050</v>
      </c>
      <c r="AI632" s="156" t="str">
        <f t="shared" ca="1" si="972"/>
        <v>GMMW</v>
      </c>
      <c r="AJ632" s="157" t="str">
        <f t="shared" ca="1" si="973"/>
        <v>WPF/PM</v>
      </c>
      <c r="AK632" s="158" t="str">
        <f t="shared" ca="1" si="1016"/>
        <v>C/USN/V/P1/92 80195 6050 GMMW</v>
      </c>
      <c r="AL632" s="158" t="str">
        <f t="shared" ca="1" si="1017"/>
        <v>C/USN/V/P1/92 80195 6050 WPF/PM</v>
      </c>
      <c r="AM632" s="159" t="str">
        <f t="shared" ca="1" si="1018"/>
        <v>C/USN/V/P1/92 80195 6050 GMMW WPF/PM</v>
      </c>
      <c r="AN632" s="160">
        <f t="shared" ca="1" si="974"/>
        <v>3100000</v>
      </c>
      <c r="AO632" s="161">
        <f t="shared" ca="1" si="975"/>
        <v>0</v>
      </c>
      <c r="AP632" s="162">
        <f t="shared" ca="1" si="976"/>
        <v>0</v>
      </c>
      <c r="AQ632" s="163">
        <f t="shared" ca="1" si="977"/>
        <v>3100000</v>
      </c>
      <c r="AR632" s="164">
        <f t="shared" ca="1" si="978"/>
        <v>0</v>
      </c>
      <c r="AS632" s="164">
        <f t="shared" ca="1" si="979"/>
        <v>0</v>
      </c>
      <c r="AT632" s="164">
        <f t="shared" ca="1" si="980"/>
        <v>0</v>
      </c>
      <c r="AU632" s="164">
        <f t="shared" ca="1" si="981"/>
        <v>0</v>
      </c>
      <c r="AV632" s="164">
        <f t="shared" ca="1" si="982"/>
        <v>0</v>
      </c>
      <c r="AW632" s="164">
        <f t="shared" ca="1" si="983"/>
        <v>0</v>
      </c>
      <c r="AX632" s="164">
        <f t="shared" ca="1" si="984"/>
        <v>0</v>
      </c>
      <c r="AY632" s="164">
        <f t="shared" ca="1" si="985"/>
        <v>0</v>
      </c>
      <c r="AZ632" s="164">
        <f t="shared" ca="1" si="986"/>
        <v>0</v>
      </c>
      <c r="BA632" s="165" t="str">
        <f t="shared" ca="1" si="987"/>
        <v>nie</v>
      </c>
      <c r="BB632" s="166" t="str">
        <f t="shared" ca="1" si="921"/>
        <v>-</v>
      </c>
      <c r="BC632" s="165" t="str">
        <f t="shared" ca="1" si="1000"/>
        <v>nie</v>
      </c>
    </row>
    <row r="633" spans="1:55" ht="14.45" hidden="1" customHeight="1" thickBot="1" x14ac:dyDescent="0.3">
      <c r="A633" s="500"/>
      <c r="B633" s="500"/>
      <c r="C633" s="501"/>
      <c r="D633" s="513"/>
      <c r="E633" s="503"/>
      <c r="F633" s="503"/>
      <c r="G633" s="503"/>
      <c r="H633" s="504"/>
      <c r="I633" s="499"/>
      <c r="J633" s="197" t="s">
        <v>104</v>
      </c>
      <c r="K633" s="198">
        <f>SUM(N633:O633)</f>
        <v>0</v>
      </c>
      <c r="L633" s="199"/>
      <c r="M633" s="200"/>
      <c r="N633" s="371">
        <f>SUM(L633:M633)</f>
        <v>0</v>
      </c>
      <c r="O633" s="198">
        <f>SUM(P633:Y633)</f>
        <v>0</v>
      </c>
      <c r="P633" s="201"/>
      <c r="Q633" s="200"/>
      <c r="R633" s="202"/>
      <c r="S633" s="203"/>
      <c r="T633" s="200"/>
      <c r="U633" s="200"/>
      <c r="V633" s="200"/>
      <c r="W633" s="200"/>
      <c r="X633" s="200"/>
      <c r="Y633" s="202"/>
      <c r="Z633" s="149" t="str">
        <f t="shared" ca="1" si="999"/>
        <v>nie</v>
      </c>
      <c r="AA633" s="384"/>
      <c r="AB633" s="150" t="str">
        <f t="shared" ca="1" si="895"/>
        <v>-</v>
      </c>
      <c r="AC633" s="151" t="str">
        <f t="shared" ca="1" si="967"/>
        <v>PO ZMIANIE</v>
      </c>
      <c r="AD633" s="152" t="str">
        <f t="shared" ca="1" si="1015"/>
        <v>PO ZMIANIE</v>
      </c>
      <c r="AE633" s="153" t="str">
        <f t="shared" ca="1" si="968"/>
        <v>C/USN/V/P1/92</v>
      </c>
      <c r="AF633" s="154" t="str">
        <f t="shared" ca="1" si="969"/>
        <v>Program wdrożenia systemu do zarządzania energią wraz z poprawą efektywności energetycznej w obiektach oświatowych</v>
      </c>
      <c r="AG633" s="155">
        <f t="shared" ca="1" si="970"/>
        <v>80195</v>
      </c>
      <c r="AH633" s="155" t="str">
        <f t="shared" ca="1" si="971"/>
        <v>6050</v>
      </c>
      <c r="AI633" s="156" t="str">
        <f t="shared" ca="1" si="972"/>
        <v>GMMW</v>
      </c>
      <c r="AJ633" s="157" t="str">
        <f t="shared" ca="1" si="973"/>
        <v>WPF/UM</v>
      </c>
      <c r="AK633" s="158" t="str">
        <f t="shared" ca="1" si="1016"/>
        <v>C/USN/V/P1/92 80195 6050 GMMW</v>
      </c>
      <c r="AL633" s="158" t="str">
        <f t="shared" ca="1" si="1017"/>
        <v>C/USN/V/P1/92 80195 6050 WPF/UM</v>
      </c>
      <c r="AM633" s="159" t="str">
        <f t="shared" ca="1" si="1018"/>
        <v>C/USN/V/P1/92 80195 6050 GMMW WPF/UM</v>
      </c>
      <c r="AN633" s="160">
        <f t="shared" ca="1" si="974"/>
        <v>0</v>
      </c>
      <c r="AO633" s="161">
        <f t="shared" ca="1" si="975"/>
        <v>0</v>
      </c>
      <c r="AP633" s="162">
        <f t="shared" ca="1" si="976"/>
        <v>0</v>
      </c>
      <c r="AQ633" s="163">
        <f t="shared" ca="1" si="977"/>
        <v>0</v>
      </c>
      <c r="AR633" s="164">
        <f t="shared" ca="1" si="978"/>
        <v>0</v>
      </c>
      <c r="AS633" s="164">
        <f t="shared" ca="1" si="979"/>
        <v>0</v>
      </c>
      <c r="AT633" s="164">
        <f t="shared" ca="1" si="980"/>
        <v>0</v>
      </c>
      <c r="AU633" s="164">
        <f t="shared" ca="1" si="981"/>
        <v>0</v>
      </c>
      <c r="AV633" s="164">
        <f t="shared" ca="1" si="982"/>
        <v>0</v>
      </c>
      <c r="AW633" s="164">
        <f t="shared" ca="1" si="983"/>
        <v>0</v>
      </c>
      <c r="AX633" s="164">
        <f t="shared" ca="1" si="984"/>
        <v>0</v>
      </c>
      <c r="AY633" s="164">
        <f t="shared" ca="1" si="985"/>
        <v>0</v>
      </c>
      <c r="AZ633" s="164">
        <f t="shared" ca="1" si="986"/>
        <v>0</v>
      </c>
      <c r="BA633" s="165" t="str">
        <f t="shared" ca="1" si="987"/>
        <v>nie</v>
      </c>
      <c r="BB633" s="166" t="str">
        <f t="shared" ca="1" si="921"/>
        <v>-</v>
      </c>
      <c r="BC633" s="165" t="str">
        <f t="shared" ca="1" si="1000"/>
        <v>nie</v>
      </c>
    </row>
    <row r="634" spans="1:55" s="214" customFormat="1" ht="14.45" hidden="1" customHeight="1" x14ac:dyDescent="0.25">
      <c r="A634" s="143" t="s">
        <v>91</v>
      </c>
      <c r="B634" s="144"/>
      <c r="C634" s="145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6"/>
      <c r="S634" s="147"/>
      <c r="T634" s="147"/>
      <c r="U634" s="147"/>
      <c r="V634" s="147"/>
      <c r="W634" s="147"/>
      <c r="X634" s="147"/>
      <c r="Y634" s="148"/>
      <c r="Z634" s="149" t="str">
        <f t="shared" ca="1" si="999"/>
        <v>nie</v>
      </c>
      <c r="AA634" s="366"/>
      <c r="AB634" s="150" t="str">
        <f t="shared" ca="1" si="895"/>
        <v>-</v>
      </c>
      <c r="AC634" s="151" t="str">
        <f t="shared" ca="1" si="967"/>
        <v>PRZED ZMIANĄ</v>
      </c>
      <c r="AD634" s="152" t="str">
        <f t="shared" ca="1" si="1015"/>
        <v/>
      </c>
      <c r="AE634" s="153" t="str">
        <f t="shared" ca="1" si="968"/>
        <v/>
      </c>
      <c r="AF634" s="154" t="str">
        <f t="shared" ca="1" si="969"/>
        <v/>
      </c>
      <c r="AG634" s="155" t="str">
        <f t="shared" ca="1" si="970"/>
        <v/>
      </c>
      <c r="AH634" s="155" t="str">
        <f t="shared" ca="1" si="971"/>
        <v/>
      </c>
      <c r="AI634" s="156" t="str">
        <f t="shared" ca="1" si="972"/>
        <v/>
      </c>
      <c r="AJ634" s="157" t="str">
        <f t="shared" ca="1" si="973"/>
        <v/>
      </c>
      <c r="AK634" s="158" t="str">
        <f t="shared" ca="1" si="1016"/>
        <v/>
      </c>
      <c r="AL634" s="158" t="str">
        <f t="shared" ca="1" si="1017"/>
        <v/>
      </c>
      <c r="AM634" s="159" t="str">
        <f t="shared" ca="1" si="1018"/>
        <v/>
      </c>
      <c r="AN634" s="160" t="str">
        <f t="shared" ca="1" si="974"/>
        <v/>
      </c>
      <c r="AO634" s="161" t="str">
        <f t="shared" ca="1" si="975"/>
        <v/>
      </c>
      <c r="AP634" s="162" t="str">
        <f t="shared" ca="1" si="976"/>
        <v/>
      </c>
      <c r="AQ634" s="163" t="str">
        <f t="shared" ca="1" si="977"/>
        <v/>
      </c>
      <c r="AR634" s="164" t="str">
        <f t="shared" ca="1" si="978"/>
        <v/>
      </c>
      <c r="AS634" s="164" t="str">
        <f t="shared" ca="1" si="979"/>
        <v/>
      </c>
      <c r="AT634" s="164" t="str">
        <f t="shared" ca="1" si="980"/>
        <v/>
      </c>
      <c r="AU634" s="164" t="str">
        <f t="shared" ca="1" si="981"/>
        <v/>
      </c>
      <c r="AV634" s="164" t="str">
        <f t="shared" ca="1" si="982"/>
        <v/>
      </c>
      <c r="AW634" s="164" t="str">
        <f t="shared" ca="1" si="983"/>
        <v/>
      </c>
      <c r="AX634" s="164" t="str">
        <f t="shared" ca="1" si="984"/>
        <v/>
      </c>
      <c r="AY634" s="164" t="str">
        <f t="shared" ca="1" si="985"/>
        <v/>
      </c>
      <c r="AZ634" s="164" t="str">
        <f t="shared" ca="1" si="986"/>
        <v/>
      </c>
      <c r="BA634" s="165" t="str">
        <f t="shared" ca="1" si="987"/>
        <v>nie</v>
      </c>
      <c r="BB634" s="166" t="str">
        <f t="shared" ca="1" si="921"/>
        <v>-</v>
      </c>
      <c r="BC634" s="165" t="str">
        <f t="shared" ca="1" si="1000"/>
        <v>nie</v>
      </c>
    </row>
    <row r="635" spans="1:55" s="214" customFormat="1" ht="14.45" hidden="1" customHeight="1" x14ac:dyDescent="0.25">
      <c r="A635" s="493" t="s">
        <v>24</v>
      </c>
      <c r="B635" s="493" t="s">
        <v>26</v>
      </c>
      <c r="C635" s="494" t="s">
        <v>180</v>
      </c>
      <c r="D635" s="552" t="s">
        <v>181</v>
      </c>
      <c r="E635" s="497">
        <v>801</v>
      </c>
      <c r="F635" s="497">
        <v>80101</v>
      </c>
      <c r="G635" s="497">
        <v>6050</v>
      </c>
      <c r="H635" s="498" t="s">
        <v>162</v>
      </c>
      <c r="I635" s="499" t="str">
        <f ca="1">IF(COUNTIF(OFFSET(I635,-1,-8),"*propon*")&gt;0,OFFSET(I635,4,0),IF(Y635&gt;0,"2033",IF(X635&gt;0,"2032",IF(W635&gt;0,"2031",IF(V635&gt;0,"2030",IF(U635&gt;0,"2029",IF(T635&gt;0,"2028",IF(S635&gt;0,"2027",IF(R635&gt;0,"2026",IF(Q635&gt;0,"2025",IF(P635&gt;0,"2024",IF(M635&gt;0,"2023",IF(L635&gt;0,"2022","")))))))))))))</f>
        <v>2025</v>
      </c>
      <c r="J635" s="168" t="s">
        <v>94</v>
      </c>
      <c r="K635" s="169">
        <f>SUM(N635:O635)</f>
        <v>3473927</v>
      </c>
      <c r="L635" s="170">
        <f t="shared" ref="L635:M635" si="1061">SUM(L636:L637)</f>
        <v>0</v>
      </c>
      <c r="M635" s="171">
        <f t="shared" si="1061"/>
        <v>0</v>
      </c>
      <c r="N635" s="172">
        <f>SUM(L635:M635)</f>
        <v>0</v>
      </c>
      <c r="O635" s="169">
        <f>SUM(P635:Y635)</f>
        <v>3473927</v>
      </c>
      <c r="P635" s="173">
        <f t="shared" ref="P635:R635" si="1062">SUM(P636:P637)</f>
        <v>2264170</v>
      </c>
      <c r="Q635" s="171">
        <f t="shared" si="1062"/>
        <v>1209757</v>
      </c>
      <c r="R635" s="174">
        <f t="shared" si="1062"/>
        <v>0</v>
      </c>
      <c r="S635" s="175">
        <f t="shared" ref="S635:Y635" si="1063">SUM(S636:S637)</f>
        <v>0</v>
      </c>
      <c r="T635" s="171">
        <f t="shared" si="1063"/>
        <v>0</v>
      </c>
      <c r="U635" s="171">
        <f t="shared" si="1063"/>
        <v>0</v>
      </c>
      <c r="V635" s="171">
        <f t="shared" si="1063"/>
        <v>0</v>
      </c>
      <c r="W635" s="171">
        <f t="shared" si="1063"/>
        <v>0</v>
      </c>
      <c r="X635" s="171">
        <f t="shared" si="1063"/>
        <v>0</v>
      </c>
      <c r="Y635" s="174">
        <f t="shared" si="1063"/>
        <v>0</v>
      </c>
      <c r="Z635" s="149" t="str">
        <f t="shared" ca="1" si="999"/>
        <v>nie</v>
      </c>
      <c r="AA635" s="366"/>
      <c r="AB635" s="150" t="str">
        <f t="shared" ca="1" si="895"/>
        <v>-</v>
      </c>
      <c r="AC635" s="151" t="str">
        <f t="shared" ca="1" si="967"/>
        <v>PRZED ZMIANĄ</v>
      </c>
      <c r="AD635" s="152" t="str">
        <f t="shared" ca="1" si="1015"/>
        <v>PRZED ZMIANĄ</v>
      </c>
      <c r="AE635" s="153" t="str">
        <f t="shared" ca="1" si="968"/>
        <v>C/USN/V/P1/93</v>
      </c>
      <c r="AF635" s="154" t="str">
        <f t="shared" ca="1" si="969"/>
        <v>Panele fotowoltaiczne na dachach budynków szkół podstawowych</v>
      </c>
      <c r="AG635" s="155">
        <f t="shared" ca="1" si="970"/>
        <v>80101</v>
      </c>
      <c r="AH635" s="155" t="str">
        <f t="shared" ca="1" si="971"/>
        <v>6050</v>
      </c>
      <c r="AI635" s="156" t="str">
        <f t="shared" ca="1" si="972"/>
        <v>GMMW</v>
      </c>
      <c r="AJ635" s="157" t="str">
        <f t="shared" ca="1" si="973"/>
        <v>WPF, w tym</v>
      </c>
      <c r="AK635" s="158" t="str">
        <f t="shared" ca="1" si="1016"/>
        <v>C/USN/V/P1/93 80101 6050 GMMW</v>
      </c>
      <c r="AL635" s="158" t="str">
        <f t="shared" ca="1" si="1017"/>
        <v>C/USN/V/P1/93 80101 6050 WPF, w tym</v>
      </c>
      <c r="AM635" s="159" t="str">
        <f t="shared" ca="1" si="1018"/>
        <v>C/USN/V/P1/93 80101 6050 GMMW WPF, w tym</v>
      </c>
      <c r="AN635" s="160">
        <f t="shared" ca="1" si="974"/>
        <v>3473927</v>
      </c>
      <c r="AO635" s="161">
        <f t="shared" ca="1" si="975"/>
        <v>0</v>
      </c>
      <c r="AP635" s="162">
        <f t="shared" ca="1" si="976"/>
        <v>0</v>
      </c>
      <c r="AQ635" s="163">
        <f t="shared" ca="1" si="977"/>
        <v>2264170</v>
      </c>
      <c r="AR635" s="164">
        <f t="shared" ca="1" si="978"/>
        <v>1209757</v>
      </c>
      <c r="AS635" s="164">
        <f t="shared" ca="1" si="979"/>
        <v>0</v>
      </c>
      <c r="AT635" s="164">
        <f t="shared" ca="1" si="980"/>
        <v>0</v>
      </c>
      <c r="AU635" s="164">
        <f t="shared" ca="1" si="981"/>
        <v>0</v>
      </c>
      <c r="AV635" s="164">
        <f t="shared" ca="1" si="982"/>
        <v>0</v>
      </c>
      <c r="AW635" s="164">
        <f t="shared" ca="1" si="983"/>
        <v>0</v>
      </c>
      <c r="AX635" s="164">
        <f t="shared" ca="1" si="984"/>
        <v>0</v>
      </c>
      <c r="AY635" s="164">
        <f t="shared" ca="1" si="985"/>
        <v>0</v>
      </c>
      <c r="AZ635" s="164">
        <f t="shared" ca="1" si="986"/>
        <v>0</v>
      </c>
      <c r="BA635" s="165" t="str">
        <f t="shared" ca="1" si="987"/>
        <v>nie</v>
      </c>
      <c r="BB635" s="166" t="str">
        <f t="shared" ca="1" si="921"/>
        <v>-</v>
      </c>
      <c r="BC635" s="165" t="str">
        <f t="shared" ca="1" si="1000"/>
        <v>nie</v>
      </c>
    </row>
    <row r="636" spans="1:55" s="214" customFormat="1" ht="14.45" hidden="1" customHeight="1" x14ac:dyDescent="0.25">
      <c r="A636" s="493"/>
      <c r="B636" s="493"/>
      <c r="C636" s="494"/>
      <c r="D636" s="553"/>
      <c r="E636" s="497"/>
      <c r="F636" s="497"/>
      <c r="G636" s="497"/>
      <c r="H636" s="498"/>
      <c r="I636" s="499"/>
      <c r="J636" s="177" t="s">
        <v>95</v>
      </c>
      <c r="K636" s="178">
        <f>SUM(N636:O636)</f>
        <v>3473927</v>
      </c>
      <c r="L636" s="179"/>
      <c r="M636" s="180"/>
      <c r="N636" s="172">
        <f>SUM(L636:M636)</f>
        <v>0</v>
      </c>
      <c r="O636" s="178">
        <f>SUM(P636:Y636)</f>
        <v>3473927</v>
      </c>
      <c r="P636" s="181">
        <v>2264170</v>
      </c>
      <c r="Q636" s="180">
        <v>1209757</v>
      </c>
      <c r="R636" s="182"/>
      <c r="S636" s="183"/>
      <c r="T636" s="180"/>
      <c r="U636" s="180"/>
      <c r="V636" s="180"/>
      <c r="W636" s="180"/>
      <c r="X636" s="180"/>
      <c r="Y636" s="182"/>
      <c r="Z636" s="149" t="str">
        <f t="shared" ca="1" si="999"/>
        <v>nie</v>
      </c>
      <c r="AA636" s="366"/>
      <c r="AB636" s="150" t="str">
        <f t="shared" ca="1" si="895"/>
        <v>-</v>
      </c>
      <c r="AC636" s="151" t="str">
        <f t="shared" ca="1" si="967"/>
        <v>PRZED ZMIANĄ</v>
      </c>
      <c r="AD636" s="152" t="str">
        <f t="shared" ca="1" si="1015"/>
        <v>PRZED ZMIANĄ</v>
      </c>
      <c r="AE636" s="153" t="str">
        <f t="shared" ca="1" si="968"/>
        <v>C/USN/V/P1/93</v>
      </c>
      <c r="AF636" s="154" t="str">
        <f t="shared" ca="1" si="969"/>
        <v>Panele fotowoltaiczne na dachach budynków szkół podstawowych</v>
      </c>
      <c r="AG636" s="155">
        <f t="shared" ca="1" si="970"/>
        <v>80101</v>
      </c>
      <c r="AH636" s="155" t="str">
        <f t="shared" ca="1" si="971"/>
        <v>6050</v>
      </c>
      <c r="AI636" s="156" t="str">
        <f t="shared" ca="1" si="972"/>
        <v>GMMW</v>
      </c>
      <c r="AJ636" s="157" t="str">
        <f t="shared" ca="1" si="973"/>
        <v>WPF/PM</v>
      </c>
      <c r="AK636" s="158" t="str">
        <f t="shared" ca="1" si="1016"/>
        <v>C/USN/V/P1/93 80101 6050 GMMW</v>
      </c>
      <c r="AL636" s="158" t="str">
        <f t="shared" ca="1" si="1017"/>
        <v>C/USN/V/P1/93 80101 6050 WPF/PM</v>
      </c>
      <c r="AM636" s="159" t="str">
        <f t="shared" ca="1" si="1018"/>
        <v>C/USN/V/P1/93 80101 6050 GMMW WPF/PM</v>
      </c>
      <c r="AN636" s="160">
        <f t="shared" ca="1" si="974"/>
        <v>3473927</v>
      </c>
      <c r="AO636" s="161">
        <f t="shared" ca="1" si="975"/>
        <v>0</v>
      </c>
      <c r="AP636" s="162">
        <f t="shared" ca="1" si="976"/>
        <v>0</v>
      </c>
      <c r="AQ636" s="163">
        <f t="shared" ca="1" si="977"/>
        <v>2264170</v>
      </c>
      <c r="AR636" s="164">
        <f t="shared" ca="1" si="978"/>
        <v>1209757</v>
      </c>
      <c r="AS636" s="164">
        <f t="shared" ca="1" si="979"/>
        <v>0</v>
      </c>
      <c r="AT636" s="164">
        <f t="shared" ca="1" si="980"/>
        <v>0</v>
      </c>
      <c r="AU636" s="164">
        <f t="shared" ca="1" si="981"/>
        <v>0</v>
      </c>
      <c r="AV636" s="164">
        <f t="shared" ca="1" si="982"/>
        <v>0</v>
      </c>
      <c r="AW636" s="164">
        <f t="shared" ca="1" si="983"/>
        <v>0</v>
      </c>
      <c r="AX636" s="164">
        <f t="shared" ca="1" si="984"/>
        <v>0</v>
      </c>
      <c r="AY636" s="164">
        <f t="shared" ca="1" si="985"/>
        <v>0</v>
      </c>
      <c r="AZ636" s="164">
        <f t="shared" ca="1" si="986"/>
        <v>0</v>
      </c>
      <c r="BA636" s="165" t="str">
        <f t="shared" ca="1" si="987"/>
        <v>nie</v>
      </c>
      <c r="BB636" s="166" t="str">
        <f t="shared" ca="1" si="921"/>
        <v>-</v>
      </c>
      <c r="BC636" s="165" t="str">
        <f t="shared" ca="1" si="1000"/>
        <v>nie</v>
      </c>
    </row>
    <row r="637" spans="1:55" s="214" customFormat="1" ht="14.45" hidden="1" customHeight="1" x14ac:dyDescent="0.25">
      <c r="A637" s="493"/>
      <c r="B637" s="493"/>
      <c r="C637" s="494"/>
      <c r="D637" s="554"/>
      <c r="E637" s="497"/>
      <c r="F637" s="497"/>
      <c r="G637" s="497"/>
      <c r="H637" s="498"/>
      <c r="I637" s="499"/>
      <c r="J637" s="177" t="s">
        <v>96</v>
      </c>
      <c r="K637" s="178">
        <f>SUM(N637:O637)</f>
        <v>0</v>
      </c>
      <c r="L637" s="184"/>
      <c r="M637" s="180">
        <v>0</v>
      </c>
      <c r="N637" s="172">
        <f>SUM(L637:M637)</f>
        <v>0</v>
      </c>
      <c r="O637" s="178">
        <f>SUM(P637:Y637)</f>
        <v>0</v>
      </c>
      <c r="P637" s="181"/>
      <c r="Q637" s="180"/>
      <c r="R637" s="182"/>
      <c r="S637" s="183"/>
      <c r="T637" s="180"/>
      <c r="U637" s="180"/>
      <c r="V637" s="180"/>
      <c r="W637" s="180"/>
      <c r="X637" s="180"/>
      <c r="Y637" s="182"/>
      <c r="Z637" s="149" t="str">
        <f t="shared" ca="1" si="999"/>
        <v>nie</v>
      </c>
      <c r="AA637" s="366"/>
      <c r="AB637" s="150" t="str">
        <f t="shared" ca="1" si="895"/>
        <v>-</v>
      </c>
      <c r="AC637" s="151" t="str">
        <f t="shared" ca="1" si="967"/>
        <v>PRZED ZMIANĄ</v>
      </c>
      <c r="AD637" s="152" t="str">
        <f t="shared" ca="1" si="1015"/>
        <v>PRZED ZMIANĄ</v>
      </c>
      <c r="AE637" s="153" t="str">
        <f t="shared" ca="1" si="968"/>
        <v>C/USN/V/P1/93</v>
      </c>
      <c r="AF637" s="154" t="str">
        <f t="shared" ca="1" si="969"/>
        <v>Panele fotowoltaiczne na dachach budynków szkół podstawowych</v>
      </c>
      <c r="AG637" s="155">
        <f t="shared" ca="1" si="970"/>
        <v>80101</v>
      </c>
      <c r="AH637" s="155" t="str">
        <f t="shared" ca="1" si="971"/>
        <v>6050</v>
      </c>
      <c r="AI637" s="156" t="str">
        <f t="shared" ca="1" si="972"/>
        <v>GMMW</v>
      </c>
      <c r="AJ637" s="157" t="str">
        <f t="shared" ca="1" si="973"/>
        <v>WPF/UM</v>
      </c>
      <c r="AK637" s="158" t="str">
        <f t="shared" ca="1" si="1016"/>
        <v>C/USN/V/P1/93 80101 6050 GMMW</v>
      </c>
      <c r="AL637" s="158" t="str">
        <f t="shared" ca="1" si="1017"/>
        <v>C/USN/V/P1/93 80101 6050 WPF/UM</v>
      </c>
      <c r="AM637" s="159" t="str">
        <f t="shared" ca="1" si="1018"/>
        <v>C/USN/V/P1/93 80101 6050 GMMW WPF/UM</v>
      </c>
      <c r="AN637" s="160">
        <f t="shared" ca="1" si="974"/>
        <v>0</v>
      </c>
      <c r="AO637" s="161">
        <f t="shared" ca="1" si="975"/>
        <v>0</v>
      </c>
      <c r="AP637" s="162">
        <f t="shared" ca="1" si="976"/>
        <v>0</v>
      </c>
      <c r="AQ637" s="163">
        <f t="shared" ca="1" si="977"/>
        <v>0</v>
      </c>
      <c r="AR637" s="164">
        <f t="shared" ca="1" si="978"/>
        <v>0</v>
      </c>
      <c r="AS637" s="164">
        <f t="shared" ca="1" si="979"/>
        <v>0</v>
      </c>
      <c r="AT637" s="164">
        <f t="shared" ca="1" si="980"/>
        <v>0</v>
      </c>
      <c r="AU637" s="164">
        <f t="shared" ca="1" si="981"/>
        <v>0</v>
      </c>
      <c r="AV637" s="164">
        <f t="shared" ca="1" si="982"/>
        <v>0</v>
      </c>
      <c r="AW637" s="164">
        <f t="shared" ca="1" si="983"/>
        <v>0</v>
      </c>
      <c r="AX637" s="164">
        <f t="shared" ca="1" si="984"/>
        <v>0</v>
      </c>
      <c r="AY637" s="164">
        <f t="shared" ca="1" si="985"/>
        <v>0</v>
      </c>
      <c r="AZ637" s="164">
        <f t="shared" ca="1" si="986"/>
        <v>0</v>
      </c>
      <c r="BA637" s="165" t="str">
        <f t="shared" ca="1" si="987"/>
        <v>nie</v>
      </c>
      <c r="BB637" s="166" t="str">
        <f t="shared" ca="1" si="921"/>
        <v>-</v>
      </c>
      <c r="BC637" s="165" t="str">
        <f t="shared" ca="1" si="1000"/>
        <v>nie</v>
      </c>
    </row>
    <row r="638" spans="1:55" s="214" customFormat="1" ht="14.45" hidden="1" customHeight="1" x14ac:dyDescent="0.25">
      <c r="A638" s="185" t="s">
        <v>97</v>
      </c>
      <c r="B638" s="186"/>
      <c r="C638" s="187"/>
      <c r="D638" s="186"/>
      <c r="E638" s="186"/>
      <c r="F638" s="186"/>
      <c r="G638" s="186"/>
      <c r="H638" s="186"/>
      <c r="I638" s="186"/>
      <c r="J638" s="186"/>
      <c r="K638" s="186"/>
      <c r="L638" s="186"/>
      <c r="M638" s="186"/>
      <c r="N638" s="186"/>
      <c r="O638" s="186"/>
      <c r="P638" s="186"/>
      <c r="Q638" s="186"/>
      <c r="R638" s="188"/>
      <c r="S638" s="189"/>
      <c r="T638" s="189"/>
      <c r="U638" s="189"/>
      <c r="V638" s="189"/>
      <c r="W638" s="189"/>
      <c r="X638" s="189"/>
      <c r="Y638" s="190"/>
      <c r="Z638" s="149" t="str">
        <f t="shared" ca="1" si="999"/>
        <v>nie</v>
      </c>
      <c r="AA638" s="366"/>
      <c r="AB638" s="150" t="str">
        <f t="shared" ca="1" si="895"/>
        <v>-</v>
      </c>
      <c r="AC638" s="151" t="str">
        <f t="shared" ca="1" si="967"/>
        <v>PROPONOWANA ZMIANA</v>
      </c>
      <c r="AD638" s="152" t="str">
        <f t="shared" ca="1" si="1015"/>
        <v/>
      </c>
      <c r="AE638" s="153" t="str">
        <f t="shared" ca="1" si="968"/>
        <v/>
      </c>
      <c r="AF638" s="154" t="str">
        <f t="shared" ca="1" si="969"/>
        <v/>
      </c>
      <c r="AG638" s="155" t="str">
        <f t="shared" ca="1" si="970"/>
        <v/>
      </c>
      <c r="AH638" s="155" t="str">
        <f t="shared" ca="1" si="971"/>
        <v/>
      </c>
      <c r="AI638" s="156" t="str">
        <f t="shared" ca="1" si="972"/>
        <v/>
      </c>
      <c r="AJ638" s="157" t="str">
        <f t="shared" ca="1" si="973"/>
        <v/>
      </c>
      <c r="AK638" s="158" t="str">
        <f t="shared" ca="1" si="1016"/>
        <v/>
      </c>
      <c r="AL638" s="158" t="str">
        <f t="shared" ca="1" si="1017"/>
        <v/>
      </c>
      <c r="AM638" s="159" t="str">
        <f t="shared" ca="1" si="1018"/>
        <v/>
      </c>
      <c r="AN638" s="160" t="str">
        <f t="shared" ca="1" si="974"/>
        <v/>
      </c>
      <c r="AO638" s="161" t="str">
        <f t="shared" ca="1" si="975"/>
        <v/>
      </c>
      <c r="AP638" s="162" t="str">
        <f t="shared" ca="1" si="976"/>
        <v/>
      </c>
      <c r="AQ638" s="163" t="str">
        <f t="shared" ca="1" si="977"/>
        <v/>
      </c>
      <c r="AR638" s="164" t="str">
        <f t="shared" ca="1" si="978"/>
        <v/>
      </c>
      <c r="AS638" s="164" t="str">
        <f t="shared" ca="1" si="979"/>
        <v/>
      </c>
      <c r="AT638" s="164" t="str">
        <f t="shared" ca="1" si="980"/>
        <v/>
      </c>
      <c r="AU638" s="164" t="str">
        <f t="shared" ca="1" si="981"/>
        <v/>
      </c>
      <c r="AV638" s="164" t="str">
        <f t="shared" ca="1" si="982"/>
        <v/>
      </c>
      <c r="AW638" s="164" t="str">
        <f t="shared" ca="1" si="983"/>
        <v/>
      </c>
      <c r="AX638" s="164" t="str">
        <f t="shared" ca="1" si="984"/>
        <v/>
      </c>
      <c r="AY638" s="164" t="str">
        <f t="shared" ca="1" si="985"/>
        <v/>
      </c>
      <c r="AZ638" s="164" t="str">
        <f t="shared" ca="1" si="986"/>
        <v/>
      </c>
      <c r="BA638" s="165" t="str">
        <f t="shared" ca="1" si="987"/>
        <v>nie</v>
      </c>
      <c r="BB638" s="166" t="str">
        <f t="shared" ca="1" si="921"/>
        <v>-</v>
      </c>
      <c r="BC638" s="165" t="str">
        <f t="shared" ca="1" si="1000"/>
        <v>nie</v>
      </c>
    </row>
    <row r="639" spans="1:55" s="214" customFormat="1" ht="14.45" hidden="1" customHeight="1" x14ac:dyDescent="0.25">
      <c r="A639" s="493" t="s">
        <v>24</v>
      </c>
      <c r="B639" s="493" t="s">
        <v>26</v>
      </c>
      <c r="C639" s="494" t="s">
        <v>180</v>
      </c>
      <c r="D639" s="552" t="s">
        <v>181</v>
      </c>
      <c r="E639" s="497">
        <v>801</v>
      </c>
      <c r="F639" s="497">
        <v>80101</v>
      </c>
      <c r="G639" s="497">
        <v>6050</v>
      </c>
      <c r="H639" s="498" t="s">
        <v>162</v>
      </c>
      <c r="I639" s="499" t="str">
        <f ca="1">IF(COUNTIF(OFFSET(I639,-1,-8),"*propon*")&gt;0,OFFSET(I639,4,0),IF(Y639&gt;0,"2033",IF(X639&gt;0,"2032",IF(W639&gt;0,"2031",IF(V639&gt;0,"2030",IF(U639&gt;0,"2029",IF(T639&gt;0,"2028",IF(S639&gt;0,"2027",IF(R639&gt;0,"2026",IF(Q639&gt;0,"2025",IF(P639&gt;0,"2024",IF(M639&gt;0,"2023",IF(L639&gt;0,"2022","")))))))))))))</f>
        <v>2025</v>
      </c>
      <c r="J639" s="168" t="s">
        <v>98</v>
      </c>
      <c r="K639" s="169">
        <f>SUM(N639:O639)</f>
        <v>0</v>
      </c>
      <c r="L639" s="170">
        <f t="shared" ref="L639:M639" si="1064">SUM(L640:L641)</f>
        <v>0</v>
      </c>
      <c r="M639" s="171">
        <f t="shared" si="1064"/>
        <v>0</v>
      </c>
      <c r="N639" s="172">
        <f>SUM(L639:M639)</f>
        <v>0</v>
      </c>
      <c r="O639" s="169">
        <f>SUM(P639:Y639)</f>
        <v>0</v>
      </c>
      <c r="P639" s="173">
        <f t="shared" ref="P639:R639" si="1065">SUM(P640:P641)</f>
        <v>0</v>
      </c>
      <c r="Q639" s="171">
        <f t="shared" si="1065"/>
        <v>0</v>
      </c>
      <c r="R639" s="174">
        <f t="shared" si="1065"/>
        <v>0</v>
      </c>
      <c r="S639" s="175">
        <f t="shared" ref="S639:Y639" si="1066">SUM(S640:S641)</f>
        <v>0</v>
      </c>
      <c r="T639" s="171">
        <f t="shared" si="1066"/>
        <v>0</v>
      </c>
      <c r="U639" s="171">
        <f t="shared" si="1066"/>
        <v>0</v>
      </c>
      <c r="V639" s="171">
        <f t="shared" si="1066"/>
        <v>0</v>
      </c>
      <c r="W639" s="171">
        <f t="shared" si="1066"/>
        <v>0</v>
      </c>
      <c r="X639" s="171">
        <f t="shared" si="1066"/>
        <v>0</v>
      </c>
      <c r="Y639" s="174">
        <f t="shared" si="1066"/>
        <v>0</v>
      </c>
      <c r="Z639" s="149" t="str">
        <f t="shared" ca="1" si="999"/>
        <v>nie</v>
      </c>
      <c r="AA639" s="366"/>
      <c r="AB639" s="150" t="str">
        <f t="shared" ca="1" si="895"/>
        <v>-</v>
      </c>
      <c r="AC639" s="151" t="str">
        <f t="shared" ca="1" si="967"/>
        <v>PROPONOWANA ZMIANA</v>
      </c>
      <c r="AD639" s="152" t="str">
        <f t="shared" ca="1" si="1015"/>
        <v>PROPONOWANA ZMIANA</v>
      </c>
      <c r="AE639" s="153" t="str">
        <f t="shared" ca="1" si="968"/>
        <v>C/USN/V/P1/93</v>
      </c>
      <c r="AF639" s="154" t="str">
        <f t="shared" ca="1" si="969"/>
        <v>Panele fotowoltaiczne na dachach budynków szkół podstawowych</v>
      </c>
      <c r="AG639" s="155">
        <f t="shared" ca="1" si="970"/>
        <v>80101</v>
      </c>
      <c r="AH639" s="155" t="str">
        <f t="shared" ca="1" si="971"/>
        <v>6050</v>
      </c>
      <c r="AI639" s="156" t="str">
        <f t="shared" ca="1" si="972"/>
        <v>GMMW</v>
      </c>
      <c r="AJ639" s="157" t="str">
        <f t="shared" ca="1" si="973"/>
        <v>WPF, w tym</v>
      </c>
      <c r="AK639" s="158" t="str">
        <f t="shared" ca="1" si="1016"/>
        <v>C/USN/V/P1/93 80101 6050 GMMW</v>
      </c>
      <c r="AL639" s="158" t="str">
        <f t="shared" ca="1" si="1017"/>
        <v>C/USN/V/P1/93 80101 6050 WPF, w tym</v>
      </c>
      <c r="AM639" s="159" t="str">
        <f t="shared" ca="1" si="1018"/>
        <v>C/USN/V/P1/93 80101 6050 GMMW WPF, w tym</v>
      </c>
      <c r="AN639" s="160">
        <f t="shared" ca="1" si="974"/>
        <v>0</v>
      </c>
      <c r="AO639" s="161">
        <f t="shared" ca="1" si="975"/>
        <v>0</v>
      </c>
      <c r="AP639" s="162">
        <f t="shared" ca="1" si="976"/>
        <v>0</v>
      </c>
      <c r="AQ639" s="163">
        <f t="shared" ca="1" si="977"/>
        <v>0</v>
      </c>
      <c r="AR639" s="164">
        <f t="shared" ca="1" si="978"/>
        <v>0</v>
      </c>
      <c r="AS639" s="164">
        <f t="shared" ca="1" si="979"/>
        <v>0</v>
      </c>
      <c r="AT639" s="164">
        <f t="shared" ca="1" si="980"/>
        <v>0</v>
      </c>
      <c r="AU639" s="164">
        <f t="shared" ca="1" si="981"/>
        <v>0</v>
      </c>
      <c r="AV639" s="164">
        <f t="shared" ca="1" si="982"/>
        <v>0</v>
      </c>
      <c r="AW639" s="164">
        <f t="shared" ca="1" si="983"/>
        <v>0</v>
      </c>
      <c r="AX639" s="164">
        <f t="shared" ca="1" si="984"/>
        <v>0</v>
      </c>
      <c r="AY639" s="164">
        <f t="shared" ca="1" si="985"/>
        <v>0</v>
      </c>
      <c r="AZ639" s="164">
        <f t="shared" ca="1" si="986"/>
        <v>0</v>
      </c>
      <c r="BA639" s="165" t="str">
        <f t="shared" ca="1" si="987"/>
        <v>nie</v>
      </c>
      <c r="BB639" s="166" t="str">
        <f t="shared" ca="1" si="921"/>
        <v>-</v>
      </c>
      <c r="BC639" s="165" t="str">
        <f t="shared" ca="1" si="1000"/>
        <v>nie</v>
      </c>
    </row>
    <row r="640" spans="1:55" s="214" customFormat="1" ht="14.45" hidden="1" customHeight="1" x14ac:dyDescent="0.25">
      <c r="A640" s="493"/>
      <c r="B640" s="493"/>
      <c r="C640" s="494"/>
      <c r="D640" s="553"/>
      <c r="E640" s="497"/>
      <c r="F640" s="497"/>
      <c r="G640" s="497"/>
      <c r="H640" s="498"/>
      <c r="I640" s="499"/>
      <c r="J640" s="177" t="s">
        <v>99</v>
      </c>
      <c r="K640" s="178">
        <f>SUM(N640:O640)</f>
        <v>0</v>
      </c>
      <c r="L640" s="179">
        <f t="shared" ref="L640:M640" si="1067">L644-L636</f>
        <v>0</v>
      </c>
      <c r="M640" s="180">
        <f t="shared" si="1067"/>
        <v>0</v>
      </c>
      <c r="N640" s="172">
        <f>SUM(L640:M640)</f>
        <v>0</v>
      </c>
      <c r="O640" s="178">
        <f>SUM(P640:Y640)</f>
        <v>0</v>
      </c>
      <c r="P640" s="181">
        <f t="shared" ref="P640:R640" si="1068">P644-P636</f>
        <v>0</v>
      </c>
      <c r="Q640" s="180">
        <f t="shared" si="1068"/>
        <v>0</v>
      </c>
      <c r="R640" s="182">
        <f t="shared" si="1068"/>
        <v>0</v>
      </c>
      <c r="S640" s="183">
        <f t="shared" ref="S640:Y641" si="1069">S644-S636</f>
        <v>0</v>
      </c>
      <c r="T640" s="180">
        <f t="shared" si="1069"/>
        <v>0</v>
      </c>
      <c r="U640" s="180">
        <f t="shared" si="1069"/>
        <v>0</v>
      </c>
      <c r="V640" s="180">
        <f t="shared" si="1069"/>
        <v>0</v>
      </c>
      <c r="W640" s="180">
        <f t="shared" si="1069"/>
        <v>0</v>
      </c>
      <c r="X640" s="180">
        <f t="shared" si="1069"/>
        <v>0</v>
      </c>
      <c r="Y640" s="182">
        <f t="shared" si="1069"/>
        <v>0</v>
      </c>
      <c r="Z640" s="149" t="str">
        <f t="shared" ca="1" si="999"/>
        <v>nie</v>
      </c>
      <c r="AA640" s="366"/>
      <c r="AB640" s="150" t="str">
        <f t="shared" ca="1" si="895"/>
        <v>-</v>
      </c>
      <c r="AC640" s="151" t="str">
        <f t="shared" ca="1" si="967"/>
        <v>PROPONOWANA ZMIANA</v>
      </c>
      <c r="AD640" s="152" t="str">
        <f t="shared" ca="1" si="1015"/>
        <v>PROPONOWANA ZMIANA</v>
      </c>
      <c r="AE640" s="153" t="str">
        <f t="shared" ca="1" si="968"/>
        <v>C/USN/V/P1/93</v>
      </c>
      <c r="AF640" s="154" t="str">
        <f t="shared" ca="1" si="969"/>
        <v>Panele fotowoltaiczne na dachach budynków szkół podstawowych</v>
      </c>
      <c r="AG640" s="155">
        <f t="shared" ca="1" si="970"/>
        <v>80101</v>
      </c>
      <c r="AH640" s="155" t="str">
        <f t="shared" ca="1" si="971"/>
        <v>6050</v>
      </c>
      <c r="AI640" s="156" t="str">
        <f t="shared" ca="1" si="972"/>
        <v>GMMW</v>
      </c>
      <c r="AJ640" s="157" t="str">
        <f t="shared" ca="1" si="973"/>
        <v>WPF/PM</v>
      </c>
      <c r="AK640" s="158" t="str">
        <f t="shared" ca="1" si="1016"/>
        <v>C/USN/V/P1/93 80101 6050 GMMW</v>
      </c>
      <c r="AL640" s="158" t="str">
        <f t="shared" ca="1" si="1017"/>
        <v>C/USN/V/P1/93 80101 6050 WPF/PM</v>
      </c>
      <c r="AM640" s="159" t="str">
        <f t="shared" ca="1" si="1018"/>
        <v>C/USN/V/P1/93 80101 6050 GMMW WPF/PM</v>
      </c>
      <c r="AN640" s="160">
        <f t="shared" ca="1" si="974"/>
        <v>0</v>
      </c>
      <c r="AO640" s="161">
        <f t="shared" ca="1" si="975"/>
        <v>0</v>
      </c>
      <c r="AP640" s="162">
        <f t="shared" ca="1" si="976"/>
        <v>0</v>
      </c>
      <c r="AQ640" s="163">
        <f t="shared" ca="1" si="977"/>
        <v>0</v>
      </c>
      <c r="AR640" s="164">
        <f t="shared" ca="1" si="978"/>
        <v>0</v>
      </c>
      <c r="AS640" s="164">
        <f t="shared" ca="1" si="979"/>
        <v>0</v>
      </c>
      <c r="AT640" s="164">
        <f t="shared" ca="1" si="980"/>
        <v>0</v>
      </c>
      <c r="AU640" s="164">
        <f t="shared" ca="1" si="981"/>
        <v>0</v>
      </c>
      <c r="AV640" s="164">
        <f t="shared" ca="1" si="982"/>
        <v>0</v>
      </c>
      <c r="AW640" s="164">
        <f t="shared" ca="1" si="983"/>
        <v>0</v>
      </c>
      <c r="AX640" s="164">
        <f t="shared" ca="1" si="984"/>
        <v>0</v>
      </c>
      <c r="AY640" s="164">
        <f t="shared" ca="1" si="985"/>
        <v>0</v>
      </c>
      <c r="AZ640" s="164">
        <f t="shared" ca="1" si="986"/>
        <v>0</v>
      </c>
      <c r="BA640" s="165" t="str">
        <f t="shared" ca="1" si="987"/>
        <v>nie</v>
      </c>
      <c r="BB640" s="166" t="str">
        <f t="shared" ca="1" si="921"/>
        <v>-</v>
      </c>
      <c r="BC640" s="165" t="str">
        <f t="shared" ca="1" si="1000"/>
        <v>nie</v>
      </c>
    </row>
    <row r="641" spans="1:55" s="214" customFormat="1" ht="14.45" hidden="1" customHeight="1" x14ac:dyDescent="0.25">
      <c r="A641" s="493"/>
      <c r="B641" s="493"/>
      <c r="C641" s="494"/>
      <c r="D641" s="554"/>
      <c r="E641" s="497"/>
      <c r="F641" s="497"/>
      <c r="G641" s="497"/>
      <c r="H641" s="498"/>
      <c r="I641" s="499"/>
      <c r="J641" s="177" t="s">
        <v>100</v>
      </c>
      <c r="K641" s="178">
        <f>SUM(N641:O641)</f>
        <v>0</v>
      </c>
      <c r="L641" s="179">
        <f t="shared" ref="L641:M641" si="1070">L645-L637</f>
        <v>0</v>
      </c>
      <c r="M641" s="180">
        <f t="shared" si="1070"/>
        <v>0</v>
      </c>
      <c r="N641" s="172">
        <f>SUM(L641:M641)</f>
        <v>0</v>
      </c>
      <c r="O641" s="178">
        <f>SUM(P641:Y641)</f>
        <v>0</v>
      </c>
      <c r="P641" s="181">
        <f t="shared" ref="P641:R641" si="1071">P645-P637</f>
        <v>0</v>
      </c>
      <c r="Q641" s="180">
        <f t="shared" si="1071"/>
        <v>0</v>
      </c>
      <c r="R641" s="182">
        <f t="shared" si="1071"/>
        <v>0</v>
      </c>
      <c r="S641" s="183">
        <f t="shared" si="1069"/>
        <v>0</v>
      </c>
      <c r="T641" s="180">
        <f t="shared" si="1069"/>
        <v>0</v>
      </c>
      <c r="U641" s="180">
        <f t="shared" si="1069"/>
        <v>0</v>
      </c>
      <c r="V641" s="180">
        <f t="shared" si="1069"/>
        <v>0</v>
      </c>
      <c r="W641" s="180">
        <f t="shared" si="1069"/>
        <v>0</v>
      </c>
      <c r="X641" s="180">
        <f t="shared" si="1069"/>
        <v>0</v>
      </c>
      <c r="Y641" s="182">
        <f t="shared" si="1069"/>
        <v>0</v>
      </c>
      <c r="Z641" s="149" t="str">
        <f t="shared" ca="1" si="999"/>
        <v>nie</v>
      </c>
      <c r="AA641" s="366"/>
      <c r="AB641" s="150" t="str">
        <f t="shared" ca="1" si="895"/>
        <v>-</v>
      </c>
      <c r="AC641" s="151" t="str">
        <f t="shared" ca="1" si="967"/>
        <v>PROPONOWANA ZMIANA</v>
      </c>
      <c r="AD641" s="152" t="str">
        <f t="shared" ca="1" si="1015"/>
        <v>PROPONOWANA ZMIANA</v>
      </c>
      <c r="AE641" s="153" t="str">
        <f t="shared" ca="1" si="968"/>
        <v>C/USN/V/P1/93</v>
      </c>
      <c r="AF641" s="154" t="str">
        <f t="shared" ca="1" si="969"/>
        <v>Panele fotowoltaiczne na dachach budynków szkół podstawowych</v>
      </c>
      <c r="AG641" s="155">
        <f t="shared" ca="1" si="970"/>
        <v>80101</v>
      </c>
      <c r="AH641" s="155" t="str">
        <f t="shared" ca="1" si="971"/>
        <v>6050</v>
      </c>
      <c r="AI641" s="156" t="str">
        <f t="shared" ca="1" si="972"/>
        <v>GMMW</v>
      </c>
      <c r="AJ641" s="157" t="str">
        <f t="shared" ca="1" si="973"/>
        <v>WPF/UM</v>
      </c>
      <c r="AK641" s="158" t="str">
        <f t="shared" ca="1" si="1016"/>
        <v>C/USN/V/P1/93 80101 6050 GMMW</v>
      </c>
      <c r="AL641" s="158" t="str">
        <f t="shared" ca="1" si="1017"/>
        <v>C/USN/V/P1/93 80101 6050 WPF/UM</v>
      </c>
      <c r="AM641" s="159" t="str">
        <f t="shared" ca="1" si="1018"/>
        <v>C/USN/V/P1/93 80101 6050 GMMW WPF/UM</v>
      </c>
      <c r="AN641" s="160">
        <f t="shared" ca="1" si="974"/>
        <v>0</v>
      </c>
      <c r="AO641" s="161">
        <f t="shared" ca="1" si="975"/>
        <v>0</v>
      </c>
      <c r="AP641" s="162">
        <f t="shared" ca="1" si="976"/>
        <v>0</v>
      </c>
      <c r="AQ641" s="163">
        <f t="shared" ca="1" si="977"/>
        <v>0</v>
      </c>
      <c r="AR641" s="164">
        <f t="shared" ca="1" si="978"/>
        <v>0</v>
      </c>
      <c r="AS641" s="164">
        <f t="shared" ca="1" si="979"/>
        <v>0</v>
      </c>
      <c r="AT641" s="164">
        <f t="shared" ca="1" si="980"/>
        <v>0</v>
      </c>
      <c r="AU641" s="164">
        <f t="shared" ca="1" si="981"/>
        <v>0</v>
      </c>
      <c r="AV641" s="164">
        <f t="shared" ca="1" si="982"/>
        <v>0</v>
      </c>
      <c r="AW641" s="164">
        <f t="shared" ca="1" si="983"/>
        <v>0</v>
      </c>
      <c r="AX641" s="164">
        <f t="shared" ca="1" si="984"/>
        <v>0</v>
      </c>
      <c r="AY641" s="164">
        <f t="shared" ca="1" si="985"/>
        <v>0</v>
      </c>
      <c r="AZ641" s="164">
        <f t="shared" ca="1" si="986"/>
        <v>0</v>
      </c>
      <c r="BA641" s="165" t="str">
        <f t="shared" ca="1" si="987"/>
        <v>nie</v>
      </c>
      <c r="BB641" s="166" t="str">
        <f t="shared" ca="1" si="921"/>
        <v>-</v>
      </c>
      <c r="BC641" s="165" t="str">
        <f t="shared" ca="1" si="1000"/>
        <v>nie</v>
      </c>
    </row>
    <row r="642" spans="1:55" s="214" customFormat="1" ht="14.45" hidden="1" customHeight="1" x14ac:dyDescent="0.25">
      <c r="A642" s="191" t="s">
        <v>101</v>
      </c>
      <c r="B642" s="192"/>
      <c r="C642" s="193"/>
      <c r="D642" s="192"/>
      <c r="E642" s="192"/>
      <c r="F642" s="192"/>
      <c r="G642" s="192"/>
      <c r="H642" s="192"/>
      <c r="I642" s="192"/>
      <c r="J642" s="192"/>
      <c r="K642" s="192"/>
      <c r="L642" s="192"/>
      <c r="M642" s="192"/>
      <c r="N642" s="192"/>
      <c r="O642" s="192"/>
      <c r="P642" s="192"/>
      <c r="Q642" s="192"/>
      <c r="R642" s="194"/>
      <c r="S642" s="195"/>
      <c r="T642" s="195"/>
      <c r="U642" s="195"/>
      <c r="V642" s="195"/>
      <c r="W642" s="195"/>
      <c r="X642" s="195"/>
      <c r="Y642" s="196"/>
      <c r="Z642" s="149" t="str">
        <f t="shared" ca="1" si="999"/>
        <v>nie</v>
      </c>
      <c r="AA642" s="366"/>
      <c r="AB642" s="150" t="str">
        <f t="shared" ca="1" si="895"/>
        <v>-</v>
      </c>
      <c r="AC642" s="151" t="str">
        <f t="shared" ref="AC642:AC705" ca="1" si="1072">IF(OR(A642="",COUNTIF(A642,"*12.000*")&gt;0),OFFSET(AC642,-1,0),A642)</f>
        <v>PO ZMIANIE</v>
      </c>
      <c r="AD642" s="152" t="str">
        <f t="shared" ca="1" si="1015"/>
        <v/>
      </c>
      <c r="AE642" s="153" t="str">
        <f t="shared" ref="AE642:AE705" ca="1" si="1073">IF(COUNTIF(A642,"*bilans*")&gt;0,"Bilans zmian",IF(COUNTIF(A642,"*zmi*")&gt;0,"",IF(COUNTIF(A642:C642,"")=0,C642,IF(AND(COUNTIF(C642,"")=1,COUNTIF(OFFSET(A642,-1,0),"*przed*")=1,COUNTIF(OFFSET(AE642,4,0),"")=0),OFFSET(AE642,4,0),IF(AND(COUNTIF(A642:B642,"")=0,COUNTIF(OFFSET(A642,-1,0),"*zmi*")=1),"nowe:"&amp;" "&amp;AF642,OFFSET(AE642,-1,0))))))</f>
        <v/>
      </c>
      <c r="AF642" s="154" t="str">
        <f t="shared" ref="AF642:AF705" ca="1" si="1074">IF(COUNTIF(A642,"*zmi*")&gt;0,"",IF(COUNTIF(A642:C642,"")=0,D642,IF(AND(COUNTIF(C642,"")=1,COUNTIF(OFFSET(A642,-1,0),"*przed*")=1),OFFSET(AF642,4,0),IF(AND(COUNTIF(A642:B642,"")=0,COUNTIF(OFFSET(A642,-1,0),"*zmi*")=1),D642,OFFSET(AF642,-1,0)))))</f>
        <v/>
      </c>
      <c r="AG642" s="155" t="str">
        <f t="shared" ref="AG642:AG705" ca="1" si="1075">IF(COUNTIF($A642,"*zmi*")&gt;0,"",IF(COUNTIF($A642:$C642,"")=0,F642,IF(AND(COUNTIF($C642,"")=1,COUNTIF(OFFSET($A642,-1,0),"*przed*")=1),OFFSET(AG642,4,0),IF(AND(COUNTIF($A642:$B642,"")=0,COUNTIF(OFFSET($A642,-1,0),"*zmi*")=1),F642,OFFSET(AG642,-1,0)))))</f>
        <v/>
      </c>
      <c r="AH642" s="155" t="str">
        <f t="shared" ref="AH642:AH705" ca="1" si="1076">IF(COUNTIF($A642,"*zmi*")&gt;0,"",IF(COUNTIF($A642:$C642,"")=0,LEFT(G642,4),IF(AND(COUNTIF($C642,"")=1,COUNTIF(OFFSET($A642,-1,0),"*przed*")=1),OFFSET(AH642,4,0),IF(AND(COUNTIF($A642:$B642,"")=0,COUNTIF(OFFSET($A642,-1,0),"*zmi*")=1),LEFT(G642,4),OFFSET(AH642,-1,0)))))</f>
        <v/>
      </c>
      <c r="AI642" s="156" t="str">
        <f t="shared" ref="AI642:AI705" ca="1" si="1077">IF(COUNTIF($A642,"*zmi*")&gt;0,"",IF(COUNTIF($A642:$C642,"")=0,B642,IF(AND(COUNTIF($C642,"")=1,COUNTIF(OFFSET($A642,-1,0),"*przed*")=1),OFFSET(AI642,4,0),IF(AND(COUNTIF($A642:$B642,"")=0,COUNTIF(OFFSET($A642,-1,0),"*zmi*")=1),B642,OFFSET(AI642,-1,0)))))</f>
        <v/>
      </c>
      <c r="AJ642" s="157" t="str">
        <f t="shared" ref="AJ642:AJ705" ca="1" si="1078">IF(AH642="","",IF(COUNTIF(A642,"*zmi*")&gt;0,"",SUBSTITUTE(SUBSTITUTE(J642,";",""),":","")))</f>
        <v/>
      </c>
      <c r="AK642" s="158" t="str">
        <f t="shared" ca="1" si="1016"/>
        <v/>
      </c>
      <c r="AL642" s="158" t="str">
        <f t="shared" ca="1" si="1017"/>
        <v/>
      </c>
      <c r="AM642" s="159" t="str">
        <f t="shared" ca="1" si="1018"/>
        <v/>
      </c>
      <c r="AN642" s="160" t="str">
        <f t="shared" ref="AN642:AN705" ca="1" si="1079">IF(COUNTIF($AE642,"*bilans*")&gt;0,K642,IF(OR(COUNTIF($A642,"*zmi*")&gt;0,$AI642=""),"",K642))</f>
        <v/>
      </c>
      <c r="AO642" s="161" t="str">
        <f t="shared" ref="AO642:AO705" ca="1" si="1080">IF(COUNTIF($AE642,"*bilans*")&gt;0,L642,IF(OR(COUNTIF($A642,"*zmi*")&gt;0,$AI642=""),"",L642))</f>
        <v/>
      </c>
      <c r="AP642" s="162" t="str">
        <f t="shared" ref="AP642:AP705" ca="1" si="1081">IF(COUNTIF($AE642,"*bilans*")&gt;0,M642,IF(OR(COUNTIF($A642,"*zmi*")&gt;0,$AI642=""),"",M642))</f>
        <v/>
      </c>
      <c r="AQ642" s="163" t="str">
        <f t="shared" ref="AQ642:AQ705" ca="1" si="1082">IF(COUNTIF($AE642,"*bilans*")&gt;0,P642,IF(OR(COUNTIF($A642,"*zmi*")&gt;0,$AI642=""),"",P642))</f>
        <v/>
      </c>
      <c r="AR642" s="164" t="str">
        <f t="shared" ref="AR642:AR705" ca="1" si="1083">IF(COUNTIF($AE642,"*bilans*")&gt;0,Q642,IF(OR(COUNTIF($A642,"*zmi*")&gt;0,$AI642=""),"",Q642))</f>
        <v/>
      </c>
      <c r="AS642" s="164" t="str">
        <f t="shared" ref="AS642:AS705" ca="1" si="1084">IF(COUNTIF($AE642,"*bilans*")&gt;0,R642,IF(OR(COUNTIF($A642,"*zmi*")&gt;0,$AI642=""),"",R642))</f>
        <v/>
      </c>
      <c r="AT642" s="164" t="str">
        <f t="shared" ref="AT642:AT705" ca="1" si="1085">IF(COUNTIF($AE642,"*bilans*")&gt;0,S642,IF(OR(COUNTIF($A642,"*zmi*")&gt;0,$AI642=""),"",S642))</f>
        <v/>
      </c>
      <c r="AU642" s="164" t="str">
        <f t="shared" ref="AU642:AU705" ca="1" si="1086">IF(COUNTIF($AE642,"*bilans*")&gt;0,T642,IF(OR(COUNTIF($A642,"*zmi*")&gt;0,$AI642=""),"",T642))</f>
        <v/>
      </c>
      <c r="AV642" s="164" t="str">
        <f t="shared" ref="AV642:AV705" ca="1" si="1087">IF(COUNTIF($AE642,"*bilans*")&gt;0,U642,IF(OR(COUNTIF($A642,"*zmi*")&gt;0,$AI642=""),"",U642))</f>
        <v/>
      </c>
      <c r="AW642" s="164" t="str">
        <f t="shared" ref="AW642:AW705" ca="1" si="1088">IF(COUNTIF($AE642,"*bilans*")&gt;0,V642,IF(OR(COUNTIF($A642,"*zmi*")&gt;0,$AI642=""),"",V642))</f>
        <v/>
      </c>
      <c r="AX642" s="164" t="str">
        <f t="shared" ref="AX642:AX705" ca="1" si="1089">IF(COUNTIF($AE642,"*bilans*")&gt;0,W642,IF(OR(COUNTIF($A642,"*zmi*")&gt;0,$AI642=""),"",W642))</f>
        <v/>
      </c>
      <c r="AY642" s="164" t="str">
        <f t="shared" ref="AY642:AY705" ca="1" si="1090">IF(COUNTIF($AE642,"*bilans*")&gt;0,X642,IF(OR(COUNTIF($A642,"*zmi*")&gt;0,$AI642=""),"",X642))</f>
        <v/>
      </c>
      <c r="AZ642" s="164" t="str">
        <f t="shared" ref="AZ642:AZ705" ca="1" si="1091">IF(COUNTIF($AE642,"*bilans*")&gt;0,Y642,IF(OR(COUNTIF($A642,"*zmi*")&gt;0,$AI642=""),"",Y642))</f>
        <v/>
      </c>
      <c r="BA642" s="165" t="str">
        <f t="shared" ref="BA642:BA705" ca="1" si="1092">Z642</f>
        <v>nie</v>
      </c>
      <c r="BB642" s="166" t="str">
        <f t="shared" ca="1" si="921"/>
        <v>-</v>
      </c>
      <c r="BC642" s="165" t="str">
        <f t="shared" ca="1" si="1000"/>
        <v>nie</v>
      </c>
    </row>
    <row r="643" spans="1:55" s="214" customFormat="1" ht="14.45" hidden="1" customHeight="1" x14ac:dyDescent="0.25">
      <c r="A643" s="493" t="s">
        <v>24</v>
      </c>
      <c r="B643" s="493" t="s">
        <v>26</v>
      </c>
      <c r="C643" s="494" t="s">
        <v>180</v>
      </c>
      <c r="D643" s="552" t="s">
        <v>181</v>
      </c>
      <c r="E643" s="497">
        <v>801</v>
      </c>
      <c r="F643" s="497">
        <v>80101</v>
      </c>
      <c r="G643" s="497">
        <v>6050</v>
      </c>
      <c r="H643" s="498" t="s">
        <v>162</v>
      </c>
      <c r="I643" s="499" t="str">
        <f ca="1">IF(COUNTIF(OFFSET(I643,-1,-8),"*propon*")&gt;0,OFFSET(I643,4,0),IF(Y643&gt;0,"2033",IF(X643&gt;0,"2032",IF(W643&gt;0,"2031",IF(V643&gt;0,"2030",IF(U643&gt;0,"2029",IF(T643&gt;0,"2028",IF(S643&gt;0,"2027",IF(R643&gt;0,"2026",IF(Q643&gt;0,"2025",IF(P643&gt;0,"2024",IF(M643&gt;0,"2023",IF(L643&gt;0,"2022","")))))))))))))</f>
        <v>2025</v>
      </c>
      <c r="J643" s="168" t="s">
        <v>102</v>
      </c>
      <c r="K643" s="169">
        <f>SUM(N643:O643)</f>
        <v>3473927</v>
      </c>
      <c r="L643" s="170">
        <f t="shared" ref="L643:M643" si="1093">SUM(L644:L645)</f>
        <v>0</v>
      </c>
      <c r="M643" s="171">
        <f t="shared" si="1093"/>
        <v>0</v>
      </c>
      <c r="N643" s="172">
        <f>SUM(L643:M643)</f>
        <v>0</v>
      </c>
      <c r="O643" s="169">
        <f>SUM(P643:Y643)</f>
        <v>3473927</v>
      </c>
      <c r="P643" s="173">
        <f t="shared" ref="P643:R643" si="1094">SUM(P644:P645)</f>
        <v>2264170</v>
      </c>
      <c r="Q643" s="171">
        <f t="shared" si="1094"/>
        <v>1209757</v>
      </c>
      <c r="R643" s="174">
        <f t="shared" si="1094"/>
        <v>0</v>
      </c>
      <c r="S643" s="175">
        <f t="shared" ref="S643:Y643" si="1095">SUM(S644:S645)</f>
        <v>0</v>
      </c>
      <c r="T643" s="171">
        <f t="shared" si="1095"/>
        <v>0</v>
      </c>
      <c r="U643" s="171">
        <f t="shared" si="1095"/>
        <v>0</v>
      </c>
      <c r="V643" s="171">
        <f t="shared" si="1095"/>
        <v>0</v>
      </c>
      <c r="W643" s="171">
        <f t="shared" si="1095"/>
        <v>0</v>
      </c>
      <c r="X643" s="171">
        <f t="shared" si="1095"/>
        <v>0</v>
      </c>
      <c r="Y643" s="174">
        <f t="shared" si="1095"/>
        <v>0</v>
      </c>
      <c r="Z643" s="149" t="str">
        <f t="shared" ca="1" si="999"/>
        <v>nie</v>
      </c>
      <c r="AA643" s="366"/>
      <c r="AB643" s="150" t="str">
        <f t="shared" ca="1" si="895"/>
        <v>-</v>
      </c>
      <c r="AC643" s="151" t="str">
        <f t="shared" ca="1" si="1072"/>
        <v>PO ZMIANIE</v>
      </c>
      <c r="AD643" s="152" t="str">
        <f t="shared" ca="1" si="1015"/>
        <v>PO ZMIANIE</v>
      </c>
      <c r="AE643" s="153" t="str">
        <f t="shared" ca="1" si="1073"/>
        <v>C/USN/V/P1/93</v>
      </c>
      <c r="AF643" s="154" t="str">
        <f t="shared" ca="1" si="1074"/>
        <v>Panele fotowoltaiczne na dachach budynków szkół podstawowych</v>
      </c>
      <c r="AG643" s="155">
        <f t="shared" ca="1" si="1075"/>
        <v>80101</v>
      </c>
      <c r="AH643" s="155" t="str">
        <f t="shared" ca="1" si="1076"/>
        <v>6050</v>
      </c>
      <c r="AI643" s="156" t="str">
        <f t="shared" ca="1" si="1077"/>
        <v>GMMW</v>
      </c>
      <c r="AJ643" s="157" t="str">
        <f t="shared" ca="1" si="1078"/>
        <v>WPF, w tym</v>
      </c>
      <c r="AK643" s="158" t="str">
        <f t="shared" ca="1" si="1016"/>
        <v>C/USN/V/P1/93 80101 6050 GMMW</v>
      </c>
      <c r="AL643" s="158" t="str">
        <f t="shared" ca="1" si="1017"/>
        <v>C/USN/V/P1/93 80101 6050 WPF, w tym</v>
      </c>
      <c r="AM643" s="159" t="str">
        <f t="shared" ca="1" si="1018"/>
        <v>C/USN/V/P1/93 80101 6050 GMMW WPF, w tym</v>
      </c>
      <c r="AN643" s="160">
        <f t="shared" ca="1" si="1079"/>
        <v>3473927</v>
      </c>
      <c r="AO643" s="161">
        <f t="shared" ca="1" si="1080"/>
        <v>0</v>
      </c>
      <c r="AP643" s="162">
        <f t="shared" ca="1" si="1081"/>
        <v>0</v>
      </c>
      <c r="AQ643" s="163">
        <f t="shared" ca="1" si="1082"/>
        <v>2264170</v>
      </c>
      <c r="AR643" s="164">
        <f t="shared" ca="1" si="1083"/>
        <v>1209757</v>
      </c>
      <c r="AS643" s="164">
        <f t="shared" ca="1" si="1084"/>
        <v>0</v>
      </c>
      <c r="AT643" s="164">
        <f t="shared" ca="1" si="1085"/>
        <v>0</v>
      </c>
      <c r="AU643" s="164">
        <f t="shared" ca="1" si="1086"/>
        <v>0</v>
      </c>
      <c r="AV643" s="164">
        <f t="shared" ca="1" si="1087"/>
        <v>0</v>
      </c>
      <c r="AW643" s="164">
        <f t="shared" ca="1" si="1088"/>
        <v>0</v>
      </c>
      <c r="AX643" s="164">
        <f t="shared" ca="1" si="1089"/>
        <v>0</v>
      </c>
      <c r="AY643" s="164">
        <f t="shared" ca="1" si="1090"/>
        <v>0</v>
      </c>
      <c r="AZ643" s="164">
        <f t="shared" ca="1" si="1091"/>
        <v>0</v>
      </c>
      <c r="BA643" s="165" t="str">
        <f t="shared" ca="1" si="1092"/>
        <v>nie</v>
      </c>
      <c r="BB643" s="166" t="str">
        <f t="shared" ca="1" si="921"/>
        <v>-</v>
      </c>
      <c r="BC643" s="165" t="str">
        <f t="shared" ca="1" si="1000"/>
        <v>nie</v>
      </c>
    </row>
    <row r="644" spans="1:55" s="214" customFormat="1" ht="14.45" hidden="1" customHeight="1" x14ac:dyDescent="0.25">
      <c r="A644" s="493"/>
      <c r="B644" s="493"/>
      <c r="C644" s="494"/>
      <c r="D644" s="553"/>
      <c r="E644" s="497"/>
      <c r="F644" s="497"/>
      <c r="G644" s="497"/>
      <c r="H644" s="498"/>
      <c r="I644" s="499"/>
      <c r="J644" s="177" t="s">
        <v>103</v>
      </c>
      <c r="K644" s="178">
        <f>SUM(N644:O644)</f>
        <v>3473927</v>
      </c>
      <c r="L644" s="179"/>
      <c r="M644" s="180"/>
      <c r="N644" s="172">
        <f>SUM(L644:M644)</f>
        <v>0</v>
      </c>
      <c r="O644" s="178">
        <f>SUM(P644:Y644)</f>
        <v>3473927</v>
      </c>
      <c r="P644" s="181">
        <f>2700000-435830</f>
        <v>2264170</v>
      </c>
      <c r="Q644" s="180">
        <f>1209757</f>
        <v>1209757</v>
      </c>
      <c r="R644" s="182"/>
      <c r="S644" s="183"/>
      <c r="T644" s="180"/>
      <c r="U644" s="180"/>
      <c r="V644" s="180"/>
      <c r="W644" s="180"/>
      <c r="X644" s="180"/>
      <c r="Y644" s="182"/>
      <c r="Z644" s="149" t="str">
        <f t="shared" ca="1" si="999"/>
        <v>nie</v>
      </c>
      <c r="AA644" s="384"/>
      <c r="AB644" s="150" t="str">
        <f t="shared" ca="1" si="895"/>
        <v>-</v>
      </c>
      <c r="AC644" s="151" t="str">
        <f t="shared" ca="1" si="1072"/>
        <v>PO ZMIANIE</v>
      </c>
      <c r="AD644" s="152" t="str">
        <f t="shared" ca="1" si="1015"/>
        <v>PO ZMIANIE</v>
      </c>
      <c r="AE644" s="153" t="str">
        <f t="shared" ca="1" si="1073"/>
        <v>C/USN/V/P1/93</v>
      </c>
      <c r="AF644" s="154" t="str">
        <f t="shared" ca="1" si="1074"/>
        <v>Panele fotowoltaiczne na dachach budynków szkół podstawowych</v>
      </c>
      <c r="AG644" s="155">
        <f t="shared" ca="1" si="1075"/>
        <v>80101</v>
      </c>
      <c r="AH644" s="155" t="str">
        <f t="shared" ca="1" si="1076"/>
        <v>6050</v>
      </c>
      <c r="AI644" s="156" t="str">
        <f t="shared" ca="1" si="1077"/>
        <v>GMMW</v>
      </c>
      <c r="AJ644" s="157" t="str">
        <f t="shared" ca="1" si="1078"/>
        <v>WPF/PM</v>
      </c>
      <c r="AK644" s="158" t="str">
        <f t="shared" ca="1" si="1016"/>
        <v>C/USN/V/P1/93 80101 6050 GMMW</v>
      </c>
      <c r="AL644" s="158" t="str">
        <f t="shared" ca="1" si="1017"/>
        <v>C/USN/V/P1/93 80101 6050 WPF/PM</v>
      </c>
      <c r="AM644" s="159" t="str">
        <f t="shared" ca="1" si="1018"/>
        <v>C/USN/V/P1/93 80101 6050 GMMW WPF/PM</v>
      </c>
      <c r="AN644" s="160">
        <f t="shared" ca="1" si="1079"/>
        <v>3473927</v>
      </c>
      <c r="AO644" s="161">
        <f t="shared" ca="1" si="1080"/>
        <v>0</v>
      </c>
      <c r="AP644" s="162">
        <f t="shared" ca="1" si="1081"/>
        <v>0</v>
      </c>
      <c r="AQ644" s="163">
        <f t="shared" ca="1" si="1082"/>
        <v>2264170</v>
      </c>
      <c r="AR644" s="164">
        <f t="shared" ca="1" si="1083"/>
        <v>1209757</v>
      </c>
      <c r="AS644" s="164">
        <f t="shared" ca="1" si="1084"/>
        <v>0</v>
      </c>
      <c r="AT644" s="164">
        <f t="shared" ca="1" si="1085"/>
        <v>0</v>
      </c>
      <c r="AU644" s="164">
        <f t="shared" ca="1" si="1086"/>
        <v>0</v>
      </c>
      <c r="AV644" s="164">
        <f t="shared" ca="1" si="1087"/>
        <v>0</v>
      </c>
      <c r="AW644" s="164">
        <f t="shared" ca="1" si="1088"/>
        <v>0</v>
      </c>
      <c r="AX644" s="164">
        <f t="shared" ca="1" si="1089"/>
        <v>0</v>
      </c>
      <c r="AY644" s="164">
        <f t="shared" ca="1" si="1090"/>
        <v>0</v>
      </c>
      <c r="AZ644" s="164">
        <f t="shared" ca="1" si="1091"/>
        <v>0</v>
      </c>
      <c r="BA644" s="165" t="str">
        <f t="shared" ca="1" si="1092"/>
        <v>nie</v>
      </c>
      <c r="BB644" s="166" t="str">
        <f t="shared" ca="1" si="921"/>
        <v>-</v>
      </c>
      <c r="BC644" s="165" t="str">
        <f t="shared" ca="1" si="1000"/>
        <v>nie</v>
      </c>
    </row>
    <row r="645" spans="1:55" s="214" customFormat="1" ht="14.45" hidden="1" customHeight="1" thickBot="1" x14ac:dyDescent="0.3">
      <c r="A645" s="500"/>
      <c r="B645" s="500"/>
      <c r="C645" s="501"/>
      <c r="D645" s="555"/>
      <c r="E645" s="503"/>
      <c r="F645" s="503"/>
      <c r="G645" s="503"/>
      <c r="H645" s="504"/>
      <c r="I645" s="499"/>
      <c r="J645" s="197" t="s">
        <v>104</v>
      </c>
      <c r="K645" s="198">
        <f>SUM(N645:O645)</f>
        <v>0</v>
      </c>
      <c r="L645" s="199"/>
      <c r="M645" s="200">
        <f>230000-230000</f>
        <v>0</v>
      </c>
      <c r="N645" s="371">
        <f>SUM(L645:M645)</f>
        <v>0</v>
      </c>
      <c r="O645" s="198">
        <f>SUM(P645:Y645)</f>
        <v>0</v>
      </c>
      <c r="P645" s="201"/>
      <c r="Q645" s="200"/>
      <c r="R645" s="202"/>
      <c r="S645" s="203"/>
      <c r="T645" s="200"/>
      <c r="U645" s="200"/>
      <c r="V645" s="200"/>
      <c r="W645" s="200"/>
      <c r="X645" s="200"/>
      <c r="Y645" s="202"/>
      <c r="Z645" s="149" t="str">
        <f t="shared" ca="1" si="999"/>
        <v>nie</v>
      </c>
      <c r="AA645" s="384"/>
      <c r="AB645" s="150" t="str">
        <f t="shared" ca="1" si="895"/>
        <v>-</v>
      </c>
      <c r="AC645" s="151" t="str">
        <f t="shared" ca="1" si="1072"/>
        <v>PO ZMIANIE</v>
      </c>
      <c r="AD645" s="152" t="str">
        <f t="shared" ca="1" si="1015"/>
        <v>PO ZMIANIE</v>
      </c>
      <c r="AE645" s="153" t="str">
        <f t="shared" ca="1" si="1073"/>
        <v>C/USN/V/P1/93</v>
      </c>
      <c r="AF645" s="154" t="str">
        <f t="shared" ca="1" si="1074"/>
        <v>Panele fotowoltaiczne na dachach budynków szkół podstawowych</v>
      </c>
      <c r="AG645" s="155">
        <f t="shared" ca="1" si="1075"/>
        <v>80101</v>
      </c>
      <c r="AH645" s="155" t="str">
        <f t="shared" ca="1" si="1076"/>
        <v>6050</v>
      </c>
      <c r="AI645" s="156" t="str">
        <f t="shared" ca="1" si="1077"/>
        <v>GMMW</v>
      </c>
      <c r="AJ645" s="157" t="str">
        <f t="shared" ca="1" si="1078"/>
        <v>WPF/UM</v>
      </c>
      <c r="AK645" s="158" t="str">
        <f t="shared" ca="1" si="1016"/>
        <v>C/USN/V/P1/93 80101 6050 GMMW</v>
      </c>
      <c r="AL645" s="158" t="str">
        <f t="shared" ca="1" si="1017"/>
        <v>C/USN/V/P1/93 80101 6050 WPF/UM</v>
      </c>
      <c r="AM645" s="159" t="str">
        <f t="shared" ca="1" si="1018"/>
        <v>C/USN/V/P1/93 80101 6050 GMMW WPF/UM</v>
      </c>
      <c r="AN645" s="160">
        <f t="shared" ca="1" si="1079"/>
        <v>0</v>
      </c>
      <c r="AO645" s="161">
        <f t="shared" ca="1" si="1080"/>
        <v>0</v>
      </c>
      <c r="AP645" s="162">
        <f t="shared" ca="1" si="1081"/>
        <v>0</v>
      </c>
      <c r="AQ645" s="163">
        <f t="shared" ca="1" si="1082"/>
        <v>0</v>
      </c>
      <c r="AR645" s="164">
        <f t="shared" ca="1" si="1083"/>
        <v>0</v>
      </c>
      <c r="AS645" s="164">
        <f t="shared" ca="1" si="1084"/>
        <v>0</v>
      </c>
      <c r="AT645" s="164">
        <f t="shared" ca="1" si="1085"/>
        <v>0</v>
      </c>
      <c r="AU645" s="164">
        <f t="shared" ca="1" si="1086"/>
        <v>0</v>
      </c>
      <c r="AV645" s="164">
        <f t="shared" ca="1" si="1087"/>
        <v>0</v>
      </c>
      <c r="AW645" s="164">
        <f t="shared" ca="1" si="1088"/>
        <v>0</v>
      </c>
      <c r="AX645" s="164">
        <f t="shared" ca="1" si="1089"/>
        <v>0</v>
      </c>
      <c r="AY645" s="164">
        <f t="shared" ca="1" si="1090"/>
        <v>0</v>
      </c>
      <c r="AZ645" s="164">
        <f t="shared" ca="1" si="1091"/>
        <v>0</v>
      </c>
      <c r="BA645" s="165" t="str">
        <f t="shared" ca="1" si="1092"/>
        <v>nie</v>
      </c>
      <c r="BB645" s="166" t="str">
        <f t="shared" ca="1" si="921"/>
        <v>-</v>
      </c>
      <c r="BC645" s="165" t="str">
        <f t="shared" ca="1" si="1000"/>
        <v>nie</v>
      </c>
    </row>
    <row r="646" spans="1:55" s="214" customFormat="1" ht="14.45" hidden="1" customHeight="1" x14ac:dyDescent="0.25">
      <c r="A646" s="143" t="s">
        <v>91</v>
      </c>
      <c r="B646" s="144"/>
      <c r="C646" s="145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6"/>
      <c r="S646" s="147"/>
      <c r="T646" s="147"/>
      <c r="U646" s="147"/>
      <c r="V646" s="147"/>
      <c r="W646" s="147"/>
      <c r="X646" s="147"/>
      <c r="Y646" s="148"/>
      <c r="Z646" s="149" t="str">
        <f t="shared" ca="1" si="999"/>
        <v>nie</v>
      </c>
      <c r="AA646" s="366"/>
      <c r="AB646" s="150" t="str">
        <f t="shared" ref="AB646:AB657" ca="1" si="1096">IF(IF(OR(COUNTIF(AD646,"*bilans*")&gt;0,COUNTIF(AD646,"*prop*")&gt;0),COUNTIF(AO646:AZ646,"")+COUNTIF(AO646:AZ646,"0"),"")&lt;12,AE646,"-")</f>
        <v>-</v>
      </c>
      <c r="AC646" s="151" t="str">
        <f t="shared" ca="1" si="1072"/>
        <v>PRZED ZMIANĄ</v>
      </c>
      <c r="AD646" s="152" t="str">
        <f t="shared" ref="AD646:AD657" ca="1" si="1097">IF(AE646="","",AC646)</f>
        <v/>
      </c>
      <c r="AE646" s="153" t="str">
        <f t="shared" ca="1" si="1073"/>
        <v/>
      </c>
      <c r="AF646" s="154" t="str">
        <f t="shared" ca="1" si="1074"/>
        <v/>
      </c>
      <c r="AG646" s="155" t="str">
        <f t="shared" ca="1" si="1075"/>
        <v/>
      </c>
      <c r="AH646" s="155" t="str">
        <f t="shared" ca="1" si="1076"/>
        <v/>
      </c>
      <c r="AI646" s="156" t="str">
        <f t="shared" ca="1" si="1077"/>
        <v/>
      </c>
      <c r="AJ646" s="157" t="str">
        <f t="shared" ca="1" si="1078"/>
        <v/>
      </c>
      <c r="AK646" s="158" t="str">
        <f t="shared" ref="AK646:AK657" ca="1" si="1098">IF(AH646="","",AE646&amp;" "&amp;AG646&amp;" "&amp;AH646&amp;" "&amp;AI646)</f>
        <v/>
      </c>
      <c r="AL646" s="158" t="str">
        <f t="shared" ref="AL646:AL657" ca="1" si="1099">IF(AH646="","",AE646&amp;" "&amp;AG646&amp;" "&amp;AH646&amp;" "&amp;AJ646)</f>
        <v/>
      </c>
      <c r="AM646" s="159" t="str">
        <f t="shared" ref="AM646:AM657" ca="1" si="1100">IF(AH646="","",AE646&amp;" "&amp;AG646&amp;" "&amp;AH646&amp;" "&amp;AI646&amp;" "&amp;AJ646)</f>
        <v/>
      </c>
      <c r="AN646" s="160" t="str">
        <f t="shared" ca="1" si="1079"/>
        <v/>
      </c>
      <c r="AO646" s="161" t="str">
        <f t="shared" ca="1" si="1080"/>
        <v/>
      </c>
      <c r="AP646" s="162" t="str">
        <f t="shared" ca="1" si="1081"/>
        <v/>
      </c>
      <c r="AQ646" s="163" t="str">
        <f t="shared" ca="1" si="1082"/>
        <v/>
      </c>
      <c r="AR646" s="164" t="str">
        <f t="shared" ca="1" si="1083"/>
        <v/>
      </c>
      <c r="AS646" s="164" t="str">
        <f t="shared" ca="1" si="1084"/>
        <v/>
      </c>
      <c r="AT646" s="164" t="str">
        <f t="shared" ca="1" si="1085"/>
        <v/>
      </c>
      <c r="AU646" s="164" t="str">
        <f t="shared" ca="1" si="1086"/>
        <v/>
      </c>
      <c r="AV646" s="164" t="str">
        <f t="shared" ca="1" si="1087"/>
        <v/>
      </c>
      <c r="AW646" s="164" t="str">
        <f t="shared" ca="1" si="1088"/>
        <v/>
      </c>
      <c r="AX646" s="164" t="str">
        <f t="shared" ca="1" si="1089"/>
        <v/>
      </c>
      <c r="AY646" s="164" t="str">
        <f t="shared" ca="1" si="1090"/>
        <v/>
      </c>
      <c r="AZ646" s="164" t="str">
        <f t="shared" ca="1" si="1091"/>
        <v/>
      </c>
      <c r="BA646" s="165" t="str">
        <f t="shared" ca="1" si="1092"/>
        <v>nie</v>
      </c>
      <c r="BB646" s="166" t="str">
        <f t="shared" ref="BB646:BB657" ca="1" si="1101">IF(COUNTIF(AD646,"*bilans*")&gt;0,"-",IF(IF(COUNTIF(AD646,"*prop*")&gt;0,COUNTIF(AO646:AZ646,"")+COUNTIF(AO646:AZ646,"0"),"")&lt;12,AK646,"-"))</f>
        <v>-</v>
      </c>
      <c r="BC646" s="165" t="str">
        <f t="shared" ca="1" si="1000"/>
        <v>nie</v>
      </c>
    </row>
    <row r="647" spans="1:55" s="214" customFormat="1" ht="14.45" hidden="1" customHeight="1" x14ac:dyDescent="0.25">
      <c r="A647" s="493" t="s">
        <v>24</v>
      </c>
      <c r="B647" s="493" t="s">
        <v>197</v>
      </c>
      <c r="C647" s="494" t="s">
        <v>180</v>
      </c>
      <c r="D647" s="552" t="s">
        <v>181</v>
      </c>
      <c r="E647" s="497">
        <v>801</v>
      </c>
      <c r="F647" s="497">
        <v>80101</v>
      </c>
      <c r="G647" s="497">
        <v>6050</v>
      </c>
      <c r="H647" s="498" t="s">
        <v>162</v>
      </c>
      <c r="I647" s="499" t="str">
        <f ca="1">IF(COUNTIF(OFFSET(I647,-1,-8),"*propon*")&gt;0,OFFSET(I647,4,0),IF(Y647&gt;0,"2033",IF(X647&gt;0,"2032",IF(W647&gt;0,"2031",IF(V647&gt;0,"2030",IF(U647&gt;0,"2029",IF(T647&gt;0,"2028",IF(S647&gt;0,"2027",IF(R647&gt;0,"2026",IF(Q647&gt;0,"2025",IF(P647&gt;0,"2024",IF(M647&gt;0,"2023",IF(L647&gt;0,"2022","")))))))))))))</f>
        <v>2025</v>
      </c>
      <c r="J647" s="168" t="s">
        <v>94</v>
      </c>
      <c r="K647" s="169">
        <f>SUM(N647:O647)</f>
        <v>53270</v>
      </c>
      <c r="L647" s="170">
        <f t="shared" ref="L647:M647" si="1102">SUM(L648:L649)</f>
        <v>0</v>
      </c>
      <c r="M647" s="171">
        <f t="shared" si="1102"/>
        <v>0</v>
      </c>
      <c r="N647" s="172">
        <f>SUM(L647:M647)</f>
        <v>0</v>
      </c>
      <c r="O647" s="169">
        <f>SUM(P647:Y647)</f>
        <v>53270</v>
      </c>
      <c r="P647" s="173">
        <f t="shared" ref="P647:Y647" si="1103">SUM(P648:P649)</f>
        <v>0</v>
      </c>
      <c r="Q647" s="171">
        <f t="shared" si="1103"/>
        <v>53270</v>
      </c>
      <c r="R647" s="174">
        <f t="shared" si="1103"/>
        <v>0</v>
      </c>
      <c r="S647" s="175">
        <f t="shared" si="1103"/>
        <v>0</v>
      </c>
      <c r="T647" s="171">
        <f t="shared" si="1103"/>
        <v>0</v>
      </c>
      <c r="U647" s="171">
        <f t="shared" si="1103"/>
        <v>0</v>
      </c>
      <c r="V647" s="171">
        <f t="shared" si="1103"/>
        <v>0</v>
      </c>
      <c r="W647" s="171">
        <f t="shared" si="1103"/>
        <v>0</v>
      </c>
      <c r="X647" s="171">
        <f t="shared" si="1103"/>
        <v>0</v>
      </c>
      <c r="Y647" s="174">
        <f t="shared" si="1103"/>
        <v>0</v>
      </c>
      <c r="Z647" s="149" t="str">
        <f t="shared" ca="1" si="999"/>
        <v>nie</v>
      </c>
      <c r="AA647" s="366"/>
      <c r="AB647" s="150" t="str">
        <f t="shared" ca="1" si="1096"/>
        <v>-</v>
      </c>
      <c r="AC647" s="151" t="str">
        <f t="shared" ca="1" si="1072"/>
        <v>PRZED ZMIANĄ</v>
      </c>
      <c r="AD647" s="152" t="str">
        <f t="shared" ca="1" si="1097"/>
        <v>PRZED ZMIANĄ</v>
      </c>
      <c r="AE647" s="153" t="str">
        <f t="shared" ca="1" si="1073"/>
        <v>C/USN/V/P1/93</v>
      </c>
      <c r="AF647" s="154" t="str">
        <f t="shared" ca="1" si="1074"/>
        <v>Panele fotowoltaiczne na dachach budynków szkół podstawowych</v>
      </c>
      <c r="AG647" s="155">
        <f t="shared" ca="1" si="1075"/>
        <v>80101</v>
      </c>
      <c r="AH647" s="155" t="str">
        <f t="shared" ca="1" si="1076"/>
        <v>6050</v>
      </c>
      <c r="AI647" s="156" t="str">
        <f t="shared" ca="1" si="1077"/>
        <v>SMOG</v>
      </c>
      <c r="AJ647" s="157" t="str">
        <f t="shared" ca="1" si="1078"/>
        <v>WPF, w tym</v>
      </c>
      <c r="AK647" s="158" t="str">
        <f t="shared" ca="1" si="1098"/>
        <v>C/USN/V/P1/93 80101 6050 SMOG</v>
      </c>
      <c r="AL647" s="158" t="str">
        <f t="shared" ca="1" si="1099"/>
        <v>C/USN/V/P1/93 80101 6050 WPF, w tym</v>
      </c>
      <c r="AM647" s="159" t="str">
        <f t="shared" ca="1" si="1100"/>
        <v>C/USN/V/P1/93 80101 6050 SMOG WPF, w tym</v>
      </c>
      <c r="AN647" s="160">
        <f t="shared" ca="1" si="1079"/>
        <v>53270</v>
      </c>
      <c r="AO647" s="161">
        <f t="shared" ca="1" si="1080"/>
        <v>0</v>
      </c>
      <c r="AP647" s="162">
        <f t="shared" ca="1" si="1081"/>
        <v>0</v>
      </c>
      <c r="AQ647" s="163">
        <f t="shared" ca="1" si="1082"/>
        <v>0</v>
      </c>
      <c r="AR647" s="164">
        <f t="shared" ca="1" si="1083"/>
        <v>53270</v>
      </c>
      <c r="AS647" s="164">
        <f t="shared" ca="1" si="1084"/>
        <v>0</v>
      </c>
      <c r="AT647" s="164">
        <f t="shared" ca="1" si="1085"/>
        <v>0</v>
      </c>
      <c r="AU647" s="164">
        <f t="shared" ca="1" si="1086"/>
        <v>0</v>
      </c>
      <c r="AV647" s="164">
        <f t="shared" ca="1" si="1087"/>
        <v>0</v>
      </c>
      <c r="AW647" s="164">
        <f t="shared" ca="1" si="1088"/>
        <v>0</v>
      </c>
      <c r="AX647" s="164">
        <f t="shared" ca="1" si="1089"/>
        <v>0</v>
      </c>
      <c r="AY647" s="164">
        <f t="shared" ca="1" si="1090"/>
        <v>0</v>
      </c>
      <c r="AZ647" s="164">
        <f t="shared" ca="1" si="1091"/>
        <v>0</v>
      </c>
      <c r="BA647" s="165" t="str">
        <f t="shared" ca="1" si="1092"/>
        <v>nie</v>
      </c>
      <c r="BB647" s="166" t="str">
        <f t="shared" ca="1" si="1101"/>
        <v>-</v>
      </c>
      <c r="BC647" s="165" t="str">
        <f t="shared" ca="1" si="1000"/>
        <v>nie</v>
      </c>
    </row>
    <row r="648" spans="1:55" s="214" customFormat="1" ht="14.45" hidden="1" customHeight="1" x14ac:dyDescent="0.25">
      <c r="A648" s="493"/>
      <c r="B648" s="493"/>
      <c r="C648" s="494"/>
      <c r="D648" s="553"/>
      <c r="E648" s="497"/>
      <c r="F648" s="497"/>
      <c r="G648" s="497"/>
      <c r="H648" s="498"/>
      <c r="I648" s="499"/>
      <c r="J648" s="177" t="s">
        <v>95</v>
      </c>
      <c r="K648" s="178">
        <f>SUM(N648:O648)</f>
        <v>53270</v>
      </c>
      <c r="L648" s="179"/>
      <c r="M648" s="180"/>
      <c r="N648" s="172">
        <f>SUM(L648:M648)</f>
        <v>0</v>
      </c>
      <c r="O648" s="178">
        <f>SUM(P648:Y648)</f>
        <v>53270</v>
      </c>
      <c r="P648" s="181"/>
      <c r="Q648" s="180">
        <v>53270</v>
      </c>
      <c r="R648" s="182"/>
      <c r="S648" s="183"/>
      <c r="T648" s="180"/>
      <c r="U648" s="180"/>
      <c r="V648" s="180"/>
      <c r="W648" s="180"/>
      <c r="X648" s="180"/>
      <c r="Y648" s="182"/>
      <c r="Z648" s="149" t="str">
        <f t="shared" ca="1" si="999"/>
        <v>nie</v>
      </c>
      <c r="AA648" s="366"/>
      <c r="AB648" s="150" t="str">
        <f t="shared" ca="1" si="1096"/>
        <v>-</v>
      </c>
      <c r="AC648" s="151" t="str">
        <f t="shared" ca="1" si="1072"/>
        <v>PRZED ZMIANĄ</v>
      </c>
      <c r="AD648" s="152" t="str">
        <f t="shared" ca="1" si="1097"/>
        <v>PRZED ZMIANĄ</v>
      </c>
      <c r="AE648" s="153" t="str">
        <f t="shared" ca="1" si="1073"/>
        <v>C/USN/V/P1/93</v>
      </c>
      <c r="AF648" s="154" t="str">
        <f t="shared" ca="1" si="1074"/>
        <v>Panele fotowoltaiczne na dachach budynków szkół podstawowych</v>
      </c>
      <c r="AG648" s="155">
        <f t="shared" ca="1" si="1075"/>
        <v>80101</v>
      </c>
      <c r="AH648" s="155" t="str">
        <f t="shared" ca="1" si="1076"/>
        <v>6050</v>
      </c>
      <c r="AI648" s="156" t="str">
        <f t="shared" ca="1" si="1077"/>
        <v>SMOG</v>
      </c>
      <c r="AJ648" s="157" t="str">
        <f t="shared" ca="1" si="1078"/>
        <v>WPF/PM</v>
      </c>
      <c r="AK648" s="158" t="str">
        <f t="shared" ca="1" si="1098"/>
        <v>C/USN/V/P1/93 80101 6050 SMOG</v>
      </c>
      <c r="AL648" s="158" t="str">
        <f t="shared" ca="1" si="1099"/>
        <v>C/USN/V/P1/93 80101 6050 WPF/PM</v>
      </c>
      <c r="AM648" s="159" t="str">
        <f t="shared" ca="1" si="1100"/>
        <v>C/USN/V/P1/93 80101 6050 SMOG WPF/PM</v>
      </c>
      <c r="AN648" s="160">
        <f t="shared" ca="1" si="1079"/>
        <v>53270</v>
      </c>
      <c r="AO648" s="161">
        <f t="shared" ca="1" si="1080"/>
        <v>0</v>
      </c>
      <c r="AP648" s="162">
        <f t="shared" ca="1" si="1081"/>
        <v>0</v>
      </c>
      <c r="AQ648" s="163">
        <f t="shared" ca="1" si="1082"/>
        <v>0</v>
      </c>
      <c r="AR648" s="164">
        <f t="shared" ca="1" si="1083"/>
        <v>53270</v>
      </c>
      <c r="AS648" s="164">
        <f t="shared" ca="1" si="1084"/>
        <v>0</v>
      </c>
      <c r="AT648" s="164">
        <f t="shared" ca="1" si="1085"/>
        <v>0</v>
      </c>
      <c r="AU648" s="164">
        <f t="shared" ca="1" si="1086"/>
        <v>0</v>
      </c>
      <c r="AV648" s="164">
        <f t="shared" ca="1" si="1087"/>
        <v>0</v>
      </c>
      <c r="AW648" s="164">
        <f t="shared" ca="1" si="1088"/>
        <v>0</v>
      </c>
      <c r="AX648" s="164">
        <f t="shared" ca="1" si="1089"/>
        <v>0</v>
      </c>
      <c r="AY648" s="164">
        <f t="shared" ca="1" si="1090"/>
        <v>0</v>
      </c>
      <c r="AZ648" s="164">
        <f t="shared" ca="1" si="1091"/>
        <v>0</v>
      </c>
      <c r="BA648" s="165" t="str">
        <f t="shared" ca="1" si="1092"/>
        <v>nie</v>
      </c>
      <c r="BB648" s="166" t="str">
        <f t="shared" ca="1" si="1101"/>
        <v>-</v>
      </c>
      <c r="BC648" s="165" t="str">
        <f t="shared" ca="1" si="1000"/>
        <v>nie</v>
      </c>
    </row>
    <row r="649" spans="1:55" s="214" customFormat="1" ht="14.45" hidden="1" customHeight="1" x14ac:dyDescent="0.25">
      <c r="A649" s="493"/>
      <c r="B649" s="493"/>
      <c r="C649" s="494"/>
      <c r="D649" s="554"/>
      <c r="E649" s="497"/>
      <c r="F649" s="497"/>
      <c r="G649" s="497"/>
      <c r="H649" s="498"/>
      <c r="I649" s="499"/>
      <c r="J649" s="177" t="s">
        <v>96</v>
      </c>
      <c r="K649" s="178">
        <f>SUM(N649:O649)</f>
        <v>0</v>
      </c>
      <c r="L649" s="184"/>
      <c r="M649" s="180"/>
      <c r="N649" s="172">
        <f>SUM(L649:M649)</f>
        <v>0</v>
      </c>
      <c r="O649" s="178">
        <f>SUM(P649:Y649)</f>
        <v>0</v>
      </c>
      <c r="P649" s="181"/>
      <c r="Q649" s="180"/>
      <c r="R649" s="182"/>
      <c r="S649" s="183"/>
      <c r="T649" s="180"/>
      <c r="U649" s="180"/>
      <c r="V649" s="180"/>
      <c r="W649" s="180"/>
      <c r="X649" s="180"/>
      <c r="Y649" s="182"/>
      <c r="Z649" s="149" t="str">
        <f t="shared" ca="1" si="999"/>
        <v>nie</v>
      </c>
      <c r="AA649" s="366"/>
      <c r="AB649" s="150" t="str">
        <f t="shared" ca="1" si="1096"/>
        <v>-</v>
      </c>
      <c r="AC649" s="151" t="str">
        <f t="shared" ca="1" si="1072"/>
        <v>PRZED ZMIANĄ</v>
      </c>
      <c r="AD649" s="152" t="str">
        <f t="shared" ca="1" si="1097"/>
        <v>PRZED ZMIANĄ</v>
      </c>
      <c r="AE649" s="153" t="str">
        <f t="shared" ca="1" si="1073"/>
        <v>C/USN/V/P1/93</v>
      </c>
      <c r="AF649" s="154" t="str">
        <f t="shared" ca="1" si="1074"/>
        <v>Panele fotowoltaiczne na dachach budynków szkół podstawowych</v>
      </c>
      <c r="AG649" s="155">
        <f t="shared" ca="1" si="1075"/>
        <v>80101</v>
      </c>
      <c r="AH649" s="155" t="str">
        <f t="shared" ca="1" si="1076"/>
        <v>6050</v>
      </c>
      <c r="AI649" s="156" t="str">
        <f t="shared" ca="1" si="1077"/>
        <v>SMOG</v>
      </c>
      <c r="AJ649" s="157" t="str">
        <f t="shared" ca="1" si="1078"/>
        <v>WPF/UM</v>
      </c>
      <c r="AK649" s="158" t="str">
        <f t="shared" ca="1" si="1098"/>
        <v>C/USN/V/P1/93 80101 6050 SMOG</v>
      </c>
      <c r="AL649" s="158" t="str">
        <f t="shared" ca="1" si="1099"/>
        <v>C/USN/V/P1/93 80101 6050 WPF/UM</v>
      </c>
      <c r="AM649" s="159" t="str">
        <f t="shared" ca="1" si="1100"/>
        <v>C/USN/V/P1/93 80101 6050 SMOG WPF/UM</v>
      </c>
      <c r="AN649" s="160">
        <f t="shared" ca="1" si="1079"/>
        <v>0</v>
      </c>
      <c r="AO649" s="161">
        <f t="shared" ca="1" si="1080"/>
        <v>0</v>
      </c>
      <c r="AP649" s="162">
        <f t="shared" ca="1" si="1081"/>
        <v>0</v>
      </c>
      <c r="AQ649" s="163">
        <f t="shared" ca="1" si="1082"/>
        <v>0</v>
      </c>
      <c r="AR649" s="164">
        <f t="shared" ca="1" si="1083"/>
        <v>0</v>
      </c>
      <c r="AS649" s="164">
        <f t="shared" ca="1" si="1084"/>
        <v>0</v>
      </c>
      <c r="AT649" s="164">
        <f t="shared" ca="1" si="1085"/>
        <v>0</v>
      </c>
      <c r="AU649" s="164">
        <f t="shared" ca="1" si="1086"/>
        <v>0</v>
      </c>
      <c r="AV649" s="164">
        <f t="shared" ca="1" si="1087"/>
        <v>0</v>
      </c>
      <c r="AW649" s="164">
        <f t="shared" ca="1" si="1088"/>
        <v>0</v>
      </c>
      <c r="AX649" s="164">
        <f t="shared" ca="1" si="1089"/>
        <v>0</v>
      </c>
      <c r="AY649" s="164">
        <f t="shared" ca="1" si="1090"/>
        <v>0</v>
      </c>
      <c r="AZ649" s="164">
        <f t="shared" ca="1" si="1091"/>
        <v>0</v>
      </c>
      <c r="BA649" s="165" t="str">
        <f t="shared" ca="1" si="1092"/>
        <v>nie</v>
      </c>
      <c r="BB649" s="166" t="str">
        <f t="shared" ca="1" si="1101"/>
        <v>-</v>
      </c>
      <c r="BC649" s="165" t="str">
        <f t="shared" ca="1" si="1000"/>
        <v>nie</v>
      </c>
    </row>
    <row r="650" spans="1:55" s="214" customFormat="1" ht="14.45" hidden="1" customHeight="1" x14ac:dyDescent="0.25">
      <c r="A650" s="185" t="s">
        <v>97</v>
      </c>
      <c r="B650" s="186"/>
      <c r="C650" s="187"/>
      <c r="D650" s="186"/>
      <c r="E650" s="186"/>
      <c r="F650" s="186"/>
      <c r="G650" s="186"/>
      <c r="H650" s="186"/>
      <c r="I650" s="186"/>
      <c r="J650" s="186"/>
      <c r="K650" s="186"/>
      <c r="L650" s="186"/>
      <c r="M650" s="186"/>
      <c r="N650" s="186"/>
      <c r="O650" s="186"/>
      <c r="P650" s="186"/>
      <c r="Q650" s="186"/>
      <c r="R650" s="188"/>
      <c r="S650" s="189"/>
      <c r="T650" s="189"/>
      <c r="U650" s="189"/>
      <c r="V650" s="189"/>
      <c r="W650" s="189"/>
      <c r="X650" s="189"/>
      <c r="Y650" s="190"/>
      <c r="Z650" s="149" t="str">
        <f t="shared" ref="Z650:Z713" ca="1" si="1104">IF(COUNTIF(A650,"*zmia*")&gt;0,OFFSET(Z650,1,0),IF(COUNTIF($AB$10:$AB$888,AE650)&gt;0,"tak","nie"))</f>
        <v>nie</v>
      </c>
      <c r="AA650" s="366"/>
      <c r="AB650" s="150" t="str">
        <f t="shared" ca="1" si="1096"/>
        <v>-</v>
      </c>
      <c r="AC650" s="151" t="str">
        <f t="shared" ca="1" si="1072"/>
        <v>PROPONOWANA ZMIANA</v>
      </c>
      <c r="AD650" s="152" t="str">
        <f t="shared" ca="1" si="1097"/>
        <v/>
      </c>
      <c r="AE650" s="153" t="str">
        <f t="shared" ca="1" si="1073"/>
        <v/>
      </c>
      <c r="AF650" s="154" t="str">
        <f t="shared" ca="1" si="1074"/>
        <v/>
      </c>
      <c r="AG650" s="155" t="str">
        <f t="shared" ca="1" si="1075"/>
        <v/>
      </c>
      <c r="AH650" s="155" t="str">
        <f t="shared" ca="1" si="1076"/>
        <v/>
      </c>
      <c r="AI650" s="156" t="str">
        <f t="shared" ca="1" si="1077"/>
        <v/>
      </c>
      <c r="AJ650" s="157" t="str">
        <f t="shared" ca="1" si="1078"/>
        <v/>
      </c>
      <c r="AK650" s="158" t="str">
        <f t="shared" ca="1" si="1098"/>
        <v/>
      </c>
      <c r="AL650" s="158" t="str">
        <f t="shared" ca="1" si="1099"/>
        <v/>
      </c>
      <c r="AM650" s="159" t="str">
        <f t="shared" ca="1" si="1100"/>
        <v/>
      </c>
      <c r="AN650" s="160" t="str">
        <f t="shared" ca="1" si="1079"/>
        <v/>
      </c>
      <c r="AO650" s="161" t="str">
        <f t="shared" ca="1" si="1080"/>
        <v/>
      </c>
      <c r="AP650" s="162" t="str">
        <f t="shared" ca="1" si="1081"/>
        <v/>
      </c>
      <c r="AQ650" s="163" t="str">
        <f t="shared" ca="1" si="1082"/>
        <v/>
      </c>
      <c r="AR650" s="164" t="str">
        <f t="shared" ca="1" si="1083"/>
        <v/>
      </c>
      <c r="AS650" s="164" t="str">
        <f t="shared" ca="1" si="1084"/>
        <v/>
      </c>
      <c r="AT650" s="164" t="str">
        <f t="shared" ca="1" si="1085"/>
        <v/>
      </c>
      <c r="AU650" s="164" t="str">
        <f t="shared" ca="1" si="1086"/>
        <v/>
      </c>
      <c r="AV650" s="164" t="str">
        <f t="shared" ca="1" si="1087"/>
        <v/>
      </c>
      <c r="AW650" s="164" t="str">
        <f t="shared" ca="1" si="1088"/>
        <v/>
      </c>
      <c r="AX650" s="164" t="str">
        <f t="shared" ca="1" si="1089"/>
        <v/>
      </c>
      <c r="AY650" s="164" t="str">
        <f t="shared" ca="1" si="1090"/>
        <v/>
      </c>
      <c r="AZ650" s="164" t="str">
        <f t="shared" ca="1" si="1091"/>
        <v/>
      </c>
      <c r="BA650" s="165" t="str">
        <f t="shared" ca="1" si="1092"/>
        <v>nie</v>
      </c>
      <c r="BB650" s="166" t="str">
        <f t="shared" ca="1" si="1101"/>
        <v>-</v>
      </c>
      <c r="BC650" s="165" t="str">
        <f t="shared" ref="BC650:BC713" ca="1" si="1105">IF(AND(COUNTIF(AD650,"*zmi*")&gt;0,COUNTIF($BB$10:$BB$888,AK650)&gt;0),"tak","nie")</f>
        <v>nie</v>
      </c>
    </row>
    <row r="651" spans="1:55" s="214" customFormat="1" ht="14.45" hidden="1" customHeight="1" x14ac:dyDescent="0.25">
      <c r="A651" s="493" t="s">
        <v>24</v>
      </c>
      <c r="B651" s="493" t="s">
        <v>197</v>
      </c>
      <c r="C651" s="494" t="s">
        <v>180</v>
      </c>
      <c r="D651" s="552" t="s">
        <v>181</v>
      </c>
      <c r="E651" s="497">
        <v>801</v>
      </c>
      <c r="F651" s="497">
        <v>80101</v>
      </c>
      <c r="G651" s="497">
        <v>6050</v>
      </c>
      <c r="H651" s="498" t="s">
        <v>162</v>
      </c>
      <c r="I651" s="499" t="str">
        <f ca="1">IF(COUNTIF(OFFSET(I651,-1,-8),"*propon*")&gt;0,OFFSET(I651,4,0),IF(Y651&gt;0,"2033",IF(X651&gt;0,"2032",IF(W651&gt;0,"2031",IF(V651&gt;0,"2030",IF(U651&gt;0,"2029",IF(T651&gt;0,"2028",IF(S651&gt;0,"2027",IF(R651&gt;0,"2026",IF(Q651&gt;0,"2025",IF(P651&gt;0,"2024",IF(M651&gt;0,"2023",IF(L651&gt;0,"2022","")))))))))))))</f>
        <v>2025</v>
      </c>
      <c r="J651" s="168" t="s">
        <v>98</v>
      </c>
      <c r="K651" s="169">
        <f>SUM(N651:O651)</f>
        <v>0</v>
      </c>
      <c r="L651" s="170">
        <f t="shared" ref="L651:M651" si="1106">SUM(L652:L653)</f>
        <v>0</v>
      </c>
      <c r="M651" s="171">
        <f t="shared" si="1106"/>
        <v>0</v>
      </c>
      <c r="N651" s="172">
        <f>SUM(L651:M651)</f>
        <v>0</v>
      </c>
      <c r="O651" s="169">
        <f>SUM(P651:Y651)</f>
        <v>0</v>
      </c>
      <c r="P651" s="173">
        <f t="shared" ref="P651:Y651" si="1107">SUM(P652:P653)</f>
        <v>0</v>
      </c>
      <c r="Q651" s="171">
        <f t="shared" si="1107"/>
        <v>0</v>
      </c>
      <c r="R651" s="174">
        <f t="shared" si="1107"/>
        <v>0</v>
      </c>
      <c r="S651" s="175">
        <f t="shared" si="1107"/>
        <v>0</v>
      </c>
      <c r="T651" s="171">
        <f t="shared" si="1107"/>
        <v>0</v>
      </c>
      <c r="U651" s="171">
        <f t="shared" si="1107"/>
        <v>0</v>
      </c>
      <c r="V651" s="171">
        <f t="shared" si="1107"/>
        <v>0</v>
      </c>
      <c r="W651" s="171">
        <f t="shared" si="1107"/>
        <v>0</v>
      </c>
      <c r="X651" s="171">
        <f t="shared" si="1107"/>
        <v>0</v>
      </c>
      <c r="Y651" s="174">
        <f t="shared" si="1107"/>
        <v>0</v>
      </c>
      <c r="Z651" s="149" t="str">
        <f t="shared" ca="1" si="1104"/>
        <v>nie</v>
      </c>
      <c r="AA651" s="366"/>
      <c r="AB651" s="150" t="str">
        <f t="shared" ca="1" si="1096"/>
        <v>-</v>
      </c>
      <c r="AC651" s="151" t="str">
        <f t="shared" ca="1" si="1072"/>
        <v>PROPONOWANA ZMIANA</v>
      </c>
      <c r="AD651" s="152" t="str">
        <f t="shared" ca="1" si="1097"/>
        <v>PROPONOWANA ZMIANA</v>
      </c>
      <c r="AE651" s="153" t="str">
        <f t="shared" ca="1" si="1073"/>
        <v>C/USN/V/P1/93</v>
      </c>
      <c r="AF651" s="154" t="str">
        <f t="shared" ca="1" si="1074"/>
        <v>Panele fotowoltaiczne na dachach budynków szkół podstawowych</v>
      </c>
      <c r="AG651" s="155">
        <f t="shared" ca="1" si="1075"/>
        <v>80101</v>
      </c>
      <c r="AH651" s="155" t="str">
        <f t="shared" ca="1" si="1076"/>
        <v>6050</v>
      </c>
      <c r="AI651" s="156" t="str">
        <f t="shared" ca="1" si="1077"/>
        <v>SMOG</v>
      </c>
      <c r="AJ651" s="157" t="str">
        <f t="shared" ca="1" si="1078"/>
        <v>WPF, w tym</v>
      </c>
      <c r="AK651" s="158" t="str">
        <f t="shared" ca="1" si="1098"/>
        <v>C/USN/V/P1/93 80101 6050 SMOG</v>
      </c>
      <c r="AL651" s="158" t="str">
        <f t="shared" ca="1" si="1099"/>
        <v>C/USN/V/P1/93 80101 6050 WPF, w tym</v>
      </c>
      <c r="AM651" s="159" t="str">
        <f t="shared" ca="1" si="1100"/>
        <v>C/USN/V/P1/93 80101 6050 SMOG WPF, w tym</v>
      </c>
      <c r="AN651" s="160">
        <f t="shared" ca="1" si="1079"/>
        <v>0</v>
      </c>
      <c r="AO651" s="161">
        <f t="shared" ca="1" si="1080"/>
        <v>0</v>
      </c>
      <c r="AP651" s="162">
        <f t="shared" ca="1" si="1081"/>
        <v>0</v>
      </c>
      <c r="AQ651" s="163">
        <f t="shared" ca="1" si="1082"/>
        <v>0</v>
      </c>
      <c r="AR651" s="164">
        <f t="shared" ca="1" si="1083"/>
        <v>0</v>
      </c>
      <c r="AS651" s="164">
        <f t="shared" ca="1" si="1084"/>
        <v>0</v>
      </c>
      <c r="AT651" s="164">
        <f t="shared" ca="1" si="1085"/>
        <v>0</v>
      </c>
      <c r="AU651" s="164">
        <f t="shared" ca="1" si="1086"/>
        <v>0</v>
      </c>
      <c r="AV651" s="164">
        <f t="shared" ca="1" si="1087"/>
        <v>0</v>
      </c>
      <c r="AW651" s="164">
        <f t="shared" ca="1" si="1088"/>
        <v>0</v>
      </c>
      <c r="AX651" s="164">
        <f t="shared" ca="1" si="1089"/>
        <v>0</v>
      </c>
      <c r="AY651" s="164">
        <f t="shared" ca="1" si="1090"/>
        <v>0</v>
      </c>
      <c r="AZ651" s="164">
        <f t="shared" ca="1" si="1091"/>
        <v>0</v>
      </c>
      <c r="BA651" s="165" t="str">
        <f t="shared" ca="1" si="1092"/>
        <v>nie</v>
      </c>
      <c r="BB651" s="166" t="str">
        <f t="shared" ca="1" si="1101"/>
        <v>-</v>
      </c>
      <c r="BC651" s="165" t="str">
        <f t="shared" ca="1" si="1105"/>
        <v>nie</v>
      </c>
    </row>
    <row r="652" spans="1:55" s="214" customFormat="1" ht="14.45" hidden="1" customHeight="1" x14ac:dyDescent="0.25">
      <c r="A652" s="493"/>
      <c r="B652" s="493"/>
      <c r="C652" s="494"/>
      <c r="D652" s="553"/>
      <c r="E652" s="497"/>
      <c r="F652" s="497"/>
      <c r="G652" s="497"/>
      <c r="H652" s="498"/>
      <c r="I652" s="499"/>
      <c r="J652" s="177" t="s">
        <v>99</v>
      </c>
      <c r="K652" s="178">
        <f>SUM(N652:O652)</f>
        <v>0</v>
      </c>
      <c r="L652" s="179">
        <f t="shared" ref="L652:M652" si="1108">L656-L648</f>
        <v>0</v>
      </c>
      <c r="M652" s="180">
        <f t="shared" si="1108"/>
        <v>0</v>
      </c>
      <c r="N652" s="172">
        <f>SUM(L652:M652)</f>
        <v>0</v>
      </c>
      <c r="O652" s="178">
        <f>SUM(P652:Y652)</f>
        <v>0</v>
      </c>
      <c r="P652" s="181">
        <f t="shared" ref="P652:Y652" si="1109">P656-P648</f>
        <v>0</v>
      </c>
      <c r="Q652" s="180">
        <f t="shared" si="1109"/>
        <v>0</v>
      </c>
      <c r="R652" s="182">
        <f t="shared" si="1109"/>
        <v>0</v>
      </c>
      <c r="S652" s="183">
        <f t="shared" si="1109"/>
        <v>0</v>
      </c>
      <c r="T652" s="180">
        <f t="shared" si="1109"/>
        <v>0</v>
      </c>
      <c r="U652" s="180">
        <f t="shared" si="1109"/>
        <v>0</v>
      </c>
      <c r="V652" s="180">
        <f t="shared" si="1109"/>
        <v>0</v>
      </c>
      <c r="W652" s="180">
        <f t="shared" si="1109"/>
        <v>0</v>
      </c>
      <c r="X652" s="180">
        <f t="shared" si="1109"/>
        <v>0</v>
      </c>
      <c r="Y652" s="182">
        <f t="shared" si="1109"/>
        <v>0</v>
      </c>
      <c r="Z652" s="149" t="str">
        <f t="shared" ca="1" si="1104"/>
        <v>nie</v>
      </c>
      <c r="AA652" s="366"/>
      <c r="AB652" s="150" t="str">
        <f t="shared" ca="1" si="1096"/>
        <v>-</v>
      </c>
      <c r="AC652" s="151" t="str">
        <f t="shared" ca="1" si="1072"/>
        <v>PROPONOWANA ZMIANA</v>
      </c>
      <c r="AD652" s="152" t="str">
        <f t="shared" ca="1" si="1097"/>
        <v>PROPONOWANA ZMIANA</v>
      </c>
      <c r="AE652" s="153" t="str">
        <f t="shared" ca="1" si="1073"/>
        <v>C/USN/V/P1/93</v>
      </c>
      <c r="AF652" s="154" t="str">
        <f t="shared" ca="1" si="1074"/>
        <v>Panele fotowoltaiczne na dachach budynków szkół podstawowych</v>
      </c>
      <c r="AG652" s="155">
        <f t="shared" ca="1" si="1075"/>
        <v>80101</v>
      </c>
      <c r="AH652" s="155" t="str">
        <f t="shared" ca="1" si="1076"/>
        <v>6050</v>
      </c>
      <c r="AI652" s="156" t="str">
        <f t="shared" ca="1" si="1077"/>
        <v>SMOG</v>
      </c>
      <c r="AJ652" s="157" t="str">
        <f t="shared" ca="1" si="1078"/>
        <v>WPF/PM</v>
      </c>
      <c r="AK652" s="158" t="str">
        <f t="shared" ca="1" si="1098"/>
        <v>C/USN/V/P1/93 80101 6050 SMOG</v>
      </c>
      <c r="AL652" s="158" t="str">
        <f t="shared" ca="1" si="1099"/>
        <v>C/USN/V/P1/93 80101 6050 WPF/PM</v>
      </c>
      <c r="AM652" s="159" t="str">
        <f t="shared" ca="1" si="1100"/>
        <v>C/USN/V/P1/93 80101 6050 SMOG WPF/PM</v>
      </c>
      <c r="AN652" s="160">
        <f t="shared" ca="1" si="1079"/>
        <v>0</v>
      </c>
      <c r="AO652" s="161">
        <f t="shared" ca="1" si="1080"/>
        <v>0</v>
      </c>
      <c r="AP652" s="162">
        <f t="shared" ca="1" si="1081"/>
        <v>0</v>
      </c>
      <c r="AQ652" s="163">
        <f t="shared" ca="1" si="1082"/>
        <v>0</v>
      </c>
      <c r="AR652" s="164">
        <f t="shared" ca="1" si="1083"/>
        <v>0</v>
      </c>
      <c r="AS652" s="164">
        <f t="shared" ca="1" si="1084"/>
        <v>0</v>
      </c>
      <c r="AT652" s="164">
        <f t="shared" ca="1" si="1085"/>
        <v>0</v>
      </c>
      <c r="AU652" s="164">
        <f t="shared" ca="1" si="1086"/>
        <v>0</v>
      </c>
      <c r="AV652" s="164">
        <f t="shared" ca="1" si="1087"/>
        <v>0</v>
      </c>
      <c r="AW652" s="164">
        <f t="shared" ca="1" si="1088"/>
        <v>0</v>
      </c>
      <c r="AX652" s="164">
        <f t="shared" ca="1" si="1089"/>
        <v>0</v>
      </c>
      <c r="AY652" s="164">
        <f t="shared" ca="1" si="1090"/>
        <v>0</v>
      </c>
      <c r="AZ652" s="164">
        <f t="shared" ca="1" si="1091"/>
        <v>0</v>
      </c>
      <c r="BA652" s="165" t="str">
        <f t="shared" ca="1" si="1092"/>
        <v>nie</v>
      </c>
      <c r="BB652" s="166" t="str">
        <f t="shared" ca="1" si="1101"/>
        <v>-</v>
      </c>
      <c r="BC652" s="165" t="str">
        <f t="shared" ca="1" si="1105"/>
        <v>nie</v>
      </c>
    </row>
    <row r="653" spans="1:55" s="214" customFormat="1" ht="14.45" hidden="1" customHeight="1" x14ac:dyDescent="0.25">
      <c r="A653" s="493"/>
      <c r="B653" s="493"/>
      <c r="C653" s="494"/>
      <c r="D653" s="554"/>
      <c r="E653" s="497"/>
      <c r="F653" s="497"/>
      <c r="G653" s="497"/>
      <c r="H653" s="498"/>
      <c r="I653" s="499"/>
      <c r="J653" s="177" t="s">
        <v>100</v>
      </c>
      <c r="K653" s="178">
        <f>SUM(N653:O653)</f>
        <v>0</v>
      </c>
      <c r="L653" s="179">
        <f t="shared" ref="L653:M653" si="1110">L657-L649</f>
        <v>0</v>
      </c>
      <c r="M653" s="180">
        <f t="shared" si="1110"/>
        <v>0</v>
      </c>
      <c r="N653" s="172">
        <f>SUM(L653:M653)</f>
        <v>0</v>
      </c>
      <c r="O653" s="178">
        <f>SUM(P653:Y653)</f>
        <v>0</v>
      </c>
      <c r="P653" s="181">
        <f t="shared" ref="P653:Y653" si="1111">P657-P649</f>
        <v>0</v>
      </c>
      <c r="Q653" s="180">
        <f t="shared" si="1111"/>
        <v>0</v>
      </c>
      <c r="R653" s="182">
        <f t="shared" si="1111"/>
        <v>0</v>
      </c>
      <c r="S653" s="183">
        <f t="shared" si="1111"/>
        <v>0</v>
      </c>
      <c r="T653" s="180">
        <f t="shared" si="1111"/>
        <v>0</v>
      </c>
      <c r="U653" s="180">
        <f t="shared" si="1111"/>
        <v>0</v>
      </c>
      <c r="V653" s="180">
        <f t="shared" si="1111"/>
        <v>0</v>
      </c>
      <c r="W653" s="180">
        <f t="shared" si="1111"/>
        <v>0</v>
      </c>
      <c r="X653" s="180">
        <f t="shared" si="1111"/>
        <v>0</v>
      </c>
      <c r="Y653" s="182">
        <f t="shared" si="1111"/>
        <v>0</v>
      </c>
      <c r="Z653" s="149" t="str">
        <f t="shared" ca="1" si="1104"/>
        <v>nie</v>
      </c>
      <c r="AA653" s="366"/>
      <c r="AB653" s="150" t="str">
        <f t="shared" ca="1" si="1096"/>
        <v>-</v>
      </c>
      <c r="AC653" s="151" t="str">
        <f t="shared" ca="1" si="1072"/>
        <v>PROPONOWANA ZMIANA</v>
      </c>
      <c r="AD653" s="152" t="str">
        <f t="shared" ca="1" si="1097"/>
        <v>PROPONOWANA ZMIANA</v>
      </c>
      <c r="AE653" s="153" t="str">
        <f t="shared" ca="1" si="1073"/>
        <v>C/USN/V/P1/93</v>
      </c>
      <c r="AF653" s="154" t="str">
        <f t="shared" ca="1" si="1074"/>
        <v>Panele fotowoltaiczne na dachach budynków szkół podstawowych</v>
      </c>
      <c r="AG653" s="155">
        <f t="shared" ca="1" si="1075"/>
        <v>80101</v>
      </c>
      <c r="AH653" s="155" t="str">
        <f t="shared" ca="1" si="1076"/>
        <v>6050</v>
      </c>
      <c r="AI653" s="156" t="str">
        <f t="shared" ca="1" si="1077"/>
        <v>SMOG</v>
      </c>
      <c r="AJ653" s="157" t="str">
        <f t="shared" ca="1" si="1078"/>
        <v>WPF/UM</v>
      </c>
      <c r="AK653" s="158" t="str">
        <f t="shared" ca="1" si="1098"/>
        <v>C/USN/V/P1/93 80101 6050 SMOG</v>
      </c>
      <c r="AL653" s="158" t="str">
        <f t="shared" ca="1" si="1099"/>
        <v>C/USN/V/P1/93 80101 6050 WPF/UM</v>
      </c>
      <c r="AM653" s="159" t="str">
        <f t="shared" ca="1" si="1100"/>
        <v>C/USN/V/P1/93 80101 6050 SMOG WPF/UM</v>
      </c>
      <c r="AN653" s="160">
        <f t="shared" ca="1" si="1079"/>
        <v>0</v>
      </c>
      <c r="AO653" s="161">
        <f t="shared" ca="1" si="1080"/>
        <v>0</v>
      </c>
      <c r="AP653" s="162">
        <f t="shared" ca="1" si="1081"/>
        <v>0</v>
      </c>
      <c r="AQ653" s="163">
        <f t="shared" ca="1" si="1082"/>
        <v>0</v>
      </c>
      <c r="AR653" s="164">
        <f t="shared" ca="1" si="1083"/>
        <v>0</v>
      </c>
      <c r="AS653" s="164">
        <f t="shared" ca="1" si="1084"/>
        <v>0</v>
      </c>
      <c r="AT653" s="164">
        <f t="shared" ca="1" si="1085"/>
        <v>0</v>
      </c>
      <c r="AU653" s="164">
        <f t="shared" ca="1" si="1086"/>
        <v>0</v>
      </c>
      <c r="AV653" s="164">
        <f t="shared" ca="1" si="1087"/>
        <v>0</v>
      </c>
      <c r="AW653" s="164">
        <f t="shared" ca="1" si="1088"/>
        <v>0</v>
      </c>
      <c r="AX653" s="164">
        <f t="shared" ca="1" si="1089"/>
        <v>0</v>
      </c>
      <c r="AY653" s="164">
        <f t="shared" ca="1" si="1090"/>
        <v>0</v>
      </c>
      <c r="AZ653" s="164">
        <f t="shared" ca="1" si="1091"/>
        <v>0</v>
      </c>
      <c r="BA653" s="165" t="str">
        <f t="shared" ca="1" si="1092"/>
        <v>nie</v>
      </c>
      <c r="BB653" s="166" t="str">
        <f t="shared" ca="1" si="1101"/>
        <v>-</v>
      </c>
      <c r="BC653" s="165" t="str">
        <f t="shared" ca="1" si="1105"/>
        <v>nie</v>
      </c>
    </row>
    <row r="654" spans="1:55" s="214" customFormat="1" ht="14.45" hidden="1" customHeight="1" x14ac:dyDescent="0.25">
      <c r="A654" s="191" t="s">
        <v>101</v>
      </c>
      <c r="B654" s="192"/>
      <c r="C654" s="193"/>
      <c r="D654" s="192"/>
      <c r="E654" s="192"/>
      <c r="F654" s="192"/>
      <c r="G654" s="192"/>
      <c r="H654" s="192"/>
      <c r="I654" s="192"/>
      <c r="J654" s="192"/>
      <c r="K654" s="192"/>
      <c r="L654" s="192"/>
      <c r="M654" s="192"/>
      <c r="N654" s="192"/>
      <c r="O654" s="192"/>
      <c r="P654" s="192"/>
      <c r="Q654" s="192"/>
      <c r="R654" s="194"/>
      <c r="S654" s="195"/>
      <c r="T654" s="195"/>
      <c r="U654" s="195"/>
      <c r="V654" s="195"/>
      <c r="W654" s="195"/>
      <c r="X654" s="195"/>
      <c r="Y654" s="196"/>
      <c r="Z654" s="149" t="str">
        <f t="shared" ca="1" si="1104"/>
        <v>nie</v>
      </c>
      <c r="AA654" s="366"/>
      <c r="AB654" s="150" t="str">
        <f t="shared" ca="1" si="1096"/>
        <v>-</v>
      </c>
      <c r="AC654" s="151" t="str">
        <f t="shared" ca="1" si="1072"/>
        <v>PO ZMIANIE</v>
      </c>
      <c r="AD654" s="152" t="str">
        <f t="shared" ca="1" si="1097"/>
        <v/>
      </c>
      <c r="AE654" s="153" t="str">
        <f t="shared" ca="1" si="1073"/>
        <v/>
      </c>
      <c r="AF654" s="154" t="str">
        <f t="shared" ca="1" si="1074"/>
        <v/>
      </c>
      <c r="AG654" s="155" t="str">
        <f t="shared" ca="1" si="1075"/>
        <v/>
      </c>
      <c r="AH654" s="155" t="str">
        <f t="shared" ca="1" si="1076"/>
        <v/>
      </c>
      <c r="AI654" s="156" t="str">
        <f t="shared" ca="1" si="1077"/>
        <v/>
      </c>
      <c r="AJ654" s="157" t="str">
        <f t="shared" ca="1" si="1078"/>
        <v/>
      </c>
      <c r="AK654" s="158" t="str">
        <f t="shared" ca="1" si="1098"/>
        <v/>
      </c>
      <c r="AL654" s="158" t="str">
        <f t="shared" ca="1" si="1099"/>
        <v/>
      </c>
      <c r="AM654" s="159" t="str">
        <f t="shared" ca="1" si="1100"/>
        <v/>
      </c>
      <c r="AN654" s="160" t="str">
        <f t="shared" ca="1" si="1079"/>
        <v/>
      </c>
      <c r="AO654" s="161" t="str">
        <f t="shared" ca="1" si="1080"/>
        <v/>
      </c>
      <c r="AP654" s="162" t="str">
        <f t="shared" ca="1" si="1081"/>
        <v/>
      </c>
      <c r="AQ654" s="163" t="str">
        <f t="shared" ca="1" si="1082"/>
        <v/>
      </c>
      <c r="AR654" s="164" t="str">
        <f t="shared" ca="1" si="1083"/>
        <v/>
      </c>
      <c r="AS654" s="164" t="str">
        <f t="shared" ca="1" si="1084"/>
        <v/>
      </c>
      <c r="AT654" s="164" t="str">
        <f t="shared" ca="1" si="1085"/>
        <v/>
      </c>
      <c r="AU654" s="164" t="str">
        <f t="shared" ca="1" si="1086"/>
        <v/>
      </c>
      <c r="AV654" s="164" t="str">
        <f t="shared" ca="1" si="1087"/>
        <v/>
      </c>
      <c r="AW654" s="164" t="str">
        <f t="shared" ca="1" si="1088"/>
        <v/>
      </c>
      <c r="AX654" s="164" t="str">
        <f t="shared" ca="1" si="1089"/>
        <v/>
      </c>
      <c r="AY654" s="164" t="str">
        <f t="shared" ca="1" si="1090"/>
        <v/>
      </c>
      <c r="AZ654" s="164" t="str">
        <f t="shared" ca="1" si="1091"/>
        <v/>
      </c>
      <c r="BA654" s="165" t="str">
        <f t="shared" ca="1" si="1092"/>
        <v>nie</v>
      </c>
      <c r="BB654" s="166" t="str">
        <f t="shared" ca="1" si="1101"/>
        <v>-</v>
      </c>
      <c r="BC654" s="165" t="str">
        <f t="shared" ca="1" si="1105"/>
        <v>nie</v>
      </c>
    </row>
    <row r="655" spans="1:55" s="214" customFormat="1" ht="14.45" hidden="1" customHeight="1" x14ac:dyDescent="0.25">
      <c r="A655" s="493" t="s">
        <v>24</v>
      </c>
      <c r="B655" s="493" t="s">
        <v>197</v>
      </c>
      <c r="C655" s="494" t="s">
        <v>180</v>
      </c>
      <c r="D655" s="552" t="s">
        <v>181</v>
      </c>
      <c r="E655" s="497">
        <v>801</v>
      </c>
      <c r="F655" s="497">
        <v>80101</v>
      </c>
      <c r="G655" s="497">
        <v>6050</v>
      </c>
      <c r="H655" s="498" t="s">
        <v>162</v>
      </c>
      <c r="I655" s="499" t="str">
        <f ca="1">IF(COUNTIF(OFFSET(I655,-1,-8),"*propon*")&gt;0,OFFSET(I655,4,0),IF(Y655&gt;0,"2033",IF(X655&gt;0,"2032",IF(W655&gt;0,"2031",IF(V655&gt;0,"2030",IF(U655&gt;0,"2029",IF(T655&gt;0,"2028",IF(S655&gt;0,"2027",IF(R655&gt;0,"2026",IF(Q655&gt;0,"2025",IF(P655&gt;0,"2024",IF(M655&gt;0,"2023",IF(L655&gt;0,"2022","")))))))))))))</f>
        <v>2025</v>
      </c>
      <c r="J655" s="168" t="s">
        <v>102</v>
      </c>
      <c r="K655" s="169">
        <f>SUM(N655:O655)</f>
        <v>53270</v>
      </c>
      <c r="L655" s="170">
        <f t="shared" ref="L655:M655" si="1112">SUM(L656:L657)</f>
        <v>0</v>
      </c>
      <c r="M655" s="171">
        <f t="shared" si="1112"/>
        <v>0</v>
      </c>
      <c r="N655" s="172">
        <f>SUM(L655:M655)</f>
        <v>0</v>
      </c>
      <c r="O655" s="169">
        <f>SUM(P655:Y655)</f>
        <v>53270</v>
      </c>
      <c r="P655" s="173">
        <f t="shared" ref="P655:Y655" si="1113">SUM(P656:P657)</f>
        <v>0</v>
      </c>
      <c r="Q655" s="171">
        <f t="shared" si="1113"/>
        <v>53270</v>
      </c>
      <c r="R655" s="174">
        <f t="shared" si="1113"/>
        <v>0</v>
      </c>
      <c r="S655" s="175">
        <f t="shared" si="1113"/>
        <v>0</v>
      </c>
      <c r="T655" s="171">
        <f t="shared" si="1113"/>
        <v>0</v>
      </c>
      <c r="U655" s="171">
        <f t="shared" si="1113"/>
        <v>0</v>
      </c>
      <c r="V655" s="171">
        <f t="shared" si="1113"/>
        <v>0</v>
      </c>
      <c r="W655" s="171">
        <f t="shared" si="1113"/>
        <v>0</v>
      </c>
      <c r="X655" s="171">
        <f t="shared" si="1113"/>
        <v>0</v>
      </c>
      <c r="Y655" s="174">
        <f t="shared" si="1113"/>
        <v>0</v>
      </c>
      <c r="Z655" s="149" t="str">
        <f t="shared" ca="1" si="1104"/>
        <v>nie</v>
      </c>
      <c r="AA655" s="366"/>
      <c r="AB655" s="150" t="str">
        <f t="shared" ca="1" si="1096"/>
        <v>-</v>
      </c>
      <c r="AC655" s="151" t="str">
        <f t="shared" ca="1" si="1072"/>
        <v>PO ZMIANIE</v>
      </c>
      <c r="AD655" s="152" t="str">
        <f t="shared" ca="1" si="1097"/>
        <v>PO ZMIANIE</v>
      </c>
      <c r="AE655" s="153" t="str">
        <f t="shared" ca="1" si="1073"/>
        <v>C/USN/V/P1/93</v>
      </c>
      <c r="AF655" s="154" t="str">
        <f t="shared" ca="1" si="1074"/>
        <v>Panele fotowoltaiczne na dachach budynków szkół podstawowych</v>
      </c>
      <c r="AG655" s="155">
        <f t="shared" ca="1" si="1075"/>
        <v>80101</v>
      </c>
      <c r="AH655" s="155" t="str">
        <f t="shared" ca="1" si="1076"/>
        <v>6050</v>
      </c>
      <c r="AI655" s="156" t="str">
        <f t="shared" ca="1" si="1077"/>
        <v>SMOG</v>
      </c>
      <c r="AJ655" s="157" t="str">
        <f t="shared" ca="1" si="1078"/>
        <v>WPF, w tym</v>
      </c>
      <c r="AK655" s="158" t="str">
        <f t="shared" ca="1" si="1098"/>
        <v>C/USN/V/P1/93 80101 6050 SMOG</v>
      </c>
      <c r="AL655" s="158" t="str">
        <f t="shared" ca="1" si="1099"/>
        <v>C/USN/V/P1/93 80101 6050 WPF, w tym</v>
      </c>
      <c r="AM655" s="159" t="str">
        <f t="shared" ca="1" si="1100"/>
        <v>C/USN/V/P1/93 80101 6050 SMOG WPF, w tym</v>
      </c>
      <c r="AN655" s="160">
        <f t="shared" ca="1" si="1079"/>
        <v>53270</v>
      </c>
      <c r="AO655" s="161">
        <f t="shared" ca="1" si="1080"/>
        <v>0</v>
      </c>
      <c r="AP655" s="162">
        <f t="shared" ca="1" si="1081"/>
        <v>0</v>
      </c>
      <c r="AQ655" s="163">
        <f t="shared" ca="1" si="1082"/>
        <v>0</v>
      </c>
      <c r="AR655" s="164">
        <f t="shared" ca="1" si="1083"/>
        <v>53270</v>
      </c>
      <c r="AS655" s="164">
        <f t="shared" ca="1" si="1084"/>
        <v>0</v>
      </c>
      <c r="AT655" s="164">
        <f t="shared" ca="1" si="1085"/>
        <v>0</v>
      </c>
      <c r="AU655" s="164">
        <f t="shared" ca="1" si="1086"/>
        <v>0</v>
      </c>
      <c r="AV655" s="164">
        <f t="shared" ca="1" si="1087"/>
        <v>0</v>
      </c>
      <c r="AW655" s="164">
        <f t="shared" ca="1" si="1088"/>
        <v>0</v>
      </c>
      <c r="AX655" s="164">
        <f t="shared" ca="1" si="1089"/>
        <v>0</v>
      </c>
      <c r="AY655" s="164">
        <f t="shared" ca="1" si="1090"/>
        <v>0</v>
      </c>
      <c r="AZ655" s="164">
        <f t="shared" ca="1" si="1091"/>
        <v>0</v>
      </c>
      <c r="BA655" s="165" t="str">
        <f t="shared" ca="1" si="1092"/>
        <v>nie</v>
      </c>
      <c r="BB655" s="166" t="str">
        <f t="shared" ca="1" si="1101"/>
        <v>-</v>
      </c>
      <c r="BC655" s="165" t="str">
        <f t="shared" ca="1" si="1105"/>
        <v>nie</v>
      </c>
    </row>
    <row r="656" spans="1:55" s="214" customFormat="1" ht="14.45" hidden="1" customHeight="1" x14ac:dyDescent="0.25">
      <c r="A656" s="493"/>
      <c r="B656" s="493"/>
      <c r="C656" s="494"/>
      <c r="D656" s="553"/>
      <c r="E656" s="497"/>
      <c r="F656" s="497"/>
      <c r="G656" s="497"/>
      <c r="H656" s="498"/>
      <c r="I656" s="499"/>
      <c r="J656" s="177" t="s">
        <v>103</v>
      </c>
      <c r="K656" s="178">
        <f>SUM(N656:O656)</f>
        <v>53270</v>
      </c>
      <c r="L656" s="179"/>
      <c r="M656" s="180"/>
      <c r="N656" s="172">
        <f>SUM(L656:M656)</f>
        <v>0</v>
      </c>
      <c r="O656" s="178">
        <f>SUM(P656:Y656)</f>
        <v>53270</v>
      </c>
      <c r="P656" s="181"/>
      <c r="Q656" s="180">
        <f>53270</f>
        <v>53270</v>
      </c>
      <c r="R656" s="182"/>
      <c r="S656" s="183"/>
      <c r="T656" s="180"/>
      <c r="U656" s="180"/>
      <c r="V656" s="180"/>
      <c r="W656" s="180"/>
      <c r="X656" s="180"/>
      <c r="Y656" s="182"/>
      <c r="Z656" s="149" t="str">
        <f t="shared" ca="1" si="1104"/>
        <v>nie</v>
      </c>
      <c r="AA656" s="384"/>
      <c r="AB656" s="150" t="str">
        <f t="shared" ca="1" si="1096"/>
        <v>-</v>
      </c>
      <c r="AC656" s="151" t="str">
        <f t="shared" ca="1" si="1072"/>
        <v>PO ZMIANIE</v>
      </c>
      <c r="AD656" s="152" t="str">
        <f t="shared" ca="1" si="1097"/>
        <v>PO ZMIANIE</v>
      </c>
      <c r="AE656" s="153" t="str">
        <f t="shared" ca="1" si="1073"/>
        <v>C/USN/V/P1/93</v>
      </c>
      <c r="AF656" s="154" t="str">
        <f t="shared" ca="1" si="1074"/>
        <v>Panele fotowoltaiczne na dachach budynków szkół podstawowych</v>
      </c>
      <c r="AG656" s="155">
        <f t="shared" ca="1" si="1075"/>
        <v>80101</v>
      </c>
      <c r="AH656" s="155" t="str">
        <f t="shared" ca="1" si="1076"/>
        <v>6050</v>
      </c>
      <c r="AI656" s="156" t="str">
        <f t="shared" ca="1" si="1077"/>
        <v>SMOG</v>
      </c>
      <c r="AJ656" s="157" t="str">
        <f t="shared" ca="1" si="1078"/>
        <v>WPF/PM</v>
      </c>
      <c r="AK656" s="158" t="str">
        <f t="shared" ca="1" si="1098"/>
        <v>C/USN/V/P1/93 80101 6050 SMOG</v>
      </c>
      <c r="AL656" s="158" t="str">
        <f t="shared" ca="1" si="1099"/>
        <v>C/USN/V/P1/93 80101 6050 WPF/PM</v>
      </c>
      <c r="AM656" s="159" t="str">
        <f t="shared" ca="1" si="1100"/>
        <v>C/USN/V/P1/93 80101 6050 SMOG WPF/PM</v>
      </c>
      <c r="AN656" s="160">
        <f t="shared" ca="1" si="1079"/>
        <v>53270</v>
      </c>
      <c r="AO656" s="161">
        <f t="shared" ca="1" si="1080"/>
        <v>0</v>
      </c>
      <c r="AP656" s="162">
        <f t="shared" ca="1" si="1081"/>
        <v>0</v>
      </c>
      <c r="AQ656" s="163">
        <f t="shared" ca="1" si="1082"/>
        <v>0</v>
      </c>
      <c r="AR656" s="164">
        <f t="shared" ca="1" si="1083"/>
        <v>53270</v>
      </c>
      <c r="AS656" s="164">
        <f t="shared" ca="1" si="1084"/>
        <v>0</v>
      </c>
      <c r="AT656" s="164">
        <f t="shared" ca="1" si="1085"/>
        <v>0</v>
      </c>
      <c r="AU656" s="164">
        <f t="shared" ca="1" si="1086"/>
        <v>0</v>
      </c>
      <c r="AV656" s="164">
        <f t="shared" ca="1" si="1087"/>
        <v>0</v>
      </c>
      <c r="AW656" s="164">
        <f t="shared" ca="1" si="1088"/>
        <v>0</v>
      </c>
      <c r="AX656" s="164">
        <f t="shared" ca="1" si="1089"/>
        <v>0</v>
      </c>
      <c r="AY656" s="164">
        <f t="shared" ca="1" si="1090"/>
        <v>0</v>
      </c>
      <c r="AZ656" s="164">
        <f t="shared" ca="1" si="1091"/>
        <v>0</v>
      </c>
      <c r="BA656" s="165" t="str">
        <f t="shared" ca="1" si="1092"/>
        <v>nie</v>
      </c>
      <c r="BB656" s="166" t="str">
        <f t="shared" ca="1" si="1101"/>
        <v>-</v>
      </c>
      <c r="BC656" s="165" t="str">
        <f t="shared" ca="1" si="1105"/>
        <v>nie</v>
      </c>
    </row>
    <row r="657" spans="1:55" s="214" customFormat="1" ht="14.45" hidden="1" customHeight="1" thickBot="1" x14ac:dyDescent="0.3">
      <c r="A657" s="500"/>
      <c r="B657" s="493"/>
      <c r="C657" s="501"/>
      <c r="D657" s="555"/>
      <c r="E657" s="503"/>
      <c r="F657" s="503"/>
      <c r="G657" s="503"/>
      <c r="H657" s="504"/>
      <c r="I657" s="499"/>
      <c r="J657" s="197" t="s">
        <v>104</v>
      </c>
      <c r="K657" s="198">
        <f>SUM(N657:O657)</f>
        <v>0</v>
      </c>
      <c r="L657" s="199"/>
      <c r="M657" s="200"/>
      <c r="N657" s="371">
        <f>SUM(L657:M657)</f>
        <v>0</v>
      </c>
      <c r="O657" s="198">
        <f>SUM(P657:Y657)</f>
        <v>0</v>
      </c>
      <c r="P657" s="201"/>
      <c r="Q657" s="200"/>
      <c r="R657" s="202"/>
      <c r="S657" s="203"/>
      <c r="T657" s="200"/>
      <c r="U657" s="200"/>
      <c r="V657" s="200"/>
      <c r="W657" s="200"/>
      <c r="X657" s="200"/>
      <c r="Y657" s="202"/>
      <c r="Z657" s="149" t="str">
        <f t="shared" ca="1" si="1104"/>
        <v>nie</v>
      </c>
      <c r="AA657" s="384"/>
      <c r="AB657" s="150" t="str">
        <f t="shared" ca="1" si="1096"/>
        <v>-</v>
      </c>
      <c r="AC657" s="151" t="str">
        <f t="shared" ca="1" si="1072"/>
        <v>PO ZMIANIE</v>
      </c>
      <c r="AD657" s="152" t="str">
        <f t="shared" ca="1" si="1097"/>
        <v>PO ZMIANIE</v>
      </c>
      <c r="AE657" s="153" t="str">
        <f t="shared" ca="1" si="1073"/>
        <v>C/USN/V/P1/93</v>
      </c>
      <c r="AF657" s="154" t="str">
        <f t="shared" ca="1" si="1074"/>
        <v>Panele fotowoltaiczne na dachach budynków szkół podstawowych</v>
      </c>
      <c r="AG657" s="155">
        <f t="shared" ca="1" si="1075"/>
        <v>80101</v>
      </c>
      <c r="AH657" s="155" t="str">
        <f t="shared" ca="1" si="1076"/>
        <v>6050</v>
      </c>
      <c r="AI657" s="156" t="str">
        <f t="shared" ca="1" si="1077"/>
        <v>SMOG</v>
      </c>
      <c r="AJ657" s="157" t="str">
        <f t="shared" ca="1" si="1078"/>
        <v>WPF/UM</v>
      </c>
      <c r="AK657" s="158" t="str">
        <f t="shared" ca="1" si="1098"/>
        <v>C/USN/V/P1/93 80101 6050 SMOG</v>
      </c>
      <c r="AL657" s="158" t="str">
        <f t="shared" ca="1" si="1099"/>
        <v>C/USN/V/P1/93 80101 6050 WPF/UM</v>
      </c>
      <c r="AM657" s="159" t="str">
        <f t="shared" ca="1" si="1100"/>
        <v>C/USN/V/P1/93 80101 6050 SMOG WPF/UM</v>
      </c>
      <c r="AN657" s="160">
        <f t="shared" ca="1" si="1079"/>
        <v>0</v>
      </c>
      <c r="AO657" s="161">
        <f t="shared" ca="1" si="1080"/>
        <v>0</v>
      </c>
      <c r="AP657" s="162">
        <f t="shared" ca="1" si="1081"/>
        <v>0</v>
      </c>
      <c r="AQ657" s="163">
        <f t="shared" ca="1" si="1082"/>
        <v>0</v>
      </c>
      <c r="AR657" s="164">
        <f t="shared" ca="1" si="1083"/>
        <v>0</v>
      </c>
      <c r="AS657" s="164">
        <f t="shared" ca="1" si="1084"/>
        <v>0</v>
      </c>
      <c r="AT657" s="164">
        <f t="shared" ca="1" si="1085"/>
        <v>0</v>
      </c>
      <c r="AU657" s="164">
        <f t="shared" ca="1" si="1086"/>
        <v>0</v>
      </c>
      <c r="AV657" s="164">
        <f t="shared" ca="1" si="1087"/>
        <v>0</v>
      </c>
      <c r="AW657" s="164">
        <f t="shared" ca="1" si="1088"/>
        <v>0</v>
      </c>
      <c r="AX657" s="164">
        <f t="shared" ca="1" si="1089"/>
        <v>0</v>
      </c>
      <c r="AY657" s="164">
        <f t="shared" ca="1" si="1090"/>
        <v>0</v>
      </c>
      <c r="AZ657" s="164">
        <f t="shared" ca="1" si="1091"/>
        <v>0</v>
      </c>
      <c r="BA657" s="165" t="str">
        <f t="shared" ca="1" si="1092"/>
        <v>nie</v>
      </c>
      <c r="BB657" s="166" t="str">
        <f t="shared" ca="1" si="1101"/>
        <v>-</v>
      </c>
      <c r="BC657" s="165" t="str">
        <f t="shared" ca="1" si="1105"/>
        <v>nie</v>
      </c>
    </row>
    <row r="658" spans="1:55" ht="14.45" hidden="1" customHeight="1" x14ac:dyDescent="0.25">
      <c r="A658" s="143" t="s">
        <v>91</v>
      </c>
      <c r="B658" s="144"/>
      <c r="C658" s="145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6"/>
      <c r="S658" s="147"/>
      <c r="T658" s="147"/>
      <c r="U658" s="147"/>
      <c r="V658" s="147"/>
      <c r="W658" s="147"/>
      <c r="X658" s="147"/>
      <c r="Y658" s="148"/>
      <c r="Z658" s="149" t="str">
        <f t="shared" ca="1" si="1104"/>
        <v>nie</v>
      </c>
      <c r="AA658" s="366"/>
      <c r="AB658" s="150" t="str">
        <f t="shared" ca="1" si="895"/>
        <v>-</v>
      </c>
      <c r="AC658" s="151" t="str">
        <f t="shared" ca="1" si="1072"/>
        <v>PRZED ZMIANĄ</v>
      </c>
      <c r="AD658" s="152" t="str">
        <f t="shared" ca="1" si="1015"/>
        <v/>
      </c>
      <c r="AE658" s="153" t="str">
        <f t="shared" ca="1" si="1073"/>
        <v/>
      </c>
      <c r="AF658" s="154" t="str">
        <f t="shared" ca="1" si="1074"/>
        <v/>
      </c>
      <c r="AG658" s="155" t="str">
        <f t="shared" ca="1" si="1075"/>
        <v/>
      </c>
      <c r="AH658" s="155" t="str">
        <f t="shared" ca="1" si="1076"/>
        <v/>
      </c>
      <c r="AI658" s="156" t="str">
        <f t="shared" ca="1" si="1077"/>
        <v/>
      </c>
      <c r="AJ658" s="157" t="str">
        <f t="shared" ca="1" si="1078"/>
        <v/>
      </c>
      <c r="AK658" s="158" t="str">
        <f t="shared" ca="1" si="1016"/>
        <v/>
      </c>
      <c r="AL658" s="158" t="str">
        <f t="shared" ca="1" si="1017"/>
        <v/>
      </c>
      <c r="AM658" s="159" t="str">
        <f t="shared" ca="1" si="1018"/>
        <v/>
      </c>
      <c r="AN658" s="160" t="str">
        <f t="shared" ca="1" si="1079"/>
        <v/>
      </c>
      <c r="AO658" s="161" t="str">
        <f t="shared" ca="1" si="1080"/>
        <v/>
      </c>
      <c r="AP658" s="162" t="str">
        <f t="shared" ca="1" si="1081"/>
        <v/>
      </c>
      <c r="AQ658" s="163" t="str">
        <f t="shared" ca="1" si="1082"/>
        <v/>
      </c>
      <c r="AR658" s="164" t="str">
        <f t="shared" ca="1" si="1083"/>
        <v/>
      </c>
      <c r="AS658" s="164" t="str">
        <f t="shared" ca="1" si="1084"/>
        <v/>
      </c>
      <c r="AT658" s="164" t="str">
        <f t="shared" ca="1" si="1085"/>
        <v/>
      </c>
      <c r="AU658" s="164" t="str">
        <f t="shared" ca="1" si="1086"/>
        <v/>
      </c>
      <c r="AV658" s="164" t="str">
        <f t="shared" ca="1" si="1087"/>
        <v/>
      </c>
      <c r="AW658" s="164" t="str">
        <f t="shared" ca="1" si="1088"/>
        <v/>
      </c>
      <c r="AX658" s="164" t="str">
        <f t="shared" ca="1" si="1089"/>
        <v/>
      </c>
      <c r="AY658" s="164" t="str">
        <f t="shared" ca="1" si="1090"/>
        <v/>
      </c>
      <c r="AZ658" s="164" t="str">
        <f t="shared" ca="1" si="1091"/>
        <v/>
      </c>
      <c r="BA658" s="165" t="str">
        <f t="shared" ca="1" si="1092"/>
        <v>nie</v>
      </c>
      <c r="BB658" s="166" t="str">
        <f t="shared" ca="1" si="921"/>
        <v>-</v>
      </c>
      <c r="BC658" s="165" t="str">
        <f t="shared" ca="1" si="1105"/>
        <v>nie</v>
      </c>
    </row>
    <row r="659" spans="1:55" ht="14.45" hidden="1" customHeight="1" x14ac:dyDescent="0.25">
      <c r="A659" s="493" t="s">
        <v>24</v>
      </c>
      <c r="B659" s="493" t="s">
        <v>26</v>
      </c>
      <c r="C659" s="494" t="s">
        <v>182</v>
      </c>
      <c r="D659" s="505" t="s">
        <v>183</v>
      </c>
      <c r="E659" s="497">
        <v>801</v>
      </c>
      <c r="F659" s="497">
        <v>80104</v>
      </c>
      <c r="G659" s="497">
        <v>6050</v>
      </c>
      <c r="H659" s="498" t="s">
        <v>162</v>
      </c>
      <c r="I659" s="499" t="str">
        <f ca="1">IF(COUNTIF(OFFSET(I659,-1,-8),"*propon*")&gt;0,OFFSET(I659,4,0),IF(Y659&gt;0,"2033",IF(X659&gt;0,"2032",IF(W659&gt;0,"2031",IF(V659&gt;0,"2030",IF(U659&gt;0,"2029",IF(T659&gt;0,"2028",IF(S659&gt;0,"2027",IF(R659&gt;0,"2026",IF(Q659&gt;0,"2025",IF(P659&gt;0,"2024",IF(M659&gt;0,"2023",IF(L659&gt;0,"2022","")))))))))))))</f>
        <v>2025</v>
      </c>
      <c r="J659" s="168" t="s">
        <v>94</v>
      </c>
      <c r="K659" s="169">
        <f>SUM(N659:O659)</f>
        <v>1020000</v>
      </c>
      <c r="L659" s="170">
        <f t="shared" ref="L659:M659" si="1114">SUM(L660:L661)</f>
        <v>0</v>
      </c>
      <c r="M659" s="171">
        <f t="shared" si="1114"/>
        <v>0</v>
      </c>
      <c r="N659" s="172">
        <f>SUM(L659:M659)</f>
        <v>0</v>
      </c>
      <c r="O659" s="169">
        <f>SUM(P659:Y659)</f>
        <v>1020000</v>
      </c>
      <c r="P659" s="173">
        <f t="shared" ref="P659:R659" si="1115">SUM(P660:P661)</f>
        <v>749241</v>
      </c>
      <c r="Q659" s="171">
        <f t="shared" si="1115"/>
        <v>270759</v>
      </c>
      <c r="R659" s="174">
        <f t="shared" si="1115"/>
        <v>0</v>
      </c>
      <c r="S659" s="175">
        <f t="shared" ref="S659:Y659" si="1116">SUM(S660:S661)</f>
        <v>0</v>
      </c>
      <c r="T659" s="171">
        <f t="shared" si="1116"/>
        <v>0</v>
      </c>
      <c r="U659" s="171">
        <f t="shared" si="1116"/>
        <v>0</v>
      </c>
      <c r="V659" s="171">
        <f t="shared" si="1116"/>
        <v>0</v>
      </c>
      <c r="W659" s="171">
        <f t="shared" si="1116"/>
        <v>0</v>
      </c>
      <c r="X659" s="171">
        <f t="shared" si="1116"/>
        <v>0</v>
      </c>
      <c r="Y659" s="174">
        <f t="shared" si="1116"/>
        <v>0</v>
      </c>
      <c r="Z659" s="149" t="str">
        <f t="shared" ca="1" si="1104"/>
        <v>nie</v>
      </c>
      <c r="AA659" s="366"/>
      <c r="AB659" s="150" t="str">
        <f t="shared" ca="1" si="895"/>
        <v>-</v>
      </c>
      <c r="AC659" s="151" t="str">
        <f t="shared" ca="1" si="1072"/>
        <v>PRZED ZMIANĄ</v>
      </c>
      <c r="AD659" s="152" t="str">
        <f t="shared" ca="1" si="1015"/>
        <v>PRZED ZMIANĄ</v>
      </c>
      <c r="AE659" s="153" t="str">
        <f t="shared" ca="1" si="1073"/>
        <v>C/USN/V/P1/94</v>
      </c>
      <c r="AF659" s="154" t="str">
        <f t="shared" ca="1" si="1074"/>
        <v>Panele fotowoltaiczne na dachach przedszkoli</v>
      </c>
      <c r="AG659" s="155">
        <f t="shared" ca="1" si="1075"/>
        <v>80104</v>
      </c>
      <c r="AH659" s="155" t="str">
        <f t="shared" ca="1" si="1076"/>
        <v>6050</v>
      </c>
      <c r="AI659" s="156" t="str">
        <f t="shared" ca="1" si="1077"/>
        <v>GMMW</v>
      </c>
      <c r="AJ659" s="157" t="str">
        <f t="shared" ca="1" si="1078"/>
        <v>WPF, w tym</v>
      </c>
      <c r="AK659" s="158" t="str">
        <f t="shared" ca="1" si="1016"/>
        <v>C/USN/V/P1/94 80104 6050 GMMW</v>
      </c>
      <c r="AL659" s="158" t="str">
        <f t="shared" ca="1" si="1017"/>
        <v>C/USN/V/P1/94 80104 6050 WPF, w tym</v>
      </c>
      <c r="AM659" s="159" t="str">
        <f t="shared" ca="1" si="1018"/>
        <v>C/USN/V/P1/94 80104 6050 GMMW WPF, w tym</v>
      </c>
      <c r="AN659" s="160">
        <f t="shared" ca="1" si="1079"/>
        <v>1020000</v>
      </c>
      <c r="AO659" s="161">
        <f t="shared" ca="1" si="1080"/>
        <v>0</v>
      </c>
      <c r="AP659" s="162">
        <f t="shared" ca="1" si="1081"/>
        <v>0</v>
      </c>
      <c r="AQ659" s="163">
        <f t="shared" ca="1" si="1082"/>
        <v>749241</v>
      </c>
      <c r="AR659" s="164">
        <f t="shared" ca="1" si="1083"/>
        <v>270759</v>
      </c>
      <c r="AS659" s="164">
        <f t="shared" ca="1" si="1084"/>
        <v>0</v>
      </c>
      <c r="AT659" s="164">
        <f t="shared" ca="1" si="1085"/>
        <v>0</v>
      </c>
      <c r="AU659" s="164">
        <f t="shared" ca="1" si="1086"/>
        <v>0</v>
      </c>
      <c r="AV659" s="164">
        <f t="shared" ca="1" si="1087"/>
        <v>0</v>
      </c>
      <c r="AW659" s="164">
        <f t="shared" ca="1" si="1088"/>
        <v>0</v>
      </c>
      <c r="AX659" s="164">
        <f t="shared" ca="1" si="1089"/>
        <v>0</v>
      </c>
      <c r="AY659" s="164">
        <f t="shared" ca="1" si="1090"/>
        <v>0</v>
      </c>
      <c r="AZ659" s="164">
        <f t="shared" ca="1" si="1091"/>
        <v>0</v>
      </c>
      <c r="BA659" s="165" t="str">
        <f t="shared" ca="1" si="1092"/>
        <v>nie</v>
      </c>
      <c r="BB659" s="166" t="str">
        <f t="shared" ca="1" si="921"/>
        <v>-</v>
      </c>
      <c r="BC659" s="165" t="str">
        <f t="shared" ca="1" si="1105"/>
        <v>nie</v>
      </c>
    </row>
    <row r="660" spans="1:55" ht="14.45" hidden="1" customHeight="1" x14ac:dyDescent="0.25">
      <c r="A660" s="493"/>
      <c r="B660" s="493"/>
      <c r="C660" s="494"/>
      <c r="D660" s="506"/>
      <c r="E660" s="497"/>
      <c r="F660" s="497"/>
      <c r="G660" s="497"/>
      <c r="H660" s="498"/>
      <c r="I660" s="499"/>
      <c r="J660" s="177" t="s">
        <v>95</v>
      </c>
      <c r="K660" s="178">
        <f>SUM(N660:O660)</f>
        <v>1020000</v>
      </c>
      <c r="L660" s="179"/>
      <c r="M660" s="180"/>
      <c r="N660" s="172">
        <f>SUM(L660:M660)</f>
        <v>0</v>
      </c>
      <c r="O660" s="178">
        <f>SUM(P660:Y660)</f>
        <v>1020000</v>
      </c>
      <c r="P660" s="181">
        <v>749241</v>
      </c>
      <c r="Q660" s="180">
        <v>270759</v>
      </c>
      <c r="R660" s="182"/>
      <c r="S660" s="183"/>
      <c r="T660" s="180"/>
      <c r="U660" s="180"/>
      <c r="V660" s="180"/>
      <c r="W660" s="180"/>
      <c r="X660" s="180"/>
      <c r="Y660" s="182"/>
      <c r="Z660" s="149" t="str">
        <f t="shared" ca="1" si="1104"/>
        <v>nie</v>
      </c>
      <c r="AA660" s="366"/>
      <c r="AB660" s="150" t="str">
        <f t="shared" ca="1" si="895"/>
        <v>-</v>
      </c>
      <c r="AC660" s="151" t="str">
        <f t="shared" ca="1" si="1072"/>
        <v>PRZED ZMIANĄ</v>
      </c>
      <c r="AD660" s="152" t="str">
        <f t="shared" ca="1" si="1015"/>
        <v>PRZED ZMIANĄ</v>
      </c>
      <c r="AE660" s="153" t="str">
        <f t="shared" ca="1" si="1073"/>
        <v>C/USN/V/P1/94</v>
      </c>
      <c r="AF660" s="154" t="str">
        <f t="shared" ca="1" si="1074"/>
        <v>Panele fotowoltaiczne na dachach przedszkoli</v>
      </c>
      <c r="AG660" s="155">
        <f t="shared" ca="1" si="1075"/>
        <v>80104</v>
      </c>
      <c r="AH660" s="155" t="str">
        <f t="shared" ca="1" si="1076"/>
        <v>6050</v>
      </c>
      <c r="AI660" s="156" t="str">
        <f t="shared" ca="1" si="1077"/>
        <v>GMMW</v>
      </c>
      <c r="AJ660" s="157" t="str">
        <f t="shared" ca="1" si="1078"/>
        <v>WPF/PM</v>
      </c>
      <c r="AK660" s="158" t="str">
        <f t="shared" ca="1" si="1016"/>
        <v>C/USN/V/P1/94 80104 6050 GMMW</v>
      </c>
      <c r="AL660" s="158" t="str">
        <f t="shared" ca="1" si="1017"/>
        <v>C/USN/V/P1/94 80104 6050 WPF/PM</v>
      </c>
      <c r="AM660" s="159" t="str">
        <f t="shared" ca="1" si="1018"/>
        <v>C/USN/V/P1/94 80104 6050 GMMW WPF/PM</v>
      </c>
      <c r="AN660" s="160">
        <f t="shared" ca="1" si="1079"/>
        <v>1020000</v>
      </c>
      <c r="AO660" s="161">
        <f t="shared" ca="1" si="1080"/>
        <v>0</v>
      </c>
      <c r="AP660" s="162">
        <f t="shared" ca="1" si="1081"/>
        <v>0</v>
      </c>
      <c r="AQ660" s="163">
        <f t="shared" ca="1" si="1082"/>
        <v>749241</v>
      </c>
      <c r="AR660" s="164">
        <f t="shared" ca="1" si="1083"/>
        <v>270759</v>
      </c>
      <c r="AS660" s="164">
        <f t="shared" ca="1" si="1084"/>
        <v>0</v>
      </c>
      <c r="AT660" s="164">
        <f t="shared" ca="1" si="1085"/>
        <v>0</v>
      </c>
      <c r="AU660" s="164">
        <f t="shared" ca="1" si="1086"/>
        <v>0</v>
      </c>
      <c r="AV660" s="164">
        <f t="shared" ca="1" si="1087"/>
        <v>0</v>
      </c>
      <c r="AW660" s="164">
        <f t="shared" ca="1" si="1088"/>
        <v>0</v>
      </c>
      <c r="AX660" s="164">
        <f t="shared" ca="1" si="1089"/>
        <v>0</v>
      </c>
      <c r="AY660" s="164">
        <f t="shared" ca="1" si="1090"/>
        <v>0</v>
      </c>
      <c r="AZ660" s="164">
        <f t="shared" ca="1" si="1091"/>
        <v>0</v>
      </c>
      <c r="BA660" s="165" t="str">
        <f t="shared" ca="1" si="1092"/>
        <v>nie</v>
      </c>
      <c r="BB660" s="166" t="str">
        <f t="shared" ca="1" si="921"/>
        <v>-</v>
      </c>
      <c r="BC660" s="165" t="str">
        <f t="shared" ca="1" si="1105"/>
        <v>nie</v>
      </c>
    </row>
    <row r="661" spans="1:55" ht="14.45" hidden="1" customHeight="1" x14ac:dyDescent="0.25">
      <c r="A661" s="550"/>
      <c r="B661" s="550"/>
      <c r="C661" s="494"/>
      <c r="D661" s="506"/>
      <c r="E661" s="535"/>
      <c r="F661" s="497"/>
      <c r="G661" s="497"/>
      <c r="H661" s="498"/>
      <c r="I661" s="499"/>
      <c r="J661" s="177" t="s">
        <v>96</v>
      </c>
      <c r="K661" s="178">
        <f>SUM(N661:O661)</f>
        <v>0</v>
      </c>
      <c r="L661" s="184"/>
      <c r="M661" s="180">
        <v>0</v>
      </c>
      <c r="N661" s="172">
        <f>SUM(L661:M661)</f>
        <v>0</v>
      </c>
      <c r="O661" s="178">
        <f>SUM(P661:Y661)</f>
        <v>0</v>
      </c>
      <c r="P661" s="181"/>
      <c r="Q661" s="180"/>
      <c r="R661" s="182"/>
      <c r="S661" s="183"/>
      <c r="T661" s="180"/>
      <c r="U661" s="180"/>
      <c r="V661" s="180"/>
      <c r="W661" s="180"/>
      <c r="X661" s="180"/>
      <c r="Y661" s="182"/>
      <c r="Z661" s="149" t="str">
        <f t="shared" ca="1" si="1104"/>
        <v>nie</v>
      </c>
      <c r="AA661" s="366"/>
      <c r="AB661" s="150" t="str">
        <f t="shared" ca="1" si="895"/>
        <v>-</v>
      </c>
      <c r="AC661" s="151" t="str">
        <f t="shared" ca="1" si="1072"/>
        <v>PRZED ZMIANĄ</v>
      </c>
      <c r="AD661" s="152" t="str">
        <f t="shared" ca="1" si="1015"/>
        <v>PRZED ZMIANĄ</v>
      </c>
      <c r="AE661" s="153" t="str">
        <f t="shared" ca="1" si="1073"/>
        <v>C/USN/V/P1/94</v>
      </c>
      <c r="AF661" s="154" t="str">
        <f t="shared" ca="1" si="1074"/>
        <v>Panele fotowoltaiczne na dachach przedszkoli</v>
      </c>
      <c r="AG661" s="155">
        <f t="shared" ca="1" si="1075"/>
        <v>80104</v>
      </c>
      <c r="AH661" s="155" t="str">
        <f t="shared" ca="1" si="1076"/>
        <v>6050</v>
      </c>
      <c r="AI661" s="156" t="str">
        <f t="shared" ca="1" si="1077"/>
        <v>GMMW</v>
      </c>
      <c r="AJ661" s="157" t="str">
        <f t="shared" ca="1" si="1078"/>
        <v>WPF/UM</v>
      </c>
      <c r="AK661" s="158" t="str">
        <f t="shared" ca="1" si="1016"/>
        <v>C/USN/V/P1/94 80104 6050 GMMW</v>
      </c>
      <c r="AL661" s="158" t="str">
        <f t="shared" ca="1" si="1017"/>
        <v>C/USN/V/P1/94 80104 6050 WPF/UM</v>
      </c>
      <c r="AM661" s="159" t="str">
        <f t="shared" ca="1" si="1018"/>
        <v>C/USN/V/P1/94 80104 6050 GMMW WPF/UM</v>
      </c>
      <c r="AN661" s="160">
        <f t="shared" ca="1" si="1079"/>
        <v>0</v>
      </c>
      <c r="AO661" s="161">
        <f t="shared" ca="1" si="1080"/>
        <v>0</v>
      </c>
      <c r="AP661" s="162">
        <f t="shared" ca="1" si="1081"/>
        <v>0</v>
      </c>
      <c r="AQ661" s="163">
        <f t="shared" ca="1" si="1082"/>
        <v>0</v>
      </c>
      <c r="AR661" s="164">
        <f t="shared" ca="1" si="1083"/>
        <v>0</v>
      </c>
      <c r="AS661" s="164">
        <f t="shared" ca="1" si="1084"/>
        <v>0</v>
      </c>
      <c r="AT661" s="164">
        <f t="shared" ca="1" si="1085"/>
        <v>0</v>
      </c>
      <c r="AU661" s="164">
        <f t="shared" ca="1" si="1086"/>
        <v>0</v>
      </c>
      <c r="AV661" s="164">
        <f t="shared" ca="1" si="1087"/>
        <v>0</v>
      </c>
      <c r="AW661" s="164">
        <f t="shared" ca="1" si="1088"/>
        <v>0</v>
      </c>
      <c r="AX661" s="164">
        <f t="shared" ca="1" si="1089"/>
        <v>0</v>
      </c>
      <c r="AY661" s="164">
        <f t="shared" ca="1" si="1090"/>
        <v>0</v>
      </c>
      <c r="AZ661" s="164">
        <f t="shared" ca="1" si="1091"/>
        <v>0</v>
      </c>
      <c r="BA661" s="165" t="str">
        <f t="shared" ca="1" si="1092"/>
        <v>nie</v>
      </c>
      <c r="BB661" s="166" t="str">
        <f t="shared" ca="1" si="921"/>
        <v>-</v>
      </c>
      <c r="BC661" s="165" t="str">
        <f t="shared" ca="1" si="1105"/>
        <v>nie</v>
      </c>
    </row>
    <row r="662" spans="1:55" ht="14.45" hidden="1" customHeight="1" x14ac:dyDescent="0.25">
      <c r="A662" s="185" t="s">
        <v>97</v>
      </c>
      <c r="B662" s="186"/>
      <c r="C662" s="187"/>
      <c r="D662" s="186"/>
      <c r="E662" s="186"/>
      <c r="F662" s="186"/>
      <c r="G662" s="186"/>
      <c r="H662" s="186"/>
      <c r="I662" s="186"/>
      <c r="J662" s="186"/>
      <c r="K662" s="186"/>
      <c r="L662" s="186"/>
      <c r="M662" s="186"/>
      <c r="N662" s="186"/>
      <c r="O662" s="186"/>
      <c r="P662" s="186"/>
      <c r="Q662" s="186"/>
      <c r="R662" s="188"/>
      <c r="S662" s="189"/>
      <c r="T662" s="189"/>
      <c r="U662" s="189"/>
      <c r="V662" s="189"/>
      <c r="W662" s="189"/>
      <c r="X662" s="189"/>
      <c r="Y662" s="190"/>
      <c r="Z662" s="149" t="str">
        <f t="shared" ca="1" si="1104"/>
        <v>nie</v>
      </c>
      <c r="AA662" s="366"/>
      <c r="AB662" s="150" t="str">
        <f t="shared" ca="1" si="895"/>
        <v>-</v>
      </c>
      <c r="AC662" s="151" t="str">
        <f t="shared" ca="1" si="1072"/>
        <v>PROPONOWANA ZMIANA</v>
      </c>
      <c r="AD662" s="152" t="str">
        <f t="shared" ca="1" si="1015"/>
        <v/>
      </c>
      <c r="AE662" s="153" t="str">
        <f t="shared" ca="1" si="1073"/>
        <v/>
      </c>
      <c r="AF662" s="154" t="str">
        <f t="shared" ca="1" si="1074"/>
        <v/>
      </c>
      <c r="AG662" s="155" t="str">
        <f t="shared" ca="1" si="1075"/>
        <v/>
      </c>
      <c r="AH662" s="155" t="str">
        <f t="shared" ca="1" si="1076"/>
        <v/>
      </c>
      <c r="AI662" s="156" t="str">
        <f t="shared" ca="1" si="1077"/>
        <v/>
      </c>
      <c r="AJ662" s="157" t="str">
        <f t="shared" ca="1" si="1078"/>
        <v/>
      </c>
      <c r="AK662" s="158" t="str">
        <f t="shared" ca="1" si="1016"/>
        <v/>
      </c>
      <c r="AL662" s="158" t="str">
        <f t="shared" ca="1" si="1017"/>
        <v/>
      </c>
      <c r="AM662" s="159" t="str">
        <f t="shared" ca="1" si="1018"/>
        <v/>
      </c>
      <c r="AN662" s="160" t="str">
        <f t="shared" ca="1" si="1079"/>
        <v/>
      </c>
      <c r="AO662" s="161" t="str">
        <f t="shared" ca="1" si="1080"/>
        <v/>
      </c>
      <c r="AP662" s="162" t="str">
        <f t="shared" ca="1" si="1081"/>
        <v/>
      </c>
      <c r="AQ662" s="163" t="str">
        <f t="shared" ca="1" si="1082"/>
        <v/>
      </c>
      <c r="AR662" s="164" t="str">
        <f t="shared" ca="1" si="1083"/>
        <v/>
      </c>
      <c r="AS662" s="164" t="str">
        <f t="shared" ca="1" si="1084"/>
        <v/>
      </c>
      <c r="AT662" s="164" t="str">
        <f t="shared" ca="1" si="1085"/>
        <v/>
      </c>
      <c r="AU662" s="164" t="str">
        <f t="shared" ca="1" si="1086"/>
        <v/>
      </c>
      <c r="AV662" s="164" t="str">
        <f t="shared" ca="1" si="1087"/>
        <v/>
      </c>
      <c r="AW662" s="164" t="str">
        <f t="shared" ca="1" si="1088"/>
        <v/>
      </c>
      <c r="AX662" s="164" t="str">
        <f t="shared" ca="1" si="1089"/>
        <v/>
      </c>
      <c r="AY662" s="164" t="str">
        <f t="shared" ca="1" si="1090"/>
        <v/>
      </c>
      <c r="AZ662" s="164" t="str">
        <f t="shared" ca="1" si="1091"/>
        <v/>
      </c>
      <c r="BA662" s="165" t="str">
        <f t="shared" ca="1" si="1092"/>
        <v>nie</v>
      </c>
      <c r="BB662" s="166" t="str">
        <f t="shared" ca="1" si="921"/>
        <v>-</v>
      </c>
      <c r="BC662" s="165" t="str">
        <f t="shared" ca="1" si="1105"/>
        <v>nie</v>
      </c>
    </row>
    <row r="663" spans="1:55" ht="14.45" hidden="1" customHeight="1" x14ac:dyDescent="0.25">
      <c r="A663" s="493" t="s">
        <v>24</v>
      </c>
      <c r="B663" s="493" t="s">
        <v>26</v>
      </c>
      <c r="C663" s="494" t="s">
        <v>182</v>
      </c>
      <c r="D663" s="505" t="s">
        <v>183</v>
      </c>
      <c r="E663" s="497">
        <v>801</v>
      </c>
      <c r="F663" s="497">
        <v>80104</v>
      </c>
      <c r="G663" s="497">
        <v>6050</v>
      </c>
      <c r="H663" s="498" t="s">
        <v>162</v>
      </c>
      <c r="I663" s="499" t="str">
        <f ca="1">IF(COUNTIF(OFFSET(I663,-1,-8),"*propon*")&gt;0,OFFSET(I663,4,0),IF(Y663&gt;0,"2033",IF(X663&gt;0,"2032",IF(W663&gt;0,"2031",IF(V663&gt;0,"2030",IF(U663&gt;0,"2029",IF(T663&gt;0,"2028",IF(S663&gt;0,"2027",IF(R663&gt;0,"2026",IF(Q663&gt;0,"2025",IF(P663&gt;0,"2024",IF(M663&gt;0,"2023",IF(L663&gt;0,"2022","")))))))))))))</f>
        <v>2025</v>
      </c>
      <c r="J663" s="168" t="s">
        <v>98</v>
      </c>
      <c r="K663" s="169">
        <f>SUM(N663:O663)</f>
        <v>0</v>
      </c>
      <c r="L663" s="170">
        <f t="shared" ref="L663:M663" si="1117">SUM(L664:L665)</f>
        <v>0</v>
      </c>
      <c r="M663" s="171">
        <f t="shared" si="1117"/>
        <v>0</v>
      </c>
      <c r="N663" s="172">
        <f>SUM(L663:M663)</f>
        <v>0</v>
      </c>
      <c r="O663" s="169">
        <f>SUM(P663:Y663)</f>
        <v>0</v>
      </c>
      <c r="P663" s="173">
        <f t="shared" ref="P663:R663" si="1118">SUM(P664:P665)</f>
        <v>0</v>
      </c>
      <c r="Q663" s="171">
        <f t="shared" si="1118"/>
        <v>0</v>
      </c>
      <c r="R663" s="174">
        <f t="shared" si="1118"/>
        <v>0</v>
      </c>
      <c r="S663" s="175">
        <f t="shared" ref="S663:Y663" si="1119">SUM(S664:S665)</f>
        <v>0</v>
      </c>
      <c r="T663" s="171">
        <f t="shared" si="1119"/>
        <v>0</v>
      </c>
      <c r="U663" s="171">
        <f t="shared" si="1119"/>
        <v>0</v>
      </c>
      <c r="V663" s="171">
        <f t="shared" si="1119"/>
        <v>0</v>
      </c>
      <c r="W663" s="171">
        <f t="shared" si="1119"/>
        <v>0</v>
      </c>
      <c r="X663" s="171">
        <f t="shared" si="1119"/>
        <v>0</v>
      </c>
      <c r="Y663" s="174">
        <f t="shared" si="1119"/>
        <v>0</v>
      </c>
      <c r="Z663" s="149" t="str">
        <f t="shared" ca="1" si="1104"/>
        <v>nie</v>
      </c>
      <c r="AA663" s="366"/>
      <c r="AB663" s="150" t="str">
        <f t="shared" ref="AB663:AB762" ca="1" si="1120">IF(IF(OR(COUNTIF(AD663,"*bilans*")&gt;0,COUNTIF(AD663,"*prop*")&gt;0),COUNTIF(AO663:AZ663,"")+COUNTIF(AO663:AZ663,"0"),"")&lt;12,AE663,"-")</f>
        <v>-</v>
      </c>
      <c r="AC663" s="151" t="str">
        <f t="shared" ca="1" si="1072"/>
        <v>PROPONOWANA ZMIANA</v>
      </c>
      <c r="AD663" s="152" t="str">
        <f t="shared" ca="1" si="1015"/>
        <v>PROPONOWANA ZMIANA</v>
      </c>
      <c r="AE663" s="153" t="str">
        <f t="shared" ca="1" si="1073"/>
        <v>C/USN/V/P1/94</v>
      </c>
      <c r="AF663" s="154" t="str">
        <f t="shared" ca="1" si="1074"/>
        <v>Panele fotowoltaiczne na dachach przedszkoli</v>
      </c>
      <c r="AG663" s="155">
        <f t="shared" ca="1" si="1075"/>
        <v>80104</v>
      </c>
      <c r="AH663" s="155" t="str">
        <f t="shared" ca="1" si="1076"/>
        <v>6050</v>
      </c>
      <c r="AI663" s="156" t="str">
        <f t="shared" ca="1" si="1077"/>
        <v>GMMW</v>
      </c>
      <c r="AJ663" s="157" t="str">
        <f t="shared" ca="1" si="1078"/>
        <v>WPF, w tym</v>
      </c>
      <c r="AK663" s="158" t="str">
        <f t="shared" ca="1" si="1016"/>
        <v>C/USN/V/P1/94 80104 6050 GMMW</v>
      </c>
      <c r="AL663" s="158" t="str">
        <f t="shared" ca="1" si="1017"/>
        <v>C/USN/V/P1/94 80104 6050 WPF, w tym</v>
      </c>
      <c r="AM663" s="159" t="str">
        <f t="shared" ca="1" si="1018"/>
        <v>C/USN/V/P1/94 80104 6050 GMMW WPF, w tym</v>
      </c>
      <c r="AN663" s="160">
        <f t="shared" ca="1" si="1079"/>
        <v>0</v>
      </c>
      <c r="AO663" s="161">
        <f t="shared" ca="1" si="1080"/>
        <v>0</v>
      </c>
      <c r="AP663" s="162">
        <f t="shared" ca="1" si="1081"/>
        <v>0</v>
      </c>
      <c r="AQ663" s="163">
        <f t="shared" ca="1" si="1082"/>
        <v>0</v>
      </c>
      <c r="AR663" s="164">
        <f t="shared" ca="1" si="1083"/>
        <v>0</v>
      </c>
      <c r="AS663" s="164">
        <f t="shared" ca="1" si="1084"/>
        <v>0</v>
      </c>
      <c r="AT663" s="164">
        <f t="shared" ca="1" si="1085"/>
        <v>0</v>
      </c>
      <c r="AU663" s="164">
        <f t="shared" ca="1" si="1086"/>
        <v>0</v>
      </c>
      <c r="AV663" s="164">
        <f t="shared" ca="1" si="1087"/>
        <v>0</v>
      </c>
      <c r="AW663" s="164">
        <f t="shared" ca="1" si="1088"/>
        <v>0</v>
      </c>
      <c r="AX663" s="164">
        <f t="shared" ca="1" si="1089"/>
        <v>0</v>
      </c>
      <c r="AY663" s="164">
        <f t="shared" ca="1" si="1090"/>
        <v>0</v>
      </c>
      <c r="AZ663" s="164">
        <f t="shared" ca="1" si="1091"/>
        <v>0</v>
      </c>
      <c r="BA663" s="165" t="str">
        <f t="shared" ca="1" si="1092"/>
        <v>nie</v>
      </c>
      <c r="BB663" s="166" t="str">
        <f t="shared" ref="BB663:BB762" ca="1" si="1121">IF(COUNTIF(AD663,"*bilans*")&gt;0,"-",IF(IF(COUNTIF(AD663,"*prop*")&gt;0,COUNTIF(AO663:AZ663,"")+COUNTIF(AO663:AZ663,"0"),"")&lt;12,AK663,"-"))</f>
        <v>-</v>
      </c>
      <c r="BC663" s="165" t="str">
        <f t="shared" ca="1" si="1105"/>
        <v>nie</v>
      </c>
    </row>
    <row r="664" spans="1:55" ht="14.45" hidden="1" customHeight="1" x14ac:dyDescent="0.25">
      <c r="A664" s="493"/>
      <c r="B664" s="493"/>
      <c r="C664" s="494"/>
      <c r="D664" s="506"/>
      <c r="E664" s="497"/>
      <c r="F664" s="497"/>
      <c r="G664" s="497"/>
      <c r="H664" s="498"/>
      <c r="I664" s="499"/>
      <c r="J664" s="177" t="s">
        <v>99</v>
      </c>
      <c r="K664" s="178">
        <f>SUM(N664:O664)</f>
        <v>0</v>
      </c>
      <c r="L664" s="179">
        <f t="shared" ref="L664:M664" si="1122">L668-L660</f>
        <v>0</v>
      </c>
      <c r="M664" s="180">
        <f t="shared" si="1122"/>
        <v>0</v>
      </c>
      <c r="N664" s="172">
        <f>SUM(L664:M664)</f>
        <v>0</v>
      </c>
      <c r="O664" s="178">
        <f>SUM(P664:Y664)</f>
        <v>0</v>
      </c>
      <c r="P664" s="181">
        <f t="shared" ref="P664:R664" si="1123">P668-P660</f>
        <v>0</v>
      </c>
      <c r="Q664" s="180">
        <f t="shared" si="1123"/>
        <v>0</v>
      </c>
      <c r="R664" s="182">
        <f t="shared" si="1123"/>
        <v>0</v>
      </c>
      <c r="S664" s="183">
        <f t="shared" ref="S664:Y665" si="1124">S668-S660</f>
        <v>0</v>
      </c>
      <c r="T664" s="180">
        <f t="shared" si="1124"/>
        <v>0</v>
      </c>
      <c r="U664" s="180">
        <f t="shared" si="1124"/>
        <v>0</v>
      </c>
      <c r="V664" s="180">
        <f t="shared" si="1124"/>
        <v>0</v>
      </c>
      <c r="W664" s="180">
        <f t="shared" si="1124"/>
        <v>0</v>
      </c>
      <c r="X664" s="180">
        <f t="shared" si="1124"/>
        <v>0</v>
      </c>
      <c r="Y664" s="182">
        <f t="shared" si="1124"/>
        <v>0</v>
      </c>
      <c r="Z664" s="149" t="str">
        <f t="shared" ca="1" si="1104"/>
        <v>nie</v>
      </c>
      <c r="AA664" s="366"/>
      <c r="AB664" s="150" t="str">
        <f t="shared" ca="1" si="1120"/>
        <v>-</v>
      </c>
      <c r="AC664" s="151" t="str">
        <f t="shared" ca="1" si="1072"/>
        <v>PROPONOWANA ZMIANA</v>
      </c>
      <c r="AD664" s="152" t="str">
        <f t="shared" ca="1" si="1015"/>
        <v>PROPONOWANA ZMIANA</v>
      </c>
      <c r="AE664" s="153" t="str">
        <f t="shared" ca="1" si="1073"/>
        <v>C/USN/V/P1/94</v>
      </c>
      <c r="AF664" s="154" t="str">
        <f t="shared" ca="1" si="1074"/>
        <v>Panele fotowoltaiczne na dachach przedszkoli</v>
      </c>
      <c r="AG664" s="155">
        <f t="shared" ca="1" si="1075"/>
        <v>80104</v>
      </c>
      <c r="AH664" s="155" t="str">
        <f t="shared" ca="1" si="1076"/>
        <v>6050</v>
      </c>
      <c r="AI664" s="156" t="str">
        <f t="shared" ca="1" si="1077"/>
        <v>GMMW</v>
      </c>
      <c r="AJ664" s="157" t="str">
        <f t="shared" ca="1" si="1078"/>
        <v>WPF/PM</v>
      </c>
      <c r="AK664" s="158" t="str">
        <f t="shared" ca="1" si="1016"/>
        <v>C/USN/V/P1/94 80104 6050 GMMW</v>
      </c>
      <c r="AL664" s="158" t="str">
        <f t="shared" ca="1" si="1017"/>
        <v>C/USN/V/P1/94 80104 6050 WPF/PM</v>
      </c>
      <c r="AM664" s="159" t="str">
        <f t="shared" ca="1" si="1018"/>
        <v>C/USN/V/P1/94 80104 6050 GMMW WPF/PM</v>
      </c>
      <c r="AN664" s="160">
        <f t="shared" ca="1" si="1079"/>
        <v>0</v>
      </c>
      <c r="AO664" s="161">
        <f t="shared" ca="1" si="1080"/>
        <v>0</v>
      </c>
      <c r="AP664" s="162">
        <f t="shared" ca="1" si="1081"/>
        <v>0</v>
      </c>
      <c r="AQ664" s="163">
        <f t="shared" ca="1" si="1082"/>
        <v>0</v>
      </c>
      <c r="AR664" s="164">
        <f t="shared" ca="1" si="1083"/>
        <v>0</v>
      </c>
      <c r="AS664" s="164">
        <f t="shared" ca="1" si="1084"/>
        <v>0</v>
      </c>
      <c r="AT664" s="164">
        <f t="shared" ca="1" si="1085"/>
        <v>0</v>
      </c>
      <c r="AU664" s="164">
        <f t="shared" ca="1" si="1086"/>
        <v>0</v>
      </c>
      <c r="AV664" s="164">
        <f t="shared" ca="1" si="1087"/>
        <v>0</v>
      </c>
      <c r="AW664" s="164">
        <f t="shared" ca="1" si="1088"/>
        <v>0</v>
      </c>
      <c r="AX664" s="164">
        <f t="shared" ca="1" si="1089"/>
        <v>0</v>
      </c>
      <c r="AY664" s="164">
        <f t="shared" ca="1" si="1090"/>
        <v>0</v>
      </c>
      <c r="AZ664" s="164">
        <f t="shared" ca="1" si="1091"/>
        <v>0</v>
      </c>
      <c r="BA664" s="165" t="str">
        <f t="shared" ca="1" si="1092"/>
        <v>nie</v>
      </c>
      <c r="BB664" s="166" t="str">
        <f t="shared" ca="1" si="1121"/>
        <v>-</v>
      </c>
      <c r="BC664" s="165" t="str">
        <f t="shared" ca="1" si="1105"/>
        <v>nie</v>
      </c>
    </row>
    <row r="665" spans="1:55" ht="14.45" hidden="1" customHeight="1" x14ac:dyDescent="0.25">
      <c r="A665" s="550"/>
      <c r="B665" s="550"/>
      <c r="C665" s="494"/>
      <c r="D665" s="506"/>
      <c r="E665" s="535"/>
      <c r="F665" s="497"/>
      <c r="G665" s="497"/>
      <c r="H665" s="498"/>
      <c r="I665" s="499"/>
      <c r="J665" s="177" t="s">
        <v>100</v>
      </c>
      <c r="K665" s="178">
        <f>SUM(N665:O665)</f>
        <v>0</v>
      </c>
      <c r="L665" s="179">
        <f t="shared" ref="L665:M665" si="1125">L669-L661</f>
        <v>0</v>
      </c>
      <c r="M665" s="180">
        <f t="shared" si="1125"/>
        <v>0</v>
      </c>
      <c r="N665" s="172">
        <f>SUM(L665:M665)</f>
        <v>0</v>
      </c>
      <c r="O665" s="178">
        <f>SUM(P665:Y665)</f>
        <v>0</v>
      </c>
      <c r="P665" s="181">
        <f t="shared" ref="P665:R665" si="1126">P669-P661</f>
        <v>0</v>
      </c>
      <c r="Q665" s="180">
        <f t="shared" si="1126"/>
        <v>0</v>
      </c>
      <c r="R665" s="182">
        <f t="shared" si="1126"/>
        <v>0</v>
      </c>
      <c r="S665" s="183">
        <f t="shared" si="1124"/>
        <v>0</v>
      </c>
      <c r="T665" s="180">
        <f t="shared" si="1124"/>
        <v>0</v>
      </c>
      <c r="U665" s="180">
        <f t="shared" si="1124"/>
        <v>0</v>
      </c>
      <c r="V665" s="180">
        <f t="shared" si="1124"/>
        <v>0</v>
      </c>
      <c r="W665" s="180">
        <f t="shared" si="1124"/>
        <v>0</v>
      </c>
      <c r="X665" s="180">
        <f t="shared" si="1124"/>
        <v>0</v>
      </c>
      <c r="Y665" s="182">
        <f t="shared" si="1124"/>
        <v>0</v>
      </c>
      <c r="Z665" s="149" t="str">
        <f t="shared" ca="1" si="1104"/>
        <v>nie</v>
      </c>
      <c r="AA665" s="366"/>
      <c r="AB665" s="150" t="str">
        <f t="shared" ca="1" si="1120"/>
        <v>-</v>
      </c>
      <c r="AC665" s="151" t="str">
        <f t="shared" ca="1" si="1072"/>
        <v>PROPONOWANA ZMIANA</v>
      </c>
      <c r="AD665" s="152" t="str">
        <f t="shared" ca="1" si="1015"/>
        <v>PROPONOWANA ZMIANA</v>
      </c>
      <c r="AE665" s="153" t="str">
        <f t="shared" ca="1" si="1073"/>
        <v>C/USN/V/P1/94</v>
      </c>
      <c r="AF665" s="154" t="str">
        <f t="shared" ca="1" si="1074"/>
        <v>Panele fotowoltaiczne na dachach przedszkoli</v>
      </c>
      <c r="AG665" s="155">
        <f t="shared" ca="1" si="1075"/>
        <v>80104</v>
      </c>
      <c r="AH665" s="155" t="str">
        <f t="shared" ca="1" si="1076"/>
        <v>6050</v>
      </c>
      <c r="AI665" s="156" t="str">
        <f t="shared" ca="1" si="1077"/>
        <v>GMMW</v>
      </c>
      <c r="AJ665" s="157" t="str">
        <f t="shared" ca="1" si="1078"/>
        <v>WPF/UM</v>
      </c>
      <c r="AK665" s="158" t="str">
        <f t="shared" ca="1" si="1016"/>
        <v>C/USN/V/P1/94 80104 6050 GMMW</v>
      </c>
      <c r="AL665" s="158" t="str">
        <f t="shared" ca="1" si="1017"/>
        <v>C/USN/V/P1/94 80104 6050 WPF/UM</v>
      </c>
      <c r="AM665" s="159" t="str">
        <f t="shared" ca="1" si="1018"/>
        <v>C/USN/V/P1/94 80104 6050 GMMW WPF/UM</v>
      </c>
      <c r="AN665" s="160">
        <f t="shared" ca="1" si="1079"/>
        <v>0</v>
      </c>
      <c r="AO665" s="161">
        <f t="shared" ca="1" si="1080"/>
        <v>0</v>
      </c>
      <c r="AP665" s="162">
        <f t="shared" ca="1" si="1081"/>
        <v>0</v>
      </c>
      <c r="AQ665" s="163">
        <f t="shared" ca="1" si="1082"/>
        <v>0</v>
      </c>
      <c r="AR665" s="164">
        <f t="shared" ca="1" si="1083"/>
        <v>0</v>
      </c>
      <c r="AS665" s="164">
        <f t="shared" ca="1" si="1084"/>
        <v>0</v>
      </c>
      <c r="AT665" s="164">
        <f t="shared" ca="1" si="1085"/>
        <v>0</v>
      </c>
      <c r="AU665" s="164">
        <f t="shared" ca="1" si="1086"/>
        <v>0</v>
      </c>
      <c r="AV665" s="164">
        <f t="shared" ca="1" si="1087"/>
        <v>0</v>
      </c>
      <c r="AW665" s="164">
        <f t="shared" ca="1" si="1088"/>
        <v>0</v>
      </c>
      <c r="AX665" s="164">
        <f t="shared" ca="1" si="1089"/>
        <v>0</v>
      </c>
      <c r="AY665" s="164">
        <f t="shared" ca="1" si="1090"/>
        <v>0</v>
      </c>
      <c r="AZ665" s="164">
        <f t="shared" ca="1" si="1091"/>
        <v>0</v>
      </c>
      <c r="BA665" s="165" t="str">
        <f t="shared" ca="1" si="1092"/>
        <v>nie</v>
      </c>
      <c r="BB665" s="166" t="str">
        <f t="shared" ca="1" si="1121"/>
        <v>-</v>
      </c>
      <c r="BC665" s="165" t="str">
        <f t="shared" ca="1" si="1105"/>
        <v>nie</v>
      </c>
    </row>
    <row r="666" spans="1:55" ht="14.45" hidden="1" customHeight="1" x14ac:dyDescent="0.25">
      <c r="A666" s="191" t="s">
        <v>101</v>
      </c>
      <c r="B666" s="192"/>
      <c r="C666" s="193"/>
      <c r="D666" s="192"/>
      <c r="E666" s="192"/>
      <c r="F666" s="192"/>
      <c r="G666" s="192"/>
      <c r="H666" s="192"/>
      <c r="I666" s="192"/>
      <c r="J666" s="192"/>
      <c r="K666" s="192"/>
      <c r="L666" s="192"/>
      <c r="M666" s="192"/>
      <c r="N666" s="192"/>
      <c r="O666" s="192"/>
      <c r="P666" s="192"/>
      <c r="Q666" s="192"/>
      <c r="R666" s="194"/>
      <c r="S666" s="195"/>
      <c r="T666" s="195"/>
      <c r="U666" s="195"/>
      <c r="V666" s="195"/>
      <c r="W666" s="195"/>
      <c r="X666" s="195"/>
      <c r="Y666" s="196"/>
      <c r="Z666" s="149" t="str">
        <f t="shared" ca="1" si="1104"/>
        <v>nie</v>
      </c>
      <c r="AA666" s="366"/>
      <c r="AB666" s="150" t="str">
        <f t="shared" ca="1" si="1120"/>
        <v>-</v>
      </c>
      <c r="AC666" s="151" t="str">
        <f t="shared" ca="1" si="1072"/>
        <v>PO ZMIANIE</v>
      </c>
      <c r="AD666" s="152" t="str">
        <f t="shared" ca="1" si="1015"/>
        <v/>
      </c>
      <c r="AE666" s="153" t="str">
        <f t="shared" ca="1" si="1073"/>
        <v/>
      </c>
      <c r="AF666" s="154" t="str">
        <f t="shared" ca="1" si="1074"/>
        <v/>
      </c>
      <c r="AG666" s="155" t="str">
        <f t="shared" ca="1" si="1075"/>
        <v/>
      </c>
      <c r="AH666" s="155" t="str">
        <f t="shared" ca="1" si="1076"/>
        <v/>
      </c>
      <c r="AI666" s="156" t="str">
        <f t="shared" ca="1" si="1077"/>
        <v/>
      </c>
      <c r="AJ666" s="157" t="str">
        <f t="shared" ca="1" si="1078"/>
        <v/>
      </c>
      <c r="AK666" s="158" t="str">
        <f t="shared" ca="1" si="1016"/>
        <v/>
      </c>
      <c r="AL666" s="158" t="str">
        <f t="shared" ca="1" si="1017"/>
        <v/>
      </c>
      <c r="AM666" s="159" t="str">
        <f t="shared" ca="1" si="1018"/>
        <v/>
      </c>
      <c r="AN666" s="160" t="str">
        <f t="shared" ca="1" si="1079"/>
        <v/>
      </c>
      <c r="AO666" s="161" t="str">
        <f t="shared" ca="1" si="1080"/>
        <v/>
      </c>
      <c r="AP666" s="162" t="str">
        <f t="shared" ca="1" si="1081"/>
        <v/>
      </c>
      <c r="AQ666" s="163" t="str">
        <f t="shared" ca="1" si="1082"/>
        <v/>
      </c>
      <c r="AR666" s="164" t="str">
        <f t="shared" ca="1" si="1083"/>
        <v/>
      </c>
      <c r="AS666" s="164" t="str">
        <f t="shared" ca="1" si="1084"/>
        <v/>
      </c>
      <c r="AT666" s="164" t="str">
        <f t="shared" ca="1" si="1085"/>
        <v/>
      </c>
      <c r="AU666" s="164" t="str">
        <f t="shared" ca="1" si="1086"/>
        <v/>
      </c>
      <c r="AV666" s="164" t="str">
        <f t="shared" ca="1" si="1087"/>
        <v/>
      </c>
      <c r="AW666" s="164" t="str">
        <f t="shared" ca="1" si="1088"/>
        <v/>
      </c>
      <c r="AX666" s="164" t="str">
        <f t="shared" ca="1" si="1089"/>
        <v/>
      </c>
      <c r="AY666" s="164" t="str">
        <f t="shared" ca="1" si="1090"/>
        <v/>
      </c>
      <c r="AZ666" s="164" t="str">
        <f t="shared" ca="1" si="1091"/>
        <v/>
      </c>
      <c r="BA666" s="165" t="str">
        <f t="shared" ca="1" si="1092"/>
        <v>nie</v>
      </c>
      <c r="BB666" s="166" t="str">
        <f t="shared" ca="1" si="1121"/>
        <v>-</v>
      </c>
      <c r="BC666" s="165" t="str">
        <f t="shared" ca="1" si="1105"/>
        <v>nie</v>
      </c>
    </row>
    <row r="667" spans="1:55" ht="14.45" hidden="1" customHeight="1" x14ac:dyDescent="0.25">
      <c r="A667" s="493" t="s">
        <v>24</v>
      </c>
      <c r="B667" s="493" t="s">
        <v>26</v>
      </c>
      <c r="C667" s="494" t="s">
        <v>182</v>
      </c>
      <c r="D667" s="505" t="s">
        <v>183</v>
      </c>
      <c r="E667" s="497">
        <v>801</v>
      </c>
      <c r="F667" s="497">
        <v>80104</v>
      </c>
      <c r="G667" s="497">
        <v>6050</v>
      </c>
      <c r="H667" s="498" t="s">
        <v>162</v>
      </c>
      <c r="I667" s="499" t="str">
        <f ca="1">IF(COUNTIF(OFFSET(I667,-1,-8),"*propon*")&gt;0,OFFSET(I667,4,0),IF(Y667&gt;0,"2033",IF(X667&gt;0,"2032",IF(W667&gt;0,"2031",IF(V667&gt;0,"2030",IF(U667&gt;0,"2029",IF(T667&gt;0,"2028",IF(S667&gt;0,"2027",IF(R667&gt;0,"2026",IF(Q667&gt;0,"2025",IF(P667&gt;0,"2024",IF(M667&gt;0,"2023",IF(L667&gt;0,"2022","")))))))))))))</f>
        <v>2025</v>
      </c>
      <c r="J667" s="168" t="s">
        <v>102</v>
      </c>
      <c r="K667" s="169">
        <f>SUM(N667:O667)</f>
        <v>1020000</v>
      </c>
      <c r="L667" s="170">
        <f t="shared" ref="L667:M667" si="1127">SUM(L668:L669)</f>
        <v>0</v>
      </c>
      <c r="M667" s="171">
        <f t="shared" si="1127"/>
        <v>0</v>
      </c>
      <c r="N667" s="172">
        <f>SUM(L667:M667)</f>
        <v>0</v>
      </c>
      <c r="O667" s="169">
        <f>SUM(P667:Y667)</f>
        <v>1020000</v>
      </c>
      <c r="P667" s="173">
        <f t="shared" ref="P667:R667" si="1128">SUM(P668:P669)</f>
        <v>749241</v>
      </c>
      <c r="Q667" s="171">
        <f t="shared" si="1128"/>
        <v>270759</v>
      </c>
      <c r="R667" s="174">
        <f t="shared" si="1128"/>
        <v>0</v>
      </c>
      <c r="S667" s="175">
        <f t="shared" ref="S667:Y667" si="1129">SUM(S668:S669)</f>
        <v>0</v>
      </c>
      <c r="T667" s="171">
        <f t="shared" si="1129"/>
        <v>0</v>
      </c>
      <c r="U667" s="171">
        <f t="shared" si="1129"/>
        <v>0</v>
      </c>
      <c r="V667" s="171">
        <f t="shared" si="1129"/>
        <v>0</v>
      </c>
      <c r="W667" s="171">
        <f t="shared" si="1129"/>
        <v>0</v>
      </c>
      <c r="X667" s="171">
        <f t="shared" si="1129"/>
        <v>0</v>
      </c>
      <c r="Y667" s="174">
        <f t="shared" si="1129"/>
        <v>0</v>
      </c>
      <c r="Z667" s="149" t="str">
        <f t="shared" ca="1" si="1104"/>
        <v>nie</v>
      </c>
      <c r="AA667" s="366"/>
      <c r="AB667" s="150" t="str">
        <f t="shared" ca="1" si="1120"/>
        <v>-</v>
      </c>
      <c r="AC667" s="151" t="str">
        <f t="shared" ca="1" si="1072"/>
        <v>PO ZMIANIE</v>
      </c>
      <c r="AD667" s="152" t="str">
        <f t="shared" ca="1" si="1015"/>
        <v>PO ZMIANIE</v>
      </c>
      <c r="AE667" s="153" t="str">
        <f t="shared" ca="1" si="1073"/>
        <v>C/USN/V/P1/94</v>
      </c>
      <c r="AF667" s="154" t="str">
        <f t="shared" ca="1" si="1074"/>
        <v>Panele fotowoltaiczne na dachach przedszkoli</v>
      </c>
      <c r="AG667" s="155">
        <f t="shared" ca="1" si="1075"/>
        <v>80104</v>
      </c>
      <c r="AH667" s="155" t="str">
        <f t="shared" ca="1" si="1076"/>
        <v>6050</v>
      </c>
      <c r="AI667" s="156" t="str">
        <f t="shared" ca="1" si="1077"/>
        <v>GMMW</v>
      </c>
      <c r="AJ667" s="157" t="str">
        <f t="shared" ca="1" si="1078"/>
        <v>WPF, w tym</v>
      </c>
      <c r="AK667" s="158" t="str">
        <f t="shared" ca="1" si="1016"/>
        <v>C/USN/V/P1/94 80104 6050 GMMW</v>
      </c>
      <c r="AL667" s="158" t="str">
        <f t="shared" ca="1" si="1017"/>
        <v>C/USN/V/P1/94 80104 6050 WPF, w tym</v>
      </c>
      <c r="AM667" s="159" t="str">
        <f t="shared" ca="1" si="1018"/>
        <v>C/USN/V/P1/94 80104 6050 GMMW WPF, w tym</v>
      </c>
      <c r="AN667" s="160">
        <f t="shared" ca="1" si="1079"/>
        <v>1020000</v>
      </c>
      <c r="AO667" s="161">
        <f t="shared" ca="1" si="1080"/>
        <v>0</v>
      </c>
      <c r="AP667" s="162">
        <f t="shared" ca="1" si="1081"/>
        <v>0</v>
      </c>
      <c r="AQ667" s="163">
        <f t="shared" ca="1" si="1082"/>
        <v>749241</v>
      </c>
      <c r="AR667" s="164">
        <f t="shared" ca="1" si="1083"/>
        <v>270759</v>
      </c>
      <c r="AS667" s="164">
        <f t="shared" ca="1" si="1084"/>
        <v>0</v>
      </c>
      <c r="AT667" s="164">
        <f t="shared" ca="1" si="1085"/>
        <v>0</v>
      </c>
      <c r="AU667" s="164">
        <f t="shared" ca="1" si="1086"/>
        <v>0</v>
      </c>
      <c r="AV667" s="164">
        <f t="shared" ca="1" si="1087"/>
        <v>0</v>
      </c>
      <c r="AW667" s="164">
        <f t="shared" ca="1" si="1088"/>
        <v>0</v>
      </c>
      <c r="AX667" s="164">
        <f t="shared" ca="1" si="1089"/>
        <v>0</v>
      </c>
      <c r="AY667" s="164">
        <f t="shared" ca="1" si="1090"/>
        <v>0</v>
      </c>
      <c r="AZ667" s="164">
        <f t="shared" ca="1" si="1091"/>
        <v>0</v>
      </c>
      <c r="BA667" s="165" t="str">
        <f t="shared" ca="1" si="1092"/>
        <v>nie</v>
      </c>
      <c r="BB667" s="166" t="str">
        <f t="shared" ca="1" si="1121"/>
        <v>-</v>
      </c>
      <c r="BC667" s="165" t="str">
        <f t="shared" ca="1" si="1105"/>
        <v>nie</v>
      </c>
    </row>
    <row r="668" spans="1:55" ht="14.45" hidden="1" customHeight="1" x14ac:dyDescent="0.25">
      <c r="A668" s="493"/>
      <c r="B668" s="493"/>
      <c r="C668" s="494"/>
      <c r="D668" s="506"/>
      <c r="E668" s="497"/>
      <c r="F668" s="497"/>
      <c r="G668" s="497"/>
      <c r="H668" s="498"/>
      <c r="I668" s="499"/>
      <c r="J668" s="177" t="s">
        <v>103</v>
      </c>
      <c r="K668" s="178">
        <f>SUM(N668:O668)</f>
        <v>1020000</v>
      </c>
      <c r="L668" s="179"/>
      <c r="M668" s="180"/>
      <c r="N668" s="172">
        <f>SUM(L668:M668)</f>
        <v>0</v>
      </c>
      <c r="O668" s="178">
        <f>SUM(P668:Y668)</f>
        <v>1020000</v>
      </c>
      <c r="P668" s="181">
        <f>900000-150759</f>
        <v>749241</v>
      </c>
      <c r="Q668" s="180">
        <f>270759</f>
        <v>270759</v>
      </c>
      <c r="R668" s="182"/>
      <c r="S668" s="183"/>
      <c r="T668" s="180"/>
      <c r="U668" s="180"/>
      <c r="V668" s="180"/>
      <c r="W668" s="180"/>
      <c r="X668" s="180"/>
      <c r="Y668" s="182"/>
      <c r="Z668" s="149" t="str">
        <f t="shared" ca="1" si="1104"/>
        <v>nie</v>
      </c>
      <c r="AA668" s="384"/>
      <c r="AB668" s="150" t="str">
        <f t="shared" ca="1" si="1120"/>
        <v>-</v>
      </c>
      <c r="AC668" s="151" t="str">
        <f t="shared" ca="1" si="1072"/>
        <v>PO ZMIANIE</v>
      </c>
      <c r="AD668" s="152" t="str">
        <f t="shared" ca="1" si="1015"/>
        <v>PO ZMIANIE</v>
      </c>
      <c r="AE668" s="153" t="str">
        <f t="shared" ca="1" si="1073"/>
        <v>C/USN/V/P1/94</v>
      </c>
      <c r="AF668" s="154" t="str">
        <f t="shared" ca="1" si="1074"/>
        <v>Panele fotowoltaiczne na dachach przedszkoli</v>
      </c>
      <c r="AG668" s="155">
        <f t="shared" ca="1" si="1075"/>
        <v>80104</v>
      </c>
      <c r="AH668" s="155" t="str">
        <f t="shared" ca="1" si="1076"/>
        <v>6050</v>
      </c>
      <c r="AI668" s="156" t="str">
        <f t="shared" ca="1" si="1077"/>
        <v>GMMW</v>
      </c>
      <c r="AJ668" s="157" t="str">
        <f t="shared" ca="1" si="1078"/>
        <v>WPF/PM</v>
      </c>
      <c r="AK668" s="158" t="str">
        <f t="shared" ca="1" si="1016"/>
        <v>C/USN/V/P1/94 80104 6050 GMMW</v>
      </c>
      <c r="AL668" s="158" t="str">
        <f t="shared" ca="1" si="1017"/>
        <v>C/USN/V/P1/94 80104 6050 WPF/PM</v>
      </c>
      <c r="AM668" s="159" t="str">
        <f t="shared" ca="1" si="1018"/>
        <v>C/USN/V/P1/94 80104 6050 GMMW WPF/PM</v>
      </c>
      <c r="AN668" s="160">
        <f t="shared" ca="1" si="1079"/>
        <v>1020000</v>
      </c>
      <c r="AO668" s="161">
        <f t="shared" ca="1" si="1080"/>
        <v>0</v>
      </c>
      <c r="AP668" s="162">
        <f t="shared" ca="1" si="1081"/>
        <v>0</v>
      </c>
      <c r="AQ668" s="163">
        <f t="shared" ca="1" si="1082"/>
        <v>749241</v>
      </c>
      <c r="AR668" s="164">
        <f t="shared" ca="1" si="1083"/>
        <v>270759</v>
      </c>
      <c r="AS668" s="164">
        <f t="shared" ca="1" si="1084"/>
        <v>0</v>
      </c>
      <c r="AT668" s="164">
        <f t="shared" ca="1" si="1085"/>
        <v>0</v>
      </c>
      <c r="AU668" s="164">
        <f t="shared" ca="1" si="1086"/>
        <v>0</v>
      </c>
      <c r="AV668" s="164">
        <f t="shared" ca="1" si="1087"/>
        <v>0</v>
      </c>
      <c r="AW668" s="164">
        <f t="shared" ca="1" si="1088"/>
        <v>0</v>
      </c>
      <c r="AX668" s="164">
        <f t="shared" ca="1" si="1089"/>
        <v>0</v>
      </c>
      <c r="AY668" s="164">
        <f t="shared" ca="1" si="1090"/>
        <v>0</v>
      </c>
      <c r="AZ668" s="164">
        <f t="shared" ca="1" si="1091"/>
        <v>0</v>
      </c>
      <c r="BA668" s="165" t="str">
        <f t="shared" ca="1" si="1092"/>
        <v>nie</v>
      </c>
      <c r="BB668" s="166" t="str">
        <f t="shared" ca="1" si="1121"/>
        <v>-</v>
      </c>
      <c r="BC668" s="165" t="str">
        <f t="shared" ca="1" si="1105"/>
        <v>nie</v>
      </c>
    </row>
    <row r="669" spans="1:55" ht="14.45" hidden="1" customHeight="1" thickBot="1" x14ac:dyDescent="0.3">
      <c r="A669" s="500"/>
      <c r="B669" s="500"/>
      <c r="C669" s="501"/>
      <c r="D669" s="513"/>
      <c r="E669" s="503"/>
      <c r="F669" s="503"/>
      <c r="G669" s="503"/>
      <c r="H669" s="504"/>
      <c r="I669" s="499"/>
      <c r="J669" s="197" t="s">
        <v>104</v>
      </c>
      <c r="K669" s="198">
        <f>SUM(N669:O669)</f>
        <v>0</v>
      </c>
      <c r="L669" s="199"/>
      <c r="M669" s="200">
        <f>90000-90000</f>
        <v>0</v>
      </c>
      <c r="N669" s="371">
        <f>SUM(L669:M669)</f>
        <v>0</v>
      </c>
      <c r="O669" s="198">
        <f>SUM(P669:Y669)</f>
        <v>0</v>
      </c>
      <c r="P669" s="201"/>
      <c r="Q669" s="200"/>
      <c r="R669" s="202"/>
      <c r="S669" s="203"/>
      <c r="T669" s="200"/>
      <c r="U669" s="200"/>
      <c r="V669" s="200"/>
      <c r="W669" s="200"/>
      <c r="X669" s="200"/>
      <c r="Y669" s="202"/>
      <c r="Z669" s="149" t="str">
        <f t="shared" ca="1" si="1104"/>
        <v>nie</v>
      </c>
      <c r="AA669" s="384"/>
      <c r="AB669" s="150" t="str">
        <f t="shared" ca="1" si="1120"/>
        <v>-</v>
      </c>
      <c r="AC669" s="151" t="str">
        <f t="shared" ca="1" si="1072"/>
        <v>PO ZMIANIE</v>
      </c>
      <c r="AD669" s="152" t="str">
        <f t="shared" ca="1" si="1015"/>
        <v>PO ZMIANIE</v>
      </c>
      <c r="AE669" s="153" t="str">
        <f t="shared" ca="1" si="1073"/>
        <v>C/USN/V/P1/94</v>
      </c>
      <c r="AF669" s="154" t="str">
        <f t="shared" ca="1" si="1074"/>
        <v>Panele fotowoltaiczne na dachach przedszkoli</v>
      </c>
      <c r="AG669" s="155">
        <f t="shared" ca="1" si="1075"/>
        <v>80104</v>
      </c>
      <c r="AH669" s="155" t="str">
        <f t="shared" ca="1" si="1076"/>
        <v>6050</v>
      </c>
      <c r="AI669" s="156" t="str">
        <f t="shared" ca="1" si="1077"/>
        <v>GMMW</v>
      </c>
      <c r="AJ669" s="157" t="str">
        <f t="shared" ca="1" si="1078"/>
        <v>WPF/UM</v>
      </c>
      <c r="AK669" s="158" t="str">
        <f t="shared" ca="1" si="1016"/>
        <v>C/USN/V/P1/94 80104 6050 GMMW</v>
      </c>
      <c r="AL669" s="158" t="str">
        <f t="shared" ca="1" si="1017"/>
        <v>C/USN/V/P1/94 80104 6050 WPF/UM</v>
      </c>
      <c r="AM669" s="159" t="str">
        <f t="shared" ca="1" si="1018"/>
        <v>C/USN/V/P1/94 80104 6050 GMMW WPF/UM</v>
      </c>
      <c r="AN669" s="160">
        <f t="shared" ca="1" si="1079"/>
        <v>0</v>
      </c>
      <c r="AO669" s="161">
        <f t="shared" ca="1" si="1080"/>
        <v>0</v>
      </c>
      <c r="AP669" s="162">
        <f t="shared" ca="1" si="1081"/>
        <v>0</v>
      </c>
      <c r="AQ669" s="163">
        <f t="shared" ca="1" si="1082"/>
        <v>0</v>
      </c>
      <c r="AR669" s="164">
        <f t="shared" ca="1" si="1083"/>
        <v>0</v>
      </c>
      <c r="AS669" s="164">
        <f t="shared" ca="1" si="1084"/>
        <v>0</v>
      </c>
      <c r="AT669" s="164">
        <f t="shared" ca="1" si="1085"/>
        <v>0</v>
      </c>
      <c r="AU669" s="164">
        <f t="shared" ca="1" si="1086"/>
        <v>0</v>
      </c>
      <c r="AV669" s="164">
        <f t="shared" ca="1" si="1087"/>
        <v>0</v>
      </c>
      <c r="AW669" s="164">
        <f t="shared" ca="1" si="1088"/>
        <v>0</v>
      </c>
      <c r="AX669" s="164">
        <f t="shared" ca="1" si="1089"/>
        <v>0</v>
      </c>
      <c r="AY669" s="164">
        <f t="shared" ca="1" si="1090"/>
        <v>0</v>
      </c>
      <c r="AZ669" s="164">
        <f t="shared" ca="1" si="1091"/>
        <v>0</v>
      </c>
      <c r="BA669" s="165" t="str">
        <f t="shared" ca="1" si="1092"/>
        <v>nie</v>
      </c>
      <c r="BB669" s="166" t="str">
        <f t="shared" ca="1" si="1121"/>
        <v>-</v>
      </c>
      <c r="BC669" s="165" t="str">
        <f t="shared" ca="1" si="1105"/>
        <v>nie</v>
      </c>
    </row>
    <row r="670" spans="1:55" ht="14.45" hidden="1" customHeight="1" x14ac:dyDescent="0.25">
      <c r="A670" s="143" t="s">
        <v>91</v>
      </c>
      <c r="B670" s="144"/>
      <c r="C670" s="145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6"/>
      <c r="S670" s="147"/>
      <c r="T670" s="147"/>
      <c r="U670" s="147"/>
      <c r="V670" s="147"/>
      <c r="W670" s="147"/>
      <c r="X670" s="147"/>
      <c r="Y670" s="148"/>
      <c r="Z670" s="149" t="str">
        <f t="shared" ca="1" si="1104"/>
        <v>nie</v>
      </c>
      <c r="AA670" s="366"/>
      <c r="AB670" s="150" t="str">
        <f t="shared" ca="1" si="1120"/>
        <v>-</v>
      </c>
      <c r="AC670" s="151" t="str">
        <f t="shared" ca="1" si="1072"/>
        <v>PRZED ZMIANĄ</v>
      </c>
      <c r="AD670" s="152" t="str">
        <f t="shared" ca="1" si="1015"/>
        <v/>
      </c>
      <c r="AE670" s="153" t="str">
        <f t="shared" ca="1" si="1073"/>
        <v/>
      </c>
      <c r="AF670" s="154" t="str">
        <f t="shared" ca="1" si="1074"/>
        <v/>
      </c>
      <c r="AG670" s="155" t="str">
        <f t="shared" ca="1" si="1075"/>
        <v/>
      </c>
      <c r="AH670" s="155" t="str">
        <f t="shared" ca="1" si="1076"/>
        <v/>
      </c>
      <c r="AI670" s="156" t="str">
        <f t="shared" ca="1" si="1077"/>
        <v/>
      </c>
      <c r="AJ670" s="157" t="str">
        <f t="shared" ca="1" si="1078"/>
        <v/>
      </c>
      <c r="AK670" s="158" t="str">
        <f t="shared" ca="1" si="1016"/>
        <v/>
      </c>
      <c r="AL670" s="158" t="str">
        <f t="shared" ca="1" si="1017"/>
        <v/>
      </c>
      <c r="AM670" s="159" t="str">
        <f t="shared" ca="1" si="1018"/>
        <v/>
      </c>
      <c r="AN670" s="160" t="str">
        <f t="shared" ca="1" si="1079"/>
        <v/>
      </c>
      <c r="AO670" s="161" t="str">
        <f t="shared" ca="1" si="1080"/>
        <v/>
      </c>
      <c r="AP670" s="162" t="str">
        <f t="shared" ca="1" si="1081"/>
        <v/>
      </c>
      <c r="AQ670" s="163" t="str">
        <f t="shared" ca="1" si="1082"/>
        <v/>
      </c>
      <c r="AR670" s="164" t="str">
        <f t="shared" ca="1" si="1083"/>
        <v/>
      </c>
      <c r="AS670" s="164" t="str">
        <f t="shared" ca="1" si="1084"/>
        <v/>
      </c>
      <c r="AT670" s="164" t="str">
        <f t="shared" ca="1" si="1085"/>
        <v/>
      </c>
      <c r="AU670" s="164" t="str">
        <f t="shared" ca="1" si="1086"/>
        <v/>
      </c>
      <c r="AV670" s="164" t="str">
        <f t="shared" ca="1" si="1087"/>
        <v/>
      </c>
      <c r="AW670" s="164" t="str">
        <f t="shared" ca="1" si="1088"/>
        <v/>
      </c>
      <c r="AX670" s="164" t="str">
        <f t="shared" ca="1" si="1089"/>
        <v/>
      </c>
      <c r="AY670" s="164" t="str">
        <f t="shared" ca="1" si="1090"/>
        <v/>
      </c>
      <c r="AZ670" s="164" t="str">
        <f t="shared" ca="1" si="1091"/>
        <v/>
      </c>
      <c r="BA670" s="165" t="str">
        <f t="shared" ca="1" si="1092"/>
        <v>nie</v>
      </c>
      <c r="BB670" s="166" t="str">
        <f t="shared" ca="1" si="1121"/>
        <v>-</v>
      </c>
      <c r="BC670" s="165" t="str">
        <f t="shared" ca="1" si="1105"/>
        <v>nie</v>
      </c>
    </row>
    <row r="671" spans="1:55" ht="14.45" hidden="1" customHeight="1" x14ac:dyDescent="0.25">
      <c r="A671" s="493" t="s">
        <v>24</v>
      </c>
      <c r="B671" s="493" t="s">
        <v>26</v>
      </c>
      <c r="C671" s="494" t="s">
        <v>184</v>
      </c>
      <c r="D671" s="505" t="s">
        <v>185</v>
      </c>
      <c r="E671" s="497">
        <v>801</v>
      </c>
      <c r="F671" s="497">
        <v>80105</v>
      </c>
      <c r="G671" s="497">
        <v>6050</v>
      </c>
      <c r="H671" s="498" t="s">
        <v>162</v>
      </c>
      <c r="I671" s="499" t="str">
        <f ca="1">IF(COUNTIF(OFFSET(I671,-1,-8),"*propon*")&gt;0,OFFSET(I671,4,0),IF(Y671&gt;0,"2033",IF(X671&gt;0,"2032",IF(W671&gt;0,"2031",IF(V671&gt;0,"2030",IF(U671&gt;0,"2029",IF(T671&gt;0,"2028",IF(S671&gt;0,"2027",IF(R671&gt;0,"2026",IF(Q671&gt;0,"2025",IF(P671&gt;0,"2024",IF(M671&gt;0,"2023",IF(L671&gt;0,"2022","")))))))))))))</f>
        <v>2024</v>
      </c>
      <c r="J671" s="168" t="s">
        <v>94</v>
      </c>
      <c r="K671" s="169">
        <f>SUM(N671:O671)</f>
        <v>202612</v>
      </c>
      <c r="L671" s="170">
        <f t="shared" ref="L671:M671" si="1130">SUM(L672:L673)</f>
        <v>0</v>
      </c>
      <c r="M671" s="171">
        <f t="shared" si="1130"/>
        <v>0</v>
      </c>
      <c r="N671" s="172">
        <f>SUM(L671:M671)</f>
        <v>0</v>
      </c>
      <c r="O671" s="169">
        <f>SUM(P671:Y671)</f>
        <v>202612</v>
      </c>
      <c r="P671" s="173">
        <f t="shared" ref="P671:R671" si="1131">SUM(P672:P673)</f>
        <v>202612</v>
      </c>
      <c r="Q671" s="171">
        <f t="shared" si="1131"/>
        <v>0</v>
      </c>
      <c r="R671" s="174">
        <f t="shared" si="1131"/>
        <v>0</v>
      </c>
      <c r="S671" s="175">
        <f t="shared" ref="S671:Y671" si="1132">SUM(S672:S673)</f>
        <v>0</v>
      </c>
      <c r="T671" s="171">
        <f t="shared" si="1132"/>
        <v>0</v>
      </c>
      <c r="U671" s="171">
        <f t="shared" si="1132"/>
        <v>0</v>
      </c>
      <c r="V671" s="171">
        <f t="shared" si="1132"/>
        <v>0</v>
      </c>
      <c r="W671" s="171">
        <f t="shared" si="1132"/>
        <v>0</v>
      </c>
      <c r="X671" s="171">
        <f t="shared" si="1132"/>
        <v>0</v>
      </c>
      <c r="Y671" s="174">
        <f t="shared" si="1132"/>
        <v>0</v>
      </c>
      <c r="Z671" s="149" t="str">
        <f t="shared" ca="1" si="1104"/>
        <v>nie</v>
      </c>
      <c r="AA671" s="366"/>
      <c r="AB671" s="150" t="str">
        <f t="shared" ca="1" si="1120"/>
        <v>-</v>
      </c>
      <c r="AC671" s="151" t="str">
        <f t="shared" ca="1" si="1072"/>
        <v>PRZED ZMIANĄ</v>
      </c>
      <c r="AD671" s="152" t="str">
        <f t="shared" ref="AD671:AD825" ca="1" si="1133">IF(AE671="","",AC671)</f>
        <v>PRZED ZMIANĄ</v>
      </c>
      <c r="AE671" s="153" t="str">
        <f t="shared" ca="1" si="1073"/>
        <v>C/USN/V/P1/95</v>
      </c>
      <c r="AF671" s="154" t="str">
        <f t="shared" ca="1" si="1074"/>
        <v>Panele fotowoltaiczne na dachu budynku Przedszkola Specjalnego nr 213 przy ul. Teligi 1</v>
      </c>
      <c r="AG671" s="155">
        <f t="shared" ca="1" si="1075"/>
        <v>80105</v>
      </c>
      <c r="AH671" s="155" t="str">
        <f t="shared" ca="1" si="1076"/>
        <v>6050</v>
      </c>
      <c r="AI671" s="156" t="str">
        <f t="shared" ca="1" si="1077"/>
        <v>GMMW</v>
      </c>
      <c r="AJ671" s="157" t="str">
        <f t="shared" ca="1" si="1078"/>
        <v>WPF, w tym</v>
      </c>
      <c r="AK671" s="158" t="str">
        <f t="shared" ref="AK671:AK825" ca="1" si="1134">IF(AH671="","",AE671&amp;" "&amp;AG671&amp;" "&amp;AH671&amp;" "&amp;AI671)</f>
        <v>C/USN/V/P1/95 80105 6050 GMMW</v>
      </c>
      <c r="AL671" s="158" t="str">
        <f t="shared" ref="AL671:AL825" ca="1" si="1135">IF(AH671="","",AE671&amp;" "&amp;AG671&amp;" "&amp;AH671&amp;" "&amp;AJ671)</f>
        <v>C/USN/V/P1/95 80105 6050 WPF, w tym</v>
      </c>
      <c r="AM671" s="159" t="str">
        <f t="shared" ref="AM671:AM825" ca="1" si="1136">IF(AH671="","",AE671&amp;" "&amp;AG671&amp;" "&amp;AH671&amp;" "&amp;AI671&amp;" "&amp;AJ671)</f>
        <v>C/USN/V/P1/95 80105 6050 GMMW WPF, w tym</v>
      </c>
      <c r="AN671" s="160">
        <f t="shared" ca="1" si="1079"/>
        <v>202612</v>
      </c>
      <c r="AO671" s="161">
        <f t="shared" ca="1" si="1080"/>
        <v>0</v>
      </c>
      <c r="AP671" s="162">
        <f t="shared" ca="1" si="1081"/>
        <v>0</v>
      </c>
      <c r="AQ671" s="163">
        <f t="shared" ca="1" si="1082"/>
        <v>202612</v>
      </c>
      <c r="AR671" s="164">
        <f t="shared" ca="1" si="1083"/>
        <v>0</v>
      </c>
      <c r="AS671" s="164">
        <f t="shared" ca="1" si="1084"/>
        <v>0</v>
      </c>
      <c r="AT671" s="164">
        <f t="shared" ca="1" si="1085"/>
        <v>0</v>
      </c>
      <c r="AU671" s="164">
        <f t="shared" ca="1" si="1086"/>
        <v>0</v>
      </c>
      <c r="AV671" s="164">
        <f t="shared" ca="1" si="1087"/>
        <v>0</v>
      </c>
      <c r="AW671" s="164">
        <f t="shared" ca="1" si="1088"/>
        <v>0</v>
      </c>
      <c r="AX671" s="164">
        <f t="shared" ca="1" si="1089"/>
        <v>0</v>
      </c>
      <c r="AY671" s="164">
        <f t="shared" ca="1" si="1090"/>
        <v>0</v>
      </c>
      <c r="AZ671" s="164">
        <f t="shared" ca="1" si="1091"/>
        <v>0</v>
      </c>
      <c r="BA671" s="165" t="str">
        <f t="shared" ca="1" si="1092"/>
        <v>nie</v>
      </c>
      <c r="BB671" s="166" t="str">
        <f t="shared" ca="1" si="1121"/>
        <v>-</v>
      </c>
      <c r="BC671" s="165" t="str">
        <f t="shared" ca="1" si="1105"/>
        <v>nie</v>
      </c>
    </row>
    <row r="672" spans="1:55" ht="14.45" hidden="1" customHeight="1" x14ac:dyDescent="0.25">
      <c r="A672" s="493"/>
      <c r="B672" s="493"/>
      <c r="C672" s="494"/>
      <c r="D672" s="506"/>
      <c r="E672" s="497"/>
      <c r="F672" s="497"/>
      <c r="G672" s="497"/>
      <c r="H672" s="498"/>
      <c r="I672" s="499"/>
      <c r="J672" s="177" t="s">
        <v>95</v>
      </c>
      <c r="K672" s="178">
        <f>SUM(N672:O672)</f>
        <v>202612</v>
      </c>
      <c r="L672" s="179"/>
      <c r="M672" s="180"/>
      <c r="N672" s="172">
        <f>SUM(L672:M672)</f>
        <v>0</v>
      </c>
      <c r="O672" s="178">
        <f>SUM(P672:Y672)</f>
        <v>202612</v>
      </c>
      <c r="P672" s="181">
        <v>202612</v>
      </c>
      <c r="Q672" s="180"/>
      <c r="R672" s="182"/>
      <c r="S672" s="183"/>
      <c r="T672" s="180"/>
      <c r="U672" s="180"/>
      <c r="V672" s="180"/>
      <c r="W672" s="180"/>
      <c r="X672" s="180"/>
      <c r="Y672" s="182"/>
      <c r="Z672" s="149" t="str">
        <f t="shared" ca="1" si="1104"/>
        <v>nie</v>
      </c>
      <c r="AA672" s="366"/>
      <c r="AB672" s="150" t="str">
        <f t="shared" ca="1" si="1120"/>
        <v>-</v>
      </c>
      <c r="AC672" s="151" t="str">
        <f t="shared" ca="1" si="1072"/>
        <v>PRZED ZMIANĄ</v>
      </c>
      <c r="AD672" s="152" t="str">
        <f t="shared" ca="1" si="1133"/>
        <v>PRZED ZMIANĄ</v>
      </c>
      <c r="AE672" s="153" t="str">
        <f t="shared" ca="1" si="1073"/>
        <v>C/USN/V/P1/95</v>
      </c>
      <c r="AF672" s="154" t="str">
        <f t="shared" ca="1" si="1074"/>
        <v>Panele fotowoltaiczne na dachu budynku Przedszkola Specjalnego nr 213 przy ul. Teligi 1</v>
      </c>
      <c r="AG672" s="155">
        <f t="shared" ca="1" si="1075"/>
        <v>80105</v>
      </c>
      <c r="AH672" s="155" t="str">
        <f t="shared" ca="1" si="1076"/>
        <v>6050</v>
      </c>
      <c r="AI672" s="156" t="str">
        <f t="shared" ca="1" si="1077"/>
        <v>GMMW</v>
      </c>
      <c r="AJ672" s="157" t="str">
        <f t="shared" ca="1" si="1078"/>
        <v>WPF/PM</v>
      </c>
      <c r="AK672" s="158" t="str">
        <f t="shared" ca="1" si="1134"/>
        <v>C/USN/V/P1/95 80105 6050 GMMW</v>
      </c>
      <c r="AL672" s="158" t="str">
        <f t="shared" ca="1" si="1135"/>
        <v>C/USN/V/P1/95 80105 6050 WPF/PM</v>
      </c>
      <c r="AM672" s="159" t="str">
        <f t="shared" ca="1" si="1136"/>
        <v>C/USN/V/P1/95 80105 6050 GMMW WPF/PM</v>
      </c>
      <c r="AN672" s="160">
        <f t="shared" ca="1" si="1079"/>
        <v>202612</v>
      </c>
      <c r="AO672" s="161">
        <f t="shared" ca="1" si="1080"/>
        <v>0</v>
      </c>
      <c r="AP672" s="162">
        <f t="shared" ca="1" si="1081"/>
        <v>0</v>
      </c>
      <c r="AQ672" s="163">
        <f t="shared" ca="1" si="1082"/>
        <v>202612</v>
      </c>
      <c r="AR672" s="164">
        <f t="shared" ca="1" si="1083"/>
        <v>0</v>
      </c>
      <c r="AS672" s="164">
        <f t="shared" ca="1" si="1084"/>
        <v>0</v>
      </c>
      <c r="AT672" s="164">
        <f t="shared" ca="1" si="1085"/>
        <v>0</v>
      </c>
      <c r="AU672" s="164">
        <f t="shared" ca="1" si="1086"/>
        <v>0</v>
      </c>
      <c r="AV672" s="164">
        <f t="shared" ca="1" si="1087"/>
        <v>0</v>
      </c>
      <c r="AW672" s="164">
        <f t="shared" ca="1" si="1088"/>
        <v>0</v>
      </c>
      <c r="AX672" s="164">
        <f t="shared" ca="1" si="1089"/>
        <v>0</v>
      </c>
      <c r="AY672" s="164">
        <f t="shared" ca="1" si="1090"/>
        <v>0</v>
      </c>
      <c r="AZ672" s="164">
        <f t="shared" ca="1" si="1091"/>
        <v>0</v>
      </c>
      <c r="BA672" s="165" t="str">
        <f t="shared" ca="1" si="1092"/>
        <v>nie</v>
      </c>
      <c r="BB672" s="166" t="str">
        <f t="shared" ca="1" si="1121"/>
        <v>-</v>
      </c>
      <c r="BC672" s="165" t="str">
        <f t="shared" ca="1" si="1105"/>
        <v>nie</v>
      </c>
    </row>
    <row r="673" spans="1:55" ht="14.45" hidden="1" customHeight="1" x14ac:dyDescent="0.25">
      <c r="A673" s="550"/>
      <c r="B673" s="493"/>
      <c r="C673" s="494"/>
      <c r="D673" s="506"/>
      <c r="E673" s="497"/>
      <c r="F673" s="497"/>
      <c r="G673" s="497"/>
      <c r="H673" s="498"/>
      <c r="I673" s="499"/>
      <c r="J673" s="177" t="s">
        <v>96</v>
      </c>
      <c r="K673" s="178">
        <f>SUM(N673:O673)</f>
        <v>0</v>
      </c>
      <c r="L673" s="184"/>
      <c r="M673" s="180">
        <v>0</v>
      </c>
      <c r="N673" s="172">
        <f>SUM(L673:M673)</f>
        <v>0</v>
      </c>
      <c r="O673" s="178">
        <f>SUM(P673:Y673)</f>
        <v>0</v>
      </c>
      <c r="P673" s="181"/>
      <c r="Q673" s="180"/>
      <c r="R673" s="182"/>
      <c r="S673" s="183"/>
      <c r="T673" s="180"/>
      <c r="U673" s="180"/>
      <c r="V673" s="180"/>
      <c r="W673" s="180"/>
      <c r="X673" s="180"/>
      <c r="Y673" s="182"/>
      <c r="Z673" s="149" t="str">
        <f t="shared" ca="1" si="1104"/>
        <v>nie</v>
      </c>
      <c r="AA673" s="366"/>
      <c r="AB673" s="150" t="str">
        <f t="shared" ca="1" si="1120"/>
        <v>-</v>
      </c>
      <c r="AC673" s="151" t="str">
        <f t="shared" ca="1" si="1072"/>
        <v>PRZED ZMIANĄ</v>
      </c>
      <c r="AD673" s="152" t="str">
        <f t="shared" ca="1" si="1133"/>
        <v>PRZED ZMIANĄ</v>
      </c>
      <c r="AE673" s="153" t="str">
        <f t="shared" ca="1" si="1073"/>
        <v>C/USN/V/P1/95</v>
      </c>
      <c r="AF673" s="154" t="str">
        <f t="shared" ca="1" si="1074"/>
        <v>Panele fotowoltaiczne na dachu budynku Przedszkola Specjalnego nr 213 przy ul. Teligi 1</v>
      </c>
      <c r="AG673" s="155">
        <f t="shared" ca="1" si="1075"/>
        <v>80105</v>
      </c>
      <c r="AH673" s="155" t="str">
        <f t="shared" ca="1" si="1076"/>
        <v>6050</v>
      </c>
      <c r="AI673" s="156" t="str">
        <f t="shared" ca="1" si="1077"/>
        <v>GMMW</v>
      </c>
      <c r="AJ673" s="157" t="str">
        <f t="shared" ca="1" si="1078"/>
        <v>WPF/UM</v>
      </c>
      <c r="AK673" s="158" t="str">
        <f t="shared" ca="1" si="1134"/>
        <v>C/USN/V/P1/95 80105 6050 GMMW</v>
      </c>
      <c r="AL673" s="158" t="str">
        <f t="shared" ca="1" si="1135"/>
        <v>C/USN/V/P1/95 80105 6050 WPF/UM</v>
      </c>
      <c r="AM673" s="159" t="str">
        <f t="shared" ca="1" si="1136"/>
        <v>C/USN/V/P1/95 80105 6050 GMMW WPF/UM</v>
      </c>
      <c r="AN673" s="160">
        <f t="shared" ca="1" si="1079"/>
        <v>0</v>
      </c>
      <c r="AO673" s="161">
        <f t="shared" ca="1" si="1080"/>
        <v>0</v>
      </c>
      <c r="AP673" s="162">
        <f t="shared" ca="1" si="1081"/>
        <v>0</v>
      </c>
      <c r="AQ673" s="163">
        <f t="shared" ca="1" si="1082"/>
        <v>0</v>
      </c>
      <c r="AR673" s="164">
        <f t="shared" ca="1" si="1083"/>
        <v>0</v>
      </c>
      <c r="AS673" s="164">
        <f t="shared" ca="1" si="1084"/>
        <v>0</v>
      </c>
      <c r="AT673" s="164">
        <f t="shared" ca="1" si="1085"/>
        <v>0</v>
      </c>
      <c r="AU673" s="164">
        <f t="shared" ca="1" si="1086"/>
        <v>0</v>
      </c>
      <c r="AV673" s="164">
        <f t="shared" ca="1" si="1087"/>
        <v>0</v>
      </c>
      <c r="AW673" s="164">
        <f t="shared" ca="1" si="1088"/>
        <v>0</v>
      </c>
      <c r="AX673" s="164">
        <f t="shared" ca="1" si="1089"/>
        <v>0</v>
      </c>
      <c r="AY673" s="164">
        <f t="shared" ca="1" si="1090"/>
        <v>0</v>
      </c>
      <c r="AZ673" s="164">
        <f t="shared" ca="1" si="1091"/>
        <v>0</v>
      </c>
      <c r="BA673" s="165" t="str">
        <f t="shared" ca="1" si="1092"/>
        <v>nie</v>
      </c>
      <c r="BB673" s="166" t="str">
        <f t="shared" ca="1" si="1121"/>
        <v>-</v>
      </c>
      <c r="BC673" s="165" t="str">
        <f t="shared" ca="1" si="1105"/>
        <v>nie</v>
      </c>
    </row>
    <row r="674" spans="1:55" ht="14.45" hidden="1" customHeight="1" x14ac:dyDescent="0.25">
      <c r="A674" s="185" t="s">
        <v>97</v>
      </c>
      <c r="B674" s="186"/>
      <c r="C674" s="187"/>
      <c r="D674" s="186"/>
      <c r="E674" s="186"/>
      <c r="F674" s="186"/>
      <c r="G674" s="186"/>
      <c r="H674" s="186"/>
      <c r="I674" s="186"/>
      <c r="J674" s="186"/>
      <c r="K674" s="186"/>
      <c r="L674" s="186"/>
      <c r="M674" s="186"/>
      <c r="N674" s="186"/>
      <c r="O674" s="186"/>
      <c r="P674" s="186"/>
      <c r="Q674" s="186"/>
      <c r="R674" s="188"/>
      <c r="S674" s="189"/>
      <c r="T674" s="189"/>
      <c r="U674" s="189"/>
      <c r="V674" s="189"/>
      <c r="W674" s="189"/>
      <c r="X674" s="189"/>
      <c r="Y674" s="190"/>
      <c r="Z674" s="149" t="str">
        <f t="shared" ca="1" si="1104"/>
        <v>nie</v>
      </c>
      <c r="AA674" s="366"/>
      <c r="AB674" s="150" t="str">
        <f t="shared" ca="1" si="1120"/>
        <v>-</v>
      </c>
      <c r="AC674" s="151" t="str">
        <f t="shared" ca="1" si="1072"/>
        <v>PROPONOWANA ZMIANA</v>
      </c>
      <c r="AD674" s="152" t="str">
        <f t="shared" ca="1" si="1133"/>
        <v/>
      </c>
      <c r="AE674" s="153" t="str">
        <f t="shared" ca="1" si="1073"/>
        <v/>
      </c>
      <c r="AF674" s="154" t="str">
        <f t="shared" ca="1" si="1074"/>
        <v/>
      </c>
      <c r="AG674" s="155" t="str">
        <f t="shared" ca="1" si="1075"/>
        <v/>
      </c>
      <c r="AH674" s="155" t="str">
        <f t="shared" ca="1" si="1076"/>
        <v/>
      </c>
      <c r="AI674" s="156" t="str">
        <f t="shared" ca="1" si="1077"/>
        <v/>
      </c>
      <c r="AJ674" s="157" t="str">
        <f t="shared" ca="1" si="1078"/>
        <v/>
      </c>
      <c r="AK674" s="158" t="str">
        <f t="shared" ca="1" si="1134"/>
        <v/>
      </c>
      <c r="AL674" s="158" t="str">
        <f t="shared" ca="1" si="1135"/>
        <v/>
      </c>
      <c r="AM674" s="159" t="str">
        <f t="shared" ca="1" si="1136"/>
        <v/>
      </c>
      <c r="AN674" s="160" t="str">
        <f t="shared" ca="1" si="1079"/>
        <v/>
      </c>
      <c r="AO674" s="161" t="str">
        <f t="shared" ca="1" si="1080"/>
        <v/>
      </c>
      <c r="AP674" s="162" t="str">
        <f t="shared" ca="1" si="1081"/>
        <v/>
      </c>
      <c r="AQ674" s="163" t="str">
        <f t="shared" ca="1" si="1082"/>
        <v/>
      </c>
      <c r="AR674" s="164" t="str">
        <f t="shared" ca="1" si="1083"/>
        <v/>
      </c>
      <c r="AS674" s="164" t="str">
        <f t="shared" ca="1" si="1084"/>
        <v/>
      </c>
      <c r="AT674" s="164" t="str">
        <f t="shared" ca="1" si="1085"/>
        <v/>
      </c>
      <c r="AU674" s="164" t="str">
        <f t="shared" ca="1" si="1086"/>
        <v/>
      </c>
      <c r="AV674" s="164" t="str">
        <f t="shared" ca="1" si="1087"/>
        <v/>
      </c>
      <c r="AW674" s="164" t="str">
        <f t="shared" ca="1" si="1088"/>
        <v/>
      </c>
      <c r="AX674" s="164" t="str">
        <f t="shared" ca="1" si="1089"/>
        <v/>
      </c>
      <c r="AY674" s="164" t="str">
        <f t="shared" ca="1" si="1090"/>
        <v/>
      </c>
      <c r="AZ674" s="164" t="str">
        <f t="shared" ca="1" si="1091"/>
        <v/>
      </c>
      <c r="BA674" s="165" t="str">
        <f t="shared" ca="1" si="1092"/>
        <v>nie</v>
      </c>
      <c r="BB674" s="166" t="str">
        <f t="shared" ca="1" si="1121"/>
        <v>-</v>
      </c>
      <c r="BC674" s="165" t="str">
        <f t="shared" ca="1" si="1105"/>
        <v>nie</v>
      </c>
    </row>
    <row r="675" spans="1:55" ht="14.45" hidden="1" customHeight="1" x14ac:dyDescent="0.25">
      <c r="A675" s="493" t="s">
        <v>24</v>
      </c>
      <c r="B675" s="493" t="s">
        <v>26</v>
      </c>
      <c r="C675" s="494" t="s">
        <v>184</v>
      </c>
      <c r="D675" s="505" t="s">
        <v>185</v>
      </c>
      <c r="E675" s="497">
        <v>801</v>
      </c>
      <c r="F675" s="497">
        <v>80105</v>
      </c>
      <c r="G675" s="497">
        <v>6050</v>
      </c>
      <c r="H675" s="498" t="s">
        <v>162</v>
      </c>
      <c r="I675" s="499" t="str">
        <f ca="1">IF(COUNTIF(OFFSET(I675,-1,-8),"*propon*")&gt;0,OFFSET(I675,4,0),IF(Y675&gt;0,"2033",IF(X675&gt;0,"2032",IF(W675&gt;0,"2031",IF(V675&gt;0,"2030",IF(U675&gt;0,"2029",IF(T675&gt;0,"2028",IF(S675&gt;0,"2027",IF(R675&gt;0,"2026",IF(Q675&gt;0,"2025",IF(P675&gt;0,"2024",IF(M675&gt;0,"2023",IF(L675&gt;0,"2022","")))))))))))))</f>
        <v>2024</v>
      </c>
      <c r="J675" s="168" t="s">
        <v>98</v>
      </c>
      <c r="K675" s="169">
        <f>SUM(N675:O675)</f>
        <v>0</v>
      </c>
      <c r="L675" s="170">
        <f t="shared" ref="L675:M675" si="1137">SUM(L676:L677)</f>
        <v>0</v>
      </c>
      <c r="M675" s="171">
        <f t="shared" si="1137"/>
        <v>0</v>
      </c>
      <c r="N675" s="172">
        <f>SUM(L675:M675)</f>
        <v>0</v>
      </c>
      <c r="O675" s="169">
        <f>SUM(P675:Y675)</f>
        <v>0</v>
      </c>
      <c r="P675" s="173">
        <f t="shared" ref="P675:R675" si="1138">SUM(P676:P677)</f>
        <v>0</v>
      </c>
      <c r="Q675" s="171">
        <f t="shared" si="1138"/>
        <v>0</v>
      </c>
      <c r="R675" s="174">
        <f t="shared" si="1138"/>
        <v>0</v>
      </c>
      <c r="S675" s="175">
        <f t="shared" ref="S675:Y675" si="1139">SUM(S676:S677)</f>
        <v>0</v>
      </c>
      <c r="T675" s="171">
        <f t="shared" si="1139"/>
        <v>0</v>
      </c>
      <c r="U675" s="171">
        <f t="shared" si="1139"/>
        <v>0</v>
      </c>
      <c r="V675" s="171">
        <f t="shared" si="1139"/>
        <v>0</v>
      </c>
      <c r="W675" s="171">
        <f t="shared" si="1139"/>
        <v>0</v>
      </c>
      <c r="X675" s="171">
        <f t="shared" si="1139"/>
        <v>0</v>
      </c>
      <c r="Y675" s="174">
        <f t="shared" si="1139"/>
        <v>0</v>
      </c>
      <c r="Z675" s="149" t="str">
        <f t="shared" ca="1" si="1104"/>
        <v>nie</v>
      </c>
      <c r="AA675" s="366"/>
      <c r="AB675" s="150" t="str">
        <f t="shared" ca="1" si="1120"/>
        <v>-</v>
      </c>
      <c r="AC675" s="151" t="str">
        <f t="shared" ca="1" si="1072"/>
        <v>PROPONOWANA ZMIANA</v>
      </c>
      <c r="AD675" s="152" t="str">
        <f t="shared" ca="1" si="1133"/>
        <v>PROPONOWANA ZMIANA</v>
      </c>
      <c r="AE675" s="153" t="str">
        <f t="shared" ca="1" si="1073"/>
        <v>C/USN/V/P1/95</v>
      </c>
      <c r="AF675" s="154" t="str">
        <f t="shared" ca="1" si="1074"/>
        <v>Panele fotowoltaiczne na dachu budynku Przedszkola Specjalnego nr 213 przy ul. Teligi 1</v>
      </c>
      <c r="AG675" s="155">
        <f t="shared" ca="1" si="1075"/>
        <v>80105</v>
      </c>
      <c r="AH675" s="155" t="str">
        <f t="shared" ca="1" si="1076"/>
        <v>6050</v>
      </c>
      <c r="AI675" s="156" t="str">
        <f t="shared" ca="1" si="1077"/>
        <v>GMMW</v>
      </c>
      <c r="AJ675" s="157" t="str">
        <f t="shared" ca="1" si="1078"/>
        <v>WPF, w tym</v>
      </c>
      <c r="AK675" s="158" t="str">
        <f t="shared" ca="1" si="1134"/>
        <v>C/USN/V/P1/95 80105 6050 GMMW</v>
      </c>
      <c r="AL675" s="158" t="str">
        <f t="shared" ca="1" si="1135"/>
        <v>C/USN/V/P1/95 80105 6050 WPF, w tym</v>
      </c>
      <c r="AM675" s="159" t="str">
        <f t="shared" ca="1" si="1136"/>
        <v>C/USN/V/P1/95 80105 6050 GMMW WPF, w tym</v>
      </c>
      <c r="AN675" s="160">
        <f t="shared" ca="1" si="1079"/>
        <v>0</v>
      </c>
      <c r="AO675" s="161">
        <f t="shared" ca="1" si="1080"/>
        <v>0</v>
      </c>
      <c r="AP675" s="162">
        <f t="shared" ca="1" si="1081"/>
        <v>0</v>
      </c>
      <c r="AQ675" s="163">
        <f t="shared" ca="1" si="1082"/>
        <v>0</v>
      </c>
      <c r="AR675" s="164">
        <f t="shared" ca="1" si="1083"/>
        <v>0</v>
      </c>
      <c r="AS675" s="164">
        <f t="shared" ca="1" si="1084"/>
        <v>0</v>
      </c>
      <c r="AT675" s="164">
        <f t="shared" ca="1" si="1085"/>
        <v>0</v>
      </c>
      <c r="AU675" s="164">
        <f t="shared" ca="1" si="1086"/>
        <v>0</v>
      </c>
      <c r="AV675" s="164">
        <f t="shared" ca="1" si="1087"/>
        <v>0</v>
      </c>
      <c r="AW675" s="164">
        <f t="shared" ca="1" si="1088"/>
        <v>0</v>
      </c>
      <c r="AX675" s="164">
        <f t="shared" ca="1" si="1089"/>
        <v>0</v>
      </c>
      <c r="AY675" s="164">
        <f t="shared" ca="1" si="1090"/>
        <v>0</v>
      </c>
      <c r="AZ675" s="164">
        <f t="shared" ca="1" si="1091"/>
        <v>0</v>
      </c>
      <c r="BA675" s="165" t="str">
        <f t="shared" ca="1" si="1092"/>
        <v>nie</v>
      </c>
      <c r="BB675" s="166" t="str">
        <f t="shared" ca="1" si="1121"/>
        <v>-</v>
      </c>
      <c r="BC675" s="165" t="str">
        <f t="shared" ca="1" si="1105"/>
        <v>nie</v>
      </c>
    </row>
    <row r="676" spans="1:55" ht="14.45" hidden="1" customHeight="1" x14ac:dyDescent="0.25">
      <c r="A676" s="493"/>
      <c r="B676" s="493"/>
      <c r="C676" s="494"/>
      <c r="D676" s="506"/>
      <c r="E676" s="497"/>
      <c r="F676" s="497"/>
      <c r="G676" s="497"/>
      <c r="H676" s="498"/>
      <c r="I676" s="499"/>
      <c r="J676" s="177" t="s">
        <v>99</v>
      </c>
      <c r="K676" s="178">
        <f>SUM(N676:O676)</f>
        <v>0</v>
      </c>
      <c r="L676" s="179">
        <f t="shared" ref="L676:M676" si="1140">L680-L672</f>
        <v>0</v>
      </c>
      <c r="M676" s="180">
        <f t="shared" si="1140"/>
        <v>0</v>
      </c>
      <c r="N676" s="172">
        <f>SUM(L676:M676)</f>
        <v>0</v>
      </c>
      <c r="O676" s="178">
        <f>SUM(P676:Y676)</f>
        <v>0</v>
      </c>
      <c r="P676" s="181">
        <f t="shared" ref="P676:R676" si="1141">P680-P672</f>
        <v>0</v>
      </c>
      <c r="Q676" s="180">
        <f t="shared" si="1141"/>
        <v>0</v>
      </c>
      <c r="R676" s="182">
        <f t="shared" si="1141"/>
        <v>0</v>
      </c>
      <c r="S676" s="183">
        <f t="shared" ref="S676:Y677" si="1142">S680-S672</f>
        <v>0</v>
      </c>
      <c r="T676" s="180">
        <f t="shared" si="1142"/>
        <v>0</v>
      </c>
      <c r="U676" s="180">
        <f t="shared" si="1142"/>
        <v>0</v>
      </c>
      <c r="V676" s="180">
        <f t="shared" si="1142"/>
        <v>0</v>
      </c>
      <c r="W676" s="180">
        <f t="shared" si="1142"/>
        <v>0</v>
      </c>
      <c r="X676" s="180">
        <f t="shared" si="1142"/>
        <v>0</v>
      </c>
      <c r="Y676" s="182">
        <f t="shared" si="1142"/>
        <v>0</v>
      </c>
      <c r="Z676" s="149" t="str">
        <f t="shared" ca="1" si="1104"/>
        <v>nie</v>
      </c>
      <c r="AA676" s="366"/>
      <c r="AB676" s="150" t="str">
        <f t="shared" ca="1" si="1120"/>
        <v>-</v>
      </c>
      <c r="AC676" s="151" t="str">
        <f t="shared" ca="1" si="1072"/>
        <v>PROPONOWANA ZMIANA</v>
      </c>
      <c r="AD676" s="152" t="str">
        <f t="shared" ca="1" si="1133"/>
        <v>PROPONOWANA ZMIANA</v>
      </c>
      <c r="AE676" s="153" t="str">
        <f t="shared" ca="1" si="1073"/>
        <v>C/USN/V/P1/95</v>
      </c>
      <c r="AF676" s="154" t="str">
        <f t="shared" ca="1" si="1074"/>
        <v>Panele fotowoltaiczne na dachu budynku Przedszkola Specjalnego nr 213 przy ul. Teligi 1</v>
      </c>
      <c r="AG676" s="155">
        <f t="shared" ca="1" si="1075"/>
        <v>80105</v>
      </c>
      <c r="AH676" s="155" t="str">
        <f t="shared" ca="1" si="1076"/>
        <v>6050</v>
      </c>
      <c r="AI676" s="156" t="str">
        <f t="shared" ca="1" si="1077"/>
        <v>GMMW</v>
      </c>
      <c r="AJ676" s="157" t="str">
        <f t="shared" ca="1" si="1078"/>
        <v>WPF/PM</v>
      </c>
      <c r="AK676" s="158" t="str">
        <f t="shared" ca="1" si="1134"/>
        <v>C/USN/V/P1/95 80105 6050 GMMW</v>
      </c>
      <c r="AL676" s="158" t="str">
        <f t="shared" ca="1" si="1135"/>
        <v>C/USN/V/P1/95 80105 6050 WPF/PM</v>
      </c>
      <c r="AM676" s="159" t="str">
        <f t="shared" ca="1" si="1136"/>
        <v>C/USN/V/P1/95 80105 6050 GMMW WPF/PM</v>
      </c>
      <c r="AN676" s="160">
        <f t="shared" ca="1" si="1079"/>
        <v>0</v>
      </c>
      <c r="AO676" s="161">
        <f t="shared" ca="1" si="1080"/>
        <v>0</v>
      </c>
      <c r="AP676" s="162">
        <f t="shared" ca="1" si="1081"/>
        <v>0</v>
      </c>
      <c r="AQ676" s="163">
        <f t="shared" ca="1" si="1082"/>
        <v>0</v>
      </c>
      <c r="AR676" s="164">
        <f t="shared" ca="1" si="1083"/>
        <v>0</v>
      </c>
      <c r="AS676" s="164">
        <f t="shared" ca="1" si="1084"/>
        <v>0</v>
      </c>
      <c r="AT676" s="164">
        <f t="shared" ca="1" si="1085"/>
        <v>0</v>
      </c>
      <c r="AU676" s="164">
        <f t="shared" ca="1" si="1086"/>
        <v>0</v>
      </c>
      <c r="AV676" s="164">
        <f t="shared" ca="1" si="1087"/>
        <v>0</v>
      </c>
      <c r="AW676" s="164">
        <f t="shared" ca="1" si="1088"/>
        <v>0</v>
      </c>
      <c r="AX676" s="164">
        <f t="shared" ca="1" si="1089"/>
        <v>0</v>
      </c>
      <c r="AY676" s="164">
        <f t="shared" ca="1" si="1090"/>
        <v>0</v>
      </c>
      <c r="AZ676" s="164">
        <f t="shared" ca="1" si="1091"/>
        <v>0</v>
      </c>
      <c r="BA676" s="165" t="str">
        <f t="shared" ca="1" si="1092"/>
        <v>nie</v>
      </c>
      <c r="BB676" s="166" t="str">
        <f t="shared" ca="1" si="1121"/>
        <v>-</v>
      </c>
      <c r="BC676" s="165" t="str">
        <f t="shared" ca="1" si="1105"/>
        <v>nie</v>
      </c>
    </row>
    <row r="677" spans="1:55" ht="14.45" hidden="1" customHeight="1" x14ac:dyDescent="0.25">
      <c r="A677" s="550"/>
      <c r="B677" s="493"/>
      <c r="C677" s="494"/>
      <c r="D677" s="506"/>
      <c r="E677" s="497"/>
      <c r="F677" s="497"/>
      <c r="G677" s="497"/>
      <c r="H677" s="498"/>
      <c r="I677" s="499"/>
      <c r="J677" s="177" t="s">
        <v>100</v>
      </c>
      <c r="K677" s="178">
        <f>SUM(N677:O677)</f>
        <v>0</v>
      </c>
      <c r="L677" s="179">
        <f t="shared" ref="L677:M677" si="1143">L681-L673</f>
        <v>0</v>
      </c>
      <c r="M677" s="180">
        <f t="shared" si="1143"/>
        <v>0</v>
      </c>
      <c r="N677" s="172">
        <f>SUM(L677:M677)</f>
        <v>0</v>
      </c>
      <c r="O677" s="178">
        <f>SUM(P677:Y677)</f>
        <v>0</v>
      </c>
      <c r="P677" s="181">
        <f t="shared" ref="P677:R677" si="1144">P681-P673</f>
        <v>0</v>
      </c>
      <c r="Q677" s="180">
        <f t="shared" si="1144"/>
        <v>0</v>
      </c>
      <c r="R677" s="182">
        <f t="shared" si="1144"/>
        <v>0</v>
      </c>
      <c r="S677" s="183">
        <f t="shared" si="1142"/>
        <v>0</v>
      </c>
      <c r="T677" s="180">
        <f t="shared" si="1142"/>
        <v>0</v>
      </c>
      <c r="U677" s="180">
        <f t="shared" si="1142"/>
        <v>0</v>
      </c>
      <c r="V677" s="180">
        <f t="shared" si="1142"/>
        <v>0</v>
      </c>
      <c r="W677" s="180">
        <f t="shared" si="1142"/>
        <v>0</v>
      </c>
      <c r="X677" s="180">
        <f t="shared" si="1142"/>
        <v>0</v>
      </c>
      <c r="Y677" s="182">
        <f t="shared" si="1142"/>
        <v>0</v>
      </c>
      <c r="Z677" s="149" t="str">
        <f t="shared" ca="1" si="1104"/>
        <v>nie</v>
      </c>
      <c r="AA677" s="366"/>
      <c r="AB677" s="150" t="str">
        <f t="shared" ca="1" si="1120"/>
        <v>-</v>
      </c>
      <c r="AC677" s="151" t="str">
        <f t="shared" ca="1" si="1072"/>
        <v>PROPONOWANA ZMIANA</v>
      </c>
      <c r="AD677" s="152" t="str">
        <f t="shared" ca="1" si="1133"/>
        <v>PROPONOWANA ZMIANA</v>
      </c>
      <c r="AE677" s="153" t="str">
        <f t="shared" ca="1" si="1073"/>
        <v>C/USN/V/P1/95</v>
      </c>
      <c r="AF677" s="154" t="str">
        <f t="shared" ca="1" si="1074"/>
        <v>Panele fotowoltaiczne na dachu budynku Przedszkola Specjalnego nr 213 przy ul. Teligi 1</v>
      </c>
      <c r="AG677" s="155">
        <f t="shared" ca="1" si="1075"/>
        <v>80105</v>
      </c>
      <c r="AH677" s="155" t="str">
        <f t="shared" ca="1" si="1076"/>
        <v>6050</v>
      </c>
      <c r="AI677" s="156" t="str">
        <f t="shared" ca="1" si="1077"/>
        <v>GMMW</v>
      </c>
      <c r="AJ677" s="157" t="str">
        <f t="shared" ca="1" si="1078"/>
        <v>WPF/UM</v>
      </c>
      <c r="AK677" s="158" t="str">
        <f t="shared" ca="1" si="1134"/>
        <v>C/USN/V/P1/95 80105 6050 GMMW</v>
      </c>
      <c r="AL677" s="158" t="str">
        <f t="shared" ca="1" si="1135"/>
        <v>C/USN/V/P1/95 80105 6050 WPF/UM</v>
      </c>
      <c r="AM677" s="159" t="str">
        <f t="shared" ca="1" si="1136"/>
        <v>C/USN/V/P1/95 80105 6050 GMMW WPF/UM</v>
      </c>
      <c r="AN677" s="160">
        <f t="shared" ca="1" si="1079"/>
        <v>0</v>
      </c>
      <c r="AO677" s="161">
        <f t="shared" ca="1" si="1080"/>
        <v>0</v>
      </c>
      <c r="AP677" s="162">
        <f t="shared" ca="1" si="1081"/>
        <v>0</v>
      </c>
      <c r="AQ677" s="163">
        <f t="shared" ca="1" si="1082"/>
        <v>0</v>
      </c>
      <c r="AR677" s="164">
        <f t="shared" ca="1" si="1083"/>
        <v>0</v>
      </c>
      <c r="AS677" s="164">
        <f t="shared" ca="1" si="1084"/>
        <v>0</v>
      </c>
      <c r="AT677" s="164">
        <f t="shared" ca="1" si="1085"/>
        <v>0</v>
      </c>
      <c r="AU677" s="164">
        <f t="shared" ca="1" si="1086"/>
        <v>0</v>
      </c>
      <c r="AV677" s="164">
        <f t="shared" ca="1" si="1087"/>
        <v>0</v>
      </c>
      <c r="AW677" s="164">
        <f t="shared" ca="1" si="1088"/>
        <v>0</v>
      </c>
      <c r="AX677" s="164">
        <f t="shared" ca="1" si="1089"/>
        <v>0</v>
      </c>
      <c r="AY677" s="164">
        <f t="shared" ca="1" si="1090"/>
        <v>0</v>
      </c>
      <c r="AZ677" s="164">
        <f t="shared" ca="1" si="1091"/>
        <v>0</v>
      </c>
      <c r="BA677" s="165" t="str">
        <f t="shared" ca="1" si="1092"/>
        <v>nie</v>
      </c>
      <c r="BB677" s="166" t="str">
        <f t="shared" ca="1" si="1121"/>
        <v>-</v>
      </c>
      <c r="BC677" s="165" t="str">
        <f t="shared" ca="1" si="1105"/>
        <v>nie</v>
      </c>
    </row>
    <row r="678" spans="1:55" ht="14.45" hidden="1" customHeight="1" x14ac:dyDescent="0.25">
      <c r="A678" s="191" t="s">
        <v>101</v>
      </c>
      <c r="B678" s="192"/>
      <c r="C678" s="193"/>
      <c r="D678" s="192"/>
      <c r="E678" s="192"/>
      <c r="F678" s="192"/>
      <c r="G678" s="192"/>
      <c r="H678" s="192"/>
      <c r="I678" s="192"/>
      <c r="J678" s="192"/>
      <c r="K678" s="192"/>
      <c r="L678" s="192"/>
      <c r="M678" s="192"/>
      <c r="N678" s="192"/>
      <c r="O678" s="192"/>
      <c r="P678" s="192"/>
      <c r="Q678" s="192"/>
      <c r="R678" s="194"/>
      <c r="S678" s="195"/>
      <c r="T678" s="195"/>
      <c r="U678" s="195"/>
      <c r="V678" s="195"/>
      <c r="W678" s="195"/>
      <c r="X678" s="195"/>
      <c r="Y678" s="196"/>
      <c r="Z678" s="149" t="str">
        <f t="shared" ca="1" si="1104"/>
        <v>nie</v>
      </c>
      <c r="AA678" s="366"/>
      <c r="AB678" s="150" t="str">
        <f t="shared" ca="1" si="1120"/>
        <v>-</v>
      </c>
      <c r="AC678" s="151" t="str">
        <f t="shared" ca="1" si="1072"/>
        <v>PO ZMIANIE</v>
      </c>
      <c r="AD678" s="152" t="str">
        <f t="shared" ca="1" si="1133"/>
        <v/>
      </c>
      <c r="AE678" s="153" t="str">
        <f t="shared" ca="1" si="1073"/>
        <v/>
      </c>
      <c r="AF678" s="154" t="str">
        <f t="shared" ca="1" si="1074"/>
        <v/>
      </c>
      <c r="AG678" s="155" t="str">
        <f t="shared" ca="1" si="1075"/>
        <v/>
      </c>
      <c r="AH678" s="155" t="str">
        <f t="shared" ca="1" si="1076"/>
        <v/>
      </c>
      <c r="AI678" s="156" t="str">
        <f t="shared" ca="1" si="1077"/>
        <v/>
      </c>
      <c r="AJ678" s="157" t="str">
        <f t="shared" ca="1" si="1078"/>
        <v/>
      </c>
      <c r="AK678" s="158" t="str">
        <f t="shared" ca="1" si="1134"/>
        <v/>
      </c>
      <c r="AL678" s="158" t="str">
        <f t="shared" ca="1" si="1135"/>
        <v/>
      </c>
      <c r="AM678" s="159" t="str">
        <f t="shared" ca="1" si="1136"/>
        <v/>
      </c>
      <c r="AN678" s="160" t="str">
        <f t="shared" ca="1" si="1079"/>
        <v/>
      </c>
      <c r="AO678" s="161" t="str">
        <f t="shared" ca="1" si="1080"/>
        <v/>
      </c>
      <c r="AP678" s="162" t="str">
        <f t="shared" ca="1" si="1081"/>
        <v/>
      </c>
      <c r="AQ678" s="163" t="str">
        <f t="shared" ca="1" si="1082"/>
        <v/>
      </c>
      <c r="AR678" s="164" t="str">
        <f t="shared" ca="1" si="1083"/>
        <v/>
      </c>
      <c r="AS678" s="164" t="str">
        <f t="shared" ca="1" si="1084"/>
        <v/>
      </c>
      <c r="AT678" s="164" t="str">
        <f t="shared" ca="1" si="1085"/>
        <v/>
      </c>
      <c r="AU678" s="164" t="str">
        <f t="shared" ca="1" si="1086"/>
        <v/>
      </c>
      <c r="AV678" s="164" t="str">
        <f t="shared" ca="1" si="1087"/>
        <v/>
      </c>
      <c r="AW678" s="164" t="str">
        <f t="shared" ca="1" si="1088"/>
        <v/>
      </c>
      <c r="AX678" s="164" t="str">
        <f t="shared" ca="1" si="1089"/>
        <v/>
      </c>
      <c r="AY678" s="164" t="str">
        <f t="shared" ca="1" si="1090"/>
        <v/>
      </c>
      <c r="AZ678" s="164" t="str">
        <f t="shared" ca="1" si="1091"/>
        <v/>
      </c>
      <c r="BA678" s="165" t="str">
        <f t="shared" ca="1" si="1092"/>
        <v>nie</v>
      </c>
      <c r="BB678" s="166" t="str">
        <f t="shared" ca="1" si="1121"/>
        <v>-</v>
      </c>
      <c r="BC678" s="165" t="str">
        <f t="shared" ca="1" si="1105"/>
        <v>nie</v>
      </c>
    </row>
    <row r="679" spans="1:55" ht="14.45" hidden="1" customHeight="1" x14ac:dyDescent="0.25">
      <c r="A679" s="493" t="s">
        <v>24</v>
      </c>
      <c r="B679" s="493" t="s">
        <v>26</v>
      </c>
      <c r="C679" s="494" t="s">
        <v>184</v>
      </c>
      <c r="D679" s="505" t="s">
        <v>185</v>
      </c>
      <c r="E679" s="497">
        <v>801</v>
      </c>
      <c r="F679" s="497">
        <v>80105</v>
      </c>
      <c r="G679" s="497">
        <v>6050</v>
      </c>
      <c r="H679" s="498" t="s">
        <v>162</v>
      </c>
      <c r="I679" s="499" t="str">
        <f ca="1">IF(COUNTIF(OFFSET(I679,-1,-8),"*propon*")&gt;0,OFFSET(I679,4,0),IF(Y679&gt;0,"2033",IF(X679&gt;0,"2032",IF(W679&gt;0,"2031",IF(V679&gt;0,"2030",IF(U679&gt;0,"2029",IF(T679&gt;0,"2028",IF(S679&gt;0,"2027",IF(R679&gt;0,"2026",IF(Q679&gt;0,"2025",IF(P679&gt;0,"2024",IF(M679&gt;0,"2023",IF(L679&gt;0,"2022","")))))))))))))</f>
        <v>2024</v>
      </c>
      <c r="J679" s="168" t="s">
        <v>102</v>
      </c>
      <c r="K679" s="169">
        <f>SUM(N679:O679)</f>
        <v>202612</v>
      </c>
      <c r="L679" s="170">
        <f t="shared" ref="L679:M679" si="1145">SUM(L680:L681)</f>
        <v>0</v>
      </c>
      <c r="M679" s="171">
        <f t="shared" si="1145"/>
        <v>0</v>
      </c>
      <c r="N679" s="172">
        <f>SUM(L679:M679)</f>
        <v>0</v>
      </c>
      <c r="O679" s="169">
        <f>SUM(P679:Y679)</f>
        <v>202612</v>
      </c>
      <c r="P679" s="173">
        <f t="shared" ref="P679:R679" si="1146">SUM(P680:P681)</f>
        <v>202612</v>
      </c>
      <c r="Q679" s="171">
        <f t="shared" si="1146"/>
        <v>0</v>
      </c>
      <c r="R679" s="174">
        <f t="shared" si="1146"/>
        <v>0</v>
      </c>
      <c r="S679" s="175">
        <f t="shared" ref="S679:Y679" si="1147">SUM(S680:S681)</f>
        <v>0</v>
      </c>
      <c r="T679" s="171">
        <f t="shared" si="1147"/>
        <v>0</v>
      </c>
      <c r="U679" s="171">
        <f t="shared" si="1147"/>
        <v>0</v>
      </c>
      <c r="V679" s="171">
        <f t="shared" si="1147"/>
        <v>0</v>
      </c>
      <c r="W679" s="171">
        <f t="shared" si="1147"/>
        <v>0</v>
      </c>
      <c r="X679" s="171">
        <f t="shared" si="1147"/>
        <v>0</v>
      </c>
      <c r="Y679" s="174">
        <f t="shared" si="1147"/>
        <v>0</v>
      </c>
      <c r="Z679" s="149" t="str">
        <f t="shared" ca="1" si="1104"/>
        <v>nie</v>
      </c>
      <c r="AA679" s="366"/>
      <c r="AB679" s="150" t="str">
        <f t="shared" ca="1" si="1120"/>
        <v>-</v>
      </c>
      <c r="AC679" s="151" t="str">
        <f t="shared" ca="1" si="1072"/>
        <v>PO ZMIANIE</v>
      </c>
      <c r="AD679" s="152" t="str">
        <f t="shared" ca="1" si="1133"/>
        <v>PO ZMIANIE</v>
      </c>
      <c r="AE679" s="153" t="str">
        <f t="shared" ca="1" si="1073"/>
        <v>C/USN/V/P1/95</v>
      </c>
      <c r="AF679" s="154" t="str">
        <f t="shared" ca="1" si="1074"/>
        <v>Panele fotowoltaiczne na dachu budynku Przedszkola Specjalnego nr 213 przy ul. Teligi 1</v>
      </c>
      <c r="AG679" s="155">
        <f t="shared" ca="1" si="1075"/>
        <v>80105</v>
      </c>
      <c r="AH679" s="155" t="str">
        <f t="shared" ca="1" si="1076"/>
        <v>6050</v>
      </c>
      <c r="AI679" s="156" t="str">
        <f t="shared" ca="1" si="1077"/>
        <v>GMMW</v>
      </c>
      <c r="AJ679" s="157" t="str">
        <f t="shared" ca="1" si="1078"/>
        <v>WPF, w tym</v>
      </c>
      <c r="AK679" s="158" t="str">
        <f t="shared" ca="1" si="1134"/>
        <v>C/USN/V/P1/95 80105 6050 GMMW</v>
      </c>
      <c r="AL679" s="158" t="str">
        <f t="shared" ca="1" si="1135"/>
        <v>C/USN/V/P1/95 80105 6050 WPF, w tym</v>
      </c>
      <c r="AM679" s="159" t="str">
        <f t="shared" ca="1" si="1136"/>
        <v>C/USN/V/P1/95 80105 6050 GMMW WPF, w tym</v>
      </c>
      <c r="AN679" s="160">
        <f t="shared" ca="1" si="1079"/>
        <v>202612</v>
      </c>
      <c r="AO679" s="161">
        <f t="shared" ca="1" si="1080"/>
        <v>0</v>
      </c>
      <c r="AP679" s="162">
        <f t="shared" ca="1" si="1081"/>
        <v>0</v>
      </c>
      <c r="AQ679" s="163">
        <f t="shared" ca="1" si="1082"/>
        <v>202612</v>
      </c>
      <c r="AR679" s="164">
        <f t="shared" ca="1" si="1083"/>
        <v>0</v>
      </c>
      <c r="AS679" s="164">
        <f t="shared" ca="1" si="1084"/>
        <v>0</v>
      </c>
      <c r="AT679" s="164">
        <f t="shared" ca="1" si="1085"/>
        <v>0</v>
      </c>
      <c r="AU679" s="164">
        <f t="shared" ca="1" si="1086"/>
        <v>0</v>
      </c>
      <c r="AV679" s="164">
        <f t="shared" ca="1" si="1087"/>
        <v>0</v>
      </c>
      <c r="AW679" s="164">
        <f t="shared" ca="1" si="1088"/>
        <v>0</v>
      </c>
      <c r="AX679" s="164">
        <f t="shared" ca="1" si="1089"/>
        <v>0</v>
      </c>
      <c r="AY679" s="164">
        <f t="shared" ca="1" si="1090"/>
        <v>0</v>
      </c>
      <c r="AZ679" s="164">
        <f t="shared" ca="1" si="1091"/>
        <v>0</v>
      </c>
      <c r="BA679" s="165" t="str">
        <f t="shared" ca="1" si="1092"/>
        <v>nie</v>
      </c>
      <c r="BB679" s="166" t="str">
        <f t="shared" ca="1" si="1121"/>
        <v>-</v>
      </c>
      <c r="BC679" s="165" t="str">
        <f t="shared" ca="1" si="1105"/>
        <v>nie</v>
      </c>
    </row>
    <row r="680" spans="1:55" ht="14.45" hidden="1" customHeight="1" x14ac:dyDescent="0.25">
      <c r="A680" s="493"/>
      <c r="B680" s="493"/>
      <c r="C680" s="494"/>
      <c r="D680" s="506"/>
      <c r="E680" s="497"/>
      <c r="F680" s="497"/>
      <c r="G680" s="497"/>
      <c r="H680" s="498"/>
      <c r="I680" s="499"/>
      <c r="J680" s="177" t="s">
        <v>103</v>
      </c>
      <c r="K680" s="178">
        <f>SUM(N680:O680)</f>
        <v>202612</v>
      </c>
      <c r="L680" s="179"/>
      <c r="M680" s="180"/>
      <c r="N680" s="172">
        <f>SUM(L680:M680)</f>
        <v>0</v>
      </c>
      <c r="O680" s="178">
        <f>SUM(P680:Y680)</f>
        <v>202612</v>
      </c>
      <c r="P680" s="181">
        <f>300000-97388</f>
        <v>202612</v>
      </c>
      <c r="Q680" s="180"/>
      <c r="R680" s="182"/>
      <c r="S680" s="183"/>
      <c r="T680" s="180"/>
      <c r="U680" s="180"/>
      <c r="V680" s="180"/>
      <c r="W680" s="180"/>
      <c r="X680" s="180"/>
      <c r="Y680" s="182"/>
      <c r="Z680" s="149" t="str">
        <f t="shared" ca="1" si="1104"/>
        <v>nie</v>
      </c>
      <c r="AA680" s="384"/>
      <c r="AB680" s="150" t="str">
        <f t="shared" ca="1" si="1120"/>
        <v>-</v>
      </c>
      <c r="AC680" s="151" t="str">
        <f t="shared" ca="1" si="1072"/>
        <v>PO ZMIANIE</v>
      </c>
      <c r="AD680" s="152" t="str">
        <f t="shared" ca="1" si="1133"/>
        <v>PO ZMIANIE</v>
      </c>
      <c r="AE680" s="153" t="str">
        <f t="shared" ca="1" si="1073"/>
        <v>C/USN/V/P1/95</v>
      </c>
      <c r="AF680" s="154" t="str">
        <f t="shared" ca="1" si="1074"/>
        <v>Panele fotowoltaiczne na dachu budynku Przedszkola Specjalnego nr 213 przy ul. Teligi 1</v>
      </c>
      <c r="AG680" s="155">
        <f t="shared" ca="1" si="1075"/>
        <v>80105</v>
      </c>
      <c r="AH680" s="155" t="str">
        <f t="shared" ca="1" si="1076"/>
        <v>6050</v>
      </c>
      <c r="AI680" s="156" t="str">
        <f t="shared" ca="1" si="1077"/>
        <v>GMMW</v>
      </c>
      <c r="AJ680" s="157" t="str">
        <f t="shared" ca="1" si="1078"/>
        <v>WPF/PM</v>
      </c>
      <c r="AK680" s="158" t="str">
        <f t="shared" ca="1" si="1134"/>
        <v>C/USN/V/P1/95 80105 6050 GMMW</v>
      </c>
      <c r="AL680" s="158" t="str">
        <f t="shared" ca="1" si="1135"/>
        <v>C/USN/V/P1/95 80105 6050 WPF/PM</v>
      </c>
      <c r="AM680" s="159" t="str">
        <f t="shared" ca="1" si="1136"/>
        <v>C/USN/V/P1/95 80105 6050 GMMW WPF/PM</v>
      </c>
      <c r="AN680" s="160">
        <f t="shared" ca="1" si="1079"/>
        <v>202612</v>
      </c>
      <c r="AO680" s="161">
        <f t="shared" ca="1" si="1080"/>
        <v>0</v>
      </c>
      <c r="AP680" s="162">
        <f t="shared" ca="1" si="1081"/>
        <v>0</v>
      </c>
      <c r="AQ680" s="163">
        <f t="shared" ca="1" si="1082"/>
        <v>202612</v>
      </c>
      <c r="AR680" s="164">
        <f t="shared" ca="1" si="1083"/>
        <v>0</v>
      </c>
      <c r="AS680" s="164">
        <f t="shared" ca="1" si="1084"/>
        <v>0</v>
      </c>
      <c r="AT680" s="164">
        <f t="shared" ca="1" si="1085"/>
        <v>0</v>
      </c>
      <c r="AU680" s="164">
        <f t="shared" ca="1" si="1086"/>
        <v>0</v>
      </c>
      <c r="AV680" s="164">
        <f t="shared" ca="1" si="1087"/>
        <v>0</v>
      </c>
      <c r="AW680" s="164">
        <f t="shared" ca="1" si="1088"/>
        <v>0</v>
      </c>
      <c r="AX680" s="164">
        <f t="shared" ca="1" si="1089"/>
        <v>0</v>
      </c>
      <c r="AY680" s="164">
        <f t="shared" ca="1" si="1090"/>
        <v>0</v>
      </c>
      <c r="AZ680" s="164">
        <f t="shared" ca="1" si="1091"/>
        <v>0</v>
      </c>
      <c r="BA680" s="165" t="str">
        <f t="shared" ca="1" si="1092"/>
        <v>nie</v>
      </c>
      <c r="BB680" s="166" t="str">
        <f t="shared" ca="1" si="1121"/>
        <v>-</v>
      </c>
      <c r="BC680" s="165" t="str">
        <f t="shared" ca="1" si="1105"/>
        <v>nie</v>
      </c>
    </row>
    <row r="681" spans="1:55" ht="14.45" hidden="1" customHeight="1" thickBot="1" x14ac:dyDescent="0.3">
      <c r="A681" s="500"/>
      <c r="B681" s="500"/>
      <c r="C681" s="501"/>
      <c r="D681" s="513"/>
      <c r="E681" s="503"/>
      <c r="F681" s="503"/>
      <c r="G681" s="503"/>
      <c r="H681" s="504"/>
      <c r="I681" s="499"/>
      <c r="J681" s="197" t="s">
        <v>104</v>
      </c>
      <c r="K681" s="198">
        <f>SUM(N681:O681)</f>
        <v>0</v>
      </c>
      <c r="L681" s="199"/>
      <c r="M681" s="200">
        <f>30000-30000</f>
        <v>0</v>
      </c>
      <c r="N681" s="371">
        <f>SUM(L681:M681)</f>
        <v>0</v>
      </c>
      <c r="O681" s="198">
        <f>SUM(P681:Y681)</f>
        <v>0</v>
      </c>
      <c r="P681" s="201"/>
      <c r="Q681" s="200"/>
      <c r="R681" s="202"/>
      <c r="S681" s="203"/>
      <c r="T681" s="200"/>
      <c r="U681" s="200"/>
      <c r="V681" s="200"/>
      <c r="W681" s="200"/>
      <c r="X681" s="200"/>
      <c r="Y681" s="202"/>
      <c r="Z681" s="149" t="str">
        <f t="shared" ca="1" si="1104"/>
        <v>nie</v>
      </c>
      <c r="AA681" s="384"/>
      <c r="AB681" s="150" t="str">
        <f t="shared" ca="1" si="1120"/>
        <v>-</v>
      </c>
      <c r="AC681" s="151" t="str">
        <f t="shared" ca="1" si="1072"/>
        <v>PO ZMIANIE</v>
      </c>
      <c r="AD681" s="152" t="str">
        <f t="shared" ca="1" si="1133"/>
        <v>PO ZMIANIE</v>
      </c>
      <c r="AE681" s="153" t="str">
        <f t="shared" ca="1" si="1073"/>
        <v>C/USN/V/P1/95</v>
      </c>
      <c r="AF681" s="154" t="str">
        <f t="shared" ca="1" si="1074"/>
        <v>Panele fotowoltaiczne na dachu budynku Przedszkola Specjalnego nr 213 przy ul. Teligi 1</v>
      </c>
      <c r="AG681" s="155">
        <f t="shared" ca="1" si="1075"/>
        <v>80105</v>
      </c>
      <c r="AH681" s="155" t="str">
        <f t="shared" ca="1" si="1076"/>
        <v>6050</v>
      </c>
      <c r="AI681" s="156" t="str">
        <f t="shared" ca="1" si="1077"/>
        <v>GMMW</v>
      </c>
      <c r="AJ681" s="157" t="str">
        <f t="shared" ca="1" si="1078"/>
        <v>WPF/UM</v>
      </c>
      <c r="AK681" s="158" t="str">
        <f t="shared" ca="1" si="1134"/>
        <v>C/USN/V/P1/95 80105 6050 GMMW</v>
      </c>
      <c r="AL681" s="158" t="str">
        <f t="shared" ca="1" si="1135"/>
        <v>C/USN/V/P1/95 80105 6050 WPF/UM</v>
      </c>
      <c r="AM681" s="159" t="str">
        <f t="shared" ca="1" si="1136"/>
        <v>C/USN/V/P1/95 80105 6050 GMMW WPF/UM</v>
      </c>
      <c r="AN681" s="160">
        <f t="shared" ca="1" si="1079"/>
        <v>0</v>
      </c>
      <c r="AO681" s="161">
        <f t="shared" ca="1" si="1080"/>
        <v>0</v>
      </c>
      <c r="AP681" s="162">
        <f t="shared" ca="1" si="1081"/>
        <v>0</v>
      </c>
      <c r="AQ681" s="163">
        <f t="shared" ca="1" si="1082"/>
        <v>0</v>
      </c>
      <c r="AR681" s="164">
        <f t="shared" ca="1" si="1083"/>
        <v>0</v>
      </c>
      <c r="AS681" s="164">
        <f t="shared" ca="1" si="1084"/>
        <v>0</v>
      </c>
      <c r="AT681" s="164">
        <f t="shared" ca="1" si="1085"/>
        <v>0</v>
      </c>
      <c r="AU681" s="164">
        <f t="shared" ca="1" si="1086"/>
        <v>0</v>
      </c>
      <c r="AV681" s="164">
        <f t="shared" ca="1" si="1087"/>
        <v>0</v>
      </c>
      <c r="AW681" s="164">
        <f t="shared" ca="1" si="1088"/>
        <v>0</v>
      </c>
      <c r="AX681" s="164">
        <f t="shared" ca="1" si="1089"/>
        <v>0</v>
      </c>
      <c r="AY681" s="164">
        <f t="shared" ca="1" si="1090"/>
        <v>0</v>
      </c>
      <c r="AZ681" s="164">
        <f t="shared" ca="1" si="1091"/>
        <v>0</v>
      </c>
      <c r="BA681" s="165" t="str">
        <f t="shared" ca="1" si="1092"/>
        <v>nie</v>
      </c>
      <c r="BB681" s="166" t="str">
        <f t="shared" ca="1" si="1121"/>
        <v>-</v>
      </c>
      <c r="BC681" s="165" t="str">
        <f t="shared" ca="1" si="1105"/>
        <v>nie</v>
      </c>
    </row>
    <row r="682" spans="1:55" s="214" customFormat="1" ht="14.45" hidden="1" customHeight="1" x14ac:dyDescent="0.25">
      <c r="A682" s="143" t="s">
        <v>91</v>
      </c>
      <c r="B682" s="144"/>
      <c r="C682" s="145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6"/>
      <c r="S682" s="147"/>
      <c r="T682" s="147"/>
      <c r="U682" s="147"/>
      <c r="V682" s="147"/>
      <c r="W682" s="147"/>
      <c r="X682" s="147"/>
      <c r="Y682" s="148"/>
      <c r="Z682" s="149" t="str">
        <f t="shared" ca="1" si="1104"/>
        <v>nie</v>
      </c>
      <c r="AA682" s="366"/>
      <c r="AB682" s="150" t="str">
        <f t="shared" ca="1" si="1120"/>
        <v>-</v>
      </c>
      <c r="AC682" s="151" t="str">
        <f t="shared" ca="1" si="1072"/>
        <v>PRZED ZMIANĄ</v>
      </c>
      <c r="AD682" s="152" t="str">
        <f t="shared" ca="1" si="1133"/>
        <v/>
      </c>
      <c r="AE682" s="153" t="str">
        <f t="shared" ca="1" si="1073"/>
        <v/>
      </c>
      <c r="AF682" s="154" t="str">
        <f t="shared" ca="1" si="1074"/>
        <v/>
      </c>
      <c r="AG682" s="155" t="str">
        <f t="shared" ca="1" si="1075"/>
        <v/>
      </c>
      <c r="AH682" s="155" t="str">
        <f t="shared" ca="1" si="1076"/>
        <v/>
      </c>
      <c r="AI682" s="156" t="str">
        <f t="shared" ca="1" si="1077"/>
        <v/>
      </c>
      <c r="AJ682" s="157" t="str">
        <f t="shared" ca="1" si="1078"/>
        <v/>
      </c>
      <c r="AK682" s="158" t="str">
        <f t="shared" ca="1" si="1134"/>
        <v/>
      </c>
      <c r="AL682" s="158" t="str">
        <f t="shared" ca="1" si="1135"/>
        <v/>
      </c>
      <c r="AM682" s="159" t="str">
        <f t="shared" ca="1" si="1136"/>
        <v/>
      </c>
      <c r="AN682" s="160" t="str">
        <f t="shared" ca="1" si="1079"/>
        <v/>
      </c>
      <c r="AO682" s="161" t="str">
        <f t="shared" ca="1" si="1080"/>
        <v/>
      </c>
      <c r="AP682" s="162" t="str">
        <f t="shared" ca="1" si="1081"/>
        <v/>
      </c>
      <c r="AQ682" s="163" t="str">
        <f t="shared" ca="1" si="1082"/>
        <v/>
      </c>
      <c r="AR682" s="164" t="str">
        <f t="shared" ca="1" si="1083"/>
        <v/>
      </c>
      <c r="AS682" s="164" t="str">
        <f t="shared" ca="1" si="1084"/>
        <v/>
      </c>
      <c r="AT682" s="164" t="str">
        <f t="shared" ca="1" si="1085"/>
        <v/>
      </c>
      <c r="AU682" s="164" t="str">
        <f t="shared" ca="1" si="1086"/>
        <v/>
      </c>
      <c r="AV682" s="164" t="str">
        <f t="shared" ca="1" si="1087"/>
        <v/>
      </c>
      <c r="AW682" s="164" t="str">
        <f t="shared" ca="1" si="1088"/>
        <v/>
      </c>
      <c r="AX682" s="164" t="str">
        <f t="shared" ca="1" si="1089"/>
        <v/>
      </c>
      <c r="AY682" s="164" t="str">
        <f t="shared" ca="1" si="1090"/>
        <v/>
      </c>
      <c r="AZ682" s="164" t="str">
        <f t="shared" ca="1" si="1091"/>
        <v/>
      </c>
      <c r="BA682" s="165" t="str">
        <f t="shared" ca="1" si="1092"/>
        <v>nie</v>
      </c>
      <c r="BB682" s="166" t="str">
        <f t="shared" ca="1" si="1121"/>
        <v>-</v>
      </c>
      <c r="BC682" s="165" t="str">
        <f t="shared" ca="1" si="1105"/>
        <v>nie</v>
      </c>
    </row>
    <row r="683" spans="1:55" s="214" customFormat="1" ht="14.45" hidden="1" customHeight="1" x14ac:dyDescent="0.25">
      <c r="A683" s="493" t="s">
        <v>24</v>
      </c>
      <c r="B683" s="493" t="s">
        <v>26</v>
      </c>
      <c r="C683" s="494" t="s">
        <v>186</v>
      </c>
      <c r="D683" s="506" t="s">
        <v>187</v>
      </c>
      <c r="E683" s="497">
        <v>801</v>
      </c>
      <c r="F683" s="497">
        <v>80120</v>
      </c>
      <c r="G683" s="497">
        <v>6050</v>
      </c>
      <c r="H683" s="498" t="s">
        <v>162</v>
      </c>
      <c r="I683" s="499" t="str">
        <f ca="1">IF(COUNTIF(OFFSET(I683,-1,-8),"*propon*")&gt;0,OFFSET(I683,4,0),IF(Y683&gt;0,"2033",IF(X683&gt;0,"2032",IF(W683&gt;0,"2031",IF(V683&gt;0,"2030",IF(U683&gt;0,"2029",IF(T683&gt;0,"2028",IF(S683&gt;0,"2027",IF(R683&gt;0,"2026",IF(Q683&gt;0,"2025",IF(P683&gt;0,"2024",IF(M683&gt;0,"2023",IF(L683&gt;0,"2022","")))))))))))))</f>
        <v>2024</v>
      </c>
      <c r="J683" s="168" t="s">
        <v>94</v>
      </c>
      <c r="K683" s="169">
        <f>SUM(N683:O683)</f>
        <v>833915</v>
      </c>
      <c r="L683" s="170">
        <f t="shared" ref="L683:M683" si="1148">SUM(L684:L685)</f>
        <v>0</v>
      </c>
      <c r="M683" s="171">
        <f t="shared" si="1148"/>
        <v>0</v>
      </c>
      <c r="N683" s="172">
        <f>SUM(L683:M683)</f>
        <v>0</v>
      </c>
      <c r="O683" s="169">
        <f>SUM(P683:Y683)</f>
        <v>833915</v>
      </c>
      <c r="P683" s="173">
        <f t="shared" ref="P683:R683" si="1149">SUM(P684:P685)</f>
        <v>833915</v>
      </c>
      <c r="Q683" s="171">
        <f t="shared" si="1149"/>
        <v>0</v>
      </c>
      <c r="R683" s="174">
        <f t="shared" si="1149"/>
        <v>0</v>
      </c>
      <c r="S683" s="175">
        <f t="shared" ref="S683:Y683" si="1150">SUM(S684:S685)</f>
        <v>0</v>
      </c>
      <c r="T683" s="171">
        <f t="shared" si="1150"/>
        <v>0</v>
      </c>
      <c r="U683" s="171">
        <f t="shared" si="1150"/>
        <v>0</v>
      </c>
      <c r="V683" s="171">
        <f t="shared" si="1150"/>
        <v>0</v>
      </c>
      <c r="W683" s="171">
        <f t="shared" si="1150"/>
        <v>0</v>
      </c>
      <c r="X683" s="171">
        <f t="shared" si="1150"/>
        <v>0</v>
      </c>
      <c r="Y683" s="174">
        <f t="shared" si="1150"/>
        <v>0</v>
      </c>
      <c r="Z683" s="149" t="str">
        <f t="shared" ca="1" si="1104"/>
        <v>nie</v>
      </c>
      <c r="AA683" s="366"/>
      <c r="AB683" s="150" t="str">
        <f t="shared" ca="1" si="1120"/>
        <v>-</v>
      </c>
      <c r="AC683" s="151" t="str">
        <f t="shared" ca="1" si="1072"/>
        <v>PRZED ZMIANĄ</v>
      </c>
      <c r="AD683" s="152" t="str">
        <f t="shared" ca="1" si="1133"/>
        <v>PRZED ZMIANĄ</v>
      </c>
      <c r="AE683" s="153" t="str">
        <f t="shared" ca="1" si="1073"/>
        <v>C/USN/V/P1/96</v>
      </c>
      <c r="AF683" s="154" t="str">
        <f t="shared" ca="1" si="1074"/>
        <v>Panele fotowoltaiczne na dachach liceów ogólnokształcących</v>
      </c>
      <c r="AG683" s="155">
        <f t="shared" ca="1" si="1075"/>
        <v>80120</v>
      </c>
      <c r="AH683" s="155" t="str">
        <f t="shared" ca="1" si="1076"/>
        <v>6050</v>
      </c>
      <c r="AI683" s="156" t="str">
        <f t="shared" ca="1" si="1077"/>
        <v>GMMW</v>
      </c>
      <c r="AJ683" s="157" t="str">
        <f t="shared" ca="1" si="1078"/>
        <v>WPF, w tym</v>
      </c>
      <c r="AK683" s="158" t="str">
        <f t="shared" ca="1" si="1134"/>
        <v>C/USN/V/P1/96 80120 6050 GMMW</v>
      </c>
      <c r="AL683" s="158" t="str">
        <f t="shared" ca="1" si="1135"/>
        <v>C/USN/V/P1/96 80120 6050 WPF, w tym</v>
      </c>
      <c r="AM683" s="159" t="str">
        <f t="shared" ca="1" si="1136"/>
        <v>C/USN/V/P1/96 80120 6050 GMMW WPF, w tym</v>
      </c>
      <c r="AN683" s="160">
        <f t="shared" ca="1" si="1079"/>
        <v>833915</v>
      </c>
      <c r="AO683" s="161">
        <f t="shared" ca="1" si="1080"/>
        <v>0</v>
      </c>
      <c r="AP683" s="162">
        <f t="shared" ca="1" si="1081"/>
        <v>0</v>
      </c>
      <c r="AQ683" s="163">
        <f t="shared" ca="1" si="1082"/>
        <v>833915</v>
      </c>
      <c r="AR683" s="164">
        <f t="shared" ca="1" si="1083"/>
        <v>0</v>
      </c>
      <c r="AS683" s="164">
        <f t="shared" ca="1" si="1084"/>
        <v>0</v>
      </c>
      <c r="AT683" s="164">
        <f t="shared" ca="1" si="1085"/>
        <v>0</v>
      </c>
      <c r="AU683" s="164">
        <f t="shared" ca="1" si="1086"/>
        <v>0</v>
      </c>
      <c r="AV683" s="164">
        <f t="shared" ca="1" si="1087"/>
        <v>0</v>
      </c>
      <c r="AW683" s="164">
        <f t="shared" ca="1" si="1088"/>
        <v>0</v>
      </c>
      <c r="AX683" s="164">
        <f t="shared" ca="1" si="1089"/>
        <v>0</v>
      </c>
      <c r="AY683" s="164">
        <f t="shared" ca="1" si="1090"/>
        <v>0</v>
      </c>
      <c r="AZ683" s="164">
        <f t="shared" ca="1" si="1091"/>
        <v>0</v>
      </c>
      <c r="BA683" s="165" t="str">
        <f t="shared" ca="1" si="1092"/>
        <v>nie</v>
      </c>
      <c r="BB683" s="166" t="str">
        <f t="shared" ca="1" si="1121"/>
        <v>-</v>
      </c>
      <c r="BC683" s="165" t="str">
        <f t="shared" ca="1" si="1105"/>
        <v>nie</v>
      </c>
    </row>
    <row r="684" spans="1:55" s="214" customFormat="1" ht="14.45" hidden="1" customHeight="1" x14ac:dyDescent="0.25">
      <c r="A684" s="493"/>
      <c r="B684" s="493"/>
      <c r="C684" s="494"/>
      <c r="D684" s="506"/>
      <c r="E684" s="497"/>
      <c r="F684" s="497"/>
      <c r="G684" s="497"/>
      <c r="H684" s="498"/>
      <c r="I684" s="499"/>
      <c r="J684" s="177" t="s">
        <v>95</v>
      </c>
      <c r="K684" s="178">
        <f>SUM(N684:O684)</f>
        <v>833915</v>
      </c>
      <c r="L684" s="179"/>
      <c r="M684" s="180"/>
      <c r="N684" s="172">
        <f>SUM(L684:M684)</f>
        <v>0</v>
      </c>
      <c r="O684" s="178">
        <f>SUM(P684:Y684)</f>
        <v>833915</v>
      </c>
      <c r="P684" s="181">
        <v>833915</v>
      </c>
      <c r="Q684" s="180"/>
      <c r="R684" s="182"/>
      <c r="S684" s="183"/>
      <c r="T684" s="180"/>
      <c r="U684" s="180"/>
      <c r="V684" s="180"/>
      <c r="W684" s="180"/>
      <c r="X684" s="180"/>
      <c r="Y684" s="182"/>
      <c r="Z684" s="149" t="str">
        <f t="shared" ca="1" si="1104"/>
        <v>nie</v>
      </c>
      <c r="AA684" s="366"/>
      <c r="AB684" s="150" t="str">
        <f t="shared" ca="1" si="1120"/>
        <v>-</v>
      </c>
      <c r="AC684" s="151" t="str">
        <f t="shared" ca="1" si="1072"/>
        <v>PRZED ZMIANĄ</v>
      </c>
      <c r="AD684" s="152" t="str">
        <f t="shared" ca="1" si="1133"/>
        <v>PRZED ZMIANĄ</v>
      </c>
      <c r="AE684" s="153" t="str">
        <f t="shared" ca="1" si="1073"/>
        <v>C/USN/V/P1/96</v>
      </c>
      <c r="AF684" s="154" t="str">
        <f t="shared" ca="1" si="1074"/>
        <v>Panele fotowoltaiczne na dachach liceów ogólnokształcących</v>
      </c>
      <c r="AG684" s="155">
        <f t="shared" ca="1" si="1075"/>
        <v>80120</v>
      </c>
      <c r="AH684" s="155" t="str">
        <f t="shared" ca="1" si="1076"/>
        <v>6050</v>
      </c>
      <c r="AI684" s="156" t="str">
        <f t="shared" ca="1" si="1077"/>
        <v>GMMW</v>
      </c>
      <c r="AJ684" s="157" t="str">
        <f t="shared" ca="1" si="1078"/>
        <v>WPF/PM</v>
      </c>
      <c r="AK684" s="158" t="str">
        <f t="shared" ca="1" si="1134"/>
        <v>C/USN/V/P1/96 80120 6050 GMMW</v>
      </c>
      <c r="AL684" s="158" t="str">
        <f t="shared" ca="1" si="1135"/>
        <v>C/USN/V/P1/96 80120 6050 WPF/PM</v>
      </c>
      <c r="AM684" s="159" t="str">
        <f t="shared" ca="1" si="1136"/>
        <v>C/USN/V/P1/96 80120 6050 GMMW WPF/PM</v>
      </c>
      <c r="AN684" s="160">
        <f t="shared" ca="1" si="1079"/>
        <v>833915</v>
      </c>
      <c r="AO684" s="161">
        <f t="shared" ca="1" si="1080"/>
        <v>0</v>
      </c>
      <c r="AP684" s="162">
        <f t="shared" ca="1" si="1081"/>
        <v>0</v>
      </c>
      <c r="AQ684" s="163">
        <f t="shared" ca="1" si="1082"/>
        <v>833915</v>
      </c>
      <c r="AR684" s="164">
        <f t="shared" ca="1" si="1083"/>
        <v>0</v>
      </c>
      <c r="AS684" s="164">
        <f t="shared" ca="1" si="1084"/>
        <v>0</v>
      </c>
      <c r="AT684" s="164">
        <f t="shared" ca="1" si="1085"/>
        <v>0</v>
      </c>
      <c r="AU684" s="164">
        <f t="shared" ca="1" si="1086"/>
        <v>0</v>
      </c>
      <c r="AV684" s="164">
        <f t="shared" ca="1" si="1087"/>
        <v>0</v>
      </c>
      <c r="AW684" s="164">
        <f t="shared" ca="1" si="1088"/>
        <v>0</v>
      </c>
      <c r="AX684" s="164">
        <f t="shared" ca="1" si="1089"/>
        <v>0</v>
      </c>
      <c r="AY684" s="164">
        <f t="shared" ca="1" si="1090"/>
        <v>0</v>
      </c>
      <c r="AZ684" s="164">
        <f t="shared" ca="1" si="1091"/>
        <v>0</v>
      </c>
      <c r="BA684" s="165" t="str">
        <f t="shared" ca="1" si="1092"/>
        <v>nie</v>
      </c>
      <c r="BB684" s="166" t="str">
        <f t="shared" ca="1" si="1121"/>
        <v>-</v>
      </c>
      <c r="BC684" s="165" t="str">
        <f t="shared" ca="1" si="1105"/>
        <v>nie</v>
      </c>
    </row>
    <row r="685" spans="1:55" s="214" customFormat="1" ht="14.45" hidden="1" customHeight="1" x14ac:dyDescent="0.25">
      <c r="A685" s="493"/>
      <c r="B685" s="493"/>
      <c r="C685" s="494"/>
      <c r="D685" s="506"/>
      <c r="E685" s="497"/>
      <c r="F685" s="497"/>
      <c r="G685" s="497"/>
      <c r="H685" s="498"/>
      <c r="I685" s="499"/>
      <c r="J685" s="177" t="s">
        <v>96</v>
      </c>
      <c r="K685" s="178">
        <f>SUM(N685:O685)</f>
        <v>0</v>
      </c>
      <c r="L685" s="184"/>
      <c r="M685" s="180">
        <v>0</v>
      </c>
      <c r="N685" s="172">
        <f>SUM(L685:M685)</f>
        <v>0</v>
      </c>
      <c r="O685" s="178">
        <f>SUM(P685:Y685)</f>
        <v>0</v>
      </c>
      <c r="P685" s="181"/>
      <c r="Q685" s="180"/>
      <c r="R685" s="182"/>
      <c r="S685" s="183"/>
      <c r="T685" s="180"/>
      <c r="U685" s="180"/>
      <c r="V685" s="180"/>
      <c r="W685" s="180"/>
      <c r="X685" s="180"/>
      <c r="Y685" s="182"/>
      <c r="Z685" s="149" t="str">
        <f t="shared" ca="1" si="1104"/>
        <v>nie</v>
      </c>
      <c r="AA685" s="366"/>
      <c r="AB685" s="150" t="str">
        <f t="shared" ca="1" si="1120"/>
        <v>-</v>
      </c>
      <c r="AC685" s="151" t="str">
        <f t="shared" ca="1" si="1072"/>
        <v>PRZED ZMIANĄ</v>
      </c>
      <c r="AD685" s="152" t="str">
        <f t="shared" ca="1" si="1133"/>
        <v>PRZED ZMIANĄ</v>
      </c>
      <c r="AE685" s="153" t="str">
        <f t="shared" ca="1" si="1073"/>
        <v>C/USN/V/P1/96</v>
      </c>
      <c r="AF685" s="154" t="str">
        <f t="shared" ca="1" si="1074"/>
        <v>Panele fotowoltaiczne na dachach liceów ogólnokształcących</v>
      </c>
      <c r="AG685" s="155">
        <f t="shared" ca="1" si="1075"/>
        <v>80120</v>
      </c>
      <c r="AH685" s="155" t="str">
        <f t="shared" ca="1" si="1076"/>
        <v>6050</v>
      </c>
      <c r="AI685" s="156" t="str">
        <f t="shared" ca="1" si="1077"/>
        <v>GMMW</v>
      </c>
      <c r="AJ685" s="157" t="str">
        <f t="shared" ca="1" si="1078"/>
        <v>WPF/UM</v>
      </c>
      <c r="AK685" s="158" t="str">
        <f t="shared" ca="1" si="1134"/>
        <v>C/USN/V/P1/96 80120 6050 GMMW</v>
      </c>
      <c r="AL685" s="158" t="str">
        <f t="shared" ca="1" si="1135"/>
        <v>C/USN/V/P1/96 80120 6050 WPF/UM</v>
      </c>
      <c r="AM685" s="159" t="str">
        <f t="shared" ca="1" si="1136"/>
        <v>C/USN/V/P1/96 80120 6050 GMMW WPF/UM</v>
      </c>
      <c r="AN685" s="160">
        <f t="shared" ca="1" si="1079"/>
        <v>0</v>
      </c>
      <c r="AO685" s="161">
        <f t="shared" ca="1" si="1080"/>
        <v>0</v>
      </c>
      <c r="AP685" s="162">
        <f t="shared" ca="1" si="1081"/>
        <v>0</v>
      </c>
      <c r="AQ685" s="163">
        <f t="shared" ca="1" si="1082"/>
        <v>0</v>
      </c>
      <c r="AR685" s="164">
        <f t="shared" ca="1" si="1083"/>
        <v>0</v>
      </c>
      <c r="AS685" s="164">
        <f t="shared" ca="1" si="1084"/>
        <v>0</v>
      </c>
      <c r="AT685" s="164">
        <f t="shared" ca="1" si="1085"/>
        <v>0</v>
      </c>
      <c r="AU685" s="164">
        <f t="shared" ca="1" si="1086"/>
        <v>0</v>
      </c>
      <c r="AV685" s="164">
        <f t="shared" ca="1" si="1087"/>
        <v>0</v>
      </c>
      <c r="AW685" s="164">
        <f t="shared" ca="1" si="1088"/>
        <v>0</v>
      </c>
      <c r="AX685" s="164">
        <f t="shared" ca="1" si="1089"/>
        <v>0</v>
      </c>
      <c r="AY685" s="164">
        <f t="shared" ca="1" si="1090"/>
        <v>0</v>
      </c>
      <c r="AZ685" s="164">
        <f t="shared" ca="1" si="1091"/>
        <v>0</v>
      </c>
      <c r="BA685" s="165" t="str">
        <f t="shared" ca="1" si="1092"/>
        <v>nie</v>
      </c>
      <c r="BB685" s="166" t="str">
        <f t="shared" ca="1" si="1121"/>
        <v>-</v>
      </c>
      <c r="BC685" s="165" t="str">
        <f t="shared" ca="1" si="1105"/>
        <v>nie</v>
      </c>
    </row>
    <row r="686" spans="1:55" s="214" customFormat="1" ht="14.45" hidden="1" customHeight="1" x14ac:dyDescent="0.25">
      <c r="A686" s="185" t="s">
        <v>97</v>
      </c>
      <c r="B686" s="186"/>
      <c r="C686" s="187"/>
      <c r="D686" s="186"/>
      <c r="E686" s="186"/>
      <c r="F686" s="186"/>
      <c r="G686" s="186"/>
      <c r="H686" s="186"/>
      <c r="I686" s="186"/>
      <c r="J686" s="186"/>
      <c r="K686" s="186"/>
      <c r="L686" s="186"/>
      <c r="M686" s="186"/>
      <c r="N686" s="186"/>
      <c r="O686" s="186"/>
      <c r="P686" s="186"/>
      <c r="Q686" s="186"/>
      <c r="R686" s="188"/>
      <c r="S686" s="189"/>
      <c r="T686" s="189"/>
      <c r="U686" s="189"/>
      <c r="V686" s="189"/>
      <c r="W686" s="189"/>
      <c r="X686" s="189"/>
      <c r="Y686" s="190"/>
      <c r="Z686" s="149" t="str">
        <f t="shared" ca="1" si="1104"/>
        <v>nie</v>
      </c>
      <c r="AA686" s="366"/>
      <c r="AB686" s="150" t="str">
        <f t="shared" ca="1" si="1120"/>
        <v>-</v>
      </c>
      <c r="AC686" s="151" t="str">
        <f t="shared" ca="1" si="1072"/>
        <v>PROPONOWANA ZMIANA</v>
      </c>
      <c r="AD686" s="152" t="str">
        <f t="shared" ca="1" si="1133"/>
        <v/>
      </c>
      <c r="AE686" s="153" t="str">
        <f t="shared" ca="1" si="1073"/>
        <v/>
      </c>
      <c r="AF686" s="154" t="str">
        <f t="shared" ca="1" si="1074"/>
        <v/>
      </c>
      <c r="AG686" s="155" t="str">
        <f t="shared" ca="1" si="1075"/>
        <v/>
      </c>
      <c r="AH686" s="155" t="str">
        <f t="shared" ca="1" si="1076"/>
        <v/>
      </c>
      <c r="AI686" s="156" t="str">
        <f t="shared" ca="1" si="1077"/>
        <v/>
      </c>
      <c r="AJ686" s="157" t="str">
        <f t="shared" ca="1" si="1078"/>
        <v/>
      </c>
      <c r="AK686" s="158" t="str">
        <f t="shared" ca="1" si="1134"/>
        <v/>
      </c>
      <c r="AL686" s="158" t="str">
        <f t="shared" ca="1" si="1135"/>
        <v/>
      </c>
      <c r="AM686" s="159" t="str">
        <f t="shared" ca="1" si="1136"/>
        <v/>
      </c>
      <c r="AN686" s="160" t="str">
        <f t="shared" ca="1" si="1079"/>
        <v/>
      </c>
      <c r="AO686" s="161" t="str">
        <f t="shared" ca="1" si="1080"/>
        <v/>
      </c>
      <c r="AP686" s="162" t="str">
        <f t="shared" ca="1" si="1081"/>
        <v/>
      </c>
      <c r="AQ686" s="163" t="str">
        <f t="shared" ca="1" si="1082"/>
        <v/>
      </c>
      <c r="AR686" s="164" t="str">
        <f t="shared" ca="1" si="1083"/>
        <v/>
      </c>
      <c r="AS686" s="164" t="str">
        <f t="shared" ca="1" si="1084"/>
        <v/>
      </c>
      <c r="AT686" s="164" t="str">
        <f t="shared" ca="1" si="1085"/>
        <v/>
      </c>
      <c r="AU686" s="164" t="str">
        <f t="shared" ca="1" si="1086"/>
        <v/>
      </c>
      <c r="AV686" s="164" t="str">
        <f t="shared" ca="1" si="1087"/>
        <v/>
      </c>
      <c r="AW686" s="164" t="str">
        <f t="shared" ca="1" si="1088"/>
        <v/>
      </c>
      <c r="AX686" s="164" t="str">
        <f t="shared" ca="1" si="1089"/>
        <v/>
      </c>
      <c r="AY686" s="164" t="str">
        <f t="shared" ca="1" si="1090"/>
        <v/>
      </c>
      <c r="AZ686" s="164" t="str">
        <f t="shared" ca="1" si="1091"/>
        <v/>
      </c>
      <c r="BA686" s="165" t="str">
        <f t="shared" ca="1" si="1092"/>
        <v>nie</v>
      </c>
      <c r="BB686" s="166" t="str">
        <f t="shared" ca="1" si="1121"/>
        <v>-</v>
      </c>
      <c r="BC686" s="165" t="str">
        <f t="shared" ca="1" si="1105"/>
        <v>nie</v>
      </c>
    </row>
    <row r="687" spans="1:55" s="214" customFormat="1" ht="14.45" hidden="1" customHeight="1" x14ac:dyDescent="0.25">
      <c r="A687" s="493" t="s">
        <v>24</v>
      </c>
      <c r="B687" s="493" t="s">
        <v>26</v>
      </c>
      <c r="C687" s="494" t="s">
        <v>186</v>
      </c>
      <c r="D687" s="506" t="s">
        <v>187</v>
      </c>
      <c r="E687" s="497">
        <v>801</v>
      </c>
      <c r="F687" s="497">
        <v>80120</v>
      </c>
      <c r="G687" s="497">
        <v>6050</v>
      </c>
      <c r="H687" s="498" t="s">
        <v>162</v>
      </c>
      <c r="I687" s="499" t="str">
        <f ca="1">IF(COUNTIF(OFFSET(I687,-1,-8),"*propon*")&gt;0,OFFSET(I687,4,0),IF(Y687&gt;0,"2033",IF(X687&gt;0,"2032",IF(W687&gt;0,"2031",IF(V687&gt;0,"2030",IF(U687&gt;0,"2029",IF(T687&gt;0,"2028",IF(S687&gt;0,"2027",IF(R687&gt;0,"2026",IF(Q687&gt;0,"2025",IF(P687&gt;0,"2024",IF(M687&gt;0,"2023",IF(L687&gt;0,"2022","")))))))))))))</f>
        <v>2024</v>
      </c>
      <c r="J687" s="168" t="s">
        <v>98</v>
      </c>
      <c r="K687" s="169">
        <f>SUM(N687:O687)</f>
        <v>0</v>
      </c>
      <c r="L687" s="170">
        <f t="shared" ref="L687:M687" si="1151">SUM(L688:L689)</f>
        <v>0</v>
      </c>
      <c r="M687" s="171">
        <f t="shared" si="1151"/>
        <v>0</v>
      </c>
      <c r="N687" s="172">
        <f>SUM(L687:M687)</f>
        <v>0</v>
      </c>
      <c r="O687" s="169">
        <f>SUM(P687:Y687)</f>
        <v>0</v>
      </c>
      <c r="P687" s="173">
        <f t="shared" ref="P687:R687" si="1152">SUM(P688:P689)</f>
        <v>0</v>
      </c>
      <c r="Q687" s="171">
        <f t="shared" si="1152"/>
        <v>0</v>
      </c>
      <c r="R687" s="174">
        <f t="shared" si="1152"/>
        <v>0</v>
      </c>
      <c r="S687" s="175">
        <f t="shared" ref="S687:Y687" si="1153">SUM(S688:S689)</f>
        <v>0</v>
      </c>
      <c r="T687" s="171">
        <f t="shared" si="1153"/>
        <v>0</v>
      </c>
      <c r="U687" s="171">
        <f t="shared" si="1153"/>
        <v>0</v>
      </c>
      <c r="V687" s="171">
        <f t="shared" si="1153"/>
        <v>0</v>
      </c>
      <c r="W687" s="171">
        <f t="shared" si="1153"/>
        <v>0</v>
      </c>
      <c r="X687" s="171">
        <f t="shared" si="1153"/>
        <v>0</v>
      </c>
      <c r="Y687" s="174">
        <f t="shared" si="1153"/>
        <v>0</v>
      </c>
      <c r="Z687" s="149" t="str">
        <f t="shared" ca="1" si="1104"/>
        <v>nie</v>
      </c>
      <c r="AA687" s="366"/>
      <c r="AB687" s="150" t="str">
        <f t="shared" ca="1" si="1120"/>
        <v>-</v>
      </c>
      <c r="AC687" s="151" t="str">
        <f t="shared" ca="1" si="1072"/>
        <v>PROPONOWANA ZMIANA</v>
      </c>
      <c r="AD687" s="152" t="str">
        <f t="shared" ca="1" si="1133"/>
        <v>PROPONOWANA ZMIANA</v>
      </c>
      <c r="AE687" s="153" t="str">
        <f t="shared" ca="1" si="1073"/>
        <v>C/USN/V/P1/96</v>
      </c>
      <c r="AF687" s="154" t="str">
        <f t="shared" ca="1" si="1074"/>
        <v>Panele fotowoltaiczne na dachach liceów ogólnokształcących</v>
      </c>
      <c r="AG687" s="155">
        <f t="shared" ca="1" si="1075"/>
        <v>80120</v>
      </c>
      <c r="AH687" s="155" t="str">
        <f t="shared" ca="1" si="1076"/>
        <v>6050</v>
      </c>
      <c r="AI687" s="156" t="str">
        <f t="shared" ca="1" si="1077"/>
        <v>GMMW</v>
      </c>
      <c r="AJ687" s="157" t="str">
        <f t="shared" ca="1" si="1078"/>
        <v>WPF, w tym</v>
      </c>
      <c r="AK687" s="158" t="str">
        <f t="shared" ca="1" si="1134"/>
        <v>C/USN/V/P1/96 80120 6050 GMMW</v>
      </c>
      <c r="AL687" s="158" t="str">
        <f t="shared" ca="1" si="1135"/>
        <v>C/USN/V/P1/96 80120 6050 WPF, w tym</v>
      </c>
      <c r="AM687" s="159" t="str">
        <f t="shared" ca="1" si="1136"/>
        <v>C/USN/V/P1/96 80120 6050 GMMW WPF, w tym</v>
      </c>
      <c r="AN687" s="160">
        <f t="shared" ca="1" si="1079"/>
        <v>0</v>
      </c>
      <c r="AO687" s="161">
        <f t="shared" ca="1" si="1080"/>
        <v>0</v>
      </c>
      <c r="AP687" s="162">
        <f t="shared" ca="1" si="1081"/>
        <v>0</v>
      </c>
      <c r="AQ687" s="163">
        <f t="shared" ca="1" si="1082"/>
        <v>0</v>
      </c>
      <c r="AR687" s="164">
        <f t="shared" ca="1" si="1083"/>
        <v>0</v>
      </c>
      <c r="AS687" s="164">
        <f t="shared" ca="1" si="1084"/>
        <v>0</v>
      </c>
      <c r="AT687" s="164">
        <f t="shared" ca="1" si="1085"/>
        <v>0</v>
      </c>
      <c r="AU687" s="164">
        <f t="shared" ca="1" si="1086"/>
        <v>0</v>
      </c>
      <c r="AV687" s="164">
        <f t="shared" ca="1" si="1087"/>
        <v>0</v>
      </c>
      <c r="AW687" s="164">
        <f t="shared" ca="1" si="1088"/>
        <v>0</v>
      </c>
      <c r="AX687" s="164">
        <f t="shared" ca="1" si="1089"/>
        <v>0</v>
      </c>
      <c r="AY687" s="164">
        <f t="shared" ca="1" si="1090"/>
        <v>0</v>
      </c>
      <c r="AZ687" s="164">
        <f t="shared" ca="1" si="1091"/>
        <v>0</v>
      </c>
      <c r="BA687" s="165" t="str">
        <f t="shared" ca="1" si="1092"/>
        <v>nie</v>
      </c>
      <c r="BB687" s="166" t="str">
        <f t="shared" ca="1" si="1121"/>
        <v>-</v>
      </c>
      <c r="BC687" s="165" t="str">
        <f t="shared" ca="1" si="1105"/>
        <v>nie</v>
      </c>
    </row>
    <row r="688" spans="1:55" s="214" customFormat="1" ht="14.45" hidden="1" customHeight="1" x14ac:dyDescent="0.25">
      <c r="A688" s="493"/>
      <c r="B688" s="493"/>
      <c r="C688" s="494"/>
      <c r="D688" s="506"/>
      <c r="E688" s="497"/>
      <c r="F688" s="497"/>
      <c r="G688" s="497"/>
      <c r="H688" s="498"/>
      <c r="I688" s="499"/>
      <c r="J688" s="177" t="s">
        <v>99</v>
      </c>
      <c r="K688" s="178">
        <f>SUM(N688:O688)</f>
        <v>0</v>
      </c>
      <c r="L688" s="179">
        <f t="shared" ref="L688:M688" si="1154">L692-L684</f>
        <v>0</v>
      </c>
      <c r="M688" s="180">
        <f t="shared" si="1154"/>
        <v>0</v>
      </c>
      <c r="N688" s="172">
        <f>SUM(L688:M688)</f>
        <v>0</v>
      </c>
      <c r="O688" s="178">
        <f>SUM(P688:Y688)</f>
        <v>0</v>
      </c>
      <c r="P688" s="181">
        <f t="shared" ref="P688:R688" si="1155">P692-P684</f>
        <v>0</v>
      </c>
      <c r="Q688" s="180">
        <f t="shared" si="1155"/>
        <v>0</v>
      </c>
      <c r="R688" s="182">
        <f t="shared" si="1155"/>
        <v>0</v>
      </c>
      <c r="S688" s="183">
        <f t="shared" ref="S688:Y689" si="1156">S692-S684</f>
        <v>0</v>
      </c>
      <c r="T688" s="180">
        <f t="shared" si="1156"/>
        <v>0</v>
      </c>
      <c r="U688" s="180">
        <f t="shared" si="1156"/>
        <v>0</v>
      </c>
      <c r="V688" s="180">
        <f t="shared" si="1156"/>
        <v>0</v>
      </c>
      <c r="W688" s="180">
        <f t="shared" si="1156"/>
        <v>0</v>
      </c>
      <c r="X688" s="180">
        <f t="shared" si="1156"/>
        <v>0</v>
      </c>
      <c r="Y688" s="182">
        <f t="shared" si="1156"/>
        <v>0</v>
      </c>
      <c r="Z688" s="149" t="str">
        <f t="shared" ca="1" si="1104"/>
        <v>nie</v>
      </c>
      <c r="AA688" s="366"/>
      <c r="AB688" s="150" t="str">
        <f t="shared" ca="1" si="1120"/>
        <v>-</v>
      </c>
      <c r="AC688" s="151" t="str">
        <f t="shared" ca="1" si="1072"/>
        <v>PROPONOWANA ZMIANA</v>
      </c>
      <c r="AD688" s="152" t="str">
        <f t="shared" ca="1" si="1133"/>
        <v>PROPONOWANA ZMIANA</v>
      </c>
      <c r="AE688" s="153" t="str">
        <f t="shared" ca="1" si="1073"/>
        <v>C/USN/V/P1/96</v>
      </c>
      <c r="AF688" s="154" t="str">
        <f t="shared" ca="1" si="1074"/>
        <v>Panele fotowoltaiczne na dachach liceów ogólnokształcących</v>
      </c>
      <c r="AG688" s="155">
        <f t="shared" ca="1" si="1075"/>
        <v>80120</v>
      </c>
      <c r="AH688" s="155" t="str">
        <f t="shared" ca="1" si="1076"/>
        <v>6050</v>
      </c>
      <c r="AI688" s="156" t="str">
        <f t="shared" ca="1" si="1077"/>
        <v>GMMW</v>
      </c>
      <c r="AJ688" s="157" t="str">
        <f t="shared" ca="1" si="1078"/>
        <v>WPF/PM</v>
      </c>
      <c r="AK688" s="158" t="str">
        <f t="shared" ca="1" si="1134"/>
        <v>C/USN/V/P1/96 80120 6050 GMMW</v>
      </c>
      <c r="AL688" s="158" t="str">
        <f t="shared" ca="1" si="1135"/>
        <v>C/USN/V/P1/96 80120 6050 WPF/PM</v>
      </c>
      <c r="AM688" s="159" t="str">
        <f t="shared" ca="1" si="1136"/>
        <v>C/USN/V/P1/96 80120 6050 GMMW WPF/PM</v>
      </c>
      <c r="AN688" s="160">
        <f t="shared" ca="1" si="1079"/>
        <v>0</v>
      </c>
      <c r="AO688" s="161">
        <f t="shared" ca="1" si="1080"/>
        <v>0</v>
      </c>
      <c r="AP688" s="162">
        <f t="shared" ca="1" si="1081"/>
        <v>0</v>
      </c>
      <c r="AQ688" s="163">
        <f t="shared" ca="1" si="1082"/>
        <v>0</v>
      </c>
      <c r="AR688" s="164">
        <f t="shared" ca="1" si="1083"/>
        <v>0</v>
      </c>
      <c r="AS688" s="164">
        <f t="shared" ca="1" si="1084"/>
        <v>0</v>
      </c>
      <c r="AT688" s="164">
        <f t="shared" ca="1" si="1085"/>
        <v>0</v>
      </c>
      <c r="AU688" s="164">
        <f t="shared" ca="1" si="1086"/>
        <v>0</v>
      </c>
      <c r="AV688" s="164">
        <f t="shared" ca="1" si="1087"/>
        <v>0</v>
      </c>
      <c r="AW688" s="164">
        <f t="shared" ca="1" si="1088"/>
        <v>0</v>
      </c>
      <c r="AX688" s="164">
        <f t="shared" ca="1" si="1089"/>
        <v>0</v>
      </c>
      <c r="AY688" s="164">
        <f t="shared" ca="1" si="1090"/>
        <v>0</v>
      </c>
      <c r="AZ688" s="164">
        <f t="shared" ca="1" si="1091"/>
        <v>0</v>
      </c>
      <c r="BA688" s="165" t="str">
        <f t="shared" ca="1" si="1092"/>
        <v>nie</v>
      </c>
      <c r="BB688" s="166" t="str">
        <f t="shared" ca="1" si="1121"/>
        <v>-</v>
      </c>
      <c r="BC688" s="165" t="str">
        <f t="shared" ca="1" si="1105"/>
        <v>nie</v>
      </c>
    </row>
    <row r="689" spans="1:55" s="214" customFormat="1" ht="14.45" hidden="1" customHeight="1" x14ac:dyDescent="0.25">
      <c r="A689" s="493"/>
      <c r="B689" s="493"/>
      <c r="C689" s="494"/>
      <c r="D689" s="506"/>
      <c r="E689" s="497"/>
      <c r="F689" s="497"/>
      <c r="G689" s="497"/>
      <c r="H689" s="498"/>
      <c r="I689" s="499"/>
      <c r="J689" s="177" t="s">
        <v>100</v>
      </c>
      <c r="K689" s="178">
        <f>SUM(N689:O689)</f>
        <v>0</v>
      </c>
      <c r="L689" s="179">
        <f t="shared" ref="L689:M689" si="1157">L693-L685</f>
        <v>0</v>
      </c>
      <c r="M689" s="180">
        <f t="shared" si="1157"/>
        <v>0</v>
      </c>
      <c r="N689" s="172">
        <f>SUM(L689:M689)</f>
        <v>0</v>
      </c>
      <c r="O689" s="178">
        <f>SUM(P689:Y689)</f>
        <v>0</v>
      </c>
      <c r="P689" s="181">
        <f t="shared" ref="P689:R689" si="1158">P693-P685</f>
        <v>0</v>
      </c>
      <c r="Q689" s="180">
        <f t="shared" si="1158"/>
        <v>0</v>
      </c>
      <c r="R689" s="182">
        <f t="shared" si="1158"/>
        <v>0</v>
      </c>
      <c r="S689" s="183">
        <f t="shared" si="1156"/>
        <v>0</v>
      </c>
      <c r="T689" s="180">
        <f t="shared" si="1156"/>
        <v>0</v>
      </c>
      <c r="U689" s="180">
        <f t="shared" si="1156"/>
        <v>0</v>
      </c>
      <c r="V689" s="180">
        <f t="shared" si="1156"/>
        <v>0</v>
      </c>
      <c r="W689" s="180">
        <f t="shared" si="1156"/>
        <v>0</v>
      </c>
      <c r="X689" s="180">
        <f t="shared" si="1156"/>
        <v>0</v>
      </c>
      <c r="Y689" s="182">
        <f t="shared" si="1156"/>
        <v>0</v>
      </c>
      <c r="Z689" s="149" t="str">
        <f t="shared" ca="1" si="1104"/>
        <v>nie</v>
      </c>
      <c r="AA689" s="366"/>
      <c r="AB689" s="150" t="str">
        <f t="shared" ca="1" si="1120"/>
        <v>-</v>
      </c>
      <c r="AC689" s="151" t="str">
        <f t="shared" ca="1" si="1072"/>
        <v>PROPONOWANA ZMIANA</v>
      </c>
      <c r="AD689" s="152" t="str">
        <f t="shared" ca="1" si="1133"/>
        <v>PROPONOWANA ZMIANA</v>
      </c>
      <c r="AE689" s="153" t="str">
        <f t="shared" ca="1" si="1073"/>
        <v>C/USN/V/P1/96</v>
      </c>
      <c r="AF689" s="154" t="str">
        <f t="shared" ca="1" si="1074"/>
        <v>Panele fotowoltaiczne na dachach liceów ogólnokształcących</v>
      </c>
      <c r="AG689" s="155">
        <f t="shared" ca="1" si="1075"/>
        <v>80120</v>
      </c>
      <c r="AH689" s="155" t="str">
        <f t="shared" ca="1" si="1076"/>
        <v>6050</v>
      </c>
      <c r="AI689" s="156" t="str">
        <f t="shared" ca="1" si="1077"/>
        <v>GMMW</v>
      </c>
      <c r="AJ689" s="157" t="str">
        <f t="shared" ca="1" si="1078"/>
        <v>WPF/UM</v>
      </c>
      <c r="AK689" s="158" t="str">
        <f t="shared" ca="1" si="1134"/>
        <v>C/USN/V/P1/96 80120 6050 GMMW</v>
      </c>
      <c r="AL689" s="158" t="str">
        <f t="shared" ca="1" si="1135"/>
        <v>C/USN/V/P1/96 80120 6050 WPF/UM</v>
      </c>
      <c r="AM689" s="159" t="str">
        <f t="shared" ca="1" si="1136"/>
        <v>C/USN/V/P1/96 80120 6050 GMMW WPF/UM</v>
      </c>
      <c r="AN689" s="160">
        <f t="shared" ca="1" si="1079"/>
        <v>0</v>
      </c>
      <c r="AO689" s="161">
        <f t="shared" ca="1" si="1080"/>
        <v>0</v>
      </c>
      <c r="AP689" s="162">
        <f t="shared" ca="1" si="1081"/>
        <v>0</v>
      </c>
      <c r="AQ689" s="163">
        <f t="shared" ca="1" si="1082"/>
        <v>0</v>
      </c>
      <c r="AR689" s="164">
        <f t="shared" ca="1" si="1083"/>
        <v>0</v>
      </c>
      <c r="AS689" s="164">
        <f t="shared" ca="1" si="1084"/>
        <v>0</v>
      </c>
      <c r="AT689" s="164">
        <f t="shared" ca="1" si="1085"/>
        <v>0</v>
      </c>
      <c r="AU689" s="164">
        <f t="shared" ca="1" si="1086"/>
        <v>0</v>
      </c>
      <c r="AV689" s="164">
        <f t="shared" ca="1" si="1087"/>
        <v>0</v>
      </c>
      <c r="AW689" s="164">
        <f t="shared" ca="1" si="1088"/>
        <v>0</v>
      </c>
      <c r="AX689" s="164">
        <f t="shared" ca="1" si="1089"/>
        <v>0</v>
      </c>
      <c r="AY689" s="164">
        <f t="shared" ca="1" si="1090"/>
        <v>0</v>
      </c>
      <c r="AZ689" s="164">
        <f t="shared" ca="1" si="1091"/>
        <v>0</v>
      </c>
      <c r="BA689" s="165" t="str">
        <f t="shared" ca="1" si="1092"/>
        <v>nie</v>
      </c>
      <c r="BB689" s="166" t="str">
        <f t="shared" ca="1" si="1121"/>
        <v>-</v>
      </c>
      <c r="BC689" s="165" t="str">
        <f t="shared" ca="1" si="1105"/>
        <v>nie</v>
      </c>
    </row>
    <row r="690" spans="1:55" s="214" customFormat="1" ht="14.45" hidden="1" customHeight="1" x14ac:dyDescent="0.25">
      <c r="A690" s="191" t="s">
        <v>101</v>
      </c>
      <c r="B690" s="192"/>
      <c r="C690" s="193"/>
      <c r="D690" s="192"/>
      <c r="E690" s="192"/>
      <c r="F690" s="192"/>
      <c r="G690" s="192"/>
      <c r="H690" s="192"/>
      <c r="I690" s="192"/>
      <c r="J690" s="192"/>
      <c r="K690" s="192"/>
      <c r="L690" s="192"/>
      <c r="M690" s="192"/>
      <c r="N690" s="192"/>
      <c r="O690" s="192"/>
      <c r="P690" s="192"/>
      <c r="Q690" s="192"/>
      <c r="R690" s="194"/>
      <c r="S690" s="195"/>
      <c r="T690" s="195"/>
      <c r="U690" s="195"/>
      <c r="V690" s="195"/>
      <c r="W690" s="195"/>
      <c r="X690" s="195"/>
      <c r="Y690" s="196"/>
      <c r="Z690" s="149" t="str">
        <f t="shared" ca="1" si="1104"/>
        <v>nie</v>
      </c>
      <c r="AA690" s="366"/>
      <c r="AB690" s="150" t="str">
        <f t="shared" ca="1" si="1120"/>
        <v>-</v>
      </c>
      <c r="AC690" s="151" t="str">
        <f t="shared" ca="1" si="1072"/>
        <v>PO ZMIANIE</v>
      </c>
      <c r="AD690" s="152" t="str">
        <f t="shared" ca="1" si="1133"/>
        <v/>
      </c>
      <c r="AE690" s="153" t="str">
        <f t="shared" ca="1" si="1073"/>
        <v/>
      </c>
      <c r="AF690" s="154" t="str">
        <f t="shared" ca="1" si="1074"/>
        <v/>
      </c>
      <c r="AG690" s="155" t="str">
        <f t="shared" ca="1" si="1075"/>
        <v/>
      </c>
      <c r="AH690" s="155" t="str">
        <f t="shared" ca="1" si="1076"/>
        <v/>
      </c>
      <c r="AI690" s="156" t="str">
        <f t="shared" ca="1" si="1077"/>
        <v/>
      </c>
      <c r="AJ690" s="157" t="str">
        <f t="shared" ca="1" si="1078"/>
        <v/>
      </c>
      <c r="AK690" s="158" t="str">
        <f t="shared" ca="1" si="1134"/>
        <v/>
      </c>
      <c r="AL690" s="158" t="str">
        <f t="shared" ca="1" si="1135"/>
        <v/>
      </c>
      <c r="AM690" s="159" t="str">
        <f t="shared" ca="1" si="1136"/>
        <v/>
      </c>
      <c r="AN690" s="160" t="str">
        <f t="shared" ca="1" si="1079"/>
        <v/>
      </c>
      <c r="AO690" s="161" t="str">
        <f t="shared" ca="1" si="1080"/>
        <v/>
      </c>
      <c r="AP690" s="162" t="str">
        <f t="shared" ca="1" si="1081"/>
        <v/>
      </c>
      <c r="AQ690" s="163" t="str">
        <f t="shared" ca="1" si="1082"/>
        <v/>
      </c>
      <c r="AR690" s="164" t="str">
        <f t="shared" ca="1" si="1083"/>
        <v/>
      </c>
      <c r="AS690" s="164" t="str">
        <f t="shared" ca="1" si="1084"/>
        <v/>
      </c>
      <c r="AT690" s="164" t="str">
        <f t="shared" ca="1" si="1085"/>
        <v/>
      </c>
      <c r="AU690" s="164" t="str">
        <f t="shared" ca="1" si="1086"/>
        <v/>
      </c>
      <c r="AV690" s="164" t="str">
        <f t="shared" ca="1" si="1087"/>
        <v/>
      </c>
      <c r="AW690" s="164" t="str">
        <f t="shared" ca="1" si="1088"/>
        <v/>
      </c>
      <c r="AX690" s="164" t="str">
        <f t="shared" ca="1" si="1089"/>
        <v/>
      </c>
      <c r="AY690" s="164" t="str">
        <f t="shared" ca="1" si="1090"/>
        <v/>
      </c>
      <c r="AZ690" s="164" t="str">
        <f t="shared" ca="1" si="1091"/>
        <v/>
      </c>
      <c r="BA690" s="165" t="str">
        <f t="shared" ca="1" si="1092"/>
        <v>nie</v>
      </c>
      <c r="BB690" s="166" t="str">
        <f t="shared" ca="1" si="1121"/>
        <v>-</v>
      </c>
      <c r="BC690" s="165" t="str">
        <f t="shared" ca="1" si="1105"/>
        <v>nie</v>
      </c>
    </row>
    <row r="691" spans="1:55" s="214" customFormat="1" ht="14.45" hidden="1" customHeight="1" x14ac:dyDescent="0.25">
      <c r="A691" s="493" t="s">
        <v>24</v>
      </c>
      <c r="B691" s="493" t="s">
        <v>26</v>
      </c>
      <c r="C691" s="494" t="s">
        <v>186</v>
      </c>
      <c r="D691" s="506" t="s">
        <v>187</v>
      </c>
      <c r="E691" s="497">
        <v>801</v>
      </c>
      <c r="F691" s="497">
        <v>80120</v>
      </c>
      <c r="G691" s="497">
        <v>6050</v>
      </c>
      <c r="H691" s="498" t="s">
        <v>162</v>
      </c>
      <c r="I691" s="499" t="str">
        <f ca="1">IF(COUNTIF(OFFSET(I691,-1,-8),"*propon*")&gt;0,OFFSET(I691,4,0),IF(Y691&gt;0,"2033",IF(X691&gt;0,"2032",IF(W691&gt;0,"2031",IF(V691&gt;0,"2030",IF(U691&gt;0,"2029",IF(T691&gt;0,"2028",IF(S691&gt;0,"2027",IF(R691&gt;0,"2026",IF(Q691&gt;0,"2025",IF(P691&gt;0,"2024",IF(M691&gt;0,"2023",IF(L691&gt;0,"2022","")))))))))))))</f>
        <v>2024</v>
      </c>
      <c r="J691" s="168" t="s">
        <v>102</v>
      </c>
      <c r="K691" s="169">
        <f>SUM(N691:O691)</f>
        <v>833915</v>
      </c>
      <c r="L691" s="170">
        <f t="shared" ref="L691:M691" si="1159">SUM(L692:L693)</f>
        <v>0</v>
      </c>
      <c r="M691" s="171">
        <f t="shared" si="1159"/>
        <v>0</v>
      </c>
      <c r="N691" s="172">
        <f>SUM(L691:M691)</f>
        <v>0</v>
      </c>
      <c r="O691" s="169">
        <f>SUM(P691:Y691)</f>
        <v>833915</v>
      </c>
      <c r="P691" s="173">
        <f t="shared" ref="P691:R691" si="1160">SUM(P692:P693)</f>
        <v>833915</v>
      </c>
      <c r="Q691" s="171">
        <f t="shared" si="1160"/>
        <v>0</v>
      </c>
      <c r="R691" s="174">
        <f t="shared" si="1160"/>
        <v>0</v>
      </c>
      <c r="S691" s="175">
        <f t="shared" ref="S691:Y691" si="1161">SUM(S692:S693)</f>
        <v>0</v>
      </c>
      <c r="T691" s="171">
        <f t="shared" si="1161"/>
        <v>0</v>
      </c>
      <c r="U691" s="171">
        <f t="shared" si="1161"/>
        <v>0</v>
      </c>
      <c r="V691" s="171">
        <f t="shared" si="1161"/>
        <v>0</v>
      </c>
      <c r="W691" s="171">
        <f t="shared" si="1161"/>
        <v>0</v>
      </c>
      <c r="X691" s="171">
        <f t="shared" si="1161"/>
        <v>0</v>
      </c>
      <c r="Y691" s="174">
        <f t="shared" si="1161"/>
        <v>0</v>
      </c>
      <c r="Z691" s="149" t="str">
        <f t="shared" ca="1" si="1104"/>
        <v>nie</v>
      </c>
      <c r="AA691" s="366"/>
      <c r="AB691" s="150" t="str">
        <f t="shared" ca="1" si="1120"/>
        <v>-</v>
      </c>
      <c r="AC691" s="151" t="str">
        <f t="shared" ca="1" si="1072"/>
        <v>PO ZMIANIE</v>
      </c>
      <c r="AD691" s="152" t="str">
        <f t="shared" ca="1" si="1133"/>
        <v>PO ZMIANIE</v>
      </c>
      <c r="AE691" s="153" t="str">
        <f t="shared" ca="1" si="1073"/>
        <v>C/USN/V/P1/96</v>
      </c>
      <c r="AF691" s="154" t="str">
        <f t="shared" ca="1" si="1074"/>
        <v>Panele fotowoltaiczne na dachach liceów ogólnokształcących</v>
      </c>
      <c r="AG691" s="155">
        <f t="shared" ca="1" si="1075"/>
        <v>80120</v>
      </c>
      <c r="AH691" s="155" t="str">
        <f t="shared" ca="1" si="1076"/>
        <v>6050</v>
      </c>
      <c r="AI691" s="156" t="str">
        <f t="shared" ca="1" si="1077"/>
        <v>GMMW</v>
      </c>
      <c r="AJ691" s="157" t="str">
        <f t="shared" ca="1" si="1078"/>
        <v>WPF, w tym</v>
      </c>
      <c r="AK691" s="158" t="str">
        <f t="shared" ca="1" si="1134"/>
        <v>C/USN/V/P1/96 80120 6050 GMMW</v>
      </c>
      <c r="AL691" s="158" t="str">
        <f t="shared" ca="1" si="1135"/>
        <v>C/USN/V/P1/96 80120 6050 WPF, w tym</v>
      </c>
      <c r="AM691" s="159" t="str">
        <f t="shared" ca="1" si="1136"/>
        <v>C/USN/V/P1/96 80120 6050 GMMW WPF, w tym</v>
      </c>
      <c r="AN691" s="160">
        <f t="shared" ca="1" si="1079"/>
        <v>833915</v>
      </c>
      <c r="AO691" s="161">
        <f t="shared" ca="1" si="1080"/>
        <v>0</v>
      </c>
      <c r="AP691" s="162">
        <f t="shared" ca="1" si="1081"/>
        <v>0</v>
      </c>
      <c r="AQ691" s="163">
        <f t="shared" ca="1" si="1082"/>
        <v>833915</v>
      </c>
      <c r="AR691" s="164">
        <f t="shared" ca="1" si="1083"/>
        <v>0</v>
      </c>
      <c r="AS691" s="164">
        <f t="shared" ca="1" si="1084"/>
        <v>0</v>
      </c>
      <c r="AT691" s="164">
        <f t="shared" ca="1" si="1085"/>
        <v>0</v>
      </c>
      <c r="AU691" s="164">
        <f t="shared" ca="1" si="1086"/>
        <v>0</v>
      </c>
      <c r="AV691" s="164">
        <f t="shared" ca="1" si="1087"/>
        <v>0</v>
      </c>
      <c r="AW691" s="164">
        <f t="shared" ca="1" si="1088"/>
        <v>0</v>
      </c>
      <c r="AX691" s="164">
        <f t="shared" ca="1" si="1089"/>
        <v>0</v>
      </c>
      <c r="AY691" s="164">
        <f t="shared" ca="1" si="1090"/>
        <v>0</v>
      </c>
      <c r="AZ691" s="164">
        <f t="shared" ca="1" si="1091"/>
        <v>0</v>
      </c>
      <c r="BA691" s="165" t="str">
        <f t="shared" ca="1" si="1092"/>
        <v>nie</v>
      </c>
      <c r="BB691" s="166" t="str">
        <f t="shared" ca="1" si="1121"/>
        <v>-</v>
      </c>
      <c r="BC691" s="165" t="str">
        <f t="shared" ca="1" si="1105"/>
        <v>nie</v>
      </c>
    </row>
    <row r="692" spans="1:55" s="214" customFormat="1" ht="14.45" hidden="1" customHeight="1" x14ac:dyDescent="0.25">
      <c r="A692" s="493"/>
      <c r="B692" s="493"/>
      <c r="C692" s="494"/>
      <c r="D692" s="506"/>
      <c r="E692" s="497"/>
      <c r="F692" s="497"/>
      <c r="G692" s="497"/>
      <c r="H692" s="498"/>
      <c r="I692" s="499"/>
      <c r="J692" s="177" t="s">
        <v>103</v>
      </c>
      <c r="K692" s="178">
        <f>SUM(N692:O692)</f>
        <v>833915</v>
      </c>
      <c r="L692" s="179"/>
      <c r="M692" s="180"/>
      <c r="N692" s="172">
        <f>SUM(L692:M692)</f>
        <v>0</v>
      </c>
      <c r="O692" s="178">
        <f>SUM(P692:Y692)</f>
        <v>833915</v>
      </c>
      <c r="P692" s="181">
        <f>1160000-326085</f>
        <v>833915</v>
      </c>
      <c r="Q692" s="180"/>
      <c r="R692" s="182"/>
      <c r="S692" s="183"/>
      <c r="T692" s="180"/>
      <c r="U692" s="180"/>
      <c r="V692" s="180"/>
      <c r="W692" s="180"/>
      <c r="X692" s="180"/>
      <c r="Y692" s="182"/>
      <c r="Z692" s="149" t="str">
        <f t="shared" ca="1" si="1104"/>
        <v>nie</v>
      </c>
      <c r="AA692" s="384"/>
      <c r="AB692" s="150" t="str">
        <f t="shared" ca="1" si="1120"/>
        <v>-</v>
      </c>
      <c r="AC692" s="151" t="str">
        <f t="shared" ca="1" si="1072"/>
        <v>PO ZMIANIE</v>
      </c>
      <c r="AD692" s="152" t="str">
        <f t="shared" ca="1" si="1133"/>
        <v>PO ZMIANIE</v>
      </c>
      <c r="AE692" s="153" t="str">
        <f t="shared" ca="1" si="1073"/>
        <v>C/USN/V/P1/96</v>
      </c>
      <c r="AF692" s="154" t="str">
        <f t="shared" ca="1" si="1074"/>
        <v>Panele fotowoltaiczne na dachach liceów ogólnokształcących</v>
      </c>
      <c r="AG692" s="155">
        <f t="shared" ca="1" si="1075"/>
        <v>80120</v>
      </c>
      <c r="AH692" s="155" t="str">
        <f t="shared" ca="1" si="1076"/>
        <v>6050</v>
      </c>
      <c r="AI692" s="156" t="str">
        <f t="shared" ca="1" si="1077"/>
        <v>GMMW</v>
      </c>
      <c r="AJ692" s="157" t="str">
        <f t="shared" ca="1" si="1078"/>
        <v>WPF/PM</v>
      </c>
      <c r="AK692" s="158" t="str">
        <f t="shared" ca="1" si="1134"/>
        <v>C/USN/V/P1/96 80120 6050 GMMW</v>
      </c>
      <c r="AL692" s="158" t="str">
        <f t="shared" ca="1" si="1135"/>
        <v>C/USN/V/P1/96 80120 6050 WPF/PM</v>
      </c>
      <c r="AM692" s="159" t="str">
        <f t="shared" ca="1" si="1136"/>
        <v>C/USN/V/P1/96 80120 6050 GMMW WPF/PM</v>
      </c>
      <c r="AN692" s="160">
        <f t="shared" ca="1" si="1079"/>
        <v>833915</v>
      </c>
      <c r="AO692" s="161">
        <f t="shared" ca="1" si="1080"/>
        <v>0</v>
      </c>
      <c r="AP692" s="162">
        <f t="shared" ca="1" si="1081"/>
        <v>0</v>
      </c>
      <c r="AQ692" s="163">
        <f t="shared" ca="1" si="1082"/>
        <v>833915</v>
      </c>
      <c r="AR692" s="164">
        <f t="shared" ca="1" si="1083"/>
        <v>0</v>
      </c>
      <c r="AS692" s="164">
        <f t="shared" ca="1" si="1084"/>
        <v>0</v>
      </c>
      <c r="AT692" s="164">
        <f t="shared" ca="1" si="1085"/>
        <v>0</v>
      </c>
      <c r="AU692" s="164">
        <f t="shared" ca="1" si="1086"/>
        <v>0</v>
      </c>
      <c r="AV692" s="164">
        <f t="shared" ca="1" si="1087"/>
        <v>0</v>
      </c>
      <c r="AW692" s="164">
        <f t="shared" ca="1" si="1088"/>
        <v>0</v>
      </c>
      <c r="AX692" s="164">
        <f t="shared" ca="1" si="1089"/>
        <v>0</v>
      </c>
      <c r="AY692" s="164">
        <f t="shared" ca="1" si="1090"/>
        <v>0</v>
      </c>
      <c r="AZ692" s="164">
        <f t="shared" ca="1" si="1091"/>
        <v>0</v>
      </c>
      <c r="BA692" s="165" t="str">
        <f t="shared" ca="1" si="1092"/>
        <v>nie</v>
      </c>
      <c r="BB692" s="166" t="str">
        <f t="shared" ca="1" si="1121"/>
        <v>-</v>
      </c>
      <c r="BC692" s="165" t="str">
        <f t="shared" ca="1" si="1105"/>
        <v>nie</v>
      </c>
    </row>
    <row r="693" spans="1:55" s="214" customFormat="1" ht="14.45" hidden="1" customHeight="1" thickBot="1" x14ac:dyDescent="0.3">
      <c r="A693" s="500"/>
      <c r="B693" s="500"/>
      <c r="C693" s="501"/>
      <c r="D693" s="513"/>
      <c r="E693" s="503"/>
      <c r="F693" s="503"/>
      <c r="G693" s="503"/>
      <c r="H693" s="504"/>
      <c r="I693" s="499"/>
      <c r="J693" s="197" t="s">
        <v>104</v>
      </c>
      <c r="K693" s="198">
        <f>SUM(N693:O693)</f>
        <v>0</v>
      </c>
      <c r="L693" s="199"/>
      <c r="M693" s="200">
        <f>100000-100000</f>
        <v>0</v>
      </c>
      <c r="N693" s="371">
        <f>SUM(L693:M693)</f>
        <v>0</v>
      </c>
      <c r="O693" s="198">
        <f>SUM(P693:Y693)</f>
        <v>0</v>
      </c>
      <c r="P693" s="201"/>
      <c r="Q693" s="200"/>
      <c r="R693" s="202"/>
      <c r="S693" s="203"/>
      <c r="T693" s="200"/>
      <c r="U693" s="200"/>
      <c r="V693" s="200"/>
      <c r="W693" s="200"/>
      <c r="X693" s="200"/>
      <c r="Y693" s="202"/>
      <c r="Z693" s="149" t="str">
        <f t="shared" ca="1" si="1104"/>
        <v>nie</v>
      </c>
      <c r="AA693" s="384"/>
      <c r="AB693" s="150" t="str">
        <f t="shared" ca="1" si="1120"/>
        <v>-</v>
      </c>
      <c r="AC693" s="151" t="str">
        <f t="shared" ca="1" si="1072"/>
        <v>PO ZMIANIE</v>
      </c>
      <c r="AD693" s="152" t="str">
        <f t="shared" ca="1" si="1133"/>
        <v>PO ZMIANIE</v>
      </c>
      <c r="AE693" s="153" t="str">
        <f t="shared" ca="1" si="1073"/>
        <v>C/USN/V/P1/96</v>
      </c>
      <c r="AF693" s="154" t="str">
        <f t="shared" ca="1" si="1074"/>
        <v>Panele fotowoltaiczne na dachach liceów ogólnokształcących</v>
      </c>
      <c r="AG693" s="155">
        <f t="shared" ca="1" si="1075"/>
        <v>80120</v>
      </c>
      <c r="AH693" s="155" t="str">
        <f t="shared" ca="1" si="1076"/>
        <v>6050</v>
      </c>
      <c r="AI693" s="156" t="str">
        <f t="shared" ca="1" si="1077"/>
        <v>GMMW</v>
      </c>
      <c r="AJ693" s="157" t="str">
        <f t="shared" ca="1" si="1078"/>
        <v>WPF/UM</v>
      </c>
      <c r="AK693" s="158" t="str">
        <f t="shared" ca="1" si="1134"/>
        <v>C/USN/V/P1/96 80120 6050 GMMW</v>
      </c>
      <c r="AL693" s="158" t="str">
        <f t="shared" ca="1" si="1135"/>
        <v>C/USN/V/P1/96 80120 6050 WPF/UM</v>
      </c>
      <c r="AM693" s="159" t="str">
        <f t="shared" ca="1" si="1136"/>
        <v>C/USN/V/P1/96 80120 6050 GMMW WPF/UM</v>
      </c>
      <c r="AN693" s="160">
        <f t="shared" ca="1" si="1079"/>
        <v>0</v>
      </c>
      <c r="AO693" s="161">
        <f t="shared" ca="1" si="1080"/>
        <v>0</v>
      </c>
      <c r="AP693" s="162">
        <f t="shared" ca="1" si="1081"/>
        <v>0</v>
      </c>
      <c r="AQ693" s="163">
        <f t="shared" ca="1" si="1082"/>
        <v>0</v>
      </c>
      <c r="AR693" s="164">
        <f t="shared" ca="1" si="1083"/>
        <v>0</v>
      </c>
      <c r="AS693" s="164">
        <f t="shared" ca="1" si="1084"/>
        <v>0</v>
      </c>
      <c r="AT693" s="164">
        <f t="shared" ca="1" si="1085"/>
        <v>0</v>
      </c>
      <c r="AU693" s="164">
        <f t="shared" ca="1" si="1086"/>
        <v>0</v>
      </c>
      <c r="AV693" s="164">
        <f t="shared" ca="1" si="1087"/>
        <v>0</v>
      </c>
      <c r="AW693" s="164">
        <f t="shared" ca="1" si="1088"/>
        <v>0</v>
      </c>
      <c r="AX693" s="164">
        <f t="shared" ca="1" si="1089"/>
        <v>0</v>
      </c>
      <c r="AY693" s="164">
        <f t="shared" ca="1" si="1090"/>
        <v>0</v>
      </c>
      <c r="AZ693" s="164">
        <f t="shared" ca="1" si="1091"/>
        <v>0</v>
      </c>
      <c r="BA693" s="165" t="str">
        <f t="shared" ca="1" si="1092"/>
        <v>nie</v>
      </c>
      <c r="BB693" s="166" t="str">
        <f t="shared" ca="1" si="1121"/>
        <v>-</v>
      </c>
      <c r="BC693" s="165" t="str">
        <f t="shared" ca="1" si="1105"/>
        <v>nie</v>
      </c>
    </row>
    <row r="694" spans="1:55" s="167" customFormat="1" ht="14.45" hidden="1" customHeight="1" x14ac:dyDescent="0.25">
      <c r="A694" s="143" t="s">
        <v>91</v>
      </c>
      <c r="B694" s="144"/>
      <c r="C694" s="145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6"/>
      <c r="S694" s="147"/>
      <c r="T694" s="147"/>
      <c r="U694" s="147"/>
      <c r="V694" s="147"/>
      <c r="W694" s="147"/>
      <c r="X694" s="147"/>
      <c r="Y694" s="148"/>
      <c r="Z694" s="149" t="str">
        <f t="shared" ca="1" si="1104"/>
        <v>nie</v>
      </c>
      <c r="AA694" s="366"/>
      <c r="AB694" s="150" t="str">
        <f t="shared" ca="1" si="1120"/>
        <v>-</v>
      </c>
      <c r="AC694" s="151" t="str">
        <f t="shared" ca="1" si="1072"/>
        <v>PRZED ZMIANĄ</v>
      </c>
      <c r="AD694" s="152" t="str">
        <f t="shared" ca="1" si="1133"/>
        <v/>
      </c>
      <c r="AE694" s="153" t="str">
        <f t="shared" ca="1" si="1073"/>
        <v/>
      </c>
      <c r="AF694" s="154" t="str">
        <f t="shared" ca="1" si="1074"/>
        <v/>
      </c>
      <c r="AG694" s="155" t="str">
        <f t="shared" ca="1" si="1075"/>
        <v/>
      </c>
      <c r="AH694" s="155" t="str">
        <f t="shared" ca="1" si="1076"/>
        <v/>
      </c>
      <c r="AI694" s="156" t="str">
        <f t="shared" ca="1" si="1077"/>
        <v/>
      </c>
      <c r="AJ694" s="157" t="str">
        <f t="shared" ca="1" si="1078"/>
        <v/>
      </c>
      <c r="AK694" s="158" t="str">
        <f t="shared" ca="1" si="1134"/>
        <v/>
      </c>
      <c r="AL694" s="158" t="str">
        <f t="shared" ca="1" si="1135"/>
        <v/>
      </c>
      <c r="AM694" s="159" t="str">
        <f t="shared" ca="1" si="1136"/>
        <v/>
      </c>
      <c r="AN694" s="160" t="str">
        <f t="shared" ca="1" si="1079"/>
        <v/>
      </c>
      <c r="AO694" s="161" t="str">
        <f t="shared" ca="1" si="1080"/>
        <v/>
      </c>
      <c r="AP694" s="162" t="str">
        <f t="shared" ca="1" si="1081"/>
        <v/>
      </c>
      <c r="AQ694" s="163" t="str">
        <f t="shared" ca="1" si="1082"/>
        <v/>
      </c>
      <c r="AR694" s="164" t="str">
        <f t="shared" ca="1" si="1083"/>
        <v/>
      </c>
      <c r="AS694" s="164" t="str">
        <f t="shared" ca="1" si="1084"/>
        <v/>
      </c>
      <c r="AT694" s="164" t="str">
        <f t="shared" ca="1" si="1085"/>
        <v/>
      </c>
      <c r="AU694" s="164" t="str">
        <f t="shared" ca="1" si="1086"/>
        <v/>
      </c>
      <c r="AV694" s="164" t="str">
        <f t="shared" ca="1" si="1087"/>
        <v/>
      </c>
      <c r="AW694" s="164" t="str">
        <f t="shared" ca="1" si="1088"/>
        <v/>
      </c>
      <c r="AX694" s="164" t="str">
        <f t="shared" ca="1" si="1089"/>
        <v/>
      </c>
      <c r="AY694" s="164" t="str">
        <f t="shared" ca="1" si="1090"/>
        <v/>
      </c>
      <c r="AZ694" s="164" t="str">
        <f t="shared" ca="1" si="1091"/>
        <v/>
      </c>
      <c r="BA694" s="165" t="str">
        <f t="shared" ca="1" si="1092"/>
        <v>nie</v>
      </c>
      <c r="BB694" s="166" t="str">
        <f t="shared" ca="1" si="1121"/>
        <v>-</v>
      </c>
      <c r="BC694" s="165" t="str">
        <f t="shared" ca="1" si="1105"/>
        <v>nie</v>
      </c>
    </row>
    <row r="695" spans="1:55" s="176" customFormat="1" ht="14.45" hidden="1" customHeight="1" x14ac:dyDescent="0.25">
      <c r="A695" s="493" t="s">
        <v>24</v>
      </c>
      <c r="B695" s="493" t="s">
        <v>26</v>
      </c>
      <c r="C695" s="494" t="s">
        <v>421</v>
      </c>
      <c r="D695" s="505" t="s">
        <v>414</v>
      </c>
      <c r="E695" s="497">
        <v>801</v>
      </c>
      <c r="F695" s="535">
        <v>80195</v>
      </c>
      <c r="G695" s="497">
        <v>6050</v>
      </c>
      <c r="H695" s="507">
        <v>2024</v>
      </c>
      <c r="I695" s="499" t="str">
        <f ca="1">IF(COUNTIF(OFFSET(I695,-1,-8),"*propon*")&gt;0,OFFSET(I695,4,0),IF(Y695&gt;0,"2033",IF(X695&gt;0,"2032",IF(W695&gt;0,"2031",IF(V695&gt;0,"2030",IF(U695&gt;0,"2029",IF(T695&gt;0,"2028",IF(S695&gt;0,"2027",IF(R695&gt;0,"2026",IF(Q695&gt;0,"2025",IF(P695&gt;0,"2024",IF(M695&gt;0,"2023",IF(L695&gt;0,"2022","")))))))))))))</f>
        <v>2026</v>
      </c>
      <c r="J695" s="168" t="s">
        <v>94</v>
      </c>
      <c r="K695" s="169">
        <f>SUM(N695:O695)</f>
        <v>10100000</v>
      </c>
      <c r="L695" s="170">
        <f t="shared" ref="L695:M695" si="1162">SUM(L696:L697)</f>
        <v>0</v>
      </c>
      <c r="M695" s="171">
        <f t="shared" si="1162"/>
        <v>0</v>
      </c>
      <c r="N695" s="172">
        <f>SUM(L695:M695)</f>
        <v>0</v>
      </c>
      <c r="O695" s="169">
        <f>SUM(P695:Y695)</f>
        <v>10100000</v>
      </c>
      <c r="P695" s="173">
        <f t="shared" ref="P695:Y695" si="1163">SUM(P696:P697)</f>
        <v>100000</v>
      </c>
      <c r="Q695" s="171">
        <f t="shared" si="1163"/>
        <v>5000000</v>
      </c>
      <c r="R695" s="174">
        <f t="shared" si="1163"/>
        <v>5000000</v>
      </c>
      <c r="S695" s="175">
        <f t="shared" si="1163"/>
        <v>0</v>
      </c>
      <c r="T695" s="171">
        <f t="shared" si="1163"/>
        <v>0</v>
      </c>
      <c r="U695" s="171">
        <f t="shared" si="1163"/>
        <v>0</v>
      </c>
      <c r="V695" s="171">
        <f t="shared" si="1163"/>
        <v>0</v>
      </c>
      <c r="W695" s="171">
        <f t="shared" si="1163"/>
        <v>0</v>
      </c>
      <c r="X695" s="171">
        <f t="shared" si="1163"/>
        <v>0</v>
      </c>
      <c r="Y695" s="174">
        <f t="shared" si="1163"/>
        <v>0</v>
      </c>
      <c r="Z695" s="149" t="str">
        <f t="shared" ca="1" si="1104"/>
        <v>nie</v>
      </c>
      <c r="AA695" s="366"/>
      <c r="AB695" s="150" t="str">
        <f t="shared" ca="1" si="1120"/>
        <v>-</v>
      </c>
      <c r="AC695" s="151" t="str">
        <f t="shared" ca="1" si="1072"/>
        <v>PRZED ZMIANĄ</v>
      </c>
      <c r="AD695" s="152" t="str">
        <f t="shared" ca="1" si="1133"/>
        <v>PRZED ZMIANĄ</v>
      </c>
      <c r="AE695" s="153" t="str">
        <f t="shared" ca="1" si="1073"/>
        <v>C/USN/V/P1/103</v>
      </c>
      <c r="AF695" s="154" t="str">
        <f t="shared" ca="1" si="1074"/>
        <v>Modernizacje terenów zewnętrznych przy placówkach oświatowych</v>
      </c>
      <c r="AG695" s="155">
        <f t="shared" ca="1" si="1075"/>
        <v>80195</v>
      </c>
      <c r="AH695" s="155" t="str">
        <f t="shared" ca="1" si="1076"/>
        <v>6050</v>
      </c>
      <c r="AI695" s="156" t="str">
        <f t="shared" ca="1" si="1077"/>
        <v>GMMW</v>
      </c>
      <c r="AJ695" s="157" t="str">
        <f t="shared" ca="1" si="1078"/>
        <v>WPF, w tym</v>
      </c>
      <c r="AK695" s="158" t="str">
        <f t="shared" ca="1" si="1134"/>
        <v>C/USN/V/P1/103 80195 6050 GMMW</v>
      </c>
      <c r="AL695" s="158" t="str">
        <f t="shared" ca="1" si="1135"/>
        <v>C/USN/V/P1/103 80195 6050 WPF, w tym</v>
      </c>
      <c r="AM695" s="159" t="str">
        <f t="shared" ca="1" si="1136"/>
        <v>C/USN/V/P1/103 80195 6050 GMMW WPF, w tym</v>
      </c>
      <c r="AN695" s="160">
        <f t="shared" ca="1" si="1079"/>
        <v>10100000</v>
      </c>
      <c r="AO695" s="161">
        <f t="shared" ca="1" si="1080"/>
        <v>0</v>
      </c>
      <c r="AP695" s="162">
        <f t="shared" ca="1" si="1081"/>
        <v>0</v>
      </c>
      <c r="AQ695" s="163">
        <f t="shared" ca="1" si="1082"/>
        <v>100000</v>
      </c>
      <c r="AR695" s="164">
        <f t="shared" ca="1" si="1083"/>
        <v>5000000</v>
      </c>
      <c r="AS695" s="164">
        <f t="shared" ca="1" si="1084"/>
        <v>5000000</v>
      </c>
      <c r="AT695" s="164">
        <f t="shared" ca="1" si="1085"/>
        <v>0</v>
      </c>
      <c r="AU695" s="164">
        <f t="shared" ca="1" si="1086"/>
        <v>0</v>
      </c>
      <c r="AV695" s="164">
        <f t="shared" ca="1" si="1087"/>
        <v>0</v>
      </c>
      <c r="AW695" s="164">
        <f t="shared" ca="1" si="1088"/>
        <v>0</v>
      </c>
      <c r="AX695" s="164">
        <f t="shared" ca="1" si="1089"/>
        <v>0</v>
      </c>
      <c r="AY695" s="164">
        <f t="shared" ca="1" si="1090"/>
        <v>0</v>
      </c>
      <c r="AZ695" s="164">
        <f t="shared" ca="1" si="1091"/>
        <v>0</v>
      </c>
      <c r="BA695" s="165" t="str">
        <f t="shared" ca="1" si="1092"/>
        <v>nie</v>
      </c>
      <c r="BB695" s="166" t="str">
        <f t="shared" ca="1" si="1121"/>
        <v>-</v>
      </c>
      <c r="BC695" s="165" t="str">
        <f t="shared" ca="1" si="1105"/>
        <v>nie</v>
      </c>
    </row>
    <row r="696" spans="1:55" s="167" customFormat="1" ht="14.45" hidden="1" customHeight="1" x14ac:dyDescent="0.25">
      <c r="A696" s="493"/>
      <c r="B696" s="493"/>
      <c r="C696" s="494"/>
      <c r="D696" s="506"/>
      <c r="E696" s="497"/>
      <c r="F696" s="536"/>
      <c r="G696" s="497"/>
      <c r="H696" s="498"/>
      <c r="I696" s="499"/>
      <c r="J696" s="177" t="s">
        <v>95</v>
      </c>
      <c r="K696" s="178">
        <f>SUM(N696:O696)</f>
        <v>10100000</v>
      </c>
      <c r="L696" s="179"/>
      <c r="M696" s="180"/>
      <c r="N696" s="172">
        <f>SUM(L696:M696)</f>
        <v>0</v>
      </c>
      <c r="O696" s="178">
        <f>SUM(P696:Y696)</f>
        <v>10100000</v>
      </c>
      <c r="P696" s="181">
        <v>100000</v>
      </c>
      <c r="Q696" s="180">
        <v>5000000</v>
      </c>
      <c r="R696" s="182">
        <v>5000000</v>
      </c>
      <c r="S696" s="183"/>
      <c r="T696" s="180"/>
      <c r="U696" s="180"/>
      <c r="V696" s="180"/>
      <c r="W696" s="180"/>
      <c r="X696" s="180"/>
      <c r="Y696" s="182"/>
      <c r="Z696" s="149" t="str">
        <f t="shared" ca="1" si="1104"/>
        <v>nie</v>
      </c>
      <c r="AA696" s="366"/>
      <c r="AB696" s="150" t="str">
        <f t="shared" ca="1" si="1120"/>
        <v>-</v>
      </c>
      <c r="AC696" s="151" t="str">
        <f t="shared" ca="1" si="1072"/>
        <v>PRZED ZMIANĄ</v>
      </c>
      <c r="AD696" s="152" t="str">
        <f t="shared" ca="1" si="1133"/>
        <v>PRZED ZMIANĄ</v>
      </c>
      <c r="AE696" s="153" t="str">
        <f t="shared" ca="1" si="1073"/>
        <v>C/USN/V/P1/103</v>
      </c>
      <c r="AF696" s="154" t="str">
        <f t="shared" ca="1" si="1074"/>
        <v>Modernizacje terenów zewnętrznych przy placówkach oświatowych</v>
      </c>
      <c r="AG696" s="155">
        <f t="shared" ca="1" si="1075"/>
        <v>80195</v>
      </c>
      <c r="AH696" s="155" t="str">
        <f t="shared" ca="1" si="1076"/>
        <v>6050</v>
      </c>
      <c r="AI696" s="156" t="str">
        <f t="shared" ca="1" si="1077"/>
        <v>GMMW</v>
      </c>
      <c r="AJ696" s="157" t="str">
        <f t="shared" ca="1" si="1078"/>
        <v>WPF/PM</v>
      </c>
      <c r="AK696" s="158" t="str">
        <f t="shared" ca="1" si="1134"/>
        <v>C/USN/V/P1/103 80195 6050 GMMW</v>
      </c>
      <c r="AL696" s="158" t="str">
        <f t="shared" ca="1" si="1135"/>
        <v>C/USN/V/P1/103 80195 6050 WPF/PM</v>
      </c>
      <c r="AM696" s="159" t="str">
        <f t="shared" ca="1" si="1136"/>
        <v>C/USN/V/P1/103 80195 6050 GMMW WPF/PM</v>
      </c>
      <c r="AN696" s="160">
        <f t="shared" ca="1" si="1079"/>
        <v>10100000</v>
      </c>
      <c r="AO696" s="161">
        <f t="shared" ca="1" si="1080"/>
        <v>0</v>
      </c>
      <c r="AP696" s="162">
        <f t="shared" ca="1" si="1081"/>
        <v>0</v>
      </c>
      <c r="AQ696" s="163">
        <f t="shared" ca="1" si="1082"/>
        <v>100000</v>
      </c>
      <c r="AR696" s="164">
        <f t="shared" ca="1" si="1083"/>
        <v>5000000</v>
      </c>
      <c r="AS696" s="164">
        <f t="shared" ca="1" si="1084"/>
        <v>5000000</v>
      </c>
      <c r="AT696" s="164">
        <f t="shared" ca="1" si="1085"/>
        <v>0</v>
      </c>
      <c r="AU696" s="164">
        <f t="shared" ca="1" si="1086"/>
        <v>0</v>
      </c>
      <c r="AV696" s="164">
        <f t="shared" ca="1" si="1087"/>
        <v>0</v>
      </c>
      <c r="AW696" s="164">
        <f t="shared" ca="1" si="1088"/>
        <v>0</v>
      </c>
      <c r="AX696" s="164">
        <f t="shared" ca="1" si="1089"/>
        <v>0</v>
      </c>
      <c r="AY696" s="164">
        <f t="shared" ca="1" si="1090"/>
        <v>0</v>
      </c>
      <c r="AZ696" s="164">
        <f t="shared" ca="1" si="1091"/>
        <v>0</v>
      </c>
      <c r="BA696" s="165" t="str">
        <f t="shared" ca="1" si="1092"/>
        <v>nie</v>
      </c>
      <c r="BB696" s="166" t="str">
        <f t="shared" ca="1" si="1121"/>
        <v>-</v>
      </c>
      <c r="BC696" s="165" t="str">
        <f t="shared" ca="1" si="1105"/>
        <v>nie</v>
      </c>
    </row>
    <row r="697" spans="1:55" s="167" customFormat="1" ht="14.45" hidden="1" customHeight="1" x14ac:dyDescent="0.25">
      <c r="A697" s="493"/>
      <c r="B697" s="493"/>
      <c r="C697" s="494"/>
      <c r="D697" s="506"/>
      <c r="E697" s="497"/>
      <c r="F697" s="537"/>
      <c r="G697" s="497"/>
      <c r="H697" s="498"/>
      <c r="I697" s="499"/>
      <c r="J697" s="177" t="s">
        <v>96</v>
      </c>
      <c r="K697" s="178">
        <f>SUM(N697:O697)</f>
        <v>0</v>
      </c>
      <c r="L697" s="184"/>
      <c r="M697" s="180"/>
      <c r="N697" s="172">
        <f>SUM(L697:M697)</f>
        <v>0</v>
      </c>
      <c r="O697" s="178">
        <f>SUM(P697:Y697)</f>
        <v>0</v>
      </c>
      <c r="P697" s="181"/>
      <c r="Q697" s="180"/>
      <c r="R697" s="182"/>
      <c r="S697" s="183"/>
      <c r="T697" s="180"/>
      <c r="U697" s="180"/>
      <c r="V697" s="180"/>
      <c r="W697" s="180"/>
      <c r="X697" s="180"/>
      <c r="Y697" s="182"/>
      <c r="Z697" s="149" t="str">
        <f t="shared" ca="1" si="1104"/>
        <v>nie</v>
      </c>
      <c r="AA697" s="366"/>
      <c r="AB697" s="150" t="str">
        <f t="shared" ca="1" si="1120"/>
        <v>-</v>
      </c>
      <c r="AC697" s="151" t="str">
        <f t="shared" ca="1" si="1072"/>
        <v>PRZED ZMIANĄ</v>
      </c>
      <c r="AD697" s="152" t="str">
        <f t="shared" ca="1" si="1133"/>
        <v>PRZED ZMIANĄ</v>
      </c>
      <c r="AE697" s="153" t="str">
        <f t="shared" ca="1" si="1073"/>
        <v>C/USN/V/P1/103</v>
      </c>
      <c r="AF697" s="154" t="str">
        <f t="shared" ca="1" si="1074"/>
        <v>Modernizacje terenów zewnętrznych przy placówkach oświatowych</v>
      </c>
      <c r="AG697" s="155">
        <f t="shared" ca="1" si="1075"/>
        <v>80195</v>
      </c>
      <c r="AH697" s="155" t="str">
        <f t="shared" ca="1" si="1076"/>
        <v>6050</v>
      </c>
      <c r="AI697" s="156" t="str">
        <f t="shared" ca="1" si="1077"/>
        <v>GMMW</v>
      </c>
      <c r="AJ697" s="157" t="str">
        <f t="shared" ca="1" si="1078"/>
        <v>WPF/UM</v>
      </c>
      <c r="AK697" s="158" t="str">
        <f t="shared" ca="1" si="1134"/>
        <v>C/USN/V/P1/103 80195 6050 GMMW</v>
      </c>
      <c r="AL697" s="158" t="str">
        <f t="shared" ca="1" si="1135"/>
        <v>C/USN/V/P1/103 80195 6050 WPF/UM</v>
      </c>
      <c r="AM697" s="159" t="str">
        <f t="shared" ca="1" si="1136"/>
        <v>C/USN/V/P1/103 80195 6050 GMMW WPF/UM</v>
      </c>
      <c r="AN697" s="160">
        <f t="shared" ca="1" si="1079"/>
        <v>0</v>
      </c>
      <c r="AO697" s="161">
        <f t="shared" ca="1" si="1080"/>
        <v>0</v>
      </c>
      <c r="AP697" s="162">
        <f t="shared" ca="1" si="1081"/>
        <v>0</v>
      </c>
      <c r="AQ697" s="163">
        <f t="shared" ca="1" si="1082"/>
        <v>0</v>
      </c>
      <c r="AR697" s="164">
        <f t="shared" ca="1" si="1083"/>
        <v>0</v>
      </c>
      <c r="AS697" s="164">
        <f t="shared" ca="1" si="1084"/>
        <v>0</v>
      </c>
      <c r="AT697" s="164">
        <f t="shared" ca="1" si="1085"/>
        <v>0</v>
      </c>
      <c r="AU697" s="164">
        <f t="shared" ca="1" si="1086"/>
        <v>0</v>
      </c>
      <c r="AV697" s="164">
        <f t="shared" ca="1" si="1087"/>
        <v>0</v>
      </c>
      <c r="AW697" s="164">
        <f t="shared" ca="1" si="1088"/>
        <v>0</v>
      </c>
      <c r="AX697" s="164">
        <f t="shared" ca="1" si="1089"/>
        <v>0</v>
      </c>
      <c r="AY697" s="164">
        <f t="shared" ca="1" si="1090"/>
        <v>0</v>
      </c>
      <c r="AZ697" s="164">
        <f t="shared" ca="1" si="1091"/>
        <v>0</v>
      </c>
      <c r="BA697" s="165" t="str">
        <f t="shared" ca="1" si="1092"/>
        <v>nie</v>
      </c>
      <c r="BB697" s="166" t="str">
        <f t="shared" ca="1" si="1121"/>
        <v>-</v>
      </c>
      <c r="BC697" s="165" t="str">
        <f t="shared" ca="1" si="1105"/>
        <v>nie</v>
      </c>
    </row>
    <row r="698" spans="1:55" s="167" customFormat="1" ht="14.45" hidden="1" customHeight="1" x14ac:dyDescent="0.25">
      <c r="A698" s="185" t="s">
        <v>97</v>
      </c>
      <c r="B698" s="186"/>
      <c r="C698" s="187"/>
      <c r="D698" s="186"/>
      <c r="E698" s="186"/>
      <c r="F698" s="186"/>
      <c r="G698" s="186"/>
      <c r="H698" s="186"/>
      <c r="I698" s="186"/>
      <c r="J698" s="186"/>
      <c r="K698" s="186"/>
      <c r="L698" s="186"/>
      <c r="M698" s="186"/>
      <c r="N698" s="186"/>
      <c r="O698" s="186"/>
      <c r="P698" s="186"/>
      <c r="Q698" s="186"/>
      <c r="R698" s="188"/>
      <c r="S698" s="189"/>
      <c r="T698" s="189"/>
      <c r="U698" s="189"/>
      <c r="V698" s="189"/>
      <c r="W698" s="189"/>
      <c r="X698" s="189"/>
      <c r="Y698" s="190"/>
      <c r="Z698" s="149" t="str">
        <f t="shared" ca="1" si="1104"/>
        <v>nie</v>
      </c>
      <c r="AA698" s="366"/>
      <c r="AB698" s="150" t="str">
        <f t="shared" ca="1" si="1120"/>
        <v>-</v>
      </c>
      <c r="AC698" s="151" t="str">
        <f t="shared" ca="1" si="1072"/>
        <v>PROPONOWANA ZMIANA</v>
      </c>
      <c r="AD698" s="152" t="str">
        <f t="shared" ca="1" si="1133"/>
        <v/>
      </c>
      <c r="AE698" s="153" t="str">
        <f t="shared" ca="1" si="1073"/>
        <v/>
      </c>
      <c r="AF698" s="154" t="str">
        <f t="shared" ca="1" si="1074"/>
        <v/>
      </c>
      <c r="AG698" s="155" t="str">
        <f t="shared" ca="1" si="1075"/>
        <v/>
      </c>
      <c r="AH698" s="155" t="str">
        <f t="shared" ca="1" si="1076"/>
        <v/>
      </c>
      <c r="AI698" s="156" t="str">
        <f t="shared" ca="1" si="1077"/>
        <v/>
      </c>
      <c r="AJ698" s="157" t="str">
        <f t="shared" ca="1" si="1078"/>
        <v/>
      </c>
      <c r="AK698" s="158" t="str">
        <f t="shared" ca="1" si="1134"/>
        <v/>
      </c>
      <c r="AL698" s="158" t="str">
        <f t="shared" ca="1" si="1135"/>
        <v/>
      </c>
      <c r="AM698" s="159" t="str">
        <f t="shared" ca="1" si="1136"/>
        <v/>
      </c>
      <c r="AN698" s="160" t="str">
        <f t="shared" ca="1" si="1079"/>
        <v/>
      </c>
      <c r="AO698" s="161" t="str">
        <f t="shared" ca="1" si="1080"/>
        <v/>
      </c>
      <c r="AP698" s="162" t="str">
        <f t="shared" ca="1" si="1081"/>
        <v/>
      </c>
      <c r="AQ698" s="163" t="str">
        <f t="shared" ca="1" si="1082"/>
        <v/>
      </c>
      <c r="AR698" s="164" t="str">
        <f t="shared" ca="1" si="1083"/>
        <v/>
      </c>
      <c r="AS698" s="164" t="str">
        <f t="shared" ca="1" si="1084"/>
        <v/>
      </c>
      <c r="AT698" s="164" t="str">
        <f t="shared" ca="1" si="1085"/>
        <v/>
      </c>
      <c r="AU698" s="164" t="str">
        <f t="shared" ca="1" si="1086"/>
        <v/>
      </c>
      <c r="AV698" s="164" t="str">
        <f t="shared" ca="1" si="1087"/>
        <v/>
      </c>
      <c r="AW698" s="164" t="str">
        <f t="shared" ca="1" si="1088"/>
        <v/>
      </c>
      <c r="AX698" s="164" t="str">
        <f t="shared" ca="1" si="1089"/>
        <v/>
      </c>
      <c r="AY698" s="164" t="str">
        <f t="shared" ca="1" si="1090"/>
        <v/>
      </c>
      <c r="AZ698" s="164" t="str">
        <f t="shared" ca="1" si="1091"/>
        <v/>
      </c>
      <c r="BA698" s="165" t="str">
        <f t="shared" ca="1" si="1092"/>
        <v>nie</v>
      </c>
      <c r="BB698" s="166" t="str">
        <f t="shared" ca="1" si="1121"/>
        <v>-</v>
      </c>
      <c r="BC698" s="165" t="str">
        <f t="shared" ca="1" si="1105"/>
        <v>nie</v>
      </c>
    </row>
    <row r="699" spans="1:55" s="176" customFormat="1" ht="14.45" hidden="1" customHeight="1" x14ac:dyDescent="0.25">
      <c r="A699" s="493" t="s">
        <v>24</v>
      </c>
      <c r="B699" s="493" t="s">
        <v>26</v>
      </c>
      <c r="C699" s="494" t="s">
        <v>421</v>
      </c>
      <c r="D699" s="505" t="s">
        <v>414</v>
      </c>
      <c r="E699" s="497">
        <v>801</v>
      </c>
      <c r="F699" s="535">
        <v>80195</v>
      </c>
      <c r="G699" s="497">
        <v>6050</v>
      </c>
      <c r="H699" s="507">
        <v>2024</v>
      </c>
      <c r="I699" s="499" t="str">
        <f ca="1">IF(COUNTIF(OFFSET(I699,-1,-8),"*propon*")&gt;0,OFFSET(I699,4,0),IF(Y699&gt;0,"2033",IF(X699&gt;0,"2032",IF(W699&gt;0,"2031",IF(V699&gt;0,"2030",IF(U699&gt;0,"2029",IF(T699&gt;0,"2028",IF(S699&gt;0,"2027",IF(R699&gt;0,"2026",IF(Q699&gt;0,"2025",IF(P699&gt;0,"2024",IF(M699&gt;0,"2023",IF(L699&gt;0,"2022","")))))))))))))</f>
        <v>2026</v>
      </c>
      <c r="J699" s="168" t="s">
        <v>98</v>
      </c>
      <c r="K699" s="169">
        <f>SUM(N699:O699)</f>
        <v>0</v>
      </c>
      <c r="L699" s="170">
        <f t="shared" ref="L699:M699" si="1164">SUM(L700:L701)</f>
        <v>0</v>
      </c>
      <c r="M699" s="171">
        <f t="shared" si="1164"/>
        <v>0</v>
      </c>
      <c r="N699" s="172">
        <f>SUM(L699:M699)</f>
        <v>0</v>
      </c>
      <c r="O699" s="169">
        <f>SUM(P699:Y699)</f>
        <v>0</v>
      </c>
      <c r="P699" s="173">
        <f t="shared" ref="P699:Y699" si="1165">SUM(P700:P701)</f>
        <v>0</v>
      </c>
      <c r="Q699" s="171">
        <f t="shared" si="1165"/>
        <v>0</v>
      </c>
      <c r="R699" s="174">
        <f t="shared" si="1165"/>
        <v>0</v>
      </c>
      <c r="S699" s="175">
        <f t="shared" si="1165"/>
        <v>0</v>
      </c>
      <c r="T699" s="171">
        <f t="shared" si="1165"/>
        <v>0</v>
      </c>
      <c r="U699" s="171">
        <f t="shared" si="1165"/>
        <v>0</v>
      </c>
      <c r="V699" s="171">
        <f t="shared" si="1165"/>
        <v>0</v>
      </c>
      <c r="W699" s="171">
        <f t="shared" si="1165"/>
        <v>0</v>
      </c>
      <c r="X699" s="171">
        <f t="shared" si="1165"/>
        <v>0</v>
      </c>
      <c r="Y699" s="174">
        <f t="shared" si="1165"/>
        <v>0</v>
      </c>
      <c r="Z699" s="149" t="str">
        <f t="shared" ca="1" si="1104"/>
        <v>nie</v>
      </c>
      <c r="AA699" s="366"/>
      <c r="AB699" s="150" t="str">
        <f t="shared" ca="1" si="1120"/>
        <v>-</v>
      </c>
      <c r="AC699" s="151" t="str">
        <f t="shared" ca="1" si="1072"/>
        <v>PROPONOWANA ZMIANA</v>
      </c>
      <c r="AD699" s="152" t="str">
        <f t="shared" ca="1" si="1133"/>
        <v>PROPONOWANA ZMIANA</v>
      </c>
      <c r="AE699" s="153" t="str">
        <f t="shared" ca="1" si="1073"/>
        <v>C/USN/V/P1/103</v>
      </c>
      <c r="AF699" s="154" t="str">
        <f t="shared" ca="1" si="1074"/>
        <v>Modernizacje terenów zewnętrznych przy placówkach oświatowych</v>
      </c>
      <c r="AG699" s="155">
        <f t="shared" ca="1" si="1075"/>
        <v>80195</v>
      </c>
      <c r="AH699" s="155" t="str">
        <f t="shared" ca="1" si="1076"/>
        <v>6050</v>
      </c>
      <c r="AI699" s="156" t="str">
        <f t="shared" ca="1" si="1077"/>
        <v>GMMW</v>
      </c>
      <c r="AJ699" s="157" t="str">
        <f t="shared" ca="1" si="1078"/>
        <v>WPF, w tym</v>
      </c>
      <c r="AK699" s="158" t="str">
        <f t="shared" ca="1" si="1134"/>
        <v>C/USN/V/P1/103 80195 6050 GMMW</v>
      </c>
      <c r="AL699" s="158" t="str">
        <f t="shared" ca="1" si="1135"/>
        <v>C/USN/V/P1/103 80195 6050 WPF, w tym</v>
      </c>
      <c r="AM699" s="159" t="str">
        <f t="shared" ca="1" si="1136"/>
        <v>C/USN/V/P1/103 80195 6050 GMMW WPF, w tym</v>
      </c>
      <c r="AN699" s="160">
        <f t="shared" ca="1" si="1079"/>
        <v>0</v>
      </c>
      <c r="AO699" s="161">
        <f t="shared" ca="1" si="1080"/>
        <v>0</v>
      </c>
      <c r="AP699" s="162">
        <f t="shared" ca="1" si="1081"/>
        <v>0</v>
      </c>
      <c r="AQ699" s="163">
        <f t="shared" ca="1" si="1082"/>
        <v>0</v>
      </c>
      <c r="AR699" s="164">
        <f t="shared" ca="1" si="1083"/>
        <v>0</v>
      </c>
      <c r="AS699" s="164">
        <f t="shared" ca="1" si="1084"/>
        <v>0</v>
      </c>
      <c r="AT699" s="164">
        <f t="shared" ca="1" si="1085"/>
        <v>0</v>
      </c>
      <c r="AU699" s="164">
        <f t="shared" ca="1" si="1086"/>
        <v>0</v>
      </c>
      <c r="AV699" s="164">
        <f t="shared" ca="1" si="1087"/>
        <v>0</v>
      </c>
      <c r="AW699" s="164">
        <f t="shared" ca="1" si="1088"/>
        <v>0</v>
      </c>
      <c r="AX699" s="164">
        <f t="shared" ca="1" si="1089"/>
        <v>0</v>
      </c>
      <c r="AY699" s="164">
        <f t="shared" ca="1" si="1090"/>
        <v>0</v>
      </c>
      <c r="AZ699" s="164">
        <f t="shared" ca="1" si="1091"/>
        <v>0</v>
      </c>
      <c r="BA699" s="165" t="str">
        <f t="shared" ca="1" si="1092"/>
        <v>nie</v>
      </c>
      <c r="BB699" s="166" t="str">
        <f t="shared" ca="1" si="1121"/>
        <v>-</v>
      </c>
      <c r="BC699" s="165" t="str">
        <f t="shared" ca="1" si="1105"/>
        <v>nie</v>
      </c>
    </row>
    <row r="700" spans="1:55" s="167" customFormat="1" ht="14.45" hidden="1" customHeight="1" x14ac:dyDescent="0.25">
      <c r="A700" s="493"/>
      <c r="B700" s="493"/>
      <c r="C700" s="494"/>
      <c r="D700" s="506"/>
      <c r="E700" s="497"/>
      <c r="F700" s="536"/>
      <c r="G700" s="497"/>
      <c r="H700" s="498"/>
      <c r="I700" s="499"/>
      <c r="J700" s="177" t="s">
        <v>99</v>
      </c>
      <c r="K700" s="178">
        <f>SUM(N700:O700)</f>
        <v>0</v>
      </c>
      <c r="L700" s="179">
        <f t="shared" ref="L700:M700" si="1166">L704-L696</f>
        <v>0</v>
      </c>
      <c r="M700" s="180">
        <f t="shared" si="1166"/>
        <v>0</v>
      </c>
      <c r="N700" s="172">
        <f>SUM(L700:M700)</f>
        <v>0</v>
      </c>
      <c r="O700" s="178">
        <f>SUM(P700:Y700)</f>
        <v>0</v>
      </c>
      <c r="P700" s="181">
        <f t="shared" ref="P700:Y700" si="1167">P704-P696</f>
        <v>0</v>
      </c>
      <c r="Q700" s="180">
        <f t="shared" si="1167"/>
        <v>0</v>
      </c>
      <c r="R700" s="182">
        <f t="shared" si="1167"/>
        <v>0</v>
      </c>
      <c r="S700" s="183">
        <f t="shared" si="1167"/>
        <v>0</v>
      </c>
      <c r="T700" s="180">
        <f t="shared" si="1167"/>
        <v>0</v>
      </c>
      <c r="U700" s="180">
        <f t="shared" si="1167"/>
        <v>0</v>
      </c>
      <c r="V700" s="180">
        <f t="shared" si="1167"/>
        <v>0</v>
      </c>
      <c r="W700" s="180">
        <f t="shared" si="1167"/>
        <v>0</v>
      </c>
      <c r="X700" s="180">
        <f t="shared" si="1167"/>
        <v>0</v>
      </c>
      <c r="Y700" s="182">
        <f t="shared" si="1167"/>
        <v>0</v>
      </c>
      <c r="Z700" s="149" t="str">
        <f t="shared" ca="1" si="1104"/>
        <v>nie</v>
      </c>
      <c r="AA700" s="366"/>
      <c r="AB700" s="150" t="str">
        <f t="shared" ca="1" si="1120"/>
        <v>-</v>
      </c>
      <c r="AC700" s="151" t="str">
        <f t="shared" ca="1" si="1072"/>
        <v>PROPONOWANA ZMIANA</v>
      </c>
      <c r="AD700" s="152" t="str">
        <f t="shared" ca="1" si="1133"/>
        <v>PROPONOWANA ZMIANA</v>
      </c>
      <c r="AE700" s="153" t="str">
        <f t="shared" ca="1" si="1073"/>
        <v>C/USN/V/P1/103</v>
      </c>
      <c r="AF700" s="154" t="str">
        <f t="shared" ca="1" si="1074"/>
        <v>Modernizacje terenów zewnętrznych przy placówkach oświatowych</v>
      </c>
      <c r="AG700" s="155">
        <f t="shared" ca="1" si="1075"/>
        <v>80195</v>
      </c>
      <c r="AH700" s="155" t="str">
        <f t="shared" ca="1" si="1076"/>
        <v>6050</v>
      </c>
      <c r="AI700" s="156" t="str">
        <f t="shared" ca="1" si="1077"/>
        <v>GMMW</v>
      </c>
      <c r="AJ700" s="157" t="str">
        <f t="shared" ca="1" si="1078"/>
        <v>WPF/PM</v>
      </c>
      <c r="AK700" s="158" t="str">
        <f t="shared" ca="1" si="1134"/>
        <v>C/USN/V/P1/103 80195 6050 GMMW</v>
      </c>
      <c r="AL700" s="158" t="str">
        <f t="shared" ca="1" si="1135"/>
        <v>C/USN/V/P1/103 80195 6050 WPF/PM</v>
      </c>
      <c r="AM700" s="159" t="str">
        <f t="shared" ca="1" si="1136"/>
        <v>C/USN/V/P1/103 80195 6050 GMMW WPF/PM</v>
      </c>
      <c r="AN700" s="160">
        <f t="shared" ca="1" si="1079"/>
        <v>0</v>
      </c>
      <c r="AO700" s="161">
        <f t="shared" ca="1" si="1080"/>
        <v>0</v>
      </c>
      <c r="AP700" s="162">
        <f t="shared" ca="1" si="1081"/>
        <v>0</v>
      </c>
      <c r="AQ700" s="163">
        <f t="shared" ca="1" si="1082"/>
        <v>0</v>
      </c>
      <c r="AR700" s="164">
        <f t="shared" ca="1" si="1083"/>
        <v>0</v>
      </c>
      <c r="AS700" s="164">
        <f t="shared" ca="1" si="1084"/>
        <v>0</v>
      </c>
      <c r="AT700" s="164">
        <f t="shared" ca="1" si="1085"/>
        <v>0</v>
      </c>
      <c r="AU700" s="164">
        <f t="shared" ca="1" si="1086"/>
        <v>0</v>
      </c>
      <c r="AV700" s="164">
        <f t="shared" ca="1" si="1087"/>
        <v>0</v>
      </c>
      <c r="AW700" s="164">
        <f t="shared" ca="1" si="1088"/>
        <v>0</v>
      </c>
      <c r="AX700" s="164">
        <f t="shared" ca="1" si="1089"/>
        <v>0</v>
      </c>
      <c r="AY700" s="164">
        <f t="shared" ca="1" si="1090"/>
        <v>0</v>
      </c>
      <c r="AZ700" s="164">
        <f t="shared" ca="1" si="1091"/>
        <v>0</v>
      </c>
      <c r="BA700" s="165" t="str">
        <f t="shared" ca="1" si="1092"/>
        <v>nie</v>
      </c>
      <c r="BB700" s="166" t="str">
        <f t="shared" ca="1" si="1121"/>
        <v>-</v>
      </c>
      <c r="BC700" s="165" t="str">
        <f t="shared" ca="1" si="1105"/>
        <v>nie</v>
      </c>
    </row>
    <row r="701" spans="1:55" s="167" customFormat="1" ht="14.45" hidden="1" customHeight="1" x14ac:dyDescent="0.25">
      <c r="A701" s="493"/>
      <c r="B701" s="493"/>
      <c r="C701" s="494"/>
      <c r="D701" s="506"/>
      <c r="E701" s="497"/>
      <c r="F701" s="537"/>
      <c r="G701" s="497"/>
      <c r="H701" s="498"/>
      <c r="I701" s="499"/>
      <c r="J701" s="177" t="s">
        <v>100</v>
      </c>
      <c r="K701" s="178">
        <f>SUM(N701:O701)</f>
        <v>0</v>
      </c>
      <c r="L701" s="179">
        <f t="shared" ref="L701:M701" si="1168">L705-L697</f>
        <v>0</v>
      </c>
      <c r="M701" s="180">
        <f t="shared" si="1168"/>
        <v>0</v>
      </c>
      <c r="N701" s="172">
        <f>SUM(L701:M701)</f>
        <v>0</v>
      </c>
      <c r="O701" s="178">
        <f>SUM(P701:Y701)</f>
        <v>0</v>
      </c>
      <c r="P701" s="181">
        <f t="shared" ref="P701:Y701" si="1169">P705-P697</f>
        <v>0</v>
      </c>
      <c r="Q701" s="180">
        <f t="shared" si="1169"/>
        <v>0</v>
      </c>
      <c r="R701" s="182">
        <f t="shared" si="1169"/>
        <v>0</v>
      </c>
      <c r="S701" s="183">
        <f t="shared" si="1169"/>
        <v>0</v>
      </c>
      <c r="T701" s="180">
        <f t="shared" si="1169"/>
        <v>0</v>
      </c>
      <c r="U701" s="180">
        <f t="shared" si="1169"/>
        <v>0</v>
      </c>
      <c r="V701" s="180">
        <f t="shared" si="1169"/>
        <v>0</v>
      </c>
      <c r="W701" s="180">
        <f t="shared" si="1169"/>
        <v>0</v>
      </c>
      <c r="X701" s="180">
        <f t="shared" si="1169"/>
        <v>0</v>
      </c>
      <c r="Y701" s="182">
        <f t="shared" si="1169"/>
        <v>0</v>
      </c>
      <c r="Z701" s="149" t="str">
        <f t="shared" ca="1" si="1104"/>
        <v>nie</v>
      </c>
      <c r="AA701" s="366"/>
      <c r="AB701" s="150" t="str">
        <f t="shared" ca="1" si="1120"/>
        <v>-</v>
      </c>
      <c r="AC701" s="151" t="str">
        <f t="shared" ca="1" si="1072"/>
        <v>PROPONOWANA ZMIANA</v>
      </c>
      <c r="AD701" s="152" t="str">
        <f t="shared" ca="1" si="1133"/>
        <v>PROPONOWANA ZMIANA</v>
      </c>
      <c r="AE701" s="153" t="str">
        <f t="shared" ca="1" si="1073"/>
        <v>C/USN/V/P1/103</v>
      </c>
      <c r="AF701" s="154" t="str">
        <f t="shared" ca="1" si="1074"/>
        <v>Modernizacje terenów zewnętrznych przy placówkach oświatowych</v>
      </c>
      <c r="AG701" s="155">
        <f t="shared" ca="1" si="1075"/>
        <v>80195</v>
      </c>
      <c r="AH701" s="155" t="str">
        <f t="shared" ca="1" si="1076"/>
        <v>6050</v>
      </c>
      <c r="AI701" s="156" t="str">
        <f t="shared" ca="1" si="1077"/>
        <v>GMMW</v>
      </c>
      <c r="AJ701" s="157" t="str">
        <f t="shared" ca="1" si="1078"/>
        <v>WPF/UM</v>
      </c>
      <c r="AK701" s="158" t="str">
        <f t="shared" ca="1" si="1134"/>
        <v>C/USN/V/P1/103 80195 6050 GMMW</v>
      </c>
      <c r="AL701" s="158" t="str">
        <f t="shared" ca="1" si="1135"/>
        <v>C/USN/V/P1/103 80195 6050 WPF/UM</v>
      </c>
      <c r="AM701" s="159" t="str">
        <f t="shared" ca="1" si="1136"/>
        <v>C/USN/V/P1/103 80195 6050 GMMW WPF/UM</v>
      </c>
      <c r="AN701" s="160">
        <f t="shared" ca="1" si="1079"/>
        <v>0</v>
      </c>
      <c r="AO701" s="161">
        <f t="shared" ca="1" si="1080"/>
        <v>0</v>
      </c>
      <c r="AP701" s="162">
        <f t="shared" ca="1" si="1081"/>
        <v>0</v>
      </c>
      <c r="AQ701" s="163">
        <f t="shared" ca="1" si="1082"/>
        <v>0</v>
      </c>
      <c r="AR701" s="164">
        <f t="shared" ca="1" si="1083"/>
        <v>0</v>
      </c>
      <c r="AS701" s="164">
        <f t="shared" ca="1" si="1084"/>
        <v>0</v>
      </c>
      <c r="AT701" s="164">
        <f t="shared" ca="1" si="1085"/>
        <v>0</v>
      </c>
      <c r="AU701" s="164">
        <f t="shared" ca="1" si="1086"/>
        <v>0</v>
      </c>
      <c r="AV701" s="164">
        <f t="shared" ca="1" si="1087"/>
        <v>0</v>
      </c>
      <c r="AW701" s="164">
        <f t="shared" ca="1" si="1088"/>
        <v>0</v>
      </c>
      <c r="AX701" s="164">
        <f t="shared" ca="1" si="1089"/>
        <v>0</v>
      </c>
      <c r="AY701" s="164">
        <f t="shared" ca="1" si="1090"/>
        <v>0</v>
      </c>
      <c r="AZ701" s="164">
        <f t="shared" ca="1" si="1091"/>
        <v>0</v>
      </c>
      <c r="BA701" s="165" t="str">
        <f t="shared" ca="1" si="1092"/>
        <v>nie</v>
      </c>
      <c r="BB701" s="166" t="str">
        <f t="shared" ca="1" si="1121"/>
        <v>-</v>
      </c>
      <c r="BC701" s="165" t="str">
        <f t="shared" ca="1" si="1105"/>
        <v>nie</v>
      </c>
    </row>
    <row r="702" spans="1:55" s="167" customFormat="1" ht="14.45" hidden="1" customHeight="1" x14ac:dyDescent="0.25">
      <c r="A702" s="191" t="s">
        <v>101</v>
      </c>
      <c r="B702" s="192"/>
      <c r="C702" s="193"/>
      <c r="D702" s="192"/>
      <c r="E702" s="192"/>
      <c r="F702" s="192"/>
      <c r="G702" s="192"/>
      <c r="H702" s="192"/>
      <c r="I702" s="192"/>
      <c r="J702" s="192"/>
      <c r="K702" s="192"/>
      <c r="L702" s="192"/>
      <c r="M702" s="192"/>
      <c r="N702" s="192"/>
      <c r="O702" s="192"/>
      <c r="P702" s="192"/>
      <c r="Q702" s="192"/>
      <c r="R702" s="194"/>
      <c r="S702" s="195"/>
      <c r="T702" s="195"/>
      <c r="U702" s="195"/>
      <c r="V702" s="195"/>
      <c r="W702" s="195"/>
      <c r="X702" s="195"/>
      <c r="Y702" s="196"/>
      <c r="Z702" s="149" t="str">
        <f t="shared" ca="1" si="1104"/>
        <v>nie</v>
      </c>
      <c r="AA702" s="366"/>
      <c r="AB702" s="150" t="str">
        <f t="shared" ca="1" si="1120"/>
        <v>-</v>
      </c>
      <c r="AC702" s="151" t="str">
        <f t="shared" ca="1" si="1072"/>
        <v>PO ZMIANIE</v>
      </c>
      <c r="AD702" s="152" t="str">
        <f t="shared" ca="1" si="1133"/>
        <v/>
      </c>
      <c r="AE702" s="153" t="str">
        <f t="shared" ca="1" si="1073"/>
        <v/>
      </c>
      <c r="AF702" s="154" t="str">
        <f t="shared" ca="1" si="1074"/>
        <v/>
      </c>
      <c r="AG702" s="155" t="str">
        <f t="shared" ca="1" si="1075"/>
        <v/>
      </c>
      <c r="AH702" s="155" t="str">
        <f t="shared" ca="1" si="1076"/>
        <v/>
      </c>
      <c r="AI702" s="156" t="str">
        <f t="shared" ca="1" si="1077"/>
        <v/>
      </c>
      <c r="AJ702" s="157" t="str">
        <f t="shared" ca="1" si="1078"/>
        <v/>
      </c>
      <c r="AK702" s="158" t="str">
        <f t="shared" ca="1" si="1134"/>
        <v/>
      </c>
      <c r="AL702" s="158" t="str">
        <f t="shared" ca="1" si="1135"/>
        <v/>
      </c>
      <c r="AM702" s="159" t="str">
        <f t="shared" ca="1" si="1136"/>
        <v/>
      </c>
      <c r="AN702" s="160" t="str">
        <f t="shared" ca="1" si="1079"/>
        <v/>
      </c>
      <c r="AO702" s="161" t="str">
        <f t="shared" ca="1" si="1080"/>
        <v/>
      </c>
      <c r="AP702" s="162" t="str">
        <f t="shared" ca="1" si="1081"/>
        <v/>
      </c>
      <c r="AQ702" s="163" t="str">
        <f t="shared" ca="1" si="1082"/>
        <v/>
      </c>
      <c r="AR702" s="164" t="str">
        <f t="shared" ca="1" si="1083"/>
        <v/>
      </c>
      <c r="AS702" s="164" t="str">
        <f t="shared" ca="1" si="1084"/>
        <v/>
      </c>
      <c r="AT702" s="164" t="str">
        <f t="shared" ca="1" si="1085"/>
        <v/>
      </c>
      <c r="AU702" s="164" t="str">
        <f t="shared" ca="1" si="1086"/>
        <v/>
      </c>
      <c r="AV702" s="164" t="str">
        <f t="shared" ca="1" si="1087"/>
        <v/>
      </c>
      <c r="AW702" s="164" t="str">
        <f t="shared" ca="1" si="1088"/>
        <v/>
      </c>
      <c r="AX702" s="164" t="str">
        <f t="shared" ca="1" si="1089"/>
        <v/>
      </c>
      <c r="AY702" s="164" t="str">
        <f t="shared" ca="1" si="1090"/>
        <v/>
      </c>
      <c r="AZ702" s="164" t="str">
        <f t="shared" ca="1" si="1091"/>
        <v/>
      </c>
      <c r="BA702" s="165" t="str">
        <f t="shared" ca="1" si="1092"/>
        <v>nie</v>
      </c>
      <c r="BB702" s="166" t="str">
        <f t="shared" ca="1" si="1121"/>
        <v>-</v>
      </c>
      <c r="BC702" s="165" t="str">
        <f t="shared" ca="1" si="1105"/>
        <v>nie</v>
      </c>
    </row>
    <row r="703" spans="1:55" s="176" customFormat="1" ht="14.45" hidden="1" customHeight="1" x14ac:dyDescent="0.25">
      <c r="A703" s="493" t="s">
        <v>24</v>
      </c>
      <c r="B703" s="493" t="s">
        <v>26</v>
      </c>
      <c r="C703" s="494" t="s">
        <v>421</v>
      </c>
      <c r="D703" s="505" t="s">
        <v>414</v>
      </c>
      <c r="E703" s="497">
        <v>801</v>
      </c>
      <c r="F703" s="535">
        <v>80195</v>
      </c>
      <c r="G703" s="497">
        <v>6050</v>
      </c>
      <c r="H703" s="507">
        <v>2024</v>
      </c>
      <c r="I703" s="499" t="str">
        <f ca="1">IF(COUNTIF(OFFSET(I703,-1,-8),"*propon*")&gt;0,OFFSET(I703,4,0),IF(Y703&gt;0,"2033",IF(X703&gt;0,"2032",IF(W703&gt;0,"2031",IF(V703&gt;0,"2030",IF(U703&gt;0,"2029",IF(T703&gt;0,"2028",IF(S703&gt;0,"2027",IF(R703&gt;0,"2026",IF(Q703&gt;0,"2025",IF(P703&gt;0,"2024",IF(M703&gt;0,"2023",IF(L703&gt;0,"2022","")))))))))))))</f>
        <v>2026</v>
      </c>
      <c r="J703" s="168" t="s">
        <v>102</v>
      </c>
      <c r="K703" s="169">
        <f>SUM(N703:O703)</f>
        <v>10100000</v>
      </c>
      <c r="L703" s="170">
        <f t="shared" ref="L703:M703" si="1170">SUM(L704:L705)</f>
        <v>0</v>
      </c>
      <c r="M703" s="171">
        <f t="shared" si="1170"/>
        <v>0</v>
      </c>
      <c r="N703" s="172">
        <f>SUM(L703:M703)</f>
        <v>0</v>
      </c>
      <c r="O703" s="169">
        <f>SUM(P703:Y703)</f>
        <v>10100000</v>
      </c>
      <c r="P703" s="173">
        <f t="shared" ref="P703:Y703" si="1171">SUM(P704:P705)</f>
        <v>100000</v>
      </c>
      <c r="Q703" s="171">
        <f t="shared" si="1171"/>
        <v>5000000</v>
      </c>
      <c r="R703" s="174">
        <f t="shared" si="1171"/>
        <v>5000000</v>
      </c>
      <c r="S703" s="175">
        <f t="shared" si="1171"/>
        <v>0</v>
      </c>
      <c r="T703" s="171">
        <f t="shared" si="1171"/>
        <v>0</v>
      </c>
      <c r="U703" s="171">
        <f t="shared" si="1171"/>
        <v>0</v>
      </c>
      <c r="V703" s="171">
        <f t="shared" si="1171"/>
        <v>0</v>
      </c>
      <c r="W703" s="171">
        <f t="shared" si="1171"/>
        <v>0</v>
      </c>
      <c r="X703" s="171">
        <f t="shared" si="1171"/>
        <v>0</v>
      </c>
      <c r="Y703" s="174">
        <f t="shared" si="1171"/>
        <v>0</v>
      </c>
      <c r="Z703" s="149" t="str">
        <f t="shared" ca="1" si="1104"/>
        <v>nie</v>
      </c>
      <c r="AA703" s="366"/>
      <c r="AB703" s="150" t="str">
        <f t="shared" ca="1" si="1120"/>
        <v>-</v>
      </c>
      <c r="AC703" s="151" t="str">
        <f t="shared" ca="1" si="1072"/>
        <v>PO ZMIANIE</v>
      </c>
      <c r="AD703" s="152" t="str">
        <f t="shared" ca="1" si="1133"/>
        <v>PO ZMIANIE</v>
      </c>
      <c r="AE703" s="153" t="str">
        <f t="shared" ca="1" si="1073"/>
        <v>C/USN/V/P1/103</v>
      </c>
      <c r="AF703" s="154" t="str">
        <f t="shared" ca="1" si="1074"/>
        <v>Modernizacje terenów zewnętrznych przy placówkach oświatowych</v>
      </c>
      <c r="AG703" s="155">
        <f t="shared" ca="1" si="1075"/>
        <v>80195</v>
      </c>
      <c r="AH703" s="155" t="str">
        <f t="shared" ca="1" si="1076"/>
        <v>6050</v>
      </c>
      <c r="AI703" s="156" t="str">
        <f t="shared" ca="1" si="1077"/>
        <v>GMMW</v>
      </c>
      <c r="AJ703" s="157" t="str">
        <f t="shared" ca="1" si="1078"/>
        <v>WPF, w tym</v>
      </c>
      <c r="AK703" s="158" t="str">
        <f t="shared" ca="1" si="1134"/>
        <v>C/USN/V/P1/103 80195 6050 GMMW</v>
      </c>
      <c r="AL703" s="158" t="str">
        <f t="shared" ca="1" si="1135"/>
        <v>C/USN/V/P1/103 80195 6050 WPF, w tym</v>
      </c>
      <c r="AM703" s="159" t="str">
        <f t="shared" ca="1" si="1136"/>
        <v>C/USN/V/P1/103 80195 6050 GMMW WPF, w tym</v>
      </c>
      <c r="AN703" s="160">
        <f t="shared" ca="1" si="1079"/>
        <v>10100000</v>
      </c>
      <c r="AO703" s="161">
        <f t="shared" ca="1" si="1080"/>
        <v>0</v>
      </c>
      <c r="AP703" s="162">
        <f t="shared" ca="1" si="1081"/>
        <v>0</v>
      </c>
      <c r="AQ703" s="163">
        <f t="shared" ca="1" si="1082"/>
        <v>100000</v>
      </c>
      <c r="AR703" s="164">
        <f t="shared" ca="1" si="1083"/>
        <v>5000000</v>
      </c>
      <c r="AS703" s="164">
        <f t="shared" ca="1" si="1084"/>
        <v>5000000</v>
      </c>
      <c r="AT703" s="164">
        <f t="shared" ca="1" si="1085"/>
        <v>0</v>
      </c>
      <c r="AU703" s="164">
        <f t="shared" ca="1" si="1086"/>
        <v>0</v>
      </c>
      <c r="AV703" s="164">
        <f t="shared" ca="1" si="1087"/>
        <v>0</v>
      </c>
      <c r="AW703" s="164">
        <f t="shared" ca="1" si="1088"/>
        <v>0</v>
      </c>
      <c r="AX703" s="164">
        <f t="shared" ca="1" si="1089"/>
        <v>0</v>
      </c>
      <c r="AY703" s="164">
        <f t="shared" ca="1" si="1090"/>
        <v>0</v>
      </c>
      <c r="AZ703" s="164">
        <f t="shared" ca="1" si="1091"/>
        <v>0</v>
      </c>
      <c r="BA703" s="165" t="str">
        <f t="shared" ca="1" si="1092"/>
        <v>nie</v>
      </c>
      <c r="BB703" s="166" t="str">
        <f t="shared" ca="1" si="1121"/>
        <v>-</v>
      </c>
      <c r="BC703" s="165" t="str">
        <f t="shared" ca="1" si="1105"/>
        <v>nie</v>
      </c>
    </row>
    <row r="704" spans="1:55" s="167" customFormat="1" ht="14.45" hidden="1" customHeight="1" x14ac:dyDescent="0.25">
      <c r="A704" s="493"/>
      <c r="B704" s="493"/>
      <c r="C704" s="494"/>
      <c r="D704" s="506"/>
      <c r="E704" s="497"/>
      <c r="F704" s="536"/>
      <c r="G704" s="497"/>
      <c r="H704" s="498"/>
      <c r="I704" s="499"/>
      <c r="J704" s="177" t="s">
        <v>103</v>
      </c>
      <c r="K704" s="178">
        <f>SUM(N704:O704)</f>
        <v>10100000</v>
      </c>
      <c r="L704" s="179"/>
      <c r="M704" s="180"/>
      <c r="N704" s="172">
        <f>SUM(L704:M704)</f>
        <v>0</v>
      </c>
      <c r="O704" s="178">
        <f>SUM(P704:Y704)</f>
        <v>10100000</v>
      </c>
      <c r="P704" s="181">
        <f>100000</f>
        <v>100000</v>
      </c>
      <c r="Q704" s="180">
        <f>5000000</f>
        <v>5000000</v>
      </c>
      <c r="R704" s="182">
        <f>5000000</f>
        <v>5000000</v>
      </c>
      <c r="S704" s="183"/>
      <c r="T704" s="180"/>
      <c r="U704" s="180"/>
      <c r="V704" s="180"/>
      <c r="W704" s="180"/>
      <c r="X704" s="180"/>
      <c r="Y704" s="182"/>
      <c r="Z704" s="149" t="str">
        <f t="shared" ca="1" si="1104"/>
        <v>nie</v>
      </c>
      <c r="AA704" s="384"/>
      <c r="AB704" s="150" t="str">
        <f t="shared" ca="1" si="1120"/>
        <v>-</v>
      </c>
      <c r="AC704" s="151" t="str">
        <f t="shared" ca="1" si="1072"/>
        <v>PO ZMIANIE</v>
      </c>
      <c r="AD704" s="152" t="str">
        <f t="shared" ca="1" si="1133"/>
        <v>PO ZMIANIE</v>
      </c>
      <c r="AE704" s="153" t="str">
        <f t="shared" ca="1" si="1073"/>
        <v>C/USN/V/P1/103</v>
      </c>
      <c r="AF704" s="154" t="str">
        <f t="shared" ca="1" si="1074"/>
        <v>Modernizacje terenów zewnętrznych przy placówkach oświatowych</v>
      </c>
      <c r="AG704" s="155">
        <f t="shared" ca="1" si="1075"/>
        <v>80195</v>
      </c>
      <c r="AH704" s="155" t="str">
        <f t="shared" ca="1" si="1076"/>
        <v>6050</v>
      </c>
      <c r="AI704" s="156" t="str">
        <f t="shared" ca="1" si="1077"/>
        <v>GMMW</v>
      </c>
      <c r="AJ704" s="157" t="str">
        <f t="shared" ca="1" si="1078"/>
        <v>WPF/PM</v>
      </c>
      <c r="AK704" s="158" t="str">
        <f t="shared" ca="1" si="1134"/>
        <v>C/USN/V/P1/103 80195 6050 GMMW</v>
      </c>
      <c r="AL704" s="158" t="str">
        <f t="shared" ca="1" si="1135"/>
        <v>C/USN/V/P1/103 80195 6050 WPF/PM</v>
      </c>
      <c r="AM704" s="159" t="str">
        <f t="shared" ca="1" si="1136"/>
        <v>C/USN/V/P1/103 80195 6050 GMMW WPF/PM</v>
      </c>
      <c r="AN704" s="160">
        <f t="shared" ca="1" si="1079"/>
        <v>10100000</v>
      </c>
      <c r="AO704" s="161">
        <f t="shared" ca="1" si="1080"/>
        <v>0</v>
      </c>
      <c r="AP704" s="162">
        <f t="shared" ca="1" si="1081"/>
        <v>0</v>
      </c>
      <c r="AQ704" s="163">
        <f t="shared" ca="1" si="1082"/>
        <v>100000</v>
      </c>
      <c r="AR704" s="164">
        <f t="shared" ca="1" si="1083"/>
        <v>5000000</v>
      </c>
      <c r="AS704" s="164">
        <f t="shared" ca="1" si="1084"/>
        <v>5000000</v>
      </c>
      <c r="AT704" s="164">
        <f t="shared" ca="1" si="1085"/>
        <v>0</v>
      </c>
      <c r="AU704" s="164">
        <f t="shared" ca="1" si="1086"/>
        <v>0</v>
      </c>
      <c r="AV704" s="164">
        <f t="shared" ca="1" si="1087"/>
        <v>0</v>
      </c>
      <c r="AW704" s="164">
        <f t="shared" ca="1" si="1088"/>
        <v>0</v>
      </c>
      <c r="AX704" s="164">
        <f t="shared" ca="1" si="1089"/>
        <v>0</v>
      </c>
      <c r="AY704" s="164">
        <f t="shared" ca="1" si="1090"/>
        <v>0</v>
      </c>
      <c r="AZ704" s="164">
        <f t="shared" ca="1" si="1091"/>
        <v>0</v>
      </c>
      <c r="BA704" s="165" t="str">
        <f t="shared" ca="1" si="1092"/>
        <v>nie</v>
      </c>
      <c r="BB704" s="166" t="str">
        <f t="shared" ca="1" si="1121"/>
        <v>-</v>
      </c>
      <c r="BC704" s="165" t="str">
        <f t="shared" ca="1" si="1105"/>
        <v>nie</v>
      </c>
    </row>
    <row r="705" spans="1:55" s="167" customFormat="1" ht="14.45" hidden="1" customHeight="1" thickBot="1" x14ac:dyDescent="0.3">
      <c r="A705" s="493"/>
      <c r="B705" s="493"/>
      <c r="C705" s="494"/>
      <c r="D705" s="506"/>
      <c r="E705" s="497"/>
      <c r="F705" s="537"/>
      <c r="G705" s="497"/>
      <c r="H705" s="498"/>
      <c r="I705" s="499"/>
      <c r="J705" s="197" t="s">
        <v>104</v>
      </c>
      <c r="K705" s="198">
        <f>SUM(N705:O705)</f>
        <v>0</v>
      </c>
      <c r="L705" s="199"/>
      <c r="M705" s="200"/>
      <c r="N705" s="371">
        <f>SUM(L705:M705)</f>
        <v>0</v>
      </c>
      <c r="O705" s="198">
        <f>SUM(P705:Y705)</f>
        <v>0</v>
      </c>
      <c r="P705" s="201"/>
      <c r="Q705" s="200"/>
      <c r="R705" s="202"/>
      <c r="S705" s="203"/>
      <c r="T705" s="200"/>
      <c r="U705" s="200"/>
      <c r="V705" s="200"/>
      <c r="W705" s="200"/>
      <c r="X705" s="200"/>
      <c r="Y705" s="202"/>
      <c r="Z705" s="149" t="str">
        <f t="shared" ca="1" si="1104"/>
        <v>nie</v>
      </c>
      <c r="AA705" s="384"/>
      <c r="AB705" s="150" t="str">
        <f t="shared" ca="1" si="1120"/>
        <v>-</v>
      </c>
      <c r="AC705" s="151" t="str">
        <f t="shared" ca="1" si="1072"/>
        <v>PO ZMIANIE</v>
      </c>
      <c r="AD705" s="152" t="str">
        <f t="shared" ca="1" si="1133"/>
        <v>PO ZMIANIE</v>
      </c>
      <c r="AE705" s="153" t="str">
        <f t="shared" ca="1" si="1073"/>
        <v>C/USN/V/P1/103</v>
      </c>
      <c r="AF705" s="154" t="str">
        <f t="shared" ca="1" si="1074"/>
        <v>Modernizacje terenów zewnętrznych przy placówkach oświatowych</v>
      </c>
      <c r="AG705" s="155">
        <f t="shared" ca="1" si="1075"/>
        <v>80195</v>
      </c>
      <c r="AH705" s="155" t="str">
        <f t="shared" ca="1" si="1076"/>
        <v>6050</v>
      </c>
      <c r="AI705" s="156" t="str">
        <f t="shared" ca="1" si="1077"/>
        <v>GMMW</v>
      </c>
      <c r="AJ705" s="157" t="str">
        <f t="shared" ca="1" si="1078"/>
        <v>WPF/UM</v>
      </c>
      <c r="AK705" s="158" t="str">
        <f t="shared" ca="1" si="1134"/>
        <v>C/USN/V/P1/103 80195 6050 GMMW</v>
      </c>
      <c r="AL705" s="158" t="str">
        <f t="shared" ca="1" si="1135"/>
        <v>C/USN/V/P1/103 80195 6050 WPF/UM</v>
      </c>
      <c r="AM705" s="159" t="str">
        <f t="shared" ca="1" si="1136"/>
        <v>C/USN/V/P1/103 80195 6050 GMMW WPF/UM</v>
      </c>
      <c r="AN705" s="160">
        <f t="shared" ca="1" si="1079"/>
        <v>0</v>
      </c>
      <c r="AO705" s="161">
        <f t="shared" ca="1" si="1080"/>
        <v>0</v>
      </c>
      <c r="AP705" s="162">
        <f t="shared" ca="1" si="1081"/>
        <v>0</v>
      </c>
      <c r="AQ705" s="163">
        <f t="shared" ca="1" si="1082"/>
        <v>0</v>
      </c>
      <c r="AR705" s="164">
        <f t="shared" ca="1" si="1083"/>
        <v>0</v>
      </c>
      <c r="AS705" s="164">
        <f t="shared" ca="1" si="1084"/>
        <v>0</v>
      </c>
      <c r="AT705" s="164">
        <f t="shared" ca="1" si="1085"/>
        <v>0</v>
      </c>
      <c r="AU705" s="164">
        <f t="shared" ca="1" si="1086"/>
        <v>0</v>
      </c>
      <c r="AV705" s="164">
        <f t="shared" ca="1" si="1087"/>
        <v>0</v>
      </c>
      <c r="AW705" s="164">
        <f t="shared" ca="1" si="1088"/>
        <v>0</v>
      </c>
      <c r="AX705" s="164">
        <f t="shared" ca="1" si="1089"/>
        <v>0</v>
      </c>
      <c r="AY705" s="164">
        <f t="shared" ca="1" si="1090"/>
        <v>0</v>
      </c>
      <c r="AZ705" s="164">
        <f t="shared" ca="1" si="1091"/>
        <v>0</v>
      </c>
      <c r="BA705" s="165" t="str">
        <f t="shared" ca="1" si="1092"/>
        <v>nie</v>
      </c>
      <c r="BB705" s="166" t="str">
        <f t="shared" ca="1" si="1121"/>
        <v>-</v>
      </c>
      <c r="BC705" s="165" t="str">
        <f t="shared" ca="1" si="1105"/>
        <v>nie</v>
      </c>
    </row>
    <row r="706" spans="1:55" ht="14.45" customHeight="1" x14ac:dyDescent="0.25">
      <c r="A706" s="143" t="s">
        <v>91</v>
      </c>
      <c r="B706" s="144"/>
      <c r="C706" s="145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6"/>
      <c r="S706" s="147"/>
      <c r="T706" s="147"/>
      <c r="U706" s="147"/>
      <c r="V706" s="147"/>
      <c r="W706" s="147"/>
      <c r="X706" s="147"/>
      <c r="Y706" s="148"/>
      <c r="Z706" s="149" t="str">
        <f t="shared" ca="1" si="1104"/>
        <v>tak</v>
      </c>
      <c r="AA706" s="366"/>
      <c r="AB706" s="150" t="str">
        <f t="shared" ca="1" si="1120"/>
        <v>-</v>
      </c>
      <c r="AC706" s="151" t="str">
        <f t="shared" ref="AC706:AC729" ca="1" si="1172">IF(OR(A706="",COUNTIF(A706,"*12.000*")&gt;0),OFFSET(AC706,-1,0),A706)</f>
        <v>PRZED ZMIANĄ</v>
      </c>
      <c r="AD706" s="152" t="str">
        <f t="shared" ca="1" si="1133"/>
        <v/>
      </c>
      <c r="AE706" s="153" t="str">
        <f t="shared" ref="AE706:AE729" ca="1" si="1173">IF(COUNTIF(A706,"*bilans*")&gt;0,"Bilans zmian",IF(COUNTIF(A706,"*zmi*")&gt;0,"",IF(COUNTIF(A706:C706,"")=0,C706,IF(AND(COUNTIF(C706,"")=1,COUNTIF(OFFSET(A706,-1,0),"*przed*")=1,COUNTIF(OFFSET(AE706,4,0),"")=0),OFFSET(AE706,4,0),IF(AND(COUNTIF(A706:B706,"")=0,COUNTIF(OFFSET(A706,-1,0),"*zmi*")=1),"nowe:"&amp;" "&amp;AF706,OFFSET(AE706,-1,0))))))</f>
        <v/>
      </c>
      <c r="AF706" s="154" t="str">
        <f t="shared" ref="AF706:AF729" ca="1" si="1174">IF(COUNTIF(A706,"*zmi*")&gt;0,"",IF(COUNTIF(A706:C706,"")=0,D706,IF(AND(COUNTIF(C706,"")=1,COUNTIF(OFFSET(A706,-1,0),"*przed*")=1),OFFSET(AF706,4,0),IF(AND(COUNTIF(A706:B706,"")=0,COUNTIF(OFFSET(A706,-1,0),"*zmi*")=1),D706,OFFSET(AF706,-1,0)))))</f>
        <v/>
      </c>
      <c r="AG706" s="155" t="str">
        <f t="shared" ref="AG706:AG729" ca="1" si="1175">IF(COUNTIF($A706,"*zmi*")&gt;0,"",IF(COUNTIF($A706:$C706,"")=0,F706,IF(AND(COUNTIF($C706,"")=1,COUNTIF(OFFSET($A706,-1,0),"*przed*")=1),OFFSET(AG706,4,0),IF(AND(COUNTIF($A706:$B706,"")=0,COUNTIF(OFFSET($A706,-1,0),"*zmi*")=1),F706,OFFSET(AG706,-1,0)))))</f>
        <v/>
      </c>
      <c r="AH706" s="155" t="str">
        <f t="shared" ref="AH706:AH729" ca="1" si="1176">IF(COUNTIF($A706,"*zmi*")&gt;0,"",IF(COUNTIF($A706:$C706,"")=0,LEFT(G706,4),IF(AND(COUNTIF($C706,"")=1,COUNTIF(OFFSET($A706,-1,0),"*przed*")=1),OFFSET(AH706,4,0),IF(AND(COUNTIF($A706:$B706,"")=0,COUNTIF(OFFSET($A706,-1,0),"*zmi*")=1),LEFT(G706,4),OFFSET(AH706,-1,0)))))</f>
        <v/>
      </c>
      <c r="AI706" s="156" t="str">
        <f t="shared" ref="AI706:AI729" ca="1" si="1177">IF(COUNTIF($A706,"*zmi*")&gt;0,"",IF(COUNTIF($A706:$C706,"")=0,B706,IF(AND(COUNTIF($C706,"")=1,COUNTIF(OFFSET($A706,-1,0),"*przed*")=1),OFFSET(AI706,4,0),IF(AND(COUNTIF($A706:$B706,"")=0,COUNTIF(OFFSET($A706,-1,0),"*zmi*")=1),B706,OFFSET(AI706,-1,0)))))</f>
        <v/>
      </c>
      <c r="AJ706" s="157" t="str">
        <f t="shared" ref="AJ706:AJ729" ca="1" si="1178">IF(AH706="","",IF(COUNTIF(A706,"*zmi*")&gt;0,"",SUBSTITUTE(SUBSTITUTE(J706,";",""),":","")))</f>
        <v/>
      </c>
      <c r="AK706" s="158" t="str">
        <f t="shared" ca="1" si="1134"/>
        <v/>
      </c>
      <c r="AL706" s="158" t="str">
        <f t="shared" ca="1" si="1135"/>
        <v/>
      </c>
      <c r="AM706" s="159" t="str">
        <f t="shared" ca="1" si="1136"/>
        <v/>
      </c>
      <c r="AN706" s="160" t="str">
        <f t="shared" ref="AN706:AN729" ca="1" si="1179">IF(COUNTIF($AE706,"*bilans*")&gt;0,K706,IF(OR(COUNTIF($A706,"*zmi*")&gt;0,$AI706=""),"",K706))</f>
        <v/>
      </c>
      <c r="AO706" s="161" t="str">
        <f t="shared" ref="AO706:AO729" ca="1" si="1180">IF(COUNTIF($AE706,"*bilans*")&gt;0,L706,IF(OR(COUNTIF($A706,"*zmi*")&gt;0,$AI706=""),"",L706))</f>
        <v/>
      </c>
      <c r="AP706" s="162" t="str">
        <f t="shared" ref="AP706:AP729" ca="1" si="1181">IF(COUNTIF($AE706,"*bilans*")&gt;0,M706,IF(OR(COUNTIF($A706,"*zmi*")&gt;0,$AI706=""),"",M706))</f>
        <v/>
      </c>
      <c r="AQ706" s="163" t="str">
        <f t="shared" ref="AQ706:AQ729" ca="1" si="1182">IF(COUNTIF($AE706,"*bilans*")&gt;0,P706,IF(OR(COUNTIF($A706,"*zmi*")&gt;0,$AI706=""),"",P706))</f>
        <v/>
      </c>
      <c r="AR706" s="164" t="str">
        <f t="shared" ref="AR706:AR729" ca="1" si="1183">IF(COUNTIF($AE706,"*bilans*")&gt;0,Q706,IF(OR(COUNTIF($A706,"*zmi*")&gt;0,$AI706=""),"",Q706))</f>
        <v/>
      </c>
      <c r="AS706" s="164" t="str">
        <f t="shared" ref="AS706:AS729" ca="1" si="1184">IF(COUNTIF($AE706,"*bilans*")&gt;0,R706,IF(OR(COUNTIF($A706,"*zmi*")&gt;0,$AI706=""),"",R706))</f>
        <v/>
      </c>
      <c r="AT706" s="164" t="str">
        <f t="shared" ref="AT706:AT729" ca="1" si="1185">IF(COUNTIF($AE706,"*bilans*")&gt;0,S706,IF(OR(COUNTIF($A706,"*zmi*")&gt;0,$AI706=""),"",S706))</f>
        <v/>
      </c>
      <c r="AU706" s="164" t="str">
        <f t="shared" ref="AU706:AU729" ca="1" si="1186">IF(COUNTIF($AE706,"*bilans*")&gt;0,T706,IF(OR(COUNTIF($A706,"*zmi*")&gt;0,$AI706=""),"",T706))</f>
        <v/>
      </c>
      <c r="AV706" s="164" t="str">
        <f t="shared" ref="AV706:AV729" ca="1" si="1187">IF(COUNTIF($AE706,"*bilans*")&gt;0,U706,IF(OR(COUNTIF($A706,"*zmi*")&gt;0,$AI706=""),"",U706))</f>
        <v/>
      </c>
      <c r="AW706" s="164" t="str">
        <f t="shared" ref="AW706:AW729" ca="1" si="1188">IF(COUNTIF($AE706,"*bilans*")&gt;0,V706,IF(OR(COUNTIF($A706,"*zmi*")&gt;0,$AI706=""),"",V706))</f>
        <v/>
      </c>
      <c r="AX706" s="164" t="str">
        <f t="shared" ref="AX706:AX729" ca="1" si="1189">IF(COUNTIF($AE706,"*bilans*")&gt;0,W706,IF(OR(COUNTIF($A706,"*zmi*")&gt;0,$AI706=""),"",W706))</f>
        <v/>
      </c>
      <c r="AY706" s="164" t="str">
        <f t="shared" ref="AY706:AY729" ca="1" si="1190">IF(COUNTIF($AE706,"*bilans*")&gt;0,X706,IF(OR(COUNTIF($A706,"*zmi*")&gt;0,$AI706=""),"",X706))</f>
        <v/>
      </c>
      <c r="AZ706" s="164" t="str">
        <f t="shared" ref="AZ706:AZ729" ca="1" si="1191">IF(COUNTIF($AE706,"*bilans*")&gt;0,Y706,IF(OR(COUNTIF($A706,"*zmi*")&gt;0,$AI706=""),"",Y706))</f>
        <v/>
      </c>
      <c r="BA706" s="165" t="str">
        <f t="shared" ref="BA706:BA729" ca="1" si="1192">Z706</f>
        <v>tak</v>
      </c>
      <c r="BB706" s="166" t="str">
        <f t="shared" ca="1" si="1121"/>
        <v>-</v>
      </c>
      <c r="BC706" s="165" t="str">
        <f t="shared" ca="1" si="1105"/>
        <v>nie</v>
      </c>
    </row>
    <row r="707" spans="1:55" ht="14.45" customHeight="1" x14ac:dyDescent="0.25">
      <c r="A707" s="493"/>
      <c r="B707" s="493"/>
      <c r="C707" s="494"/>
      <c r="D707" s="505"/>
      <c r="E707" s="497"/>
      <c r="F707" s="497"/>
      <c r="G707" s="497"/>
      <c r="H707" s="498"/>
      <c r="I707" s="499" t="str">
        <f ca="1">IF(COUNTIF(OFFSET(I707,-1,-8),"*propon*")&gt;0,OFFSET(I707,4,0),IF(Y707&gt;0,"2033",IF(X707&gt;0,"2032",IF(W707&gt;0,"2031",IF(V707&gt;0,"2030",IF(U707&gt;0,"2029",IF(T707&gt;0,"2028",IF(S707&gt;0,"2027",IF(R707&gt;0,"2026",IF(Q707&gt;0,"2025",IF(P707&gt;0,"2024",IF(M707&gt;0,"2023",IF(L707&gt;0,"2022","")))))))))))))</f>
        <v/>
      </c>
      <c r="J707" s="168" t="s">
        <v>94</v>
      </c>
      <c r="K707" s="169">
        <f>SUM(N707:O707)</f>
        <v>0</v>
      </c>
      <c r="L707" s="170">
        <f t="shared" ref="L707:M707" si="1193">SUM(L708:L709)</f>
        <v>0</v>
      </c>
      <c r="M707" s="171">
        <f t="shared" si="1193"/>
        <v>0</v>
      </c>
      <c r="N707" s="172">
        <f>SUM(L707:M707)</f>
        <v>0</v>
      </c>
      <c r="O707" s="169">
        <f>SUM(P707:Y707)</f>
        <v>0</v>
      </c>
      <c r="P707" s="173">
        <f t="shared" ref="P707:Y707" si="1194">SUM(P708:P709)</f>
        <v>0</v>
      </c>
      <c r="Q707" s="171">
        <f t="shared" si="1194"/>
        <v>0</v>
      </c>
      <c r="R707" s="174">
        <f t="shared" si="1194"/>
        <v>0</v>
      </c>
      <c r="S707" s="175">
        <f t="shared" si="1194"/>
        <v>0</v>
      </c>
      <c r="T707" s="171">
        <f t="shared" si="1194"/>
        <v>0</v>
      </c>
      <c r="U707" s="171">
        <f t="shared" si="1194"/>
        <v>0</v>
      </c>
      <c r="V707" s="171">
        <f t="shared" si="1194"/>
        <v>0</v>
      </c>
      <c r="W707" s="171">
        <f t="shared" si="1194"/>
        <v>0</v>
      </c>
      <c r="X707" s="171">
        <f t="shared" si="1194"/>
        <v>0</v>
      </c>
      <c r="Y707" s="174">
        <f t="shared" si="1194"/>
        <v>0</v>
      </c>
      <c r="Z707" s="149" t="str">
        <f t="shared" ca="1" si="1104"/>
        <v>tak</v>
      </c>
      <c r="AA707" s="366"/>
      <c r="AB707" s="150" t="str">
        <f t="shared" ca="1" si="1120"/>
        <v>-</v>
      </c>
      <c r="AC707" s="151" t="str">
        <f t="shared" ca="1" si="1172"/>
        <v>PRZED ZMIANĄ</v>
      </c>
      <c r="AD707" s="152" t="str">
        <f t="shared" ca="1" si="1133"/>
        <v>PRZED ZMIANĄ</v>
      </c>
      <c r="AE707" s="153" t="str">
        <f t="shared" ca="1" si="1173"/>
        <v>C/USN/V/P1/nowy 1</v>
      </c>
      <c r="AF707" s="154" t="str">
        <f t="shared" ca="1" si="1174"/>
        <v>Modernizacja Szkoły Podstawowej nr 323 przy ul. Hirszfelda 11</v>
      </c>
      <c r="AG707" s="155">
        <f t="shared" ca="1" si="1175"/>
        <v>80101</v>
      </c>
      <c r="AH707" s="155" t="str">
        <f t="shared" ca="1" si="1176"/>
        <v>6050</v>
      </c>
      <c r="AI707" s="156" t="str">
        <f t="shared" ca="1" si="1177"/>
        <v>GMMW</v>
      </c>
      <c r="AJ707" s="157" t="str">
        <f t="shared" ca="1" si="1178"/>
        <v>WPF, w tym</v>
      </c>
      <c r="AK707" s="158" t="str">
        <f t="shared" ca="1" si="1134"/>
        <v>C/USN/V/P1/nowy 1 80101 6050 GMMW</v>
      </c>
      <c r="AL707" s="158" t="str">
        <f t="shared" ca="1" si="1135"/>
        <v>C/USN/V/P1/nowy 1 80101 6050 WPF, w tym</v>
      </c>
      <c r="AM707" s="159" t="str">
        <f t="shared" ca="1" si="1136"/>
        <v>C/USN/V/P1/nowy 1 80101 6050 GMMW WPF, w tym</v>
      </c>
      <c r="AN707" s="160">
        <f t="shared" ca="1" si="1179"/>
        <v>0</v>
      </c>
      <c r="AO707" s="161">
        <f t="shared" ca="1" si="1180"/>
        <v>0</v>
      </c>
      <c r="AP707" s="162">
        <f t="shared" ca="1" si="1181"/>
        <v>0</v>
      </c>
      <c r="AQ707" s="163">
        <f t="shared" ca="1" si="1182"/>
        <v>0</v>
      </c>
      <c r="AR707" s="164">
        <f t="shared" ca="1" si="1183"/>
        <v>0</v>
      </c>
      <c r="AS707" s="164">
        <f t="shared" ca="1" si="1184"/>
        <v>0</v>
      </c>
      <c r="AT707" s="164">
        <f t="shared" ca="1" si="1185"/>
        <v>0</v>
      </c>
      <c r="AU707" s="164">
        <f t="shared" ca="1" si="1186"/>
        <v>0</v>
      </c>
      <c r="AV707" s="164">
        <f t="shared" ca="1" si="1187"/>
        <v>0</v>
      </c>
      <c r="AW707" s="164">
        <f t="shared" ca="1" si="1188"/>
        <v>0</v>
      </c>
      <c r="AX707" s="164">
        <f t="shared" ca="1" si="1189"/>
        <v>0</v>
      </c>
      <c r="AY707" s="164">
        <f t="shared" ca="1" si="1190"/>
        <v>0</v>
      </c>
      <c r="AZ707" s="164">
        <f t="shared" ca="1" si="1191"/>
        <v>0</v>
      </c>
      <c r="BA707" s="165" t="str">
        <f t="shared" ca="1" si="1192"/>
        <v>tak</v>
      </c>
      <c r="BB707" s="166" t="str">
        <f t="shared" ca="1" si="1121"/>
        <v>-</v>
      </c>
      <c r="BC707" s="165" t="str">
        <f t="shared" ca="1" si="1105"/>
        <v>tak</v>
      </c>
    </row>
    <row r="708" spans="1:55" ht="14.45" customHeight="1" x14ac:dyDescent="0.25">
      <c r="A708" s="493"/>
      <c r="B708" s="493"/>
      <c r="C708" s="494"/>
      <c r="D708" s="506"/>
      <c r="E708" s="497"/>
      <c r="F708" s="497"/>
      <c r="G708" s="497"/>
      <c r="H708" s="498"/>
      <c r="I708" s="499"/>
      <c r="J708" s="177" t="s">
        <v>95</v>
      </c>
      <c r="K708" s="178">
        <f>SUM(N708:O708)</f>
        <v>0</v>
      </c>
      <c r="L708" s="179"/>
      <c r="M708" s="180"/>
      <c r="N708" s="172">
        <f>SUM(L708:M708)</f>
        <v>0</v>
      </c>
      <c r="O708" s="178">
        <f>SUM(P708:Y708)</f>
        <v>0</v>
      </c>
      <c r="P708" s="181"/>
      <c r="Q708" s="180"/>
      <c r="R708" s="182"/>
      <c r="S708" s="183"/>
      <c r="T708" s="180"/>
      <c r="U708" s="180"/>
      <c r="V708" s="180"/>
      <c r="W708" s="180"/>
      <c r="X708" s="180"/>
      <c r="Y708" s="182"/>
      <c r="Z708" s="149" t="str">
        <f t="shared" ca="1" si="1104"/>
        <v>tak</v>
      </c>
      <c r="AA708" s="366"/>
      <c r="AB708" s="150" t="str">
        <f t="shared" ca="1" si="1120"/>
        <v>-</v>
      </c>
      <c r="AC708" s="151" t="str">
        <f t="shared" ca="1" si="1172"/>
        <v>PRZED ZMIANĄ</v>
      </c>
      <c r="AD708" s="152" t="str">
        <f t="shared" ca="1" si="1133"/>
        <v>PRZED ZMIANĄ</v>
      </c>
      <c r="AE708" s="153" t="str">
        <f t="shared" ca="1" si="1173"/>
        <v>C/USN/V/P1/nowy 1</v>
      </c>
      <c r="AF708" s="154" t="str">
        <f t="shared" ca="1" si="1174"/>
        <v>Modernizacja Szkoły Podstawowej nr 323 przy ul. Hirszfelda 11</v>
      </c>
      <c r="AG708" s="155">
        <f t="shared" ca="1" si="1175"/>
        <v>80101</v>
      </c>
      <c r="AH708" s="155" t="str">
        <f t="shared" ca="1" si="1176"/>
        <v>6050</v>
      </c>
      <c r="AI708" s="156" t="str">
        <f t="shared" ca="1" si="1177"/>
        <v>GMMW</v>
      </c>
      <c r="AJ708" s="157" t="str">
        <f t="shared" ca="1" si="1178"/>
        <v>WPF/PM</v>
      </c>
      <c r="AK708" s="158" t="str">
        <f t="shared" ca="1" si="1134"/>
        <v>C/USN/V/P1/nowy 1 80101 6050 GMMW</v>
      </c>
      <c r="AL708" s="158" t="str">
        <f t="shared" ca="1" si="1135"/>
        <v>C/USN/V/P1/nowy 1 80101 6050 WPF/PM</v>
      </c>
      <c r="AM708" s="159" t="str">
        <f t="shared" ca="1" si="1136"/>
        <v>C/USN/V/P1/nowy 1 80101 6050 GMMW WPF/PM</v>
      </c>
      <c r="AN708" s="160">
        <f t="shared" ca="1" si="1179"/>
        <v>0</v>
      </c>
      <c r="AO708" s="161">
        <f t="shared" ca="1" si="1180"/>
        <v>0</v>
      </c>
      <c r="AP708" s="162">
        <f t="shared" ca="1" si="1181"/>
        <v>0</v>
      </c>
      <c r="AQ708" s="163">
        <f t="shared" ca="1" si="1182"/>
        <v>0</v>
      </c>
      <c r="AR708" s="164">
        <f t="shared" ca="1" si="1183"/>
        <v>0</v>
      </c>
      <c r="AS708" s="164">
        <f t="shared" ca="1" si="1184"/>
        <v>0</v>
      </c>
      <c r="AT708" s="164">
        <f t="shared" ca="1" si="1185"/>
        <v>0</v>
      </c>
      <c r="AU708" s="164">
        <f t="shared" ca="1" si="1186"/>
        <v>0</v>
      </c>
      <c r="AV708" s="164">
        <f t="shared" ca="1" si="1187"/>
        <v>0</v>
      </c>
      <c r="AW708" s="164">
        <f t="shared" ca="1" si="1188"/>
        <v>0</v>
      </c>
      <c r="AX708" s="164">
        <f t="shared" ca="1" si="1189"/>
        <v>0</v>
      </c>
      <c r="AY708" s="164">
        <f t="shared" ca="1" si="1190"/>
        <v>0</v>
      </c>
      <c r="AZ708" s="164">
        <f t="shared" ca="1" si="1191"/>
        <v>0</v>
      </c>
      <c r="BA708" s="165" t="str">
        <f t="shared" ca="1" si="1192"/>
        <v>tak</v>
      </c>
      <c r="BB708" s="166" t="str">
        <f t="shared" ca="1" si="1121"/>
        <v>-</v>
      </c>
      <c r="BC708" s="165" t="str">
        <f t="shared" ca="1" si="1105"/>
        <v>tak</v>
      </c>
    </row>
    <row r="709" spans="1:55" ht="14.45" customHeight="1" x14ac:dyDescent="0.25">
      <c r="A709" s="493"/>
      <c r="B709" s="493"/>
      <c r="C709" s="494"/>
      <c r="D709" s="506"/>
      <c r="E709" s="497"/>
      <c r="F709" s="497"/>
      <c r="G709" s="497"/>
      <c r="H709" s="498"/>
      <c r="I709" s="499"/>
      <c r="J709" s="177" t="s">
        <v>96</v>
      </c>
      <c r="K709" s="178">
        <f>SUM(N709:O709)</f>
        <v>0</v>
      </c>
      <c r="L709" s="184"/>
      <c r="M709" s="180"/>
      <c r="N709" s="172">
        <f>SUM(L709:M709)</f>
        <v>0</v>
      </c>
      <c r="O709" s="178">
        <f>SUM(P709:Y709)</f>
        <v>0</v>
      </c>
      <c r="P709" s="181"/>
      <c r="Q709" s="180"/>
      <c r="R709" s="182"/>
      <c r="S709" s="183"/>
      <c r="T709" s="180"/>
      <c r="U709" s="180"/>
      <c r="V709" s="180"/>
      <c r="W709" s="180"/>
      <c r="X709" s="180"/>
      <c r="Y709" s="182"/>
      <c r="Z709" s="149" t="str">
        <f t="shared" ca="1" si="1104"/>
        <v>tak</v>
      </c>
      <c r="AA709" s="366"/>
      <c r="AB709" s="150" t="str">
        <f t="shared" ca="1" si="1120"/>
        <v>-</v>
      </c>
      <c r="AC709" s="151" t="str">
        <f t="shared" ca="1" si="1172"/>
        <v>PRZED ZMIANĄ</v>
      </c>
      <c r="AD709" s="152" t="str">
        <f t="shared" ca="1" si="1133"/>
        <v>PRZED ZMIANĄ</v>
      </c>
      <c r="AE709" s="153" t="str">
        <f t="shared" ca="1" si="1173"/>
        <v>C/USN/V/P1/nowy 1</v>
      </c>
      <c r="AF709" s="154" t="str">
        <f t="shared" ca="1" si="1174"/>
        <v>Modernizacja Szkoły Podstawowej nr 323 przy ul. Hirszfelda 11</v>
      </c>
      <c r="AG709" s="155">
        <f t="shared" ca="1" si="1175"/>
        <v>80101</v>
      </c>
      <c r="AH709" s="155" t="str">
        <f t="shared" ca="1" si="1176"/>
        <v>6050</v>
      </c>
      <c r="AI709" s="156" t="str">
        <f t="shared" ca="1" si="1177"/>
        <v>GMMW</v>
      </c>
      <c r="AJ709" s="157" t="str">
        <f t="shared" ca="1" si="1178"/>
        <v>WPF/UM</v>
      </c>
      <c r="AK709" s="158" t="str">
        <f t="shared" ca="1" si="1134"/>
        <v>C/USN/V/P1/nowy 1 80101 6050 GMMW</v>
      </c>
      <c r="AL709" s="158" t="str">
        <f t="shared" ca="1" si="1135"/>
        <v>C/USN/V/P1/nowy 1 80101 6050 WPF/UM</v>
      </c>
      <c r="AM709" s="159" t="str">
        <f t="shared" ca="1" si="1136"/>
        <v>C/USN/V/P1/nowy 1 80101 6050 GMMW WPF/UM</v>
      </c>
      <c r="AN709" s="160">
        <f t="shared" ca="1" si="1179"/>
        <v>0</v>
      </c>
      <c r="AO709" s="161">
        <f t="shared" ca="1" si="1180"/>
        <v>0</v>
      </c>
      <c r="AP709" s="162">
        <f t="shared" ca="1" si="1181"/>
        <v>0</v>
      </c>
      <c r="AQ709" s="163">
        <f t="shared" ca="1" si="1182"/>
        <v>0</v>
      </c>
      <c r="AR709" s="164">
        <f t="shared" ca="1" si="1183"/>
        <v>0</v>
      </c>
      <c r="AS709" s="164">
        <f t="shared" ca="1" si="1184"/>
        <v>0</v>
      </c>
      <c r="AT709" s="164">
        <f t="shared" ca="1" si="1185"/>
        <v>0</v>
      </c>
      <c r="AU709" s="164">
        <f t="shared" ca="1" si="1186"/>
        <v>0</v>
      </c>
      <c r="AV709" s="164">
        <f t="shared" ca="1" si="1187"/>
        <v>0</v>
      </c>
      <c r="AW709" s="164">
        <f t="shared" ca="1" si="1188"/>
        <v>0</v>
      </c>
      <c r="AX709" s="164">
        <f t="shared" ca="1" si="1189"/>
        <v>0</v>
      </c>
      <c r="AY709" s="164">
        <f t="shared" ca="1" si="1190"/>
        <v>0</v>
      </c>
      <c r="AZ709" s="164">
        <f t="shared" ca="1" si="1191"/>
        <v>0</v>
      </c>
      <c r="BA709" s="165" t="str">
        <f t="shared" ca="1" si="1192"/>
        <v>tak</v>
      </c>
      <c r="BB709" s="166" t="str">
        <f t="shared" ca="1" si="1121"/>
        <v>-</v>
      </c>
      <c r="BC709" s="165" t="str">
        <f t="shared" ca="1" si="1105"/>
        <v>tak</v>
      </c>
    </row>
    <row r="710" spans="1:55" ht="14.45" customHeight="1" x14ac:dyDescent="0.25">
      <c r="A710" s="185" t="s">
        <v>97</v>
      </c>
      <c r="B710" s="186"/>
      <c r="C710" s="187"/>
      <c r="D710" s="186"/>
      <c r="E710" s="186"/>
      <c r="F710" s="186"/>
      <c r="G710" s="186"/>
      <c r="H710" s="186"/>
      <c r="I710" s="186"/>
      <c r="J710" s="186"/>
      <c r="K710" s="186"/>
      <c r="L710" s="186"/>
      <c r="M710" s="186"/>
      <c r="N710" s="186"/>
      <c r="O710" s="186"/>
      <c r="P710" s="186"/>
      <c r="Q710" s="186"/>
      <c r="R710" s="188"/>
      <c r="S710" s="189"/>
      <c r="T710" s="189"/>
      <c r="U710" s="189"/>
      <c r="V710" s="189"/>
      <c r="W710" s="189"/>
      <c r="X710" s="189"/>
      <c r="Y710" s="190"/>
      <c r="Z710" s="149" t="str">
        <f t="shared" ca="1" si="1104"/>
        <v>tak</v>
      </c>
      <c r="AA710" s="366"/>
      <c r="AB710" s="150" t="str">
        <f t="shared" ca="1" si="1120"/>
        <v>-</v>
      </c>
      <c r="AC710" s="151" t="str">
        <f t="shared" ca="1" si="1172"/>
        <v>PROPONOWANA ZMIANA</v>
      </c>
      <c r="AD710" s="152" t="str">
        <f t="shared" ca="1" si="1133"/>
        <v/>
      </c>
      <c r="AE710" s="153" t="str">
        <f t="shared" ca="1" si="1173"/>
        <v/>
      </c>
      <c r="AF710" s="154" t="str">
        <f t="shared" ca="1" si="1174"/>
        <v/>
      </c>
      <c r="AG710" s="155" t="str">
        <f t="shared" ca="1" si="1175"/>
        <v/>
      </c>
      <c r="AH710" s="155" t="str">
        <f t="shared" ca="1" si="1176"/>
        <v/>
      </c>
      <c r="AI710" s="156" t="str">
        <f t="shared" ca="1" si="1177"/>
        <v/>
      </c>
      <c r="AJ710" s="157" t="str">
        <f t="shared" ca="1" si="1178"/>
        <v/>
      </c>
      <c r="AK710" s="158" t="str">
        <f t="shared" ca="1" si="1134"/>
        <v/>
      </c>
      <c r="AL710" s="158" t="str">
        <f t="shared" ca="1" si="1135"/>
        <v/>
      </c>
      <c r="AM710" s="159" t="str">
        <f t="shared" ca="1" si="1136"/>
        <v/>
      </c>
      <c r="AN710" s="160" t="str">
        <f t="shared" ca="1" si="1179"/>
        <v/>
      </c>
      <c r="AO710" s="161" t="str">
        <f t="shared" ca="1" si="1180"/>
        <v/>
      </c>
      <c r="AP710" s="162" t="str">
        <f t="shared" ca="1" si="1181"/>
        <v/>
      </c>
      <c r="AQ710" s="163" t="str">
        <f t="shared" ca="1" si="1182"/>
        <v/>
      </c>
      <c r="AR710" s="164" t="str">
        <f t="shared" ca="1" si="1183"/>
        <v/>
      </c>
      <c r="AS710" s="164" t="str">
        <f t="shared" ca="1" si="1184"/>
        <v/>
      </c>
      <c r="AT710" s="164" t="str">
        <f t="shared" ca="1" si="1185"/>
        <v/>
      </c>
      <c r="AU710" s="164" t="str">
        <f t="shared" ca="1" si="1186"/>
        <v/>
      </c>
      <c r="AV710" s="164" t="str">
        <f t="shared" ca="1" si="1187"/>
        <v/>
      </c>
      <c r="AW710" s="164" t="str">
        <f t="shared" ca="1" si="1188"/>
        <v/>
      </c>
      <c r="AX710" s="164" t="str">
        <f t="shared" ca="1" si="1189"/>
        <v/>
      </c>
      <c r="AY710" s="164" t="str">
        <f t="shared" ca="1" si="1190"/>
        <v/>
      </c>
      <c r="AZ710" s="164" t="str">
        <f t="shared" ca="1" si="1191"/>
        <v/>
      </c>
      <c r="BA710" s="165" t="str">
        <f t="shared" ca="1" si="1192"/>
        <v>tak</v>
      </c>
      <c r="BB710" s="166" t="str">
        <f t="shared" ca="1" si="1121"/>
        <v>-</v>
      </c>
      <c r="BC710" s="165" t="str">
        <f t="shared" ca="1" si="1105"/>
        <v>nie</v>
      </c>
    </row>
    <row r="711" spans="1:55" ht="14.45" customHeight="1" x14ac:dyDescent="0.25">
      <c r="A711" s="493" t="s">
        <v>24</v>
      </c>
      <c r="B711" s="493" t="s">
        <v>26</v>
      </c>
      <c r="C711" s="494" t="s">
        <v>471</v>
      </c>
      <c r="D711" s="495" t="s">
        <v>470</v>
      </c>
      <c r="E711" s="497">
        <v>801</v>
      </c>
      <c r="F711" s="497">
        <v>80101</v>
      </c>
      <c r="G711" s="497">
        <v>6050</v>
      </c>
      <c r="H711" s="498" t="s">
        <v>472</v>
      </c>
      <c r="I711" s="499" t="str">
        <f ca="1">IF(COUNTIF(OFFSET(I711,-1,-8),"*propon*")&gt;0,OFFSET(I711,4,0),IF(Y711&gt;0,"2033",IF(X711&gt;0,"2032",IF(W711&gt;0,"2031",IF(V711&gt;0,"2030",IF(U711&gt;0,"2029",IF(T711&gt;0,"2028",IF(S711&gt;0,"2027",IF(R711&gt;0,"2026",IF(Q711&gt;0,"2025",IF(P711&gt;0,"2024",IF(M711&gt;0,"2023",IF(L711&gt;0,"2022","")))))))))))))</f>
        <v>2026</v>
      </c>
      <c r="J711" s="168" t="s">
        <v>98</v>
      </c>
      <c r="K711" s="169">
        <f>SUM(N711:O711)</f>
        <v>5398351</v>
      </c>
      <c r="L711" s="170">
        <f t="shared" ref="L711:M711" si="1195">SUM(L712:L713)</f>
        <v>0</v>
      </c>
      <c r="M711" s="171">
        <f t="shared" si="1195"/>
        <v>0</v>
      </c>
      <c r="N711" s="172">
        <f>SUM(L711:M711)</f>
        <v>0</v>
      </c>
      <c r="O711" s="169">
        <f>SUM(P711:Y711)</f>
        <v>5398351</v>
      </c>
      <c r="P711" s="173">
        <f t="shared" ref="P711:Y711" si="1196">SUM(P712:P713)</f>
        <v>100000</v>
      </c>
      <c r="Q711" s="171">
        <f t="shared" si="1196"/>
        <v>5198351</v>
      </c>
      <c r="R711" s="174">
        <f t="shared" si="1196"/>
        <v>100000</v>
      </c>
      <c r="S711" s="175">
        <f t="shared" si="1196"/>
        <v>0</v>
      </c>
      <c r="T711" s="171">
        <f t="shared" si="1196"/>
        <v>0</v>
      </c>
      <c r="U711" s="171">
        <f t="shared" si="1196"/>
        <v>0</v>
      </c>
      <c r="V711" s="171">
        <f t="shared" si="1196"/>
        <v>0</v>
      </c>
      <c r="W711" s="171">
        <f t="shared" si="1196"/>
        <v>0</v>
      </c>
      <c r="X711" s="171">
        <f t="shared" si="1196"/>
        <v>0</v>
      </c>
      <c r="Y711" s="174">
        <f t="shared" si="1196"/>
        <v>0</v>
      </c>
      <c r="Z711" s="149" t="str">
        <f t="shared" ca="1" si="1104"/>
        <v>tak</v>
      </c>
      <c r="AA711" s="366"/>
      <c r="AB711" s="150" t="str">
        <f t="shared" ca="1" si="1120"/>
        <v>C/USN/V/P1/nowy 1</v>
      </c>
      <c r="AC711" s="151" t="str">
        <f t="shared" ca="1" si="1172"/>
        <v>PROPONOWANA ZMIANA</v>
      </c>
      <c r="AD711" s="152" t="str">
        <f t="shared" ca="1" si="1133"/>
        <v>PROPONOWANA ZMIANA</v>
      </c>
      <c r="AE711" s="153" t="str">
        <f t="shared" ca="1" si="1173"/>
        <v>C/USN/V/P1/nowy 1</v>
      </c>
      <c r="AF711" s="154" t="str">
        <f t="shared" ca="1" si="1174"/>
        <v>Modernizacja Szkoły Podstawowej nr 323 przy ul. Hirszfelda 11</v>
      </c>
      <c r="AG711" s="155">
        <f t="shared" ca="1" si="1175"/>
        <v>80101</v>
      </c>
      <c r="AH711" s="155" t="str">
        <f t="shared" ca="1" si="1176"/>
        <v>6050</v>
      </c>
      <c r="AI711" s="156" t="str">
        <f t="shared" ca="1" si="1177"/>
        <v>GMMW</v>
      </c>
      <c r="AJ711" s="157" t="str">
        <f t="shared" ca="1" si="1178"/>
        <v>WPF, w tym</v>
      </c>
      <c r="AK711" s="158" t="str">
        <f t="shared" ca="1" si="1134"/>
        <v>C/USN/V/P1/nowy 1 80101 6050 GMMW</v>
      </c>
      <c r="AL711" s="158" t="str">
        <f t="shared" ca="1" si="1135"/>
        <v>C/USN/V/P1/nowy 1 80101 6050 WPF, w tym</v>
      </c>
      <c r="AM711" s="159" t="str">
        <f t="shared" ca="1" si="1136"/>
        <v>C/USN/V/P1/nowy 1 80101 6050 GMMW WPF, w tym</v>
      </c>
      <c r="AN711" s="160">
        <f t="shared" ca="1" si="1179"/>
        <v>5398351</v>
      </c>
      <c r="AO711" s="161">
        <f t="shared" ca="1" si="1180"/>
        <v>0</v>
      </c>
      <c r="AP711" s="162">
        <f t="shared" ca="1" si="1181"/>
        <v>0</v>
      </c>
      <c r="AQ711" s="163">
        <f t="shared" ca="1" si="1182"/>
        <v>100000</v>
      </c>
      <c r="AR711" s="164">
        <f t="shared" ca="1" si="1183"/>
        <v>5198351</v>
      </c>
      <c r="AS711" s="164">
        <f t="shared" ca="1" si="1184"/>
        <v>100000</v>
      </c>
      <c r="AT711" s="164">
        <f t="shared" ca="1" si="1185"/>
        <v>0</v>
      </c>
      <c r="AU711" s="164">
        <f t="shared" ca="1" si="1186"/>
        <v>0</v>
      </c>
      <c r="AV711" s="164">
        <f t="shared" ca="1" si="1187"/>
        <v>0</v>
      </c>
      <c r="AW711" s="164">
        <f t="shared" ca="1" si="1188"/>
        <v>0</v>
      </c>
      <c r="AX711" s="164">
        <f t="shared" ca="1" si="1189"/>
        <v>0</v>
      </c>
      <c r="AY711" s="164">
        <f t="shared" ca="1" si="1190"/>
        <v>0</v>
      </c>
      <c r="AZ711" s="164">
        <f t="shared" ca="1" si="1191"/>
        <v>0</v>
      </c>
      <c r="BA711" s="165" t="str">
        <f t="shared" ca="1" si="1192"/>
        <v>tak</v>
      </c>
      <c r="BB711" s="166" t="str">
        <f t="shared" ca="1" si="1121"/>
        <v>C/USN/V/P1/nowy 1 80101 6050 GMMW</v>
      </c>
      <c r="BC711" s="165" t="str">
        <f t="shared" ca="1" si="1105"/>
        <v>tak</v>
      </c>
    </row>
    <row r="712" spans="1:55" ht="14.45" customHeight="1" x14ac:dyDescent="0.25">
      <c r="A712" s="493"/>
      <c r="B712" s="493"/>
      <c r="C712" s="494"/>
      <c r="D712" s="496"/>
      <c r="E712" s="497"/>
      <c r="F712" s="497"/>
      <c r="G712" s="497"/>
      <c r="H712" s="498"/>
      <c r="I712" s="499"/>
      <c r="J712" s="177" t="s">
        <v>99</v>
      </c>
      <c r="K712" s="178">
        <f>SUM(N712:O712)</f>
        <v>5398351</v>
      </c>
      <c r="L712" s="179">
        <f t="shared" ref="L712:M712" si="1197">L716-L708</f>
        <v>0</v>
      </c>
      <c r="M712" s="180">
        <f t="shared" si="1197"/>
        <v>0</v>
      </c>
      <c r="N712" s="172">
        <f>SUM(L712:M712)</f>
        <v>0</v>
      </c>
      <c r="O712" s="178">
        <f>SUM(P712:Y712)</f>
        <v>5398351</v>
      </c>
      <c r="P712" s="181">
        <f t="shared" ref="P712:Y712" si="1198">P716-P708</f>
        <v>100000</v>
      </c>
      <c r="Q712" s="180">
        <f t="shared" si="1198"/>
        <v>5198351</v>
      </c>
      <c r="R712" s="182">
        <f t="shared" si="1198"/>
        <v>100000</v>
      </c>
      <c r="S712" s="183">
        <f t="shared" si="1198"/>
        <v>0</v>
      </c>
      <c r="T712" s="180">
        <f t="shared" si="1198"/>
        <v>0</v>
      </c>
      <c r="U712" s="180">
        <f t="shared" si="1198"/>
        <v>0</v>
      </c>
      <c r="V712" s="180">
        <f t="shared" si="1198"/>
        <v>0</v>
      </c>
      <c r="W712" s="180">
        <f t="shared" si="1198"/>
        <v>0</v>
      </c>
      <c r="X712" s="180">
        <f t="shared" si="1198"/>
        <v>0</v>
      </c>
      <c r="Y712" s="182">
        <f t="shared" si="1198"/>
        <v>0</v>
      </c>
      <c r="Z712" s="149" t="str">
        <f t="shared" ca="1" si="1104"/>
        <v>tak</v>
      </c>
      <c r="AA712" s="366"/>
      <c r="AB712" s="150" t="str">
        <f t="shared" ca="1" si="1120"/>
        <v>C/USN/V/P1/nowy 1</v>
      </c>
      <c r="AC712" s="151" t="str">
        <f t="shared" ca="1" si="1172"/>
        <v>PROPONOWANA ZMIANA</v>
      </c>
      <c r="AD712" s="152" t="str">
        <f t="shared" ca="1" si="1133"/>
        <v>PROPONOWANA ZMIANA</v>
      </c>
      <c r="AE712" s="153" t="str">
        <f t="shared" ca="1" si="1173"/>
        <v>C/USN/V/P1/nowy 1</v>
      </c>
      <c r="AF712" s="154" t="str">
        <f t="shared" ca="1" si="1174"/>
        <v>Modernizacja Szkoły Podstawowej nr 323 przy ul. Hirszfelda 11</v>
      </c>
      <c r="AG712" s="155">
        <f t="shared" ca="1" si="1175"/>
        <v>80101</v>
      </c>
      <c r="AH712" s="155" t="str">
        <f t="shared" ca="1" si="1176"/>
        <v>6050</v>
      </c>
      <c r="AI712" s="156" t="str">
        <f t="shared" ca="1" si="1177"/>
        <v>GMMW</v>
      </c>
      <c r="AJ712" s="157" t="str">
        <f t="shared" ca="1" si="1178"/>
        <v>WPF/PM</v>
      </c>
      <c r="AK712" s="158" t="str">
        <f t="shared" ca="1" si="1134"/>
        <v>C/USN/V/P1/nowy 1 80101 6050 GMMW</v>
      </c>
      <c r="AL712" s="158" t="str">
        <f t="shared" ca="1" si="1135"/>
        <v>C/USN/V/P1/nowy 1 80101 6050 WPF/PM</v>
      </c>
      <c r="AM712" s="159" t="str">
        <f t="shared" ca="1" si="1136"/>
        <v>C/USN/V/P1/nowy 1 80101 6050 GMMW WPF/PM</v>
      </c>
      <c r="AN712" s="160">
        <f t="shared" ca="1" si="1179"/>
        <v>5398351</v>
      </c>
      <c r="AO712" s="161">
        <f t="shared" ca="1" si="1180"/>
        <v>0</v>
      </c>
      <c r="AP712" s="162">
        <f t="shared" ca="1" si="1181"/>
        <v>0</v>
      </c>
      <c r="AQ712" s="163">
        <f t="shared" ca="1" si="1182"/>
        <v>100000</v>
      </c>
      <c r="AR712" s="164">
        <f t="shared" ca="1" si="1183"/>
        <v>5198351</v>
      </c>
      <c r="AS712" s="164">
        <f t="shared" ca="1" si="1184"/>
        <v>100000</v>
      </c>
      <c r="AT712" s="164">
        <f t="shared" ca="1" si="1185"/>
        <v>0</v>
      </c>
      <c r="AU712" s="164">
        <f t="shared" ca="1" si="1186"/>
        <v>0</v>
      </c>
      <c r="AV712" s="164">
        <f t="shared" ca="1" si="1187"/>
        <v>0</v>
      </c>
      <c r="AW712" s="164">
        <f t="shared" ca="1" si="1188"/>
        <v>0</v>
      </c>
      <c r="AX712" s="164">
        <f t="shared" ca="1" si="1189"/>
        <v>0</v>
      </c>
      <c r="AY712" s="164">
        <f t="shared" ca="1" si="1190"/>
        <v>0</v>
      </c>
      <c r="AZ712" s="164">
        <f t="shared" ca="1" si="1191"/>
        <v>0</v>
      </c>
      <c r="BA712" s="165" t="str">
        <f t="shared" ca="1" si="1192"/>
        <v>tak</v>
      </c>
      <c r="BB712" s="166" t="str">
        <f t="shared" ca="1" si="1121"/>
        <v>C/USN/V/P1/nowy 1 80101 6050 GMMW</v>
      </c>
      <c r="BC712" s="165" t="str">
        <f t="shared" ca="1" si="1105"/>
        <v>tak</v>
      </c>
    </row>
    <row r="713" spans="1:55" ht="14.45" customHeight="1" x14ac:dyDescent="0.25">
      <c r="A713" s="493"/>
      <c r="B713" s="493"/>
      <c r="C713" s="494"/>
      <c r="D713" s="496"/>
      <c r="E713" s="497"/>
      <c r="F713" s="497"/>
      <c r="G713" s="497"/>
      <c r="H713" s="498"/>
      <c r="I713" s="499"/>
      <c r="J713" s="177" t="s">
        <v>100</v>
      </c>
      <c r="K713" s="178">
        <f>SUM(N713:O713)</f>
        <v>0</v>
      </c>
      <c r="L713" s="184">
        <f t="shared" ref="L713:M713" si="1199">L717-L709</f>
        <v>0</v>
      </c>
      <c r="M713" s="180">
        <f t="shared" si="1199"/>
        <v>0</v>
      </c>
      <c r="N713" s="172">
        <f>SUM(L713:M713)</f>
        <v>0</v>
      </c>
      <c r="O713" s="178">
        <f>SUM(P713:Y713)</f>
        <v>0</v>
      </c>
      <c r="P713" s="181">
        <f t="shared" ref="P713:Y713" si="1200">P717-P709</f>
        <v>0</v>
      </c>
      <c r="Q713" s="180">
        <f t="shared" si="1200"/>
        <v>0</v>
      </c>
      <c r="R713" s="182">
        <f t="shared" si="1200"/>
        <v>0</v>
      </c>
      <c r="S713" s="183">
        <f t="shared" si="1200"/>
        <v>0</v>
      </c>
      <c r="T713" s="180">
        <f t="shared" si="1200"/>
        <v>0</v>
      </c>
      <c r="U713" s="180">
        <f t="shared" si="1200"/>
        <v>0</v>
      </c>
      <c r="V713" s="180">
        <f t="shared" si="1200"/>
        <v>0</v>
      </c>
      <c r="W713" s="180">
        <f t="shared" si="1200"/>
        <v>0</v>
      </c>
      <c r="X713" s="180">
        <f t="shared" si="1200"/>
        <v>0</v>
      </c>
      <c r="Y713" s="182">
        <f t="shared" si="1200"/>
        <v>0</v>
      </c>
      <c r="Z713" s="149" t="str">
        <f t="shared" ca="1" si="1104"/>
        <v>tak</v>
      </c>
      <c r="AA713" s="366"/>
      <c r="AB713" s="150" t="str">
        <f t="shared" ca="1" si="1120"/>
        <v>-</v>
      </c>
      <c r="AC713" s="151" t="str">
        <f t="shared" ca="1" si="1172"/>
        <v>PROPONOWANA ZMIANA</v>
      </c>
      <c r="AD713" s="152" t="str">
        <f t="shared" ca="1" si="1133"/>
        <v>PROPONOWANA ZMIANA</v>
      </c>
      <c r="AE713" s="153" t="str">
        <f t="shared" ca="1" si="1173"/>
        <v>C/USN/V/P1/nowy 1</v>
      </c>
      <c r="AF713" s="154" t="str">
        <f t="shared" ca="1" si="1174"/>
        <v>Modernizacja Szkoły Podstawowej nr 323 przy ul. Hirszfelda 11</v>
      </c>
      <c r="AG713" s="155">
        <f t="shared" ca="1" si="1175"/>
        <v>80101</v>
      </c>
      <c r="AH713" s="155" t="str">
        <f t="shared" ca="1" si="1176"/>
        <v>6050</v>
      </c>
      <c r="AI713" s="156" t="str">
        <f t="shared" ca="1" si="1177"/>
        <v>GMMW</v>
      </c>
      <c r="AJ713" s="157" t="str">
        <f t="shared" ca="1" si="1178"/>
        <v>WPF/UM</v>
      </c>
      <c r="AK713" s="158" t="str">
        <f t="shared" ca="1" si="1134"/>
        <v>C/USN/V/P1/nowy 1 80101 6050 GMMW</v>
      </c>
      <c r="AL713" s="158" t="str">
        <f t="shared" ca="1" si="1135"/>
        <v>C/USN/V/P1/nowy 1 80101 6050 WPF/UM</v>
      </c>
      <c r="AM713" s="159" t="str">
        <f t="shared" ca="1" si="1136"/>
        <v>C/USN/V/P1/nowy 1 80101 6050 GMMW WPF/UM</v>
      </c>
      <c r="AN713" s="160">
        <f t="shared" ca="1" si="1179"/>
        <v>0</v>
      </c>
      <c r="AO713" s="161">
        <f t="shared" ca="1" si="1180"/>
        <v>0</v>
      </c>
      <c r="AP713" s="162">
        <f t="shared" ca="1" si="1181"/>
        <v>0</v>
      </c>
      <c r="AQ713" s="163">
        <f t="shared" ca="1" si="1182"/>
        <v>0</v>
      </c>
      <c r="AR713" s="164">
        <f t="shared" ca="1" si="1183"/>
        <v>0</v>
      </c>
      <c r="AS713" s="164">
        <f t="shared" ca="1" si="1184"/>
        <v>0</v>
      </c>
      <c r="AT713" s="164">
        <f t="shared" ca="1" si="1185"/>
        <v>0</v>
      </c>
      <c r="AU713" s="164">
        <f t="shared" ca="1" si="1186"/>
        <v>0</v>
      </c>
      <c r="AV713" s="164">
        <f t="shared" ca="1" si="1187"/>
        <v>0</v>
      </c>
      <c r="AW713" s="164">
        <f t="shared" ca="1" si="1188"/>
        <v>0</v>
      </c>
      <c r="AX713" s="164">
        <f t="shared" ca="1" si="1189"/>
        <v>0</v>
      </c>
      <c r="AY713" s="164">
        <f t="shared" ca="1" si="1190"/>
        <v>0</v>
      </c>
      <c r="AZ713" s="164">
        <f t="shared" ca="1" si="1191"/>
        <v>0</v>
      </c>
      <c r="BA713" s="165" t="str">
        <f t="shared" ca="1" si="1192"/>
        <v>tak</v>
      </c>
      <c r="BB713" s="166" t="str">
        <f t="shared" ca="1" si="1121"/>
        <v>-</v>
      </c>
      <c r="BC713" s="165" t="str">
        <f t="shared" ca="1" si="1105"/>
        <v>tak</v>
      </c>
    </row>
    <row r="714" spans="1:55" ht="14.45" customHeight="1" x14ac:dyDescent="0.25">
      <c r="A714" s="191" t="s">
        <v>101</v>
      </c>
      <c r="B714" s="192"/>
      <c r="C714" s="193"/>
      <c r="D714" s="192"/>
      <c r="E714" s="192"/>
      <c r="F714" s="192"/>
      <c r="G714" s="192"/>
      <c r="H714" s="192"/>
      <c r="I714" s="192"/>
      <c r="J714" s="192"/>
      <c r="K714" s="192"/>
      <c r="L714" s="192"/>
      <c r="M714" s="192"/>
      <c r="N714" s="192"/>
      <c r="O714" s="192"/>
      <c r="P714" s="192"/>
      <c r="Q714" s="192"/>
      <c r="R714" s="194"/>
      <c r="S714" s="195"/>
      <c r="T714" s="195"/>
      <c r="U714" s="195"/>
      <c r="V714" s="195"/>
      <c r="W714" s="195"/>
      <c r="X714" s="195"/>
      <c r="Y714" s="196"/>
      <c r="Z714" s="149" t="str">
        <f t="shared" ref="Z714:Z777" ca="1" si="1201">IF(COUNTIF(A714,"*zmia*")&gt;0,OFFSET(Z714,1,0),IF(COUNTIF($AB$10:$AB$888,AE714)&gt;0,"tak","nie"))</f>
        <v>tak</v>
      </c>
      <c r="AA714" s="366"/>
      <c r="AB714" s="150" t="str">
        <f t="shared" ca="1" si="1120"/>
        <v>-</v>
      </c>
      <c r="AC714" s="151" t="str">
        <f t="shared" ca="1" si="1172"/>
        <v>PO ZMIANIE</v>
      </c>
      <c r="AD714" s="152" t="str">
        <f t="shared" ca="1" si="1133"/>
        <v/>
      </c>
      <c r="AE714" s="153" t="str">
        <f t="shared" ca="1" si="1173"/>
        <v/>
      </c>
      <c r="AF714" s="154" t="str">
        <f t="shared" ca="1" si="1174"/>
        <v/>
      </c>
      <c r="AG714" s="155" t="str">
        <f t="shared" ca="1" si="1175"/>
        <v/>
      </c>
      <c r="AH714" s="155" t="str">
        <f t="shared" ca="1" si="1176"/>
        <v/>
      </c>
      <c r="AI714" s="156" t="str">
        <f t="shared" ca="1" si="1177"/>
        <v/>
      </c>
      <c r="AJ714" s="157" t="str">
        <f t="shared" ca="1" si="1178"/>
        <v/>
      </c>
      <c r="AK714" s="158" t="str">
        <f t="shared" ca="1" si="1134"/>
        <v/>
      </c>
      <c r="AL714" s="158" t="str">
        <f t="shared" ca="1" si="1135"/>
        <v/>
      </c>
      <c r="AM714" s="159" t="str">
        <f t="shared" ca="1" si="1136"/>
        <v/>
      </c>
      <c r="AN714" s="160" t="str">
        <f t="shared" ca="1" si="1179"/>
        <v/>
      </c>
      <c r="AO714" s="161" t="str">
        <f t="shared" ca="1" si="1180"/>
        <v/>
      </c>
      <c r="AP714" s="162" t="str">
        <f t="shared" ca="1" si="1181"/>
        <v/>
      </c>
      <c r="AQ714" s="163" t="str">
        <f t="shared" ca="1" si="1182"/>
        <v/>
      </c>
      <c r="AR714" s="164" t="str">
        <f t="shared" ca="1" si="1183"/>
        <v/>
      </c>
      <c r="AS714" s="164" t="str">
        <f t="shared" ca="1" si="1184"/>
        <v/>
      </c>
      <c r="AT714" s="164" t="str">
        <f t="shared" ca="1" si="1185"/>
        <v/>
      </c>
      <c r="AU714" s="164" t="str">
        <f t="shared" ca="1" si="1186"/>
        <v/>
      </c>
      <c r="AV714" s="164" t="str">
        <f t="shared" ca="1" si="1187"/>
        <v/>
      </c>
      <c r="AW714" s="164" t="str">
        <f t="shared" ca="1" si="1188"/>
        <v/>
      </c>
      <c r="AX714" s="164" t="str">
        <f t="shared" ca="1" si="1189"/>
        <v/>
      </c>
      <c r="AY714" s="164" t="str">
        <f t="shared" ca="1" si="1190"/>
        <v/>
      </c>
      <c r="AZ714" s="164" t="str">
        <f t="shared" ca="1" si="1191"/>
        <v/>
      </c>
      <c r="BA714" s="165" t="str">
        <f t="shared" ca="1" si="1192"/>
        <v>tak</v>
      </c>
      <c r="BB714" s="166" t="str">
        <f t="shared" ca="1" si="1121"/>
        <v>-</v>
      </c>
      <c r="BC714" s="165" t="str">
        <f t="shared" ref="BC714:BC777" ca="1" si="1202">IF(AND(COUNTIF(AD714,"*zmi*")&gt;0,COUNTIF($BB$10:$BB$888,AK714)&gt;0),"tak","nie")</f>
        <v>nie</v>
      </c>
    </row>
    <row r="715" spans="1:55" ht="14.45" customHeight="1" x14ac:dyDescent="0.25">
      <c r="A715" s="493" t="s">
        <v>24</v>
      </c>
      <c r="B715" s="493" t="s">
        <v>26</v>
      </c>
      <c r="C715" s="494" t="s">
        <v>471</v>
      </c>
      <c r="D715" s="495" t="s">
        <v>470</v>
      </c>
      <c r="E715" s="497">
        <v>801</v>
      </c>
      <c r="F715" s="497">
        <v>80101</v>
      </c>
      <c r="G715" s="497">
        <v>6050</v>
      </c>
      <c r="H715" s="498" t="s">
        <v>472</v>
      </c>
      <c r="I715" s="499" t="str">
        <f ca="1">IF(COUNTIF(OFFSET(I715,-1,-8),"*propon*")&gt;0,OFFSET(I715,4,0),IF(Y715&gt;0,"2033",IF(X715&gt;0,"2032",IF(W715&gt;0,"2031",IF(V715&gt;0,"2030",IF(U715&gt;0,"2029",IF(T715&gt;0,"2028",IF(S715&gt;0,"2027",IF(R715&gt;0,"2026",IF(Q715&gt;0,"2025",IF(P715&gt;0,"2024",IF(M715&gt;0,"2023",IF(L715&gt;0,"2022","")))))))))))))</f>
        <v>2026</v>
      </c>
      <c r="J715" s="168" t="s">
        <v>102</v>
      </c>
      <c r="K715" s="169">
        <f>SUM(N715:O715)</f>
        <v>5398351</v>
      </c>
      <c r="L715" s="170">
        <f t="shared" ref="L715:M715" si="1203">SUM(L716:L717)</f>
        <v>0</v>
      </c>
      <c r="M715" s="171">
        <f t="shared" si="1203"/>
        <v>0</v>
      </c>
      <c r="N715" s="172">
        <f>SUM(L715:M715)</f>
        <v>0</v>
      </c>
      <c r="O715" s="169">
        <f>SUM(P715:Y715)</f>
        <v>5398351</v>
      </c>
      <c r="P715" s="173">
        <f t="shared" ref="P715:Y715" si="1204">SUM(P716:P717)</f>
        <v>100000</v>
      </c>
      <c r="Q715" s="171">
        <f t="shared" si="1204"/>
        <v>5198351</v>
      </c>
      <c r="R715" s="174">
        <f t="shared" si="1204"/>
        <v>100000</v>
      </c>
      <c r="S715" s="175">
        <f t="shared" si="1204"/>
        <v>0</v>
      </c>
      <c r="T715" s="171">
        <f t="shared" si="1204"/>
        <v>0</v>
      </c>
      <c r="U715" s="171">
        <f t="shared" si="1204"/>
        <v>0</v>
      </c>
      <c r="V715" s="171">
        <f t="shared" si="1204"/>
        <v>0</v>
      </c>
      <c r="W715" s="171">
        <f t="shared" si="1204"/>
        <v>0</v>
      </c>
      <c r="X715" s="171">
        <f t="shared" si="1204"/>
        <v>0</v>
      </c>
      <c r="Y715" s="174">
        <f t="shared" si="1204"/>
        <v>0</v>
      </c>
      <c r="Z715" s="149" t="str">
        <f t="shared" ca="1" si="1201"/>
        <v>tak</v>
      </c>
      <c r="AA715" s="366"/>
      <c r="AB715" s="150" t="str">
        <f t="shared" ca="1" si="1120"/>
        <v>-</v>
      </c>
      <c r="AC715" s="151" t="str">
        <f t="shared" ca="1" si="1172"/>
        <v>PO ZMIANIE</v>
      </c>
      <c r="AD715" s="152" t="str">
        <f t="shared" ca="1" si="1133"/>
        <v>PO ZMIANIE</v>
      </c>
      <c r="AE715" s="153" t="str">
        <f t="shared" ca="1" si="1173"/>
        <v>C/USN/V/P1/nowy 1</v>
      </c>
      <c r="AF715" s="154" t="str">
        <f t="shared" ca="1" si="1174"/>
        <v>Modernizacja Szkoły Podstawowej nr 323 przy ul. Hirszfelda 11</v>
      </c>
      <c r="AG715" s="155">
        <f t="shared" ca="1" si="1175"/>
        <v>80101</v>
      </c>
      <c r="AH715" s="155" t="str">
        <f t="shared" ca="1" si="1176"/>
        <v>6050</v>
      </c>
      <c r="AI715" s="156" t="str">
        <f t="shared" ca="1" si="1177"/>
        <v>GMMW</v>
      </c>
      <c r="AJ715" s="157" t="str">
        <f t="shared" ca="1" si="1178"/>
        <v>WPF, w tym</v>
      </c>
      <c r="AK715" s="158" t="str">
        <f t="shared" ca="1" si="1134"/>
        <v>C/USN/V/P1/nowy 1 80101 6050 GMMW</v>
      </c>
      <c r="AL715" s="158" t="str">
        <f t="shared" ca="1" si="1135"/>
        <v>C/USN/V/P1/nowy 1 80101 6050 WPF, w tym</v>
      </c>
      <c r="AM715" s="159" t="str">
        <f t="shared" ca="1" si="1136"/>
        <v>C/USN/V/P1/nowy 1 80101 6050 GMMW WPF, w tym</v>
      </c>
      <c r="AN715" s="160">
        <f t="shared" ca="1" si="1179"/>
        <v>5398351</v>
      </c>
      <c r="AO715" s="161">
        <f t="shared" ca="1" si="1180"/>
        <v>0</v>
      </c>
      <c r="AP715" s="162">
        <f t="shared" ca="1" si="1181"/>
        <v>0</v>
      </c>
      <c r="AQ715" s="163">
        <f t="shared" ca="1" si="1182"/>
        <v>100000</v>
      </c>
      <c r="AR715" s="164">
        <f t="shared" ca="1" si="1183"/>
        <v>5198351</v>
      </c>
      <c r="AS715" s="164">
        <f t="shared" ca="1" si="1184"/>
        <v>100000</v>
      </c>
      <c r="AT715" s="164">
        <f t="shared" ca="1" si="1185"/>
        <v>0</v>
      </c>
      <c r="AU715" s="164">
        <f t="shared" ca="1" si="1186"/>
        <v>0</v>
      </c>
      <c r="AV715" s="164">
        <f t="shared" ca="1" si="1187"/>
        <v>0</v>
      </c>
      <c r="AW715" s="164">
        <f t="shared" ca="1" si="1188"/>
        <v>0</v>
      </c>
      <c r="AX715" s="164">
        <f t="shared" ca="1" si="1189"/>
        <v>0</v>
      </c>
      <c r="AY715" s="164">
        <f t="shared" ca="1" si="1190"/>
        <v>0</v>
      </c>
      <c r="AZ715" s="164">
        <f t="shared" ca="1" si="1191"/>
        <v>0</v>
      </c>
      <c r="BA715" s="165" t="str">
        <f t="shared" ca="1" si="1192"/>
        <v>tak</v>
      </c>
      <c r="BB715" s="166" t="str">
        <f t="shared" ca="1" si="1121"/>
        <v>-</v>
      </c>
      <c r="BC715" s="165" t="str">
        <f t="shared" ca="1" si="1202"/>
        <v>tak</v>
      </c>
    </row>
    <row r="716" spans="1:55" ht="14.45" customHeight="1" x14ac:dyDescent="0.25">
      <c r="A716" s="493"/>
      <c r="B716" s="493"/>
      <c r="C716" s="494"/>
      <c r="D716" s="496"/>
      <c r="E716" s="497"/>
      <c r="F716" s="497"/>
      <c r="G716" s="497"/>
      <c r="H716" s="498"/>
      <c r="I716" s="499"/>
      <c r="J716" s="177" t="s">
        <v>103</v>
      </c>
      <c r="K716" s="178">
        <f>SUM(N716:O716)</f>
        <v>5398351</v>
      </c>
      <c r="L716" s="179"/>
      <c r="M716" s="180"/>
      <c r="N716" s="172">
        <f>SUM(L716:M716)</f>
        <v>0</v>
      </c>
      <c r="O716" s="178">
        <f>SUM(P716:Y716)</f>
        <v>5398351</v>
      </c>
      <c r="P716" s="181">
        <v>100000</v>
      </c>
      <c r="Q716" s="180">
        <f>5098351+100000</f>
        <v>5198351</v>
      </c>
      <c r="R716" s="182">
        <v>100000</v>
      </c>
      <c r="S716" s="183"/>
      <c r="T716" s="180"/>
      <c r="U716" s="180"/>
      <c r="V716" s="180"/>
      <c r="W716" s="180"/>
      <c r="X716" s="180"/>
      <c r="Y716" s="182"/>
      <c r="Z716" s="149" t="str">
        <f t="shared" ca="1" si="1201"/>
        <v>tak</v>
      </c>
      <c r="AA716" s="366"/>
      <c r="AB716" s="150" t="str">
        <f t="shared" ca="1" si="1120"/>
        <v>-</v>
      </c>
      <c r="AC716" s="151" t="str">
        <f t="shared" ca="1" si="1172"/>
        <v>PO ZMIANIE</v>
      </c>
      <c r="AD716" s="152" t="str">
        <f t="shared" ca="1" si="1133"/>
        <v>PO ZMIANIE</v>
      </c>
      <c r="AE716" s="153" t="str">
        <f t="shared" ca="1" si="1173"/>
        <v>C/USN/V/P1/nowy 1</v>
      </c>
      <c r="AF716" s="154" t="str">
        <f t="shared" ca="1" si="1174"/>
        <v>Modernizacja Szkoły Podstawowej nr 323 przy ul. Hirszfelda 11</v>
      </c>
      <c r="AG716" s="155">
        <f t="shared" ca="1" si="1175"/>
        <v>80101</v>
      </c>
      <c r="AH716" s="155" t="str">
        <f t="shared" ca="1" si="1176"/>
        <v>6050</v>
      </c>
      <c r="AI716" s="156" t="str">
        <f t="shared" ca="1" si="1177"/>
        <v>GMMW</v>
      </c>
      <c r="AJ716" s="157" t="str">
        <f t="shared" ca="1" si="1178"/>
        <v>WPF/PM</v>
      </c>
      <c r="AK716" s="158" t="str">
        <f t="shared" ca="1" si="1134"/>
        <v>C/USN/V/P1/nowy 1 80101 6050 GMMW</v>
      </c>
      <c r="AL716" s="158" t="str">
        <f t="shared" ca="1" si="1135"/>
        <v>C/USN/V/P1/nowy 1 80101 6050 WPF/PM</v>
      </c>
      <c r="AM716" s="159" t="str">
        <f t="shared" ca="1" si="1136"/>
        <v>C/USN/V/P1/nowy 1 80101 6050 GMMW WPF/PM</v>
      </c>
      <c r="AN716" s="160">
        <f t="shared" ca="1" si="1179"/>
        <v>5398351</v>
      </c>
      <c r="AO716" s="161">
        <f t="shared" ca="1" si="1180"/>
        <v>0</v>
      </c>
      <c r="AP716" s="162">
        <f t="shared" ca="1" si="1181"/>
        <v>0</v>
      </c>
      <c r="AQ716" s="163">
        <f t="shared" ca="1" si="1182"/>
        <v>100000</v>
      </c>
      <c r="AR716" s="164">
        <f t="shared" ca="1" si="1183"/>
        <v>5198351</v>
      </c>
      <c r="AS716" s="164">
        <f t="shared" ca="1" si="1184"/>
        <v>100000</v>
      </c>
      <c r="AT716" s="164">
        <f t="shared" ca="1" si="1185"/>
        <v>0</v>
      </c>
      <c r="AU716" s="164">
        <f t="shared" ca="1" si="1186"/>
        <v>0</v>
      </c>
      <c r="AV716" s="164">
        <f t="shared" ca="1" si="1187"/>
        <v>0</v>
      </c>
      <c r="AW716" s="164">
        <f t="shared" ca="1" si="1188"/>
        <v>0</v>
      </c>
      <c r="AX716" s="164">
        <f t="shared" ca="1" si="1189"/>
        <v>0</v>
      </c>
      <c r="AY716" s="164">
        <f t="shared" ca="1" si="1190"/>
        <v>0</v>
      </c>
      <c r="AZ716" s="164">
        <f t="shared" ca="1" si="1191"/>
        <v>0</v>
      </c>
      <c r="BA716" s="165" t="str">
        <f t="shared" ca="1" si="1192"/>
        <v>tak</v>
      </c>
      <c r="BB716" s="166" t="str">
        <f t="shared" ca="1" si="1121"/>
        <v>-</v>
      </c>
      <c r="BC716" s="165" t="str">
        <f t="shared" ca="1" si="1202"/>
        <v>tak</v>
      </c>
    </row>
    <row r="717" spans="1:55" ht="14.45" customHeight="1" thickBot="1" x14ac:dyDescent="0.3">
      <c r="A717" s="500"/>
      <c r="B717" s="500"/>
      <c r="C717" s="501"/>
      <c r="D717" s="502"/>
      <c r="E717" s="503"/>
      <c r="F717" s="503"/>
      <c r="G717" s="503"/>
      <c r="H717" s="504"/>
      <c r="I717" s="499"/>
      <c r="J717" s="197" t="s">
        <v>104</v>
      </c>
      <c r="K717" s="198">
        <f>SUM(N717:O717)</f>
        <v>0</v>
      </c>
      <c r="L717" s="199"/>
      <c r="M717" s="200"/>
      <c r="N717" s="371">
        <f>SUM(L717:M717)</f>
        <v>0</v>
      </c>
      <c r="O717" s="198">
        <f>SUM(P717:Y717)</f>
        <v>0</v>
      </c>
      <c r="P717" s="201"/>
      <c r="Q717" s="200"/>
      <c r="R717" s="202"/>
      <c r="S717" s="203"/>
      <c r="T717" s="200"/>
      <c r="U717" s="200"/>
      <c r="V717" s="200"/>
      <c r="W717" s="200"/>
      <c r="X717" s="200"/>
      <c r="Y717" s="202"/>
      <c r="Z717" s="149" t="str">
        <f t="shared" ca="1" si="1201"/>
        <v>tak</v>
      </c>
      <c r="AA717" s="366"/>
      <c r="AB717" s="150" t="str">
        <f t="shared" ca="1" si="1120"/>
        <v>-</v>
      </c>
      <c r="AC717" s="151" t="str">
        <f t="shared" ca="1" si="1172"/>
        <v>PO ZMIANIE</v>
      </c>
      <c r="AD717" s="152" t="str">
        <f t="shared" ca="1" si="1133"/>
        <v>PO ZMIANIE</v>
      </c>
      <c r="AE717" s="153" t="str">
        <f t="shared" ca="1" si="1173"/>
        <v>C/USN/V/P1/nowy 1</v>
      </c>
      <c r="AF717" s="154" t="str">
        <f t="shared" ca="1" si="1174"/>
        <v>Modernizacja Szkoły Podstawowej nr 323 przy ul. Hirszfelda 11</v>
      </c>
      <c r="AG717" s="155">
        <f t="shared" ca="1" si="1175"/>
        <v>80101</v>
      </c>
      <c r="AH717" s="155" t="str">
        <f t="shared" ca="1" si="1176"/>
        <v>6050</v>
      </c>
      <c r="AI717" s="156" t="str">
        <f t="shared" ca="1" si="1177"/>
        <v>GMMW</v>
      </c>
      <c r="AJ717" s="157" t="str">
        <f t="shared" ca="1" si="1178"/>
        <v>WPF/UM</v>
      </c>
      <c r="AK717" s="158" t="str">
        <f t="shared" ca="1" si="1134"/>
        <v>C/USN/V/P1/nowy 1 80101 6050 GMMW</v>
      </c>
      <c r="AL717" s="158" t="str">
        <f t="shared" ca="1" si="1135"/>
        <v>C/USN/V/P1/nowy 1 80101 6050 WPF/UM</v>
      </c>
      <c r="AM717" s="159" t="str">
        <f t="shared" ca="1" si="1136"/>
        <v>C/USN/V/P1/nowy 1 80101 6050 GMMW WPF/UM</v>
      </c>
      <c r="AN717" s="160">
        <f t="shared" ca="1" si="1179"/>
        <v>0</v>
      </c>
      <c r="AO717" s="161">
        <f t="shared" ca="1" si="1180"/>
        <v>0</v>
      </c>
      <c r="AP717" s="162">
        <f t="shared" ca="1" si="1181"/>
        <v>0</v>
      </c>
      <c r="AQ717" s="163">
        <f t="shared" ca="1" si="1182"/>
        <v>0</v>
      </c>
      <c r="AR717" s="164">
        <f t="shared" ca="1" si="1183"/>
        <v>0</v>
      </c>
      <c r="AS717" s="164">
        <f t="shared" ca="1" si="1184"/>
        <v>0</v>
      </c>
      <c r="AT717" s="164">
        <f t="shared" ca="1" si="1185"/>
        <v>0</v>
      </c>
      <c r="AU717" s="164">
        <f t="shared" ca="1" si="1186"/>
        <v>0</v>
      </c>
      <c r="AV717" s="164">
        <f t="shared" ca="1" si="1187"/>
        <v>0</v>
      </c>
      <c r="AW717" s="164">
        <f t="shared" ca="1" si="1188"/>
        <v>0</v>
      </c>
      <c r="AX717" s="164">
        <f t="shared" ca="1" si="1189"/>
        <v>0</v>
      </c>
      <c r="AY717" s="164">
        <f t="shared" ca="1" si="1190"/>
        <v>0</v>
      </c>
      <c r="AZ717" s="164">
        <f t="shared" ca="1" si="1191"/>
        <v>0</v>
      </c>
      <c r="BA717" s="165" t="str">
        <f t="shared" ca="1" si="1192"/>
        <v>tak</v>
      </c>
      <c r="BB717" s="166" t="str">
        <f t="shared" ca="1" si="1121"/>
        <v>-</v>
      </c>
      <c r="BC717" s="165" t="str">
        <f t="shared" ca="1" si="1202"/>
        <v>tak</v>
      </c>
    </row>
    <row r="718" spans="1:55" ht="14.45" customHeight="1" x14ac:dyDescent="0.25">
      <c r="A718" s="143" t="s">
        <v>91</v>
      </c>
      <c r="B718" s="144"/>
      <c r="C718" s="145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6"/>
      <c r="S718" s="147"/>
      <c r="T718" s="147"/>
      <c r="U718" s="147"/>
      <c r="V718" s="147"/>
      <c r="W718" s="147"/>
      <c r="X718" s="147"/>
      <c r="Y718" s="148"/>
      <c r="Z718" s="149" t="str">
        <f t="shared" ca="1" si="1201"/>
        <v>tak</v>
      </c>
      <c r="AA718" s="366"/>
      <c r="AB718" s="150" t="str">
        <f t="shared" ca="1" si="1120"/>
        <v>-</v>
      </c>
      <c r="AC718" s="151" t="str">
        <f t="shared" ca="1" si="1172"/>
        <v>PRZED ZMIANĄ</v>
      </c>
      <c r="AD718" s="152" t="str">
        <f t="shared" ca="1" si="1133"/>
        <v/>
      </c>
      <c r="AE718" s="153" t="str">
        <f t="shared" ca="1" si="1173"/>
        <v/>
      </c>
      <c r="AF718" s="154" t="str">
        <f t="shared" ca="1" si="1174"/>
        <v/>
      </c>
      <c r="AG718" s="155" t="str">
        <f t="shared" ca="1" si="1175"/>
        <v/>
      </c>
      <c r="AH718" s="155" t="str">
        <f t="shared" ca="1" si="1176"/>
        <v/>
      </c>
      <c r="AI718" s="156" t="str">
        <f t="shared" ca="1" si="1177"/>
        <v/>
      </c>
      <c r="AJ718" s="157" t="str">
        <f t="shared" ca="1" si="1178"/>
        <v/>
      </c>
      <c r="AK718" s="158" t="str">
        <f t="shared" ca="1" si="1134"/>
        <v/>
      </c>
      <c r="AL718" s="158" t="str">
        <f t="shared" ca="1" si="1135"/>
        <v/>
      </c>
      <c r="AM718" s="159" t="str">
        <f t="shared" ca="1" si="1136"/>
        <v/>
      </c>
      <c r="AN718" s="160" t="str">
        <f t="shared" ca="1" si="1179"/>
        <v/>
      </c>
      <c r="AO718" s="161" t="str">
        <f t="shared" ca="1" si="1180"/>
        <v/>
      </c>
      <c r="AP718" s="162" t="str">
        <f t="shared" ca="1" si="1181"/>
        <v/>
      </c>
      <c r="AQ718" s="163" t="str">
        <f t="shared" ca="1" si="1182"/>
        <v/>
      </c>
      <c r="AR718" s="164" t="str">
        <f t="shared" ca="1" si="1183"/>
        <v/>
      </c>
      <c r="AS718" s="164" t="str">
        <f t="shared" ca="1" si="1184"/>
        <v/>
      </c>
      <c r="AT718" s="164" t="str">
        <f t="shared" ca="1" si="1185"/>
        <v/>
      </c>
      <c r="AU718" s="164" t="str">
        <f t="shared" ca="1" si="1186"/>
        <v/>
      </c>
      <c r="AV718" s="164" t="str">
        <f t="shared" ca="1" si="1187"/>
        <v/>
      </c>
      <c r="AW718" s="164" t="str">
        <f t="shared" ca="1" si="1188"/>
        <v/>
      </c>
      <c r="AX718" s="164" t="str">
        <f t="shared" ca="1" si="1189"/>
        <v/>
      </c>
      <c r="AY718" s="164" t="str">
        <f t="shared" ca="1" si="1190"/>
        <v/>
      </c>
      <c r="AZ718" s="164" t="str">
        <f t="shared" ca="1" si="1191"/>
        <v/>
      </c>
      <c r="BA718" s="165" t="str">
        <f t="shared" ca="1" si="1192"/>
        <v>tak</v>
      </c>
      <c r="BB718" s="166" t="str">
        <f t="shared" ca="1" si="1121"/>
        <v>-</v>
      </c>
      <c r="BC718" s="165" t="str">
        <f t="shared" ca="1" si="1202"/>
        <v>nie</v>
      </c>
    </row>
    <row r="719" spans="1:55" ht="14.45" customHeight="1" x14ac:dyDescent="0.25">
      <c r="A719" s="493"/>
      <c r="B719" s="493"/>
      <c r="C719" s="494"/>
      <c r="D719" s="505"/>
      <c r="E719" s="497"/>
      <c r="F719" s="497"/>
      <c r="G719" s="497"/>
      <c r="H719" s="498"/>
      <c r="I719" s="499" t="str">
        <f ca="1">IF(COUNTIF(OFFSET(I719,-1,-8),"*propon*")&gt;0,OFFSET(I719,4,0),IF(Y719&gt;0,"2033",IF(X719&gt;0,"2032",IF(W719&gt;0,"2031",IF(V719&gt;0,"2030",IF(U719&gt;0,"2029",IF(T719&gt;0,"2028",IF(S719&gt;0,"2027",IF(R719&gt;0,"2026",IF(Q719&gt;0,"2025",IF(P719&gt;0,"2024",IF(M719&gt;0,"2023",IF(L719&gt;0,"2022","")))))))))))))</f>
        <v/>
      </c>
      <c r="J719" s="168" t="s">
        <v>94</v>
      </c>
      <c r="K719" s="169">
        <f>SUM(N719:O719)</f>
        <v>0</v>
      </c>
      <c r="L719" s="170">
        <f t="shared" ref="L719:M719" si="1205">SUM(L720:L721)</f>
        <v>0</v>
      </c>
      <c r="M719" s="171">
        <f t="shared" si="1205"/>
        <v>0</v>
      </c>
      <c r="N719" s="172">
        <f>SUM(L719:M719)</f>
        <v>0</v>
      </c>
      <c r="O719" s="169">
        <f>SUM(P719:Y719)</f>
        <v>0</v>
      </c>
      <c r="P719" s="173">
        <f t="shared" ref="P719:Y719" si="1206">SUM(P720:P721)</f>
        <v>0</v>
      </c>
      <c r="Q719" s="171">
        <f t="shared" si="1206"/>
        <v>0</v>
      </c>
      <c r="R719" s="174">
        <f t="shared" si="1206"/>
        <v>0</v>
      </c>
      <c r="S719" s="175">
        <f t="shared" si="1206"/>
        <v>0</v>
      </c>
      <c r="T719" s="171">
        <f t="shared" si="1206"/>
        <v>0</v>
      </c>
      <c r="U719" s="171">
        <f t="shared" si="1206"/>
        <v>0</v>
      </c>
      <c r="V719" s="171">
        <f t="shared" si="1206"/>
        <v>0</v>
      </c>
      <c r="W719" s="171">
        <f t="shared" si="1206"/>
        <v>0</v>
      </c>
      <c r="X719" s="171">
        <f t="shared" si="1206"/>
        <v>0</v>
      </c>
      <c r="Y719" s="174">
        <f t="shared" si="1206"/>
        <v>0</v>
      </c>
      <c r="Z719" s="149" t="str">
        <f t="shared" ca="1" si="1201"/>
        <v>tak</v>
      </c>
      <c r="AA719" s="366"/>
      <c r="AB719" s="150" t="str">
        <f t="shared" ca="1" si="1120"/>
        <v>-</v>
      </c>
      <c r="AC719" s="151" t="str">
        <f t="shared" ca="1" si="1172"/>
        <v>PRZED ZMIANĄ</v>
      </c>
      <c r="AD719" s="152" t="str">
        <f t="shared" ca="1" si="1133"/>
        <v>PRZED ZMIANĄ</v>
      </c>
      <c r="AE719" s="153" t="str">
        <f t="shared" ca="1" si="1173"/>
        <v>C/USN/V/P1/nowy 2</v>
      </c>
      <c r="AF719" s="154" t="str">
        <f t="shared" ca="1" si="1174"/>
        <v>Modernizacja Szkoły Podstawowej nr 313 przy ul. Cybisa 1</v>
      </c>
      <c r="AG719" s="155">
        <f t="shared" ca="1" si="1175"/>
        <v>80101</v>
      </c>
      <c r="AH719" s="155" t="str">
        <f t="shared" ca="1" si="1176"/>
        <v>6050</v>
      </c>
      <c r="AI719" s="156" t="str">
        <f t="shared" ca="1" si="1177"/>
        <v>GMMW</v>
      </c>
      <c r="AJ719" s="157" t="str">
        <f t="shared" ca="1" si="1178"/>
        <v>WPF, w tym</v>
      </c>
      <c r="AK719" s="158" t="str">
        <f t="shared" ca="1" si="1134"/>
        <v>C/USN/V/P1/nowy 2 80101 6050 GMMW</v>
      </c>
      <c r="AL719" s="158" t="str">
        <f t="shared" ca="1" si="1135"/>
        <v>C/USN/V/P1/nowy 2 80101 6050 WPF, w tym</v>
      </c>
      <c r="AM719" s="159" t="str">
        <f t="shared" ca="1" si="1136"/>
        <v>C/USN/V/P1/nowy 2 80101 6050 GMMW WPF, w tym</v>
      </c>
      <c r="AN719" s="160">
        <f t="shared" ca="1" si="1179"/>
        <v>0</v>
      </c>
      <c r="AO719" s="161">
        <f t="shared" ca="1" si="1180"/>
        <v>0</v>
      </c>
      <c r="AP719" s="162">
        <f t="shared" ca="1" si="1181"/>
        <v>0</v>
      </c>
      <c r="AQ719" s="163">
        <f t="shared" ca="1" si="1182"/>
        <v>0</v>
      </c>
      <c r="AR719" s="164">
        <f t="shared" ca="1" si="1183"/>
        <v>0</v>
      </c>
      <c r="AS719" s="164">
        <f t="shared" ca="1" si="1184"/>
        <v>0</v>
      </c>
      <c r="AT719" s="164">
        <f t="shared" ca="1" si="1185"/>
        <v>0</v>
      </c>
      <c r="AU719" s="164">
        <f t="shared" ca="1" si="1186"/>
        <v>0</v>
      </c>
      <c r="AV719" s="164">
        <f t="shared" ca="1" si="1187"/>
        <v>0</v>
      </c>
      <c r="AW719" s="164">
        <f t="shared" ca="1" si="1188"/>
        <v>0</v>
      </c>
      <c r="AX719" s="164">
        <f t="shared" ca="1" si="1189"/>
        <v>0</v>
      </c>
      <c r="AY719" s="164">
        <f t="shared" ca="1" si="1190"/>
        <v>0</v>
      </c>
      <c r="AZ719" s="164">
        <f t="shared" ca="1" si="1191"/>
        <v>0</v>
      </c>
      <c r="BA719" s="165" t="str">
        <f t="shared" ca="1" si="1192"/>
        <v>tak</v>
      </c>
      <c r="BB719" s="166" t="str">
        <f t="shared" ca="1" si="1121"/>
        <v>-</v>
      </c>
      <c r="BC719" s="165" t="str">
        <f t="shared" ca="1" si="1202"/>
        <v>tak</v>
      </c>
    </row>
    <row r="720" spans="1:55" ht="14.45" customHeight="1" x14ac:dyDescent="0.25">
      <c r="A720" s="493"/>
      <c r="B720" s="493"/>
      <c r="C720" s="494"/>
      <c r="D720" s="506"/>
      <c r="E720" s="497"/>
      <c r="F720" s="497"/>
      <c r="G720" s="497"/>
      <c r="H720" s="498"/>
      <c r="I720" s="499"/>
      <c r="J720" s="177" t="s">
        <v>95</v>
      </c>
      <c r="K720" s="178">
        <f>SUM(N720:O720)</f>
        <v>0</v>
      </c>
      <c r="L720" s="179"/>
      <c r="M720" s="180"/>
      <c r="N720" s="172">
        <f>SUM(L720:M720)</f>
        <v>0</v>
      </c>
      <c r="O720" s="178">
        <f>SUM(P720:Y720)</f>
        <v>0</v>
      </c>
      <c r="P720" s="181"/>
      <c r="Q720" s="180"/>
      <c r="R720" s="182"/>
      <c r="S720" s="183"/>
      <c r="T720" s="180"/>
      <c r="U720" s="180"/>
      <c r="V720" s="180"/>
      <c r="W720" s="180"/>
      <c r="X720" s="180"/>
      <c r="Y720" s="182"/>
      <c r="Z720" s="149" t="str">
        <f t="shared" ca="1" si="1201"/>
        <v>tak</v>
      </c>
      <c r="AA720" s="366"/>
      <c r="AB720" s="150" t="str">
        <f t="shared" ca="1" si="1120"/>
        <v>-</v>
      </c>
      <c r="AC720" s="151" t="str">
        <f t="shared" ca="1" si="1172"/>
        <v>PRZED ZMIANĄ</v>
      </c>
      <c r="AD720" s="152" t="str">
        <f t="shared" ca="1" si="1133"/>
        <v>PRZED ZMIANĄ</v>
      </c>
      <c r="AE720" s="153" t="str">
        <f t="shared" ca="1" si="1173"/>
        <v>C/USN/V/P1/nowy 2</v>
      </c>
      <c r="AF720" s="154" t="str">
        <f t="shared" ca="1" si="1174"/>
        <v>Modernizacja Szkoły Podstawowej nr 313 przy ul. Cybisa 1</v>
      </c>
      <c r="AG720" s="155">
        <f t="shared" ca="1" si="1175"/>
        <v>80101</v>
      </c>
      <c r="AH720" s="155" t="str">
        <f t="shared" ca="1" si="1176"/>
        <v>6050</v>
      </c>
      <c r="AI720" s="156" t="str">
        <f t="shared" ca="1" si="1177"/>
        <v>GMMW</v>
      </c>
      <c r="AJ720" s="157" t="str">
        <f t="shared" ca="1" si="1178"/>
        <v>WPF/PM</v>
      </c>
      <c r="AK720" s="158" t="str">
        <f t="shared" ca="1" si="1134"/>
        <v>C/USN/V/P1/nowy 2 80101 6050 GMMW</v>
      </c>
      <c r="AL720" s="158" t="str">
        <f t="shared" ca="1" si="1135"/>
        <v>C/USN/V/P1/nowy 2 80101 6050 WPF/PM</v>
      </c>
      <c r="AM720" s="159" t="str">
        <f t="shared" ca="1" si="1136"/>
        <v>C/USN/V/P1/nowy 2 80101 6050 GMMW WPF/PM</v>
      </c>
      <c r="AN720" s="160">
        <f t="shared" ca="1" si="1179"/>
        <v>0</v>
      </c>
      <c r="AO720" s="161">
        <f t="shared" ca="1" si="1180"/>
        <v>0</v>
      </c>
      <c r="AP720" s="162">
        <f t="shared" ca="1" si="1181"/>
        <v>0</v>
      </c>
      <c r="AQ720" s="163">
        <f t="shared" ca="1" si="1182"/>
        <v>0</v>
      </c>
      <c r="AR720" s="164">
        <f t="shared" ca="1" si="1183"/>
        <v>0</v>
      </c>
      <c r="AS720" s="164">
        <f t="shared" ca="1" si="1184"/>
        <v>0</v>
      </c>
      <c r="AT720" s="164">
        <f t="shared" ca="1" si="1185"/>
        <v>0</v>
      </c>
      <c r="AU720" s="164">
        <f t="shared" ca="1" si="1186"/>
        <v>0</v>
      </c>
      <c r="AV720" s="164">
        <f t="shared" ca="1" si="1187"/>
        <v>0</v>
      </c>
      <c r="AW720" s="164">
        <f t="shared" ca="1" si="1188"/>
        <v>0</v>
      </c>
      <c r="AX720" s="164">
        <f t="shared" ca="1" si="1189"/>
        <v>0</v>
      </c>
      <c r="AY720" s="164">
        <f t="shared" ca="1" si="1190"/>
        <v>0</v>
      </c>
      <c r="AZ720" s="164">
        <f t="shared" ca="1" si="1191"/>
        <v>0</v>
      </c>
      <c r="BA720" s="165" t="str">
        <f t="shared" ca="1" si="1192"/>
        <v>tak</v>
      </c>
      <c r="BB720" s="166" t="str">
        <f t="shared" ca="1" si="1121"/>
        <v>-</v>
      </c>
      <c r="BC720" s="165" t="str">
        <f t="shared" ca="1" si="1202"/>
        <v>tak</v>
      </c>
    </row>
    <row r="721" spans="1:55" ht="14.45" customHeight="1" x14ac:dyDescent="0.25">
      <c r="A721" s="493"/>
      <c r="B721" s="493"/>
      <c r="C721" s="494"/>
      <c r="D721" s="506"/>
      <c r="E721" s="497"/>
      <c r="F721" s="497"/>
      <c r="G721" s="497"/>
      <c r="H721" s="498"/>
      <c r="I721" s="499"/>
      <c r="J721" s="177" t="s">
        <v>96</v>
      </c>
      <c r="K721" s="178">
        <f>SUM(N721:O721)</f>
        <v>0</v>
      </c>
      <c r="L721" s="184"/>
      <c r="M721" s="180"/>
      <c r="N721" s="172">
        <f>SUM(L721:M721)</f>
        <v>0</v>
      </c>
      <c r="O721" s="178">
        <f>SUM(P721:Y721)</f>
        <v>0</v>
      </c>
      <c r="P721" s="181"/>
      <c r="Q721" s="180"/>
      <c r="R721" s="182"/>
      <c r="S721" s="183"/>
      <c r="T721" s="180"/>
      <c r="U721" s="180"/>
      <c r="V721" s="180"/>
      <c r="W721" s="180"/>
      <c r="X721" s="180"/>
      <c r="Y721" s="182"/>
      <c r="Z721" s="149" t="str">
        <f t="shared" ca="1" si="1201"/>
        <v>tak</v>
      </c>
      <c r="AA721" s="366"/>
      <c r="AB721" s="150" t="str">
        <f t="shared" ca="1" si="1120"/>
        <v>-</v>
      </c>
      <c r="AC721" s="151" t="str">
        <f t="shared" ca="1" si="1172"/>
        <v>PRZED ZMIANĄ</v>
      </c>
      <c r="AD721" s="152" t="str">
        <f t="shared" ca="1" si="1133"/>
        <v>PRZED ZMIANĄ</v>
      </c>
      <c r="AE721" s="153" t="str">
        <f t="shared" ca="1" si="1173"/>
        <v>C/USN/V/P1/nowy 2</v>
      </c>
      <c r="AF721" s="154" t="str">
        <f t="shared" ca="1" si="1174"/>
        <v>Modernizacja Szkoły Podstawowej nr 313 przy ul. Cybisa 1</v>
      </c>
      <c r="AG721" s="155">
        <f t="shared" ca="1" si="1175"/>
        <v>80101</v>
      </c>
      <c r="AH721" s="155" t="str">
        <f t="shared" ca="1" si="1176"/>
        <v>6050</v>
      </c>
      <c r="AI721" s="156" t="str">
        <f t="shared" ca="1" si="1177"/>
        <v>GMMW</v>
      </c>
      <c r="AJ721" s="157" t="str">
        <f t="shared" ca="1" si="1178"/>
        <v>WPF/UM</v>
      </c>
      <c r="AK721" s="158" t="str">
        <f t="shared" ca="1" si="1134"/>
        <v>C/USN/V/P1/nowy 2 80101 6050 GMMW</v>
      </c>
      <c r="AL721" s="158" t="str">
        <f t="shared" ca="1" si="1135"/>
        <v>C/USN/V/P1/nowy 2 80101 6050 WPF/UM</v>
      </c>
      <c r="AM721" s="159" t="str">
        <f t="shared" ca="1" si="1136"/>
        <v>C/USN/V/P1/nowy 2 80101 6050 GMMW WPF/UM</v>
      </c>
      <c r="AN721" s="160">
        <f t="shared" ca="1" si="1179"/>
        <v>0</v>
      </c>
      <c r="AO721" s="161">
        <f t="shared" ca="1" si="1180"/>
        <v>0</v>
      </c>
      <c r="AP721" s="162">
        <f t="shared" ca="1" si="1181"/>
        <v>0</v>
      </c>
      <c r="AQ721" s="163">
        <f t="shared" ca="1" si="1182"/>
        <v>0</v>
      </c>
      <c r="AR721" s="164">
        <f t="shared" ca="1" si="1183"/>
        <v>0</v>
      </c>
      <c r="AS721" s="164">
        <f t="shared" ca="1" si="1184"/>
        <v>0</v>
      </c>
      <c r="AT721" s="164">
        <f t="shared" ca="1" si="1185"/>
        <v>0</v>
      </c>
      <c r="AU721" s="164">
        <f t="shared" ca="1" si="1186"/>
        <v>0</v>
      </c>
      <c r="AV721" s="164">
        <f t="shared" ca="1" si="1187"/>
        <v>0</v>
      </c>
      <c r="AW721" s="164">
        <f t="shared" ca="1" si="1188"/>
        <v>0</v>
      </c>
      <c r="AX721" s="164">
        <f t="shared" ca="1" si="1189"/>
        <v>0</v>
      </c>
      <c r="AY721" s="164">
        <f t="shared" ca="1" si="1190"/>
        <v>0</v>
      </c>
      <c r="AZ721" s="164">
        <f t="shared" ca="1" si="1191"/>
        <v>0</v>
      </c>
      <c r="BA721" s="165" t="str">
        <f t="shared" ca="1" si="1192"/>
        <v>tak</v>
      </c>
      <c r="BB721" s="166" t="str">
        <f t="shared" ca="1" si="1121"/>
        <v>-</v>
      </c>
      <c r="BC721" s="165" t="str">
        <f t="shared" ca="1" si="1202"/>
        <v>tak</v>
      </c>
    </row>
    <row r="722" spans="1:55" ht="14.45" customHeight="1" x14ac:dyDescent="0.25">
      <c r="A722" s="185" t="s">
        <v>97</v>
      </c>
      <c r="B722" s="186"/>
      <c r="C722" s="187"/>
      <c r="D722" s="186"/>
      <c r="E722" s="186"/>
      <c r="F722" s="186"/>
      <c r="G722" s="186"/>
      <c r="H722" s="186"/>
      <c r="I722" s="186"/>
      <c r="J722" s="186"/>
      <c r="K722" s="186"/>
      <c r="L722" s="186"/>
      <c r="M722" s="186"/>
      <c r="N722" s="186"/>
      <c r="O722" s="186"/>
      <c r="P722" s="186"/>
      <c r="Q722" s="186"/>
      <c r="R722" s="188"/>
      <c r="S722" s="189"/>
      <c r="T722" s="189"/>
      <c r="U722" s="189"/>
      <c r="V722" s="189"/>
      <c r="W722" s="189"/>
      <c r="X722" s="189"/>
      <c r="Y722" s="190"/>
      <c r="Z722" s="149" t="str">
        <f t="shared" ca="1" si="1201"/>
        <v>tak</v>
      </c>
      <c r="AA722" s="366"/>
      <c r="AB722" s="150" t="str">
        <f t="shared" ca="1" si="1120"/>
        <v>-</v>
      </c>
      <c r="AC722" s="151" t="str">
        <f t="shared" ca="1" si="1172"/>
        <v>PROPONOWANA ZMIANA</v>
      </c>
      <c r="AD722" s="152" t="str">
        <f t="shared" ca="1" si="1133"/>
        <v/>
      </c>
      <c r="AE722" s="153" t="str">
        <f t="shared" ca="1" si="1173"/>
        <v/>
      </c>
      <c r="AF722" s="154" t="str">
        <f t="shared" ca="1" si="1174"/>
        <v/>
      </c>
      <c r="AG722" s="155" t="str">
        <f t="shared" ca="1" si="1175"/>
        <v/>
      </c>
      <c r="AH722" s="155" t="str">
        <f t="shared" ca="1" si="1176"/>
        <v/>
      </c>
      <c r="AI722" s="156" t="str">
        <f t="shared" ca="1" si="1177"/>
        <v/>
      </c>
      <c r="AJ722" s="157" t="str">
        <f t="shared" ca="1" si="1178"/>
        <v/>
      </c>
      <c r="AK722" s="158" t="str">
        <f t="shared" ca="1" si="1134"/>
        <v/>
      </c>
      <c r="AL722" s="158" t="str">
        <f t="shared" ca="1" si="1135"/>
        <v/>
      </c>
      <c r="AM722" s="159" t="str">
        <f t="shared" ca="1" si="1136"/>
        <v/>
      </c>
      <c r="AN722" s="160" t="str">
        <f t="shared" ca="1" si="1179"/>
        <v/>
      </c>
      <c r="AO722" s="161" t="str">
        <f t="shared" ca="1" si="1180"/>
        <v/>
      </c>
      <c r="AP722" s="162" t="str">
        <f t="shared" ca="1" si="1181"/>
        <v/>
      </c>
      <c r="AQ722" s="163" t="str">
        <f t="shared" ca="1" si="1182"/>
        <v/>
      </c>
      <c r="AR722" s="164" t="str">
        <f t="shared" ca="1" si="1183"/>
        <v/>
      </c>
      <c r="AS722" s="164" t="str">
        <f t="shared" ca="1" si="1184"/>
        <v/>
      </c>
      <c r="AT722" s="164" t="str">
        <f t="shared" ca="1" si="1185"/>
        <v/>
      </c>
      <c r="AU722" s="164" t="str">
        <f t="shared" ca="1" si="1186"/>
        <v/>
      </c>
      <c r="AV722" s="164" t="str">
        <f t="shared" ca="1" si="1187"/>
        <v/>
      </c>
      <c r="AW722" s="164" t="str">
        <f t="shared" ca="1" si="1188"/>
        <v/>
      </c>
      <c r="AX722" s="164" t="str">
        <f t="shared" ca="1" si="1189"/>
        <v/>
      </c>
      <c r="AY722" s="164" t="str">
        <f t="shared" ca="1" si="1190"/>
        <v/>
      </c>
      <c r="AZ722" s="164" t="str">
        <f t="shared" ca="1" si="1191"/>
        <v/>
      </c>
      <c r="BA722" s="165" t="str">
        <f t="shared" ca="1" si="1192"/>
        <v>tak</v>
      </c>
      <c r="BB722" s="166" t="str">
        <f t="shared" ca="1" si="1121"/>
        <v>-</v>
      </c>
      <c r="BC722" s="165" t="str">
        <f t="shared" ca="1" si="1202"/>
        <v>nie</v>
      </c>
    </row>
    <row r="723" spans="1:55" ht="14.45" customHeight="1" x14ac:dyDescent="0.25">
      <c r="A723" s="493" t="s">
        <v>24</v>
      </c>
      <c r="B723" s="493" t="s">
        <v>26</v>
      </c>
      <c r="C723" s="494" t="s">
        <v>473</v>
      </c>
      <c r="D723" s="495" t="s">
        <v>474</v>
      </c>
      <c r="E723" s="497">
        <v>801</v>
      </c>
      <c r="F723" s="497">
        <v>80101</v>
      </c>
      <c r="G723" s="497">
        <v>6050</v>
      </c>
      <c r="H723" s="498" t="s">
        <v>472</v>
      </c>
      <c r="I723" s="499" t="str">
        <f ca="1">IF(COUNTIF(OFFSET(I723,-1,-8),"*propon*")&gt;0,OFFSET(I723,4,0),IF(Y723&gt;0,"2033",IF(X723&gt;0,"2032",IF(W723&gt;0,"2031",IF(V723&gt;0,"2030",IF(U723&gt;0,"2029",IF(T723&gt;0,"2028",IF(S723&gt;0,"2027",IF(R723&gt;0,"2026",IF(Q723&gt;0,"2025",IF(P723&gt;0,"2024",IF(M723&gt;0,"2023",IF(L723&gt;0,"2022","")))))))))))))</f>
        <v>2026</v>
      </c>
      <c r="J723" s="168" t="s">
        <v>98</v>
      </c>
      <c r="K723" s="169">
        <f>SUM(N723:O723)</f>
        <v>4856793</v>
      </c>
      <c r="L723" s="170">
        <f t="shared" ref="L723:M723" si="1207">SUM(L724:L725)</f>
        <v>0</v>
      </c>
      <c r="M723" s="171">
        <f t="shared" si="1207"/>
        <v>0</v>
      </c>
      <c r="N723" s="172">
        <f>SUM(L723:M723)</f>
        <v>0</v>
      </c>
      <c r="O723" s="169">
        <f>SUM(P723:Y723)</f>
        <v>4856793</v>
      </c>
      <c r="P723" s="173">
        <f t="shared" ref="P723:Y723" si="1208">SUM(P724:P725)</f>
        <v>100000</v>
      </c>
      <c r="Q723" s="171">
        <f t="shared" si="1208"/>
        <v>4656793</v>
      </c>
      <c r="R723" s="174">
        <f t="shared" si="1208"/>
        <v>100000</v>
      </c>
      <c r="S723" s="175">
        <f t="shared" si="1208"/>
        <v>0</v>
      </c>
      <c r="T723" s="171">
        <f t="shared" si="1208"/>
        <v>0</v>
      </c>
      <c r="U723" s="171">
        <f t="shared" si="1208"/>
        <v>0</v>
      </c>
      <c r="V723" s="171">
        <f t="shared" si="1208"/>
        <v>0</v>
      </c>
      <c r="W723" s="171">
        <f t="shared" si="1208"/>
        <v>0</v>
      </c>
      <c r="X723" s="171">
        <f t="shared" si="1208"/>
        <v>0</v>
      </c>
      <c r="Y723" s="174">
        <f t="shared" si="1208"/>
        <v>0</v>
      </c>
      <c r="Z723" s="149" t="str">
        <f t="shared" ca="1" si="1201"/>
        <v>tak</v>
      </c>
      <c r="AA723" s="366"/>
      <c r="AB723" s="150" t="str">
        <f t="shared" ca="1" si="1120"/>
        <v>C/USN/V/P1/nowy 2</v>
      </c>
      <c r="AC723" s="151" t="str">
        <f t="shared" ca="1" si="1172"/>
        <v>PROPONOWANA ZMIANA</v>
      </c>
      <c r="AD723" s="152" t="str">
        <f t="shared" ca="1" si="1133"/>
        <v>PROPONOWANA ZMIANA</v>
      </c>
      <c r="AE723" s="153" t="str">
        <f t="shared" ca="1" si="1173"/>
        <v>C/USN/V/P1/nowy 2</v>
      </c>
      <c r="AF723" s="154" t="str">
        <f t="shared" ca="1" si="1174"/>
        <v>Modernizacja Szkoły Podstawowej nr 313 przy ul. Cybisa 1</v>
      </c>
      <c r="AG723" s="155">
        <f t="shared" ca="1" si="1175"/>
        <v>80101</v>
      </c>
      <c r="AH723" s="155" t="str">
        <f t="shared" ca="1" si="1176"/>
        <v>6050</v>
      </c>
      <c r="AI723" s="156" t="str">
        <f t="shared" ca="1" si="1177"/>
        <v>GMMW</v>
      </c>
      <c r="AJ723" s="157" t="str">
        <f t="shared" ca="1" si="1178"/>
        <v>WPF, w tym</v>
      </c>
      <c r="AK723" s="158" t="str">
        <f t="shared" ca="1" si="1134"/>
        <v>C/USN/V/P1/nowy 2 80101 6050 GMMW</v>
      </c>
      <c r="AL723" s="158" t="str">
        <f t="shared" ca="1" si="1135"/>
        <v>C/USN/V/P1/nowy 2 80101 6050 WPF, w tym</v>
      </c>
      <c r="AM723" s="159" t="str">
        <f t="shared" ca="1" si="1136"/>
        <v>C/USN/V/P1/nowy 2 80101 6050 GMMW WPF, w tym</v>
      </c>
      <c r="AN723" s="160">
        <f t="shared" ca="1" si="1179"/>
        <v>4856793</v>
      </c>
      <c r="AO723" s="161">
        <f t="shared" ca="1" si="1180"/>
        <v>0</v>
      </c>
      <c r="AP723" s="162">
        <f t="shared" ca="1" si="1181"/>
        <v>0</v>
      </c>
      <c r="AQ723" s="163">
        <f t="shared" ca="1" si="1182"/>
        <v>100000</v>
      </c>
      <c r="AR723" s="164">
        <f t="shared" ca="1" si="1183"/>
        <v>4656793</v>
      </c>
      <c r="AS723" s="164">
        <f t="shared" ca="1" si="1184"/>
        <v>100000</v>
      </c>
      <c r="AT723" s="164">
        <f t="shared" ca="1" si="1185"/>
        <v>0</v>
      </c>
      <c r="AU723" s="164">
        <f t="shared" ca="1" si="1186"/>
        <v>0</v>
      </c>
      <c r="AV723" s="164">
        <f t="shared" ca="1" si="1187"/>
        <v>0</v>
      </c>
      <c r="AW723" s="164">
        <f t="shared" ca="1" si="1188"/>
        <v>0</v>
      </c>
      <c r="AX723" s="164">
        <f t="shared" ca="1" si="1189"/>
        <v>0</v>
      </c>
      <c r="AY723" s="164">
        <f t="shared" ca="1" si="1190"/>
        <v>0</v>
      </c>
      <c r="AZ723" s="164">
        <f t="shared" ca="1" si="1191"/>
        <v>0</v>
      </c>
      <c r="BA723" s="165" t="str">
        <f t="shared" ca="1" si="1192"/>
        <v>tak</v>
      </c>
      <c r="BB723" s="166" t="str">
        <f t="shared" ca="1" si="1121"/>
        <v>C/USN/V/P1/nowy 2 80101 6050 GMMW</v>
      </c>
      <c r="BC723" s="165" t="str">
        <f t="shared" ca="1" si="1202"/>
        <v>tak</v>
      </c>
    </row>
    <row r="724" spans="1:55" ht="14.45" customHeight="1" x14ac:dyDescent="0.25">
      <c r="A724" s="493"/>
      <c r="B724" s="493"/>
      <c r="C724" s="494"/>
      <c r="D724" s="496"/>
      <c r="E724" s="497"/>
      <c r="F724" s="497"/>
      <c r="G724" s="497"/>
      <c r="H724" s="498"/>
      <c r="I724" s="499"/>
      <c r="J724" s="177" t="s">
        <v>99</v>
      </c>
      <c r="K724" s="178">
        <f>SUM(N724:O724)</f>
        <v>4856793</v>
      </c>
      <c r="L724" s="179">
        <f t="shared" ref="L724:M724" si="1209">L728-L720</f>
        <v>0</v>
      </c>
      <c r="M724" s="180">
        <f t="shared" si="1209"/>
        <v>0</v>
      </c>
      <c r="N724" s="172">
        <f>SUM(L724:M724)</f>
        <v>0</v>
      </c>
      <c r="O724" s="178">
        <f>SUM(P724:Y724)</f>
        <v>4856793</v>
      </c>
      <c r="P724" s="181">
        <f t="shared" ref="P724:Y724" si="1210">P728-P720</f>
        <v>100000</v>
      </c>
      <c r="Q724" s="180">
        <f t="shared" si="1210"/>
        <v>4656793</v>
      </c>
      <c r="R724" s="182">
        <f t="shared" si="1210"/>
        <v>100000</v>
      </c>
      <c r="S724" s="183">
        <f t="shared" si="1210"/>
        <v>0</v>
      </c>
      <c r="T724" s="180">
        <f t="shared" si="1210"/>
        <v>0</v>
      </c>
      <c r="U724" s="180">
        <f t="shared" si="1210"/>
        <v>0</v>
      </c>
      <c r="V724" s="180">
        <f t="shared" si="1210"/>
        <v>0</v>
      </c>
      <c r="W724" s="180">
        <f t="shared" si="1210"/>
        <v>0</v>
      </c>
      <c r="X724" s="180">
        <f t="shared" si="1210"/>
        <v>0</v>
      </c>
      <c r="Y724" s="182">
        <f t="shared" si="1210"/>
        <v>0</v>
      </c>
      <c r="Z724" s="149" t="str">
        <f t="shared" ca="1" si="1201"/>
        <v>tak</v>
      </c>
      <c r="AA724" s="366"/>
      <c r="AB724" s="150" t="str">
        <f t="shared" ca="1" si="1120"/>
        <v>C/USN/V/P1/nowy 2</v>
      </c>
      <c r="AC724" s="151" t="str">
        <f t="shared" ca="1" si="1172"/>
        <v>PROPONOWANA ZMIANA</v>
      </c>
      <c r="AD724" s="152" t="str">
        <f t="shared" ca="1" si="1133"/>
        <v>PROPONOWANA ZMIANA</v>
      </c>
      <c r="AE724" s="153" t="str">
        <f t="shared" ca="1" si="1173"/>
        <v>C/USN/V/P1/nowy 2</v>
      </c>
      <c r="AF724" s="154" t="str">
        <f t="shared" ca="1" si="1174"/>
        <v>Modernizacja Szkoły Podstawowej nr 313 przy ul. Cybisa 1</v>
      </c>
      <c r="AG724" s="155">
        <f t="shared" ca="1" si="1175"/>
        <v>80101</v>
      </c>
      <c r="AH724" s="155" t="str">
        <f t="shared" ca="1" si="1176"/>
        <v>6050</v>
      </c>
      <c r="AI724" s="156" t="str">
        <f t="shared" ca="1" si="1177"/>
        <v>GMMW</v>
      </c>
      <c r="AJ724" s="157" t="str">
        <f t="shared" ca="1" si="1178"/>
        <v>WPF/PM</v>
      </c>
      <c r="AK724" s="158" t="str">
        <f t="shared" ca="1" si="1134"/>
        <v>C/USN/V/P1/nowy 2 80101 6050 GMMW</v>
      </c>
      <c r="AL724" s="158" t="str">
        <f t="shared" ca="1" si="1135"/>
        <v>C/USN/V/P1/nowy 2 80101 6050 WPF/PM</v>
      </c>
      <c r="AM724" s="159" t="str">
        <f t="shared" ca="1" si="1136"/>
        <v>C/USN/V/P1/nowy 2 80101 6050 GMMW WPF/PM</v>
      </c>
      <c r="AN724" s="160">
        <f t="shared" ca="1" si="1179"/>
        <v>4856793</v>
      </c>
      <c r="AO724" s="161">
        <f t="shared" ca="1" si="1180"/>
        <v>0</v>
      </c>
      <c r="AP724" s="162">
        <f t="shared" ca="1" si="1181"/>
        <v>0</v>
      </c>
      <c r="AQ724" s="163">
        <f t="shared" ca="1" si="1182"/>
        <v>100000</v>
      </c>
      <c r="AR724" s="164">
        <f t="shared" ca="1" si="1183"/>
        <v>4656793</v>
      </c>
      <c r="AS724" s="164">
        <f t="shared" ca="1" si="1184"/>
        <v>100000</v>
      </c>
      <c r="AT724" s="164">
        <f t="shared" ca="1" si="1185"/>
        <v>0</v>
      </c>
      <c r="AU724" s="164">
        <f t="shared" ca="1" si="1186"/>
        <v>0</v>
      </c>
      <c r="AV724" s="164">
        <f t="shared" ca="1" si="1187"/>
        <v>0</v>
      </c>
      <c r="AW724" s="164">
        <f t="shared" ca="1" si="1188"/>
        <v>0</v>
      </c>
      <c r="AX724" s="164">
        <f t="shared" ca="1" si="1189"/>
        <v>0</v>
      </c>
      <c r="AY724" s="164">
        <f t="shared" ca="1" si="1190"/>
        <v>0</v>
      </c>
      <c r="AZ724" s="164">
        <f t="shared" ca="1" si="1191"/>
        <v>0</v>
      </c>
      <c r="BA724" s="165" t="str">
        <f t="shared" ca="1" si="1192"/>
        <v>tak</v>
      </c>
      <c r="BB724" s="166" t="str">
        <f t="shared" ca="1" si="1121"/>
        <v>C/USN/V/P1/nowy 2 80101 6050 GMMW</v>
      </c>
      <c r="BC724" s="165" t="str">
        <f t="shared" ca="1" si="1202"/>
        <v>tak</v>
      </c>
    </row>
    <row r="725" spans="1:55" ht="14.45" customHeight="1" x14ac:dyDescent="0.25">
      <c r="A725" s="493"/>
      <c r="B725" s="493"/>
      <c r="C725" s="494"/>
      <c r="D725" s="496"/>
      <c r="E725" s="497"/>
      <c r="F725" s="497"/>
      <c r="G725" s="497"/>
      <c r="H725" s="498"/>
      <c r="I725" s="499"/>
      <c r="J725" s="177" t="s">
        <v>100</v>
      </c>
      <c r="K725" s="178">
        <f>SUM(N725:O725)</f>
        <v>0</v>
      </c>
      <c r="L725" s="184">
        <f t="shared" ref="L725:M725" si="1211">L729-L721</f>
        <v>0</v>
      </c>
      <c r="M725" s="180">
        <f t="shared" si="1211"/>
        <v>0</v>
      </c>
      <c r="N725" s="172">
        <f>SUM(L725:M725)</f>
        <v>0</v>
      </c>
      <c r="O725" s="178">
        <f>SUM(P725:Y725)</f>
        <v>0</v>
      </c>
      <c r="P725" s="181">
        <f t="shared" ref="P725:Y725" si="1212">P729-P721</f>
        <v>0</v>
      </c>
      <c r="Q725" s="180">
        <f t="shared" si="1212"/>
        <v>0</v>
      </c>
      <c r="R725" s="182">
        <f t="shared" si="1212"/>
        <v>0</v>
      </c>
      <c r="S725" s="183">
        <f t="shared" si="1212"/>
        <v>0</v>
      </c>
      <c r="T725" s="180">
        <f t="shared" si="1212"/>
        <v>0</v>
      </c>
      <c r="U725" s="180">
        <f t="shared" si="1212"/>
        <v>0</v>
      </c>
      <c r="V725" s="180">
        <f t="shared" si="1212"/>
        <v>0</v>
      </c>
      <c r="W725" s="180">
        <f t="shared" si="1212"/>
        <v>0</v>
      </c>
      <c r="X725" s="180">
        <f t="shared" si="1212"/>
        <v>0</v>
      </c>
      <c r="Y725" s="182">
        <f t="shared" si="1212"/>
        <v>0</v>
      </c>
      <c r="Z725" s="149" t="str">
        <f t="shared" ca="1" si="1201"/>
        <v>tak</v>
      </c>
      <c r="AA725" s="366"/>
      <c r="AB725" s="150" t="str">
        <f t="shared" ca="1" si="1120"/>
        <v>-</v>
      </c>
      <c r="AC725" s="151" t="str">
        <f t="shared" ca="1" si="1172"/>
        <v>PROPONOWANA ZMIANA</v>
      </c>
      <c r="AD725" s="152" t="str">
        <f t="shared" ca="1" si="1133"/>
        <v>PROPONOWANA ZMIANA</v>
      </c>
      <c r="AE725" s="153" t="str">
        <f t="shared" ca="1" si="1173"/>
        <v>C/USN/V/P1/nowy 2</v>
      </c>
      <c r="AF725" s="154" t="str">
        <f t="shared" ca="1" si="1174"/>
        <v>Modernizacja Szkoły Podstawowej nr 313 przy ul. Cybisa 1</v>
      </c>
      <c r="AG725" s="155">
        <f t="shared" ca="1" si="1175"/>
        <v>80101</v>
      </c>
      <c r="AH725" s="155" t="str">
        <f t="shared" ca="1" si="1176"/>
        <v>6050</v>
      </c>
      <c r="AI725" s="156" t="str">
        <f t="shared" ca="1" si="1177"/>
        <v>GMMW</v>
      </c>
      <c r="AJ725" s="157" t="str">
        <f t="shared" ca="1" si="1178"/>
        <v>WPF/UM</v>
      </c>
      <c r="AK725" s="158" t="str">
        <f t="shared" ca="1" si="1134"/>
        <v>C/USN/V/P1/nowy 2 80101 6050 GMMW</v>
      </c>
      <c r="AL725" s="158" t="str">
        <f t="shared" ca="1" si="1135"/>
        <v>C/USN/V/P1/nowy 2 80101 6050 WPF/UM</v>
      </c>
      <c r="AM725" s="159" t="str">
        <f t="shared" ca="1" si="1136"/>
        <v>C/USN/V/P1/nowy 2 80101 6050 GMMW WPF/UM</v>
      </c>
      <c r="AN725" s="160">
        <f t="shared" ca="1" si="1179"/>
        <v>0</v>
      </c>
      <c r="AO725" s="161">
        <f t="shared" ca="1" si="1180"/>
        <v>0</v>
      </c>
      <c r="AP725" s="162">
        <f t="shared" ca="1" si="1181"/>
        <v>0</v>
      </c>
      <c r="AQ725" s="163">
        <f t="shared" ca="1" si="1182"/>
        <v>0</v>
      </c>
      <c r="AR725" s="164">
        <f t="shared" ca="1" si="1183"/>
        <v>0</v>
      </c>
      <c r="AS725" s="164">
        <f t="shared" ca="1" si="1184"/>
        <v>0</v>
      </c>
      <c r="AT725" s="164">
        <f t="shared" ca="1" si="1185"/>
        <v>0</v>
      </c>
      <c r="AU725" s="164">
        <f t="shared" ca="1" si="1186"/>
        <v>0</v>
      </c>
      <c r="AV725" s="164">
        <f t="shared" ca="1" si="1187"/>
        <v>0</v>
      </c>
      <c r="AW725" s="164">
        <f t="shared" ca="1" si="1188"/>
        <v>0</v>
      </c>
      <c r="AX725" s="164">
        <f t="shared" ca="1" si="1189"/>
        <v>0</v>
      </c>
      <c r="AY725" s="164">
        <f t="shared" ca="1" si="1190"/>
        <v>0</v>
      </c>
      <c r="AZ725" s="164">
        <f t="shared" ca="1" si="1191"/>
        <v>0</v>
      </c>
      <c r="BA725" s="165" t="str">
        <f t="shared" ca="1" si="1192"/>
        <v>tak</v>
      </c>
      <c r="BB725" s="166" t="str">
        <f t="shared" ca="1" si="1121"/>
        <v>-</v>
      </c>
      <c r="BC725" s="165" t="str">
        <f t="shared" ca="1" si="1202"/>
        <v>tak</v>
      </c>
    </row>
    <row r="726" spans="1:55" ht="14.45" customHeight="1" x14ac:dyDescent="0.25">
      <c r="A726" s="191" t="s">
        <v>101</v>
      </c>
      <c r="B726" s="192"/>
      <c r="C726" s="193"/>
      <c r="D726" s="192"/>
      <c r="E726" s="192"/>
      <c r="F726" s="192"/>
      <c r="G726" s="192"/>
      <c r="H726" s="192"/>
      <c r="I726" s="192"/>
      <c r="J726" s="192"/>
      <c r="K726" s="192"/>
      <c r="L726" s="192"/>
      <c r="M726" s="192"/>
      <c r="N726" s="192"/>
      <c r="O726" s="192"/>
      <c r="P726" s="192"/>
      <c r="Q726" s="192"/>
      <c r="R726" s="194"/>
      <c r="S726" s="195"/>
      <c r="T726" s="195"/>
      <c r="U726" s="195"/>
      <c r="V726" s="195"/>
      <c r="W726" s="195"/>
      <c r="X726" s="195"/>
      <c r="Y726" s="196"/>
      <c r="Z726" s="149" t="str">
        <f t="shared" ca="1" si="1201"/>
        <v>tak</v>
      </c>
      <c r="AA726" s="366"/>
      <c r="AB726" s="150" t="str">
        <f t="shared" ca="1" si="1120"/>
        <v>-</v>
      </c>
      <c r="AC726" s="151" t="str">
        <f t="shared" ca="1" si="1172"/>
        <v>PO ZMIANIE</v>
      </c>
      <c r="AD726" s="152" t="str">
        <f t="shared" ca="1" si="1133"/>
        <v/>
      </c>
      <c r="AE726" s="153" t="str">
        <f t="shared" ca="1" si="1173"/>
        <v/>
      </c>
      <c r="AF726" s="154" t="str">
        <f t="shared" ca="1" si="1174"/>
        <v/>
      </c>
      <c r="AG726" s="155" t="str">
        <f t="shared" ca="1" si="1175"/>
        <v/>
      </c>
      <c r="AH726" s="155" t="str">
        <f t="shared" ca="1" si="1176"/>
        <v/>
      </c>
      <c r="AI726" s="156" t="str">
        <f t="shared" ca="1" si="1177"/>
        <v/>
      </c>
      <c r="AJ726" s="157" t="str">
        <f t="shared" ca="1" si="1178"/>
        <v/>
      </c>
      <c r="AK726" s="158" t="str">
        <f t="shared" ca="1" si="1134"/>
        <v/>
      </c>
      <c r="AL726" s="158" t="str">
        <f t="shared" ca="1" si="1135"/>
        <v/>
      </c>
      <c r="AM726" s="159" t="str">
        <f t="shared" ca="1" si="1136"/>
        <v/>
      </c>
      <c r="AN726" s="160" t="str">
        <f t="shared" ca="1" si="1179"/>
        <v/>
      </c>
      <c r="AO726" s="161" t="str">
        <f t="shared" ca="1" si="1180"/>
        <v/>
      </c>
      <c r="AP726" s="162" t="str">
        <f t="shared" ca="1" si="1181"/>
        <v/>
      </c>
      <c r="AQ726" s="163" t="str">
        <f t="shared" ca="1" si="1182"/>
        <v/>
      </c>
      <c r="AR726" s="164" t="str">
        <f t="shared" ca="1" si="1183"/>
        <v/>
      </c>
      <c r="AS726" s="164" t="str">
        <f t="shared" ca="1" si="1184"/>
        <v/>
      </c>
      <c r="AT726" s="164" t="str">
        <f t="shared" ca="1" si="1185"/>
        <v/>
      </c>
      <c r="AU726" s="164" t="str">
        <f t="shared" ca="1" si="1186"/>
        <v/>
      </c>
      <c r="AV726" s="164" t="str">
        <f t="shared" ca="1" si="1187"/>
        <v/>
      </c>
      <c r="AW726" s="164" t="str">
        <f t="shared" ca="1" si="1188"/>
        <v/>
      </c>
      <c r="AX726" s="164" t="str">
        <f t="shared" ca="1" si="1189"/>
        <v/>
      </c>
      <c r="AY726" s="164" t="str">
        <f t="shared" ca="1" si="1190"/>
        <v/>
      </c>
      <c r="AZ726" s="164" t="str">
        <f t="shared" ca="1" si="1191"/>
        <v/>
      </c>
      <c r="BA726" s="165" t="str">
        <f t="shared" ca="1" si="1192"/>
        <v>tak</v>
      </c>
      <c r="BB726" s="166" t="str">
        <f t="shared" ca="1" si="1121"/>
        <v>-</v>
      </c>
      <c r="BC726" s="165" t="str">
        <f t="shared" ca="1" si="1202"/>
        <v>nie</v>
      </c>
    </row>
    <row r="727" spans="1:55" ht="14.45" customHeight="1" x14ac:dyDescent="0.25">
      <c r="A727" s="493" t="s">
        <v>24</v>
      </c>
      <c r="B727" s="493" t="s">
        <v>26</v>
      </c>
      <c r="C727" s="494" t="s">
        <v>473</v>
      </c>
      <c r="D727" s="495" t="s">
        <v>474</v>
      </c>
      <c r="E727" s="497">
        <v>801</v>
      </c>
      <c r="F727" s="497">
        <v>80101</v>
      </c>
      <c r="G727" s="497">
        <v>6050</v>
      </c>
      <c r="H727" s="498" t="s">
        <v>472</v>
      </c>
      <c r="I727" s="499" t="str">
        <f ca="1">IF(COUNTIF(OFFSET(I727,-1,-8),"*propon*")&gt;0,OFFSET(I727,4,0),IF(Y727&gt;0,"2033",IF(X727&gt;0,"2032",IF(W727&gt;0,"2031",IF(V727&gt;0,"2030",IF(U727&gt;0,"2029",IF(T727&gt;0,"2028",IF(S727&gt;0,"2027",IF(R727&gt;0,"2026",IF(Q727&gt;0,"2025",IF(P727&gt;0,"2024",IF(M727&gt;0,"2023",IF(L727&gt;0,"2022","")))))))))))))</f>
        <v>2026</v>
      </c>
      <c r="J727" s="168" t="s">
        <v>102</v>
      </c>
      <c r="K727" s="169">
        <f>SUM(N727:O727)</f>
        <v>4856793</v>
      </c>
      <c r="L727" s="170">
        <f t="shared" ref="L727:M727" si="1213">SUM(L728:L729)</f>
        <v>0</v>
      </c>
      <c r="M727" s="171">
        <f t="shared" si="1213"/>
        <v>0</v>
      </c>
      <c r="N727" s="172">
        <f>SUM(L727:M727)</f>
        <v>0</v>
      </c>
      <c r="O727" s="169">
        <f>SUM(P727:Y727)</f>
        <v>4856793</v>
      </c>
      <c r="P727" s="173">
        <f t="shared" ref="P727:Y727" si="1214">SUM(P728:P729)</f>
        <v>100000</v>
      </c>
      <c r="Q727" s="171">
        <f t="shared" si="1214"/>
        <v>4656793</v>
      </c>
      <c r="R727" s="174">
        <f t="shared" si="1214"/>
        <v>100000</v>
      </c>
      <c r="S727" s="175">
        <f t="shared" si="1214"/>
        <v>0</v>
      </c>
      <c r="T727" s="171">
        <f t="shared" si="1214"/>
        <v>0</v>
      </c>
      <c r="U727" s="171">
        <f t="shared" si="1214"/>
        <v>0</v>
      </c>
      <c r="V727" s="171">
        <f t="shared" si="1214"/>
        <v>0</v>
      </c>
      <c r="W727" s="171">
        <f t="shared" si="1214"/>
        <v>0</v>
      </c>
      <c r="X727" s="171">
        <f t="shared" si="1214"/>
        <v>0</v>
      </c>
      <c r="Y727" s="174">
        <f t="shared" si="1214"/>
        <v>0</v>
      </c>
      <c r="Z727" s="149" t="str">
        <f t="shared" ca="1" si="1201"/>
        <v>tak</v>
      </c>
      <c r="AA727" s="366"/>
      <c r="AB727" s="150" t="str">
        <f t="shared" ca="1" si="1120"/>
        <v>-</v>
      </c>
      <c r="AC727" s="151" t="str">
        <f t="shared" ca="1" si="1172"/>
        <v>PO ZMIANIE</v>
      </c>
      <c r="AD727" s="152" t="str">
        <f t="shared" ca="1" si="1133"/>
        <v>PO ZMIANIE</v>
      </c>
      <c r="AE727" s="153" t="str">
        <f t="shared" ca="1" si="1173"/>
        <v>C/USN/V/P1/nowy 2</v>
      </c>
      <c r="AF727" s="154" t="str">
        <f t="shared" ca="1" si="1174"/>
        <v>Modernizacja Szkoły Podstawowej nr 313 przy ul. Cybisa 1</v>
      </c>
      <c r="AG727" s="155">
        <f t="shared" ca="1" si="1175"/>
        <v>80101</v>
      </c>
      <c r="AH727" s="155" t="str">
        <f t="shared" ca="1" si="1176"/>
        <v>6050</v>
      </c>
      <c r="AI727" s="156" t="str">
        <f t="shared" ca="1" si="1177"/>
        <v>GMMW</v>
      </c>
      <c r="AJ727" s="157" t="str">
        <f t="shared" ca="1" si="1178"/>
        <v>WPF, w tym</v>
      </c>
      <c r="AK727" s="158" t="str">
        <f t="shared" ca="1" si="1134"/>
        <v>C/USN/V/P1/nowy 2 80101 6050 GMMW</v>
      </c>
      <c r="AL727" s="158" t="str">
        <f t="shared" ca="1" si="1135"/>
        <v>C/USN/V/P1/nowy 2 80101 6050 WPF, w tym</v>
      </c>
      <c r="AM727" s="159" t="str">
        <f t="shared" ca="1" si="1136"/>
        <v>C/USN/V/P1/nowy 2 80101 6050 GMMW WPF, w tym</v>
      </c>
      <c r="AN727" s="160">
        <f t="shared" ca="1" si="1179"/>
        <v>4856793</v>
      </c>
      <c r="AO727" s="161">
        <f t="shared" ca="1" si="1180"/>
        <v>0</v>
      </c>
      <c r="AP727" s="162">
        <f t="shared" ca="1" si="1181"/>
        <v>0</v>
      </c>
      <c r="AQ727" s="163">
        <f t="shared" ca="1" si="1182"/>
        <v>100000</v>
      </c>
      <c r="AR727" s="164">
        <f t="shared" ca="1" si="1183"/>
        <v>4656793</v>
      </c>
      <c r="AS727" s="164">
        <f t="shared" ca="1" si="1184"/>
        <v>100000</v>
      </c>
      <c r="AT727" s="164">
        <f t="shared" ca="1" si="1185"/>
        <v>0</v>
      </c>
      <c r="AU727" s="164">
        <f t="shared" ca="1" si="1186"/>
        <v>0</v>
      </c>
      <c r="AV727" s="164">
        <f t="shared" ca="1" si="1187"/>
        <v>0</v>
      </c>
      <c r="AW727" s="164">
        <f t="shared" ca="1" si="1188"/>
        <v>0</v>
      </c>
      <c r="AX727" s="164">
        <f t="shared" ca="1" si="1189"/>
        <v>0</v>
      </c>
      <c r="AY727" s="164">
        <f t="shared" ca="1" si="1190"/>
        <v>0</v>
      </c>
      <c r="AZ727" s="164">
        <f t="shared" ca="1" si="1191"/>
        <v>0</v>
      </c>
      <c r="BA727" s="165" t="str">
        <f t="shared" ca="1" si="1192"/>
        <v>tak</v>
      </c>
      <c r="BB727" s="166" t="str">
        <f t="shared" ca="1" si="1121"/>
        <v>-</v>
      </c>
      <c r="BC727" s="165" t="str">
        <f t="shared" ca="1" si="1202"/>
        <v>tak</v>
      </c>
    </row>
    <row r="728" spans="1:55" ht="14.45" customHeight="1" x14ac:dyDescent="0.25">
      <c r="A728" s="493"/>
      <c r="B728" s="493"/>
      <c r="C728" s="494"/>
      <c r="D728" s="496"/>
      <c r="E728" s="497"/>
      <c r="F728" s="497"/>
      <c r="G728" s="497"/>
      <c r="H728" s="498"/>
      <c r="I728" s="499"/>
      <c r="J728" s="177" t="s">
        <v>103</v>
      </c>
      <c r="K728" s="178">
        <f>SUM(N728:O728)</f>
        <v>4856793</v>
      </c>
      <c r="L728" s="179"/>
      <c r="M728" s="180"/>
      <c r="N728" s="172">
        <f>SUM(L728:M728)</f>
        <v>0</v>
      </c>
      <c r="O728" s="178">
        <f>SUM(P728:Y728)</f>
        <v>4856793</v>
      </c>
      <c r="P728" s="181">
        <v>100000</v>
      </c>
      <c r="Q728" s="180">
        <f>4656793</f>
        <v>4656793</v>
      </c>
      <c r="R728" s="182">
        <v>100000</v>
      </c>
      <c r="S728" s="183"/>
      <c r="T728" s="180"/>
      <c r="U728" s="180"/>
      <c r="V728" s="180"/>
      <c r="W728" s="180"/>
      <c r="X728" s="180"/>
      <c r="Y728" s="182"/>
      <c r="Z728" s="149" t="str">
        <f t="shared" ca="1" si="1201"/>
        <v>tak</v>
      </c>
      <c r="AA728" s="366"/>
      <c r="AB728" s="150" t="str">
        <f t="shared" ca="1" si="1120"/>
        <v>-</v>
      </c>
      <c r="AC728" s="151" t="str">
        <f t="shared" ca="1" si="1172"/>
        <v>PO ZMIANIE</v>
      </c>
      <c r="AD728" s="152" t="str">
        <f t="shared" ca="1" si="1133"/>
        <v>PO ZMIANIE</v>
      </c>
      <c r="AE728" s="153" t="str">
        <f t="shared" ca="1" si="1173"/>
        <v>C/USN/V/P1/nowy 2</v>
      </c>
      <c r="AF728" s="154" t="str">
        <f t="shared" ca="1" si="1174"/>
        <v>Modernizacja Szkoły Podstawowej nr 313 przy ul. Cybisa 1</v>
      </c>
      <c r="AG728" s="155">
        <f t="shared" ca="1" si="1175"/>
        <v>80101</v>
      </c>
      <c r="AH728" s="155" t="str">
        <f t="shared" ca="1" si="1176"/>
        <v>6050</v>
      </c>
      <c r="AI728" s="156" t="str">
        <f t="shared" ca="1" si="1177"/>
        <v>GMMW</v>
      </c>
      <c r="AJ728" s="157" t="str">
        <f t="shared" ca="1" si="1178"/>
        <v>WPF/PM</v>
      </c>
      <c r="AK728" s="158" t="str">
        <f t="shared" ca="1" si="1134"/>
        <v>C/USN/V/P1/nowy 2 80101 6050 GMMW</v>
      </c>
      <c r="AL728" s="158" t="str">
        <f t="shared" ca="1" si="1135"/>
        <v>C/USN/V/P1/nowy 2 80101 6050 WPF/PM</v>
      </c>
      <c r="AM728" s="159" t="str">
        <f t="shared" ca="1" si="1136"/>
        <v>C/USN/V/P1/nowy 2 80101 6050 GMMW WPF/PM</v>
      </c>
      <c r="AN728" s="160">
        <f t="shared" ca="1" si="1179"/>
        <v>4856793</v>
      </c>
      <c r="AO728" s="161">
        <f t="shared" ca="1" si="1180"/>
        <v>0</v>
      </c>
      <c r="AP728" s="162">
        <f t="shared" ca="1" si="1181"/>
        <v>0</v>
      </c>
      <c r="AQ728" s="163">
        <f t="shared" ca="1" si="1182"/>
        <v>100000</v>
      </c>
      <c r="AR728" s="164">
        <f t="shared" ca="1" si="1183"/>
        <v>4656793</v>
      </c>
      <c r="AS728" s="164">
        <f t="shared" ca="1" si="1184"/>
        <v>100000</v>
      </c>
      <c r="AT728" s="164">
        <f t="shared" ca="1" si="1185"/>
        <v>0</v>
      </c>
      <c r="AU728" s="164">
        <f t="shared" ca="1" si="1186"/>
        <v>0</v>
      </c>
      <c r="AV728" s="164">
        <f t="shared" ca="1" si="1187"/>
        <v>0</v>
      </c>
      <c r="AW728" s="164">
        <f t="shared" ca="1" si="1188"/>
        <v>0</v>
      </c>
      <c r="AX728" s="164">
        <f t="shared" ca="1" si="1189"/>
        <v>0</v>
      </c>
      <c r="AY728" s="164">
        <f t="shared" ca="1" si="1190"/>
        <v>0</v>
      </c>
      <c r="AZ728" s="164">
        <f t="shared" ca="1" si="1191"/>
        <v>0</v>
      </c>
      <c r="BA728" s="165" t="str">
        <f t="shared" ca="1" si="1192"/>
        <v>tak</v>
      </c>
      <c r="BB728" s="166" t="str">
        <f t="shared" ca="1" si="1121"/>
        <v>-</v>
      </c>
      <c r="BC728" s="165" t="str">
        <f t="shared" ca="1" si="1202"/>
        <v>tak</v>
      </c>
    </row>
    <row r="729" spans="1:55" ht="14.45" customHeight="1" thickBot="1" x14ac:dyDescent="0.3">
      <c r="A729" s="500"/>
      <c r="B729" s="500"/>
      <c r="C729" s="501"/>
      <c r="D729" s="502"/>
      <c r="E729" s="503"/>
      <c r="F729" s="503"/>
      <c r="G729" s="503"/>
      <c r="H729" s="504"/>
      <c r="I729" s="499"/>
      <c r="J729" s="197" t="s">
        <v>104</v>
      </c>
      <c r="K729" s="198">
        <f>SUM(N729:O729)</f>
        <v>0</v>
      </c>
      <c r="L729" s="199"/>
      <c r="M729" s="200"/>
      <c r="N729" s="371">
        <f>SUM(L729:M729)</f>
        <v>0</v>
      </c>
      <c r="O729" s="198">
        <f>SUM(P729:Y729)</f>
        <v>0</v>
      </c>
      <c r="P729" s="201"/>
      <c r="Q729" s="200"/>
      <c r="R729" s="202"/>
      <c r="S729" s="203"/>
      <c r="T729" s="200"/>
      <c r="U729" s="200"/>
      <c r="V729" s="200"/>
      <c r="W729" s="200"/>
      <c r="X729" s="200"/>
      <c r="Y729" s="202"/>
      <c r="Z729" s="149" t="str">
        <f t="shared" ca="1" si="1201"/>
        <v>tak</v>
      </c>
      <c r="AA729" s="366"/>
      <c r="AB729" s="150" t="str">
        <f t="shared" ca="1" si="1120"/>
        <v>-</v>
      </c>
      <c r="AC729" s="151" t="str">
        <f t="shared" ca="1" si="1172"/>
        <v>PO ZMIANIE</v>
      </c>
      <c r="AD729" s="152" t="str">
        <f t="shared" ca="1" si="1133"/>
        <v>PO ZMIANIE</v>
      </c>
      <c r="AE729" s="153" t="str">
        <f t="shared" ca="1" si="1173"/>
        <v>C/USN/V/P1/nowy 2</v>
      </c>
      <c r="AF729" s="154" t="str">
        <f t="shared" ca="1" si="1174"/>
        <v>Modernizacja Szkoły Podstawowej nr 313 przy ul. Cybisa 1</v>
      </c>
      <c r="AG729" s="155">
        <f t="shared" ca="1" si="1175"/>
        <v>80101</v>
      </c>
      <c r="AH729" s="155" t="str">
        <f t="shared" ca="1" si="1176"/>
        <v>6050</v>
      </c>
      <c r="AI729" s="156" t="str">
        <f t="shared" ca="1" si="1177"/>
        <v>GMMW</v>
      </c>
      <c r="AJ729" s="157" t="str">
        <f t="shared" ca="1" si="1178"/>
        <v>WPF/UM</v>
      </c>
      <c r="AK729" s="158" t="str">
        <f t="shared" ca="1" si="1134"/>
        <v>C/USN/V/P1/nowy 2 80101 6050 GMMW</v>
      </c>
      <c r="AL729" s="158" t="str">
        <f t="shared" ca="1" si="1135"/>
        <v>C/USN/V/P1/nowy 2 80101 6050 WPF/UM</v>
      </c>
      <c r="AM729" s="159" t="str">
        <f t="shared" ca="1" si="1136"/>
        <v>C/USN/V/P1/nowy 2 80101 6050 GMMW WPF/UM</v>
      </c>
      <c r="AN729" s="160">
        <f t="shared" ca="1" si="1179"/>
        <v>0</v>
      </c>
      <c r="AO729" s="161">
        <f t="shared" ca="1" si="1180"/>
        <v>0</v>
      </c>
      <c r="AP729" s="162">
        <f t="shared" ca="1" si="1181"/>
        <v>0</v>
      </c>
      <c r="AQ729" s="163">
        <f t="shared" ca="1" si="1182"/>
        <v>0</v>
      </c>
      <c r="AR729" s="164">
        <f t="shared" ca="1" si="1183"/>
        <v>0</v>
      </c>
      <c r="AS729" s="164">
        <f t="shared" ca="1" si="1184"/>
        <v>0</v>
      </c>
      <c r="AT729" s="164">
        <f t="shared" ca="1" si="1185"/>
        <v>0</v>
      </c>
      <c r="AU729" s="164">
        <f t="shared" ca="1" si="1186"/>
        <v>0</v>
      </c>
      <c r="AV729" s="164">
        <f t="shared" ca="1" si="1187"/>
        <v>0</v>
      </c>
      <c r="AW729" s="164">
        <f t="shared" ca="1" si="1188"/>
        <v>0</v>
      </c>
      <c r="AX729" s="164">
        <f t="shared" ca="1" si="1189"/>
        <v>0</v>
      </c>
      <c r="AY729" s="164">
        <f t="shared" ca="1" si="1190"/>
        <v>0</v>
      </c>
      <c r="AZ729" s="164">
        <f t="shared" ca="1" si="1191"/>
        <v>0</v>
      </c>
      <c r="BA729" s="165" t="str">
        <f t="shared" ca="1" si="1192"/>
        <v>tak</v>
      </c>
      <c r="BB729" s="166" t="str">
        <f t="shared" ca="1" si="1121"/>
        <v>-</v>
      </c>
      <c r="BC729" s="165" t="str">
        <f t="shared" ca="1" si="1202"/>
        <v>tak</v>
      </c>
    </row>
    <row r="730" spans="1:55" s="167" customFormat="1" ht="14.45" hidden="1" customHeight="1" x14ac:dyDescent="0.25">
      <c r="A730" s="143" t="s">
        <v>91</v>
      </c>
      <c r="B730" s="144"/>
      <c r="C730" s="145"/>
      <c r="D730" s="144"/>
      <c r="E730" s="144"/>
      <c r="F730" s="144"/>
      <c r="G730" s="144"/>
      <c r="H730" s="144"/>
      <c r="I730" s="144"/>
      <c r="J730" s="144"/>
      <c r="K730" s="144"/>
      <c r="L730" s="144"/>
      <c r="M730" s="144"/>
      <c r="N730" s="144"/>
      <c r="O730" s="144"/>
      <c r="P730" s="144"/>
      <c r="Q730" s="144"/>
      <c r="R730" s="146"/>
      <c r="S730" s="147"/>
      <c r="T730" s="147"/>
      <c r="U730" s="147"/>
      <c r="V730" s="147"/>
      <c r="W730" s="147"/>
      <c r="X730" s="147"/>
      <c r="Y730" s="148"/>
      <c r="Z730" s="149" t="str">
        <f t="shared" ca="1" si="1201"/>
        <v>nie</v>
      </c>
      <c r="AA730" s="366"/>
      <c r="AB730" s="150" t="str">
        <f t="shared" ca="1" si="1120"/>
        <v>-</v>
      </c>
      <c r="AC730" s="151" t="str">
        <f t="shared" ref="AC730:AC793" ca="1" si="1215">IF(OR(A730="",COUNTIF(A730,"*12.000*")&gt;0),OFFSET(AC730,-1,0),A730)</f>
        <v>PRZED ZMIANĄ</v>
      </c>
      <c r="AD730" s="152" t="str">
        <f t="shared" ca="1" si="1133"/>
        <v/>
      </c>
      <c r="AE730" s="153" t="str">
        <f t="shared" ref="AE730:AE793" ca="1" si="1216">IF(COUNTIF(A730,"*bilans*")&gt;0,"Bilans zmian",IF(COUNTIF(A730,"*zmi*")&gt;0,"",IF(COUNTIF(A730:C730,"")=0,C730,IF(AND(COUNTIF(C730,"")=1,COUNTIF(OFFSET(A730,-1,0),"*przed*")=1,COUNTIF(OFFSET(AE730,4,0),"")=0),OFFSET(AE730,4,0),IF(AND(COUNTIF(A730:B730,"")=0,COUNTIF(OFFSET(A730,-1,0),"*zmi*")=1),"nowe:"&amp;" "&amp;AF730,OFFSET(AE730,-1,0))))))</f>
        <v/>
      </c>
      <c r="AF730" s="154" t="str">
        <f t="shared" ref="AF730:AF793" ca="1" si="1217">IF(COUNTIF(A730,"*zmi*")&gt;0,"",IF(COUNTIF(A730:C730,"")=0,D730,IF(AND(COUNTIF(C730,"")=1,COUNTIF(OFFSET(A730,-1,0),"*przed*")=1),OFFSET(AF730,4,0),IF(AND(COUNTIF(A730:B730,"")=0,COUNTIF(OFFSET(A730,-1,0),"*zmi*")=1),D730,OFFSET(AF730,-1,0)))))</f>
        <v/>
      </c>
      <c r="AG730" s="155" t="str">
        <f t="shared" ref="AG730:AG793" ca="1" si="1218">IF(COUNTIF($A730,"*zmi*")&gt;0,"",IF(COUNTIF($A730:$C730,"")=0,F730,IF(AND(COUNTIF($C730,"")=1,COUNTIF(OFFSET($A730,-1,0),"*przed*")=1),OFFSET(AG730,4,0),IF(AND(COUNTIF($A730:$B730,"")=0,COUNTIF(OFFSET($A730,-1,0),"*zmi*")=1),F730,OFFSET(AG730,-1,0)))))</f>
        <v/>
      </c>
      <c r="AH730" s="155" t="str">
        <f t="shared" ref="AH730:AH793" ca="1" si="1219">IF(COUNTIF($A730,"*zmi*")&gt;0,"",IF(COUNTIF($A730:$C730,"")=0,LEFT(G730,4),IF(AND(COUNTIF($C730,"")=1,COUNTIF(OFFSET($A730,-1,0),"*przed*")=1),OFFSET(AH730,4,0),IF(AND(COUNTIF($A730:$B730,"")=0,COUNTIF(OFFSET($A730,-1,0),"*zmi*")=1),LEFT(G730,4),OFFSET(AH730,-1,0)))))</f>
        <v/>
      </c>
      <c r="AI730" s="156" t="str">
        <f t="shared" ref="AI730:AI793" ca="1" si="1220">IF(COUNTIF($A730,"*zmi*")&gt;0,"",IF(COUNTIF($A730:$C730,"")=0,B730,IF(AND(COUNTIF($C730,"")=1,COUNTIF(OFFSET($A730,-1,0),"*przed*")=1),OFFSET(AI730,4,0),IF(AND(COUNTIF($A730:$B730,"")=0,COUNTIF(OFFSET($A730,-1,0),"*zmi*")=1),B730,OFFSET(AI730,-1,0)))))</f>
        <v/>
      </c>
      <c r="AJ730" s="157" t="str">
        <f t="shared" ref="AJ730:AJ793" ca="1" si="1221">IF(AH730="","",IF(COUNTIF(A730,"*zmi*")&gt;0,"",SUBSTITUTE(SUBSTITUTE(J730,";",""),":","")))</f>
        <v/>
      </c>
      <c r="AK730" s="158" t="str">
        <f t="shared" ca="1" si="1134"/>
        <v/>
      </c>
      <c r="AL730" s="158" t="str">
        <f t="shared" ca="1" si="1135"/>
        <v/>
      </c>
      <c r="AM730" s="159" t="str">
        <f t="shared" ca="1" si="1136"/>
        <v/>
      </c>
      <c r="AN730" s="160" t="str">
        <f t="shared" ref="AN730:AN793" ca="1" si="1222">IF(COUNTIF($AE730,"*bilans*")&gt;0,K730,IF(OR(COUNTIF($A730,"*zmi*")&gt;0,$AI730=""),"",K730))</f>
        <v/>
      </c>
      <c r="AO730" s="161" t="str">
        <f t="shared" ref="AO730:AO793" ca="1" si="1223">IF(COUNTIF($AE730,"*bilans*")&gt;0,L730,IF(OR(COUNTIF($A730,"*zmi*")&gt;0,$AI730=""),"",L730))</f>
        <v/>
      </c>
      <c r="AP730" s="162" t="str">
        <f t="shared" ref="AP730:AP793" ca="1" si="1224">IF(COUNTIF($AE730,"*bilans*")&gt;0,M730,IF(OR(COUNTIF($A730,"*zmi*")&gt;0,$AI730=""),"",M730))</f>
        <v/>
      </c>
      <c r="AQ730" s="163" t="str">
        <f t="shared" ref="AQ730:AQ793" ca="1" si="1225">IF(COUNTIF($AE730,"*bilans*")&gt;0,P730,IF(OR(COUNTIF($A730,"*zmi*")&gt;0,$AI730=""),"",P730))</f>
        <v/>
      </c>
      <c r="AR730" s="164" t="str">
        <f t="shared" ref="AR730:AR793" ca="1" si="1226">IF(COUNTIF($AE730,"*bilans*")&gt;0,Q730,IF(OR(COUNTIF($A730,"*zmi*")&gt;0,$AI730=""),"",Q730))</f>
        <v/>
      </c>
      <c r="AS730" s="164" t="str">
        <f t="shared" ref="AS730:AS793" ca="1" si="1227">IF(COUNTIF($AE730,"*bilans*")&gt;0,R730,IF(OR(COUNTIF($A730,"*zmi*")&gt;0,$AI730=""),"",R730))</f>
        <v/>
      </c>
      <c r="AT730" s="164" t="str">
        <f t="shared" ref="AT730:AT793" ca="1" si="1228">IF(COUNTIF($AE730,"*bilans*")&gt;0,S730,IF(OR(COUNTIF($A730,"*zmi*")&gt;0,$AI730=""),"",S730))</f>
        <v/>
      </c>
      <c r="AU730" s="164" t="str">
        <f t="shared" ref="AU730:AU793" ca="1" si="1229">IF(COUNTIF($AE730,"*bilans*")&gt;0,T730,IF(OR(COUNTIF($A730,"*zmi*")&gt;0,$AI730=""),"",T730))</f>
        <v/>
      </c>
      <c r="AV730" s="164" t="str">
        <f t="shared" ref="AV730:AV793" ca="1" si="1230">IF(COUNTIF($AE730,"*bilans*")&gt;0,U730,IF(OR(COUNTIF($A730,"*zmi*")&gt;0,$AI730=""),"",U730))</f>
        <v/>
      </c>
      <c r="AW730" s="164" t="str">
        <f t="shared" ref="AW730:AW793" ca="1" si="1231">IF(COUNTIF($AE730,"*bilans*")&gt;0,V730,IF(OR(COUNTIF($A730,"*zmi*")&gt;0,$AI730=""),"",V730))</f>
        <v/>
      </c>
      <c r="AX730" s="164" t="str">
        <f t="shared" ref="AX730:AX793" ca="1" si="1232">IF(COUNTIF($AE730,"*bilans*")&gt;0,W730,IF(OR(COUNTIF($A730,"*zmi*")&gt;0,$AI730=""),"",W730))</f>
        <v/>
      </c>
      <c r="AY730" s="164" t="str">
        <f t="shared" ref="AY730:AY793" ca="1" si="1233">IF(COUNTIF($AE730,"*bilans*")&gt;0,X730,IF(OR(COUNTIF($A730,"*zmi*")&gt;0,$AI730=""),"",X730))</f>
        <v/>
      </c>
      <c r="AZ730" s="164" t="str">
        <f t="shared" ref="AZ730:AZ793" ca="1" si="1234">IF(COUNTIF($AE730,"*bilans*")&gt;0,Y730,IF(OR(COUNTIF($A730,"*zmi*")&gt;0,$AI730=""),"",Y730))</f>
        <v/>
      </c>
      <c r="BA730" s="165" t="str">
        <f t="shared" ref="BA730:BA793" ca="1" si="1235">Z730</f>
        <v>nie</v>
      </c>
      <c r="BB730" s="166" t="str">
        <f t="shared" ca="1" si="1121"/>
        <v>-</v>
      </c>
      <c r="BC730" s="165" t="str">
        <f t="shared" ca="1" si="1202"/>
        <v>nie</v>
      </c>
    </row>
    <row r="731" spans="1:55" s="176" customFormat="1" ht="14.45" hidden="1" customHeight="1" x14ac:dyDescent="0.25">
      <c r="A731" s="493" t="s">
        <v>24</v>
      </c>
      <c r="B731" s="493" t="s">
        <v>188</v>
      </c>
      <c r="C731" s="494" t="s">
        <v>189</v>
      </c>
      <c r="D731" s="505" t="s">
        <v>190</v>
      </c>
      <c r="E731" s="497">
        <v>855</v>
      </c>
      <c r="F731" s="497">
        <v>85516</v>
      </c>
      <c r="G731" s="497">
        <v>6050</v>
      </c>
      <c r="H731" s="507">
        <v>2016</v>
      </c>
      <c r="I731" s="499" t="str">
        <f ca="1">IF(COUNTIF(OFFSET(I731,-1,-8),"*propon*")&gt;0,OFFSET(I731,4,0),IF(Y731&gt;0,"2033",IF(X731&gt;0,"2032",IF(W731&gt;0,"2031",IF(V731&gt;0,"2030",IF(U731&gt;0,"2029",IF(T731&gt;0,"2028",IF(S731&gt;0,"2027",IF(R731&gt;0,"2026",IF(Q731&gt;0,"2025",IF(P731&gt;0,"2024",IF(M731&gt;0,"2023",IF(L731&gt;0,"2022","")))))))))))))</f>
        <v>2024</v>
      </c>
      <c r="J731" s="168" t="s">
        <v>94</v>
      </c>
      <c r="K731" s="169">
        <f>SUM(N731:O731)</f>
        <v>12466383</v>
      </c>
      <c r="L731" s="170">
        <f t="shared" ref="L731:M731" si="1236">SUM(L732:L733)</f>
        <v>12211242</v>
      </c>
      <c r="M731" s="171">
        <f t="shared" si="1236"/>
        <v>0</v>
      </c>
      <c r="N731" s="172">
        <f>SUM(L731:M731)</f>
        <v>12211242</v>
      </c>
      <c r="O731" s="169">
        <f>SUM(P731:Y731)</f>
        <v>255141</v>
      </c>
      <c r="P731" s="173">
        <f t="shared" ref="P731:R731" si="1237">SUM(P732:P733)</f>
        <v>255141</v>
      </c>
      <c r="Q731" s="171">
        <f t="shared" si="1237"/>
        <v>0</v>
      </c>
      <c r="R731" s="174">
        <f t="shared" si="1237"/>
        <v>0</v>
      </c>
      <c r="S731" s="175">
        <f t="shared" ref="S731:Y731" si="1238">SUM(S732:S733)</f>
        <v>0</v>
      </c>
      <c r="T731" s="171">
        <f t="shared" si="1238"/>
        <v>0</v>
      </c>
      <c r="U731" s="171">
        <f t="shared" si="1238"/>
        <v>0</v>
      </c>
      <c r="V731" s="171">
        <f t="shared" si="1238"/>
        <v>0</v>
      </c>
      <c r="W731" s="171">
        <f t="shared" si="1238"/>
        <v>0</v>
      </c>
      <c r="X731" s="171">
        <f t="shared" si="1238"/>
        <v>0</v>
      </c>
      <c r="Y731" s="174">
        <f t="shared" si="1238"/>
        <v>0</v>
      </c>
      <c r="Z731" s="149" t="str">
        <f t="shared" ca="1" si="1201"/>
        <v>nie</v>
      </c>
      <c r="AA731" s="366"/>
      <c r="AB731" s="150" t="str">
        <f t="shared" ca="1" si="1120"/>
        <v>-</v>
      </c>
      <c r="AC731" s="151" t="str">
        <f t="shared" ca="1" si="1215"/>
        <v>PRZED ZMIANĄ</v>
      </c>
      <c r="AD731" s="152" t="str">
        <f t="shared" ca="1" si="1133"/>
        <v>PRZED ZMIANĄ</v>
      </c>
      <c r="AE731" s="153" t="str">
        <f t="shared" ca="1" si="1216"/>
        <v>C/USN/VI/P3/4</v>
      </c>
      <c r="AF731" s="154" t="str">
        <f t="shared" ca="1" si="1217"/>
        <v>Budowa żłobka przy ul. Kazury wraz z infrastrukturą komunikacyjną</v>
      </c>
      <c r="AG731" s="155">
        <f t="shared" ca="1" si="1218"/>
        <v>85516</v>
      </c>
      <c r="AH731" s="155" t="str">
        <f t="shared" ca="1" si="1219"/>
        <v>6050</v>
      </c>
      <c r="AI731" s="156" t="str">
        <f t="shared" ca="1" si="1220"/>
        <v>ZLOB</v>
      </c>
      <c r="AJ731" s="157" t="str">
        <f t="shared" ca="1" si="1221"/>
        <v>WPF, w tym</v>
      </c>
      <c r="AK731" s="158" t="str">
        <f t="shared" ca="1" si="1134"/>
        <v>C/USN/VI/P3/4 85516 6050 ZLOB</v>
      </c>
      <c r="AL731" s="158" t="str">
        <f t="shared" ca="1" si="1135"/>
        <v>C/USN/VI/P3/4 85516 6050 WPF, w tym</v>
      </c>
      <c r="AM731" s="159" t="str">
        <f t="shared" ca="1" si="1136"/>
        <v>C/USN/VI/P3/4 85516 6050 ZLOB WPF, w tym</v>
      </c>
      <c r="AN731" s="160">
        <f t="shared" ca="1" si="1222"/>
        <v>12466383</v>
      </c>
      <c r="AO731" s="161">
        <f t="shared" ca="1" si="1223"/>
        <v>12211242</v>
      </c>
      <c r="AP731" s="162">
        <f t="shared" ca="1" si="1224"/>
        <v>0</v>
      </c>
      <c r="AQ731" s="163">
        <f t="shared" ca="1" si="1225"/>
        <v>255141</v>
      </c>
      <c r="AR731" s="164">
        <f t="shared" ca="1" si="1226"/>
        <v>0</v>
      </c>
      <c r="AS731" s="164">
        <f t="shared" ca="1" si="1227"/>
        <v>0</v>
      </c>
      <c r="AT731" s="164">
        <f t="shared" ca="1" si="1228"/>
        <v>0</v>
      </c>
      <c r="AU731" s="164">
        <f t="shared" ca="1" si="1229"/>
        <v>0</v>
      </c>
      <c r="AV731" s="164">
        <f t="shared" ca="1" si="1230"/>
        <v>0</v>
      </c>
      <c r="AW731" s="164">
        <f t="shared" ca="1" si="1231"/>
        <v>0</v>
      </c>
      <c r="AX731" s="164">
        <f t="shared" ca="1" si="1232"/>
        <v>0</v>
      </c>
      <c r="AY731" s="164">
        <f t="shared" ca="1" si="1233"/>
        <v>0</v>
      </c>
      <c r="AZ731" s="164">
        <f t="shared" ca="1" si="1234"/>
        <v>0</v>
      </c>
      <c r="BA731" s="165" t="str">
        <f t="shared" ca="1" si="1235"/>
        <v>nie</v>
      </c>
      <c r="BB731" s="166" t="str">
        <f t="shared" ca="1" si="1121"/>
        <v>-</v>
      </c>
      <c r="BC731" s="165" t="str">
        <f t="shared" ca="1" si="1202"/>
        <v>nie</v>
      </c>
    </row>
    <row r="732" spans="1:55" s="167" customFormat="1" ht="14.45" hidden="1" customHeight="1" x14ac:dyDescent="0.25">
      <c r="A732" s="493"/>
      <c r="B732" s="493"/>
      <c r="C732" s="494"/>
      <c r="D732" s="506"/>
      <c r="E732" s="497"/>
      <c r="F732" s="497"/>
      <c r="G732" s="497"/>
      <c r="H732" s="498"/>
      <c r="I732" s="499"/>
      <c r="J732" s="177" t="s">
        <v>95</v>
      </c>
      <c r="K732" s="178">
        <f>SUM(N732:O732)</f>
        <v>255141</v>
      </c>
      <c r="L732" s="179"/>
      <c r="M732" s="180"/>
      <c r="N732" s="172">
        <f>SUM(L732:M732)</f>
        <v>0</v>
      </c>
      <c r="O732" s="178">
        <f>SUM(P732:Y732)</f>
        <v>255141</v>
      </c>
      <c r="P732" s="181">
        <v>255141</v>
      </c>
      <c r="Q732" s="180"/>
      <c r="R732" s="182"/>
      <c r="S732" s="183"/>
      <c r="T732" s="180"/>
      <c r="U732" s="180"/>
      <c r="V732" s="180"/>
      <c r="W732" s="180"/>
      <c r="X732" s="180"/>
      <c r="Y732" s="182"/>
      <c r="Z732" s="149" t="str">
        <f t="shared" ca="1" si="1201"/>
        <v>nie</v>
      </c>
      <c r="AA732" s="366"/>
      <c r="AB732" s="150" t="str">
        <f t="shared" ca="1" si="1120"/>
        <v>-</v>
      </c>
      <c r="AC732" s="151" t="str">
        <f t="shared" ca="1" si="1215"/>
        <v>PRZED ZMIANĄ</v>
      </c>
      <c r="AD732" s="152" t="str">
        <f t="shared" ca="1" si="1133"/>
        <v>PRZED ZMIANĄ</v>
      </c>
      <c r="AE732" s="153" t="str">
        <f t="shared" ca="1" si="1216"/>
        <v>C/USN/VI/P3/4</v>
      </c>
      <c r="AF732" s="154" t="str">
        <f t="shared" ca="1" si="1217"/>
        <v>Budowa żłobka przy ul. Kazury wraz z infrastrukturą komunikacyjną</v>
      </c>
      <c r="AG732" s="155">
        <f t="shared" ca="1" si="1218"/>
        <v>85516</v>
      </c>
      <c r="AH732" s="155" t="str">
        <f t="shared" ca="1" si="1219"/>
        <v>6050</v>
      </c>
      <c r="AI732" s="156" t="str">
        <f t="shared" ca="1" si="1220"/>
        <v>ZLOB</v>
      </c>
      <c r="AJ732" s="157" t="str">
        <f t="shared" ca="1" si="1221"/>
        <v>WPF/PM</v>
      </c>
      <c r="AK732" s="158" t="str">
        <f t="shared" ca="1" si="1134"/>
        <v>C/USN/VI/P3/4 85516 6050 ZLOB</v>
      </c>
      <c r="AL732" s="158" t="str">
        <f t="shared" ca="1" si="1135"/>
        <v>C/USN/VI/P3/4 85516 6050 WPF/PM</v>
      </c>
      <c r="AM732" s="159" t="str">
        <f t="shared" ca="1" si="1136"/>
        <v>C/USN/VI/P3/4 85516 6050 ZLOB WPF/PM</v>
      </c>
      <c r="AN732" s="160">
        <f t="shared" ca="1" si="1222"/>
        <v>255141</v>
      </c>
      <c r="AO732" s="161">
        <f t="shared" ca="1" si="1223"/>
        <v>0</v>
      </c>
      <c r="AP732" s="162">
        <f t="shared" ca="1" si="1224"/>
        <v>0</v>
      </c>
      <c r="AQ732" s="163">
        <f t="shared" ca="1" si="1225"/>
        <v>255141</v>
      </c>
      <c r="AR732" s="164">
        <f t="shared" ca="1" si="1226"/>
        <v>0</v>
      </c>
      <c r="AS732" s="164">
        <f t="shared" ca="1" si="1227"/>
        <v>0</v>
      </c>
      <c r="AT732" s="164">
        <f t="shared" ca="1" si="1228"/>
        <v>0</v>
      </c>
      <c r="AU732" s="164">
        <f t="shared" ca="1" si="1229"/>
        <v>0</v>
      </c>
      <c r="AV732" s="164">
        <f t="shared" ca="1" si="1230"/>
        <v>0</v>
      </c>
      <c r="AW732" s="164">
        <f t="shared" ca="1" si="1231"/>
        <v>0</v>
      </c>
      <c r="AX732" s="164">
        <f t="shared" ca="1" si="1232"/>
        <v>0</v>
      </c>
      <c r="AY732" s="164">
        <f t="shared" ca="1" si="1233"/>
        <v>0</v>
      </c>
      <c r="AZ732" s="164">
        <f t="shared" ca="1" si="1234"/>
        <v>0</v>
      </c>
      <c r="BA732" s="165" t="str">
        <f t="shared" ca="1" si="1235"/>
        <v>nie</v>
      </c>
      <c r="BB732" s="166" t="str">
        <f t="shared" ca="1" si="1121"/>
        <v>-</v>
      </c>
      <c r="BC732" s="165" t="str">
        <f t="shared" ca="1" si="1202"/>
        <v>nie</v>
      </c>
    </row>
    <row r="733" spans="1:55" s="167" customFormat="1" ht="14.45" hidden="1" customHeight="1" x14ac:dyDescent="0.25">
      <c r="A733" s="493"/>
      <c r="B733" s="493"/>
      <c r="C733" s="494"/>
      <c r="D733" s="506"/>
      <c r="E733" s="497"/>
      <c r="F733" s="497"/>
      <c r="G733" s="497"/>
      <c r="H733" s="498"/>
      <c r="I733" s="499"/>
      <c r="J733" s="177" t="s">
        <v>96</v>
      </c>
      <c r="K733" s="178">
        <f>SUM(N733:O733)</f>
        <v>12211242</v>
      </c>
      <c r="L733" s="184">
        <v>12211242</v>
      </c>
      <c r="M733" s="180">
        <v>0</v>
      </c>
      <c r="N733" s="172">
        <f>SUM(L733:M733)</f>
        <v>12211242</v>
      </c>
      <c r="O733" s="178">
        <f>SUM(P733:Y733)</f>
        <v>0</v>
      </c>
      <c r="P733" s="181"/>
      <c r="Q733" s="180"/>
      <c r="R733" s="182"/>
      <c r="S733" s="183"/>
      <c r="T733" s="180"/>
      <c r="U733" s="180"/>
      <c r="V733" s="180"/>
      <c r="W733" s="180"/>
      <c r="X733" s="180"/>
      <c r="Y733" s="182"/>
      <c r="Z733" s="149" t="str">
        <f t="shared" ca="1" si="1201"/>
        <v>nie</v>
      </c>
      <c r="AA733" s="366"/>
      <c r="AB733" s="150" t="str">
        <f t="shared" ca="1" si="1120"/>
        <v>-</v>
      </c>
      <c r="AC733" s="151" t="str">
        <f t="shared" ca="1" si="1215"/>
        <v>PRZED ZMIANĄ</v>
      </c>
      <c r="AD733" s="152" t="str">
        <f t="shared" ca="1" si="1133"/>
        <v>PRZED ZMIANĄ</v>
      </c>
      <c r="AE733" s="153" t="str">
        <f t="shared" ca="1" si="1216"/>
        <v>C/USN/VI/P3/4</v>
      </c>
      <c r="AF733" s="154" t="str">
        <f t="shared" ca="1" si="1217"/>
        <v>Budowa żłobka przy ul. Kazury wraz z infrastrukturą komunikacyjną</v>
      </c>
      <c r="AG733" s="155">
        <f t="shared" ca="1" si="1218"/>
        <v>85516</v>
      </c>
      <c r="AH733" s="155" t="str">
        <f t="shared" ca="1" si="1219"/>
        <v>6050</v>
      </c>
      <c r="AI733" s="156" t="str">
        <f t="shared" ca="1" si="1220"/>
        <v>ZLOB</v>
      </c>
      <c r="AJ733" s="157" t="str">
        <f t="shared" ca="1" si="1221"/>
        <v>WPF/UM</v>
      </c>
      <c r="AK733" s="158" t="str">
        <f t="shared" ca="1" si="1134"/>
        <v>C/USN/VI/P3/4 85516 6050 ZLOB</v>
      </c>
      <c r="AL733" s="158" t="str">
        <f t="shared" ca="1" si="1135"/>
        <v>C/USN/VI/P3/4 85516 6050 WPF/UM</v>
      </c>
      <c r="AM733" s="159" t="str">
        <f t="shared" ca="1" si="1136"/>
        <v>C/USN/VI/P3/4 85516 6050 ZLOB WPF/UM</v>
      </c>
      <c r="AN733" s="160">
        <f t="shared" ca="1" si="1222"/>
        <v>12211242</v>
      </c>
      <c r="AO733" s="161">
        <f t="shared" ca="1" si="1223"/>
        <v>12211242</v>
      </c>
      <c r="AP733" s="162">
        <f t="shared" ca="1" si="1224"/>
        <v>0</v>
      </c>
      <c r="AQ733" s="163">
        <f t="shared" ca="1" si="1225"/>
        <v>0</v>
      </c>
      <c r="AR733" s="164">
        <f t="shared" ca="1" si="1226"/>
        <v>0</v>
      </c>
      <c r="AS733" s="164">
        <f t="shared" ca="1" si="1227"/>
        <v>0</v>
      </c>
      <c r="AT733" s="164">
        <f t="shared" ca="1" si="1228"/>
        <v>0</v>
      </c>
      <c r="AU733" s="164">
        <f t="shared" ca="1" si="1229"/>
        <v>0</v>
      </c>
      <c r="AV733" s="164">
        <f t="shared" ca="1" si="1230"/>
        <v>0</v>
      </c>
      <c r="AW733" s="164">
        <f t="shared" ca="1" si="1231"/>
        <v>0</v>
      </c>
      <c r="AX733" s="164">
        <f t="shared" ca="1" si="1232"/>
        <v>0</v>
      </c>
      <c r="AY733" s="164">
        <f t="shared" ca="1" si="1233"/>
        <v>0</v>
      </c>
      <c r="AZ733" s="164">
        <f t="shared" ca="1" si="1234"/>
        <v>0</v>
      </c>
      <c r="BA733" s="165" t="str">
        <f t="shared" ca="1" si="1235"/>
        <v>nie</v>
      </c>
      <c r="BB733" s="166" t="str">
        <f t="shared" ca="1" si="1121"/>
        <v>-</v>
      </c>
      <c r="BC733" s="165" t="str">
        <f t="shared" ca="1" si="1202"/>
        <v>nie</v>
      </c>
    </row>
    <row r="734" spans="1:55" s="167" customFormat="1" ht="14.45" hidden="1" customHeight="1" x14ac:dyDescent="0.25">
      <c r="A734" s="185" t="s">
        <v>97</v>
      </c>
      <c r="B734" s="186"/>
      <c r="C734" s="187"/>
      <c r="D734" s="186"/>
      <c r="E734" s="186"/>
      <c r="F734" s="186"/>
      <c r="G734" s="186"/>
      <c r="H734" s="186"/>
      <c r="I734" s="186"/>
      <c r="J734" s="186"/>
      <c r="K734" s="186"/>
      <c r="L734" s="186"/>
      <c r="M734" s="186"/>
      <c r="N734" s="186"/>
      <c r="O734" s="186"/>
      <c r="P734" s="186"/>
      <c r="Q734" s="186"/>
      <c r="R734" s="188"/>
      <c r="S734" s="189"/>
      <c r="T734" s="189"/>
      <c r="U734" s="189"/>
      <c r="V734" s="189"/>
      <c r="W734" s="189"/>
      <c r="X734" s="189"/>
      <c r="Y734" s="190"/>
      <c r="Z734" s="149" t="str">
        <f t="shared" ca="1" si="1201"/>
        <v>nie</v>
      </c>
      <c r="AA734" s="366"/>
      <c r="AB734" s="150" t="str">
        <f t="shared" ca="1" si="1120"/>
        <v>-</v>
      </c>
      <c r="AC734" s="151" t="str">
        <f t="shared" ca="1" si="1215"/>
        <v>PROPONOWANA ZMIANA</v>
      </c>
      <c r="AD734" s="152" t="str">
        <f t="shared" ca="1" si="1133"/>
        <v/>
      </c>
      <c r="AE734" s="153" t="str">
        <f t="shared" ca="1" si="1216"/>
        <v/>
      </c>
      <c r="AF734" s="154" t="str">
        <f t="shared" ca="1" si="1217"/>
        <v/>
      </c>
      <c r="AG734" s="155" t="str">
        <f t="shared" ca="1" si="1218"/>
        <v/>
      </c>
      <c r="AH734" s="155" t="str">
        <f t="shared" ca="1" si="1219"/>
        <v/>
      </c>
      <c r="AI734" s="156" t="str">
        <f t="shared" ca="1" si="1220"/>
        <v/>
      </c>
      <c r="AJ734" s="157" t="str">
        <f t="shared" ca="1" si="1221"/>
        <v/>
      </c>
      <c r="AK734" s="158" t="str">
        <f t="shared" ca="1" si="1134"/>
        <v/>
      </c>
      <c r="AL734" s="158" t="str">
        <f t="shared" ca="1" si="1135"/>
        <v/>
      </c>
      <c r="AM734" s="159" t="str">
        <f t="shared" ca="1" si="1136"/>
        <v/>
      </c>
      <c r="AN734" s="160" t="str">
        <f t="shared" ca="1" si="1222"/>
        <v/>
      </c>
      <c r="AO734" s="161" t="str">
        <f t="shared" ca="1" si="1223"/>
        <v/>
      </c>
      <c r="AP734" s="162" t="str">
        <f t="shared" ca="1" si="1224"/>
        <v/>
      </c>
      <c r="AQ734" s="163" t="str">
        <f t="shared" ca="1" si="1225"/>
        <v/>
      </c>
      <c r="AR734" s="164" t="str">
        <f t="shared" ca="1" si="1226"/>
        <v/>
      </c>
      <c r="AS734" s="164" t="str">
        <f t="shared" ca="1" si="1227"/>
        <v/>
      </c>
      <c r="AT734" s="164" t="str">
        <f t="shared" ca="1" si="1228"/>
        <v/>
      </c>
      <c r="AU734" s="164" t="str">
        <f t="shared" ca="1" si="1229"/>
        <v/>
      </c>
      <c r="AV734" s="164" t="str">
        <f t="shared" ca="1" si="1230"/>
        <v/>
      </c>
      <c r="AW734" s="164" t="str">
        <f t="shared" ca="1" si="1231"/>
        <v/>
      </c>
      <c r="AX734" s="164" t="str">
        <f t="shared" ca="1" si="1232"/>
        <v/>
      </c>
      <c r="AY734" s="164" t="str">
        <f t="shared" ca="1" si="1233"/>
        <v/>
      </c>
      <c r="AZ734" s="164" t="str">
        <f t="shared" ca="1" si="1234"/>
        <v/>
      </c>
      <c r="BA734" s="165" t="str">
        <f t="shared" ca="1" si="1235"/>
        <v>nie</v>
      </c>
      <c r="BB734" s="166" t="str">
        <f t="shared" ca="1" si="1121"/>
        <v>-</v>
      </c>
      <c r="BC734" s="165" t="str">
        <f t="shared" ca="1" si="1202"/>
        <v>nie</v>
      </c>
    </row>
    <row r="735" spans="1:55" s="176" customFormat="1" ht="14.45" hidden="1" customHeight="1" x14ac:dyDescent="0.25">
      <c r="A735" s="493" t="s">
        <v>24</v>
      </c>
      <c r="B735" s="493" t="s">
        <v>188</v>
      </c>
      <c r="C735" s="494" t="s">
        <v>189</v>
      </c>
      <c r="D735" s="505" t="s">
        <v>190</v>
      </c>
      <c r="E735" s="497">
        <v>855</v>
      </c>
      <c r="F735" s="497">
        <v>85516</v>
      </c>
      <c r="G735" s="497">
        <v>6050</v>
      </c>
      <c r="H735" s="507">
        <v>2016</v>
      </c>
      <c r="I735" s="499" t="str">
        <f ca="1">IF(COUNTIF(OFFSET(I735,-1,-8),"*propon*")&gt;0,OFFSET(I735,4,0),IF(Y735&gt;0,"2033",IF(X735&gt;0,"2032",IF(W735&gt;0,"2031",IF(V735&gt;0,"2030",IF(U735&gt;0,"2029",IF(T735&gt;0,"2028",IF(S735&gt;0,"2027",IF(R735&gt;0,"2026",IF(Q735&gt;0,"2025",IF(P735&gt;0,"2024",IF(M735&gt;0,"2023",IF(L735&gt;0,"2022","")))))))))))))</f>
        <v>2024</v>
      </c>
      <c r="J735" s="168" t="s">
        <v>98</v>
      </c>
      <c r="K735" s="169">
        <f>SUM(N735:O735)</f>
        <v>0</v>
      </c>
      <c r="L735" s="170">
        <f t="shared" ref="L735:M735" si="1239">SUM(L736:L737)</f>
        <v>0</v>
      </c>
      <c r="M735" s="171">
        <f t="shared" si="1239"/>
        <v>0</v>
      </c>
      <c r="N735" s="172">
        <f>SUM(L735:M735)</f>
        <v>0</v>
      </c>
      <c r="O735" s="169">
        <f>SUM(P735:Y735)</f>
        <v>0</v>
      </c>
      <c r="P735" s="173">
        <f t="shared" ref="P735:R735" si="1240">SUM(P736:P737)</f>
        <v>0</v>
      </c>
      <c r="Q735" s="171">
        <f t="shared" si="1240"/>
        <v>0</v>
      </c>
      <c r="R735" s="174">
        <f t="shared" si="1240"/>
        <v>0</v>
      </c>
      <c r="S735" s="175">
        <f t="shared" ref="S735:Y735" si="1241">SUM(S736:S737)</f>
        <v>0</v>
      </c>
      <c r="T735" s="171">
        <f t="shared" si="1241"/>
        <v>0</v>
      </c>
      <c r="U735" s="171">
        <f t="shared" si="1241"/>
        <v>0</v>
      </c>
      <c r="V735" s="171">
        <f t="shared" si="1241"/>
        <v>0</v>
      </c>
      <c r="W735" s="171">
        <f t="shared" si="1241"/>
        <v>0</v>
      </c>
      <c r="X735" s="171">
        <f t="shared" si="1241"/>
        <v>0</v>
      </c>
      <c r="Y735" s="174">
        <f t="shared" si="1241"/>
        <v>0</v>
      </c>
      <c r="Z735" s="149" t="str">
        <f t="shared" ca="1" si="1201"/>
        <v>nie</v>
      </c>
      <c r="AA735" s="366"/>
      <c r="AB735" s="150" t="str">
        <f t="shared" ca="1" si="1120"/>
        <v>-</v>
      </c>
      <c r="AC735" s="151" t="str">
        <f t="shared" ca="1" si="1215"/>
        <v>PROPONOWANA ZMIANA</v>
      </c>
      <c r="AD735" s="152" t="str">
        <f t="shared" ca="1" si="1133"/>
        <v>PROPONOWANA ZMIANA</v>
      </c>
      <c r="AE735" s="153" t="str">
        <f t="shared" ca="1" si="1216"/>
        <v>C/USN/VI/P3/4</v>
      </c>
      <c r="AF735" s="154" t="str">
        <f t="shared" ca="1" si="1217"/>
        <v>Budowa żłobka przy ul. Kazury wraz z infrastrukturą komunikacyjną</v>
      </c>
      <c r="AG735" s="155">
        <f t="shared" ca="1" si="1218"/>
        <v>85516</v>
      </c>
      <c r="AH735" s="155" t="str">
        <f t="shared" ca="1" si="1219"/>
        <v>6050</v>
      </c>
      <c r="AI735" s="156" t="str">
        <f t="shared" ca="1" si="1220"/>
        <v>ZLOB</v>
      </c>
      <c r="AJ735" s="157" t="str">
        <f t="shared" ca="1" si="1221"/>
        <v>WPF, w tym</v>
      </c>
      <c r="AK735" s="158" t="str">
        <f t="shared" ca="1" si="1134"/>
        <v>C/USN/VI/P3/4 85516 6050 ZLOB</v>
      </c>
      <c r="AL735" s="158" t="str">
        <f t="shared" ca="1" si="1135"/>
        <v>C/USN/VI/P3/4 85516 6050 WPF, w tym</v>
      </c>
      <c r="AM735" s="159" t="str">
        <f t="shared" ca="1" si="1136"/>
        <v>C/USN/VI/P3/4 85516 6050 ZLOB WPF, w tym</v>
      </c>
      <c r="AN735" s="160">
        <f t="shared" ca="1" si="1222"/>
        <v>0</v>
      </c>
      <c r="AO735" s="161">
        <f t="shared" ca="1" si="1223"/>
        <v>0</v>
      </c>
      <c r="AP735" s="162">
        <f t="shared" ca="1" si="1224"/>
        <v>0</v>
      </c>
      <c r="AQ735" s="163">
        <f t="shared" ca="1" si="1225"/>
        <v>0</v>
      </c>
      <c r="AR735" s="164">
        <f t="shared" ca="1" si="1226"/>
        <v>0</v>
      </c>
      <c r="AS735" s="164">
        <f t="shared" ca="1" si="1227"/>
        <v>0</v>
      </c>
      <c r="AT735" s="164">
        <f t="shared" ca="1" si="1228"/>
        <v>0</v>
      </c>
      <c r="AU735" s="164">
        <f t="shared" ca="1" si="1229"/>
        <v>0</v>
      </c>
      <c r="AV735" s="164">
        <f t="shared" ca="1" si="1230"/>
        <v>0</v>
      </c>
      <c r="AW735" s="164">
        <f t="shared" ca="1" si="1231"/>
        <v>0</v>
      </c>
      <c r="AX735" s="164">
        <f t="shared" ca="1" si="1232"/>
        <v>0</v>
      </c>
      <c r="AY735" s="164">
        <f t="shared" ca="1" si="1233"/>
        <v>0</v>
      </c>
      <c r="AZ735" s="164">
        <f t="shared" ca="1" si="1234"/>
        <v>0</v>
      </c>
      <c r="BA735" s="165" t="str">
        <f t="shared" ca="1" si="1235"/>
        <v>nie</v>
      </c>
      <c r="BB735" s="166" t="str">
        <f t="shared" ca="1" si="1121"/>
        <v>-</v>
      </c>
      <c r="BC735" s="165" t="str">
        <f t="shared" ca="1" si="1202"/>
        <v>nie</v>
      </c>
    </row>
    <row r="736" spans="1:55" s="167" customFormat="1" ht="14.45" hidden="1" customHeight="1" x14ac:dyDescent="0.25">
      <c r="A736" s="493"/>
      <c r="B736" s="493"/>
      <c r="C736" s="494"/>
      <c r="D736" s="506"/>
      <c r="E736" s="497"/>
      <c r="F736" s="497"/>
      <c r="G736" s="497"/>
      <c r="H736" s="498"/>
      <c r="I736" s="499"/>
      <c r="J736" s="177" t="s">
        <v>99</v>
      </c>
      <c r="K736" s="178">
        <f>SUM(N736:O736)</f>
        <v>0</v>
      </c>
      <c r="L736" s="179">
        <f t="shared" ref="L736:M736" si="1242">L740-L732</f>
        <v>0</v>
      </c>
      <c r="M736" s="180">
        <f t="shared" si="1242"/>
        <v>0</v>
      </c>
      <c r="N736" s="172">
        <f>SUM(L736:M736)</f>
        <v>0</v>
      </c>
      <c r="O736" s="178">
        <f>SUM(P736:Y736)</f>
        <v>0</v>
      </c>
      <c r="P736" s="181">
        <f t="shared" ref="P736:R736" si="1243">P740-P732</f>
        <v>0</v>
      </c>
      <c r="Q736" s="180">
        <f t="shared" si="1243"/>
        <v>0</v>
      </c>
      <c r="R736" s="182">
        <f t="shared" si="1243"/>
        <v>0</v>
      </c>
      <c r="S736" s="183">
        <f t="shared" ref="S736:Y737" si="1244">S740-S732</f>
        <v>0</v>
      </c>
      <c r="T736" s="180">
        <f t="shared" si="1244"/>
        <v>0</v>
      </c>
      <c r="U736" s="180">
        <f t="shared" si="1244"/>
        <v>0</v>
      </c>
      <c r="V736" s="180">
        <f t="shared" si="1244"/>
        <v>0</v>
      </c>
      <c r="W736" s="180">
        <f t="shared" si="1244"/>
        <v>0</v>
      </c>
      <c r="X736" s="180">
        <f t="shared" si="1244"/>
        <v>0</v>
      </c>
      <c r="Y736" s="182">
        <f t="shared" si="1244"/>
        <v>0</v>
      </c>
      <c r="Z736" s="149" t="str">
        <f t="shared" ca="1" si="1201"/>
        <v>nie</v>
      </c>
      <c r="AA736" s="366"/>
      <c r="AB736" s="150" t="str">
        <f t="shared" ca="1" si="1120"/>
        <v>-</v>
      </c>
      <c r="AC736" s="151" t="str">
        <f t="shared" ca="1" si="1215"/>
        <v>PROPONOWANA ZMIANA</v>
      </c>
      <c r="AD736" s="152" t="str">
        <f t="shared" ca="1" si="1133"/>
        <v>PROPONOWANA ZMIANA</v>
      </c>
      <c r="AE736" s="153" t="str">
        <f t="shared" ca="1" si="1216"/>
        <v>C/USN/VI/P3/4</v>
      </c>
      <c r="AF736" s="154" t="str">
        <f t="shared" ca="1" si="1217"/>
        <v>Budowa żłobka przy ul. Kazury wraz z infrastrukturą komunikacyjną</v>
      </c>
      <c r="AG736" s="155">
        <f t="shared" ca="1" si="1218"/>
        <v>85516</v>
      </c>
      <c r="AH736" s="155" t="str">
        <f t="shared" ca="1" si="1219"/>
        <v>6050</v>
      </c>
      <c r="AI736" s="156" t="str">
        <f t="shared" ca="1" si="1220"/>
        <v>ZLOB</v>
      </c>
      <c r="AJ736" s="157" t="str">
        <f t="shared" ca="1" si="1221"/>
        <v>WPF/PM</v>
      </c>
      <c r="AK736" s="158" t="str">
        <f t="shared" ca="1" si="1134"/>
        <v>C/USN/VI/P3/4 85516 6050 ZLOB</v>
      </c>
      <c r="AL736" s="158" t="str">
        <f t="shared" ca="1" si="1135"/>
        <v>C/USN/VI/P3/4 85516 6050 WPF/PM</v>
      </c>
      <c r="AM736" s="159" t="str">
        <f t="shared" ca="1" si="1136"/>
        <v>C/USN/VI/P3/4 85516 6050 ZLOB WPF/PM</v>
      </c>
      <c r="AN736" s="160">
        <f t="shared" ca="1" si="1222"/>
        <v>0</v>
      </c>
      <c r="AO736" s="161">
        <f t="shared" ca="1" si="1223"/>
        <v>0</v>
      </c>
      <c r="AP736" s="162">
        <f t="shared" ca="1" si="1224"/>
        <v>0</v>
      </c>
      <c r="AQ736" s="163">
        <f t="shared" ca="1" si="1225"/>
        <v>0</v>
      </c>
      <c r="AR736" s="164">
        <f t="shared" ca="1" si="1226"/>
        <v>0</v>
      </c>
      <c r="AS736" s="164">
        <f t="shared" ca="1" si="1227"/>
        <v>0</v>
      </c>
      <c r="AT736" s="164">
        <f t="shared" ca="1" si="1228"/>
        <v>0</v>
      </c>
      <c r="AU736" s="164">
        <f t="shared" ca="1" si="1229"/>
        <v>0</v>
      </c>
      <c r="AV736" s="164">
        <f t="shared" ca="1" si="1230"/>
        <v>0</v>
      </c>
      <c r="AW736" s="164">
        <f t="shared" ca="1" si="1231"/>
        <v>0</v>
      </c>
      <c r="AX736" s="164">
        <f t="shared" ca="1" si="1232"/>
        <v>0</v>
      </c>
      <c r="AY736" s="164">
        <f t="shared" ca="1" si="1233"/>
        <v>0</v>
      </c>
      <c r="AZ736" s="164">
        <f t="shared" ca="1" si="1234"/>
        <v>0</v>
      </c>
      <c r="BA736" s="165" t="str">
        <f t="shared" ca="1" si="1235"/>
        <v>nie</v>
      </c>
      <c r="BB736" s="166" t="str">
        <f t="shared" ca="1" si="1121"/>
        <v>-</v>
      </c>
      <c r="BC736" s="165" t="str">
        <f t="shared" ca="1" si="1202"/>
        <v>nie</v>
      </c>
    </row>
    <row r="737" spans="1:55" s="167" customFormat="1" ht="14.45" hidden="1" customHeight="1" x14ac:dyDescent="0.25">
      <c r="A737" s="493"/>
      <c r="B737" s="493"/>
      <c r="C737" s="494"/>
      <c r="D737" s="506"/>
      <c r="E737" s="497"/>
      <c r="F737" s="497"/>
      <c r="G737" s="497"/>
      <c r="H737" s="498"/>
      <c r="I737" s="499"/>
      <c r="J737" s="177" t="s">
        <v>100</v>
      </c>
      <c r="K737" s="178">
        <f>SUM(N737:O737)</f>
        <v>0</v>
      </c>
      <c r="L737" s="179">
        <f t="shared" ref="L737:M737" si="1245">L741-L733</f>
        <v>0</v>
      </c>
      <c r="M737" s="180">
        <f t="shared" si="1245"/>
        <v>0</v>
      </c>
      <c r="N737" s="172">
        <f>SUM(L737:M737)</f>
        <v>0</v>
      </c>
      <c r="O737" s="178">
        <f>SUM(P737:Y737)</f>
        <v>0</v>
      </c>
      <c r="P737" s="181">
        <f t="shared" ref="P737:R737" si="1246">P741-P733</f>
        <v>0</v>
      </c>
      <c r="Q737" s="180">
        <f t="shared" si="1246"/>
        <v>0</v>
      </c>
      <c r="R737" s="182">
        <f t="shared" si="1246"/>
        <v>0</v>
      </c>
      <c r="S737" s="183">
        <f t="shared" si="1244"/>
        <v>0</v>
      </c>
      <c r="T737" s="180">
        <f t="shared" si="1244"/>
        <v>0</v>
      </c>
      <c r="U737" s="180">
        <f t="shared" si="1244"/>
        <v>0</v>
      </c>
      <c r="V737" s="180">
        <f t="shared" si="1244"/>
        <v>0</v>
      </c>
      <c r="W737" s="180">
        <f t="shared" si="1244"/>
        <v>0</v>
      </c>
      <c r="X737" s="180">
        <f t="shared" si="1244"/>
        <v>0</v>
      </c>
      <c r="Y737" s="182">
        <f t="shared" si="1244"/>
        <v>0</v>
      </c>
      <c r="Z737" s="149" t="str">
        <f t="shared" ca="1" si="1201"/>
        <v>nie</v>
      </c>
      <c r="AA737" s="366"/>
      <c r="AB737" s="150" t="str">
        <f t="shared" ca="1" si="1120"/>
        <v>-</v>
      </c>
      <c r="AC737" s="151" t="str">
        <f t="shared" ca="1" si="1215"/>
        <v>PROPONOWANA ZMIANA</v>
      </c>
      <c r="AD737" s="152" t="str">
        <f t="shared" ca="1" si="1133"/>
        <v>PROPONOWANA ZMIANA</v>
      </c>
      <c r="AE737" s="153" t="str">
        <f t="shared" ca="1" si="1216"/>
        <v>C/USN/VI/P3/4</v>
      </c>
      <c r="AF737" s="154" t="str">
        <f t="shared" ca="1" si="1217"/>
        <v>Budowa żłobka przy ul. Kazury wraz z infrastrukturą komunikacyjną</v>
      </c>
      <c r="AG737" s="155">
        <f t="shared" ca="1" si="1218"/>
        <v>85516</v>
      </c>
      <c r="AH737" s="155" t="str">
        <f t="shared" ca="1" si="1219"/>
        <v>6050</v>
      </c>
      <c r="AI737" s="156" t="str">
        <f t="shared" ca="1" si="1220"/>
        <v>ZLOB</v>
      </c>
      <c r="AJ737" s="157" t="str">
        <f t="shared" ca="1" si="1221"/>
        <v>WPF/UM</v>
      </c>
      <c r="AK737" s="158" t="str">
        <f t="shared" ca="1" si="1134"/>
        <v>C/USN/VI/P3/4 85516 6050 ZLOB</v>
      </c>
      <c r="AL737" s="158" t="str">
        <f t="shared" ca="1" si="1135"/>
        <v>C/USN/VI/P3/4 85516 6050 WPF/UM</v>
      </c>
      <c r="AM737" s="159" t="str">
        <f t="shared" ca="1" si="1136"/>
        <v>C/USN/VI/P3/4 85516 6050 ZLOB WPF/UM</v>
      </c>
      <c r="AN737" s="160">
        <f t="shared" ca="1" si="1222"/>
        <v>0</v>
      </c>
      <c r="AO737" s="161">
        <f t="shared" ca="1" si="1223"/>
        <v>0</v>
      </c>
      <c r="AP737" s="162">
        <f t="shared" ca="1" si="1224"/>
        <v>0</v>
      </c>
      <c r="AQ737" s="163">
        <f t="shared" ca="1" si="1225"/>
        <v>0</v>
      </c>
      <c r="AR737" s="164">
        <f t="shared" ca="1" si="1226"/>
        <v>0</v>
      </c>
      <c r="AS737" s="164">
        <f t="shared" ca="1" si="1227"/>
        <v>0</v>
      </c>
      <c r="AT737" s="164">
        <f t="shared" ca="1" si="1228"/>
        <v>0</v>
      </c>
      <c r="AU737" s="164">
        <f t="shared" ca="1" si="1229"/>
        <v>0</v>
      </c>
      <c r="AV737" s="164">
        <f t="shared" ca="1" si="1230"/>
        <v>0</v>
      </c>
      <c r="AW737" s="164">
        <f t="shared" ca="1" si="1231"/>
        <v>0</v>
      </c>
      <c r="AX737" s="164">
        <f t="shared" ca="1" si="1232"/>
        <v>0</v>
      </c>
      <c r="AY737" s="164">
        <f t="shared" ca="1" si="1233"/>
        <v>0</v>
      </c>
      <c r="AZ737" s="164">
        <f t="shared" ca="1" si="1234"/>
        <v>0</v>
      </c>
      <c r="BA737" s="165" t="str">
        <f t="shared" ca="1" si="1235"/>
        <v>nie</v>
      </c>
      <c r="BB737" s="166" t="str">
        <f t="shared" ca="1" si="1121"/>
        <v>-</v>
      </c>
      <c r="BC737" s="165" t="str">
        <f t="shared" ca="1" si="1202"/>
        <v>nie</v>
      </c>
    </row>
    <row r="738" spans="1:55" s="167" customFormat="1" ht="14.45" hidden="1" customHeight="1" x14ac:dyDescent="0.25">
      <c r="A738" s="191" t="s">
        <v>101</v>
      </c>
      <c r="B738" s="192"/>
      <c r="C738" s="193"/>
      <c r="D738" s="192"/>
      <c r="E738" s="192"/>
      <c r="F738" s="192"/>
      <c r="G738" s="192"/>
      <c r="H738" s="192"/>
      <c r="I738" s="192"/>
      <c r="J738" s="192"/>
      <c r="K738" s="192"/>
      <c r="L738" s="192"/>
      <c r="M738" s="192"/>
      <c r="N738" s="192"/>
      <c r="O738" s="192"/>
      <c r="P738" s="192"/>
      <c r="Q738" s="192"/>
      <c r="R738" s="194"/>
      <c r="S738" s="195"/>
      <c r="T738" s="195"/>
      <c r="U738" s="195"/>
      <c r="V738" s="195"/>
      <c r="W738" s="195"/>
      <c r="X738" s="195"/>
      <c r="Y738" s="196"/>
      <c r="Z738" s="149" t="str">
        <f t="shared" ca="1" si="1201"/>
        <v>nie</v>
      </c>
      <c r="AA738" s="366"/>
      <c r="AB738" s="150" t="str">
        <f t="shared" ca="1" si="1120"/>
        <v>-</v>
      </c>
      <c r="AC738" s="151" t="str">
        <f t="shared" ca="1" si="1215"/>
        <v>PO ZMIANIE</v>
      </c>
      <c r="AD738" s="152" t="str">
        <f t="shared" ca="1" si="1133"/>
        <v/>
      </c>
      <c r="AE738" s="153" t="str">
        <f t="shared" ca="1" si="1216"/>
        <v/>
      </c>
      <c r="AF738" s="154" t="str">
        <f t="shared" ca="1" si="1217"/>
        <v/>
      </c>
      <c r="AG738" s="155" t="str">
        <f t="shared" ca="1" si="1218"/>
        <v/>
      </c>
      <c r="AH738" s="155" t="str">
        <f t="shared" ca="1" si="1219"/>
        <v/>
      </c>
      <c r="AI738" s="156" t="str">
        <f t="shared" ca="1" si="1220"/>
        <v/>
      </c>
      <c r="AJ738" s="157" t="str">
        <f t="shared" ca="1" si="1221"/>
        <v/>
      </c>
      <c r="AK738" s="158" t="str">
        <f t="shared" ca="1" si="1134"/>
        <v/>
      </c>
      <c r="AL738" s="158" t="str">
        <f t="shared" ca="1" si="1135"/>
        <v/>
      </c>
      <c r="AM738" s="159" t="str">
        <f t="shared" ca="1" si="1136"/>
        <v/>
      </c>
      <c r="AN738" s="160" t="str">
        <f t="shared" ca="1" si="1222"/>
        <v/>
      </c>
      <c r="AO738" s="161" t="str">
        <f t="shared" ca="1" si="1223"/>
        <v/>
      </c>
      <c r="AP738" s="162" t="str">
        <f t="shared" ca="1" si="1224"/>
        <v/>
      </c>
      <c r="AQ738" s="163" t="str">
        <f t="shared" ca="1" si="1225"/>
        <v/>
      </c>
      <c r="AR738" s="164" t="str">
        <f t="shared" ca="1" si="1226"/>
        <v/>
      </c>
      <c r="AS738" s="164" t="str">
        <f t="shared" ca="1" si="1227"/>
        <v/>
      </c>
      <c r="AT738" s="164" t="str">
        <f t="shared" ca="1" si="1228"/>
        <v/>
      </c>
      <c r="AU738" s="164" t="str">
        <f t="shared" ca="1" si="1229"/>
        <v/>
      </c>
      <c r="AV738" s="164" t="str">
        <f t="shared" ca="1" si="1230"/>
        <v/>
      </c>
      <c r="AW738" s="164" t="str">
        <f t="shared" ca="1" si="1231"/>
        <v/>
      </c>
      <c r="AX738" s="164" t="str">
        <f t="shared" ca="1" si="1232"/>
        <v/>
      </c>
      <c r="AY738" s="164" t="str">
        <f t="shared" ca="1" si="1233"/>
        <v/>
      </c>
      <c r="AZ738" s="164" t="str">
        <f t="shared" ca="1" si="1234"/>
        <v/>
      </c>
      <c r="BA738" s="165" t="str">
        <f t="shared" ca="1" si="1235"/>
        <v>nie</v>
      </c>
      <c r="BB738" s="166" t="str">
        <f t="shared" ca="1" si="1121"/>
        <v>-</v>
      </c>
      <c r="BC738" s="165" t="str">
        <f t="shared" ca="1" si="1202"/>
        <v>nie</v>
      </c>
    </row>
    <row r="739" spans="1:55" s="176" customFormat="1" ht="14.45" hidden="1" customHeight="1" x14ac:dyDescent="0.25">
      <c r="A739" s="493" t="s">
        <v>24</v>
      </c>
      <c r="B739" s="493" t="s">
        <v>188</v>
      </c>
      <c r="C739" s="494" t="s">
        <v>189</v>
      </c>
      <c r="D739" s="505" t="s">
        <v>190</v>
      </c>
      <c r="E739" s="497">
        <v>855</v>
      </c>
      <c r="F739" s="497">
        <v>85516</v>
      </c>
      <c r="G739" s="497">
        <v>6050</v>
      </c>
      <c r="H739" s="507">
        <v>2016</v>
      </c>
      <c r="I739" s="499" t="str">
        <f ca="1">IF(COUNTIF(OFFSET(I739,-1,-8),"*propon*")&gt;0,OFFSET(I739,4,0),IF(Y739&gt;0,"2033",IF(X739&gt;0,"2032",IF(W739&gt;0,"2031",IF(V739&gt;0,"2030",IF(U739&gt;0,"2029",IF(T739&gt;0,"2028",IF(S739&gt;0,"2027",IF(R739&gt;0,"2026",IF(Q739&gt;0,"2025",IF(P739&gt;0,"2024",IF(M739&gt;0,"2023",IF(L739&gt;0,"2022","")))))))))))))</f>
        <v>2024</v>
      </c>
      <c r="J739" s="168" t="s">
        <v>102</v>
      </c>
      <c r="K739" s="169">
        <f>SUM(N739:O739)</f>
        <v>12466383</v>
      </c>
      <c r="L739" s="170">
        <f t="shared" ref="L739:M739" si="1247">SUM(L740:L741)</f>
        <v>12211242</v>
      </c>
      <c r="M739" s="171">
        <f t="shared" si="1247"/>
        <v>0</v>
      </c>
      <c r="N739" s="172">
        <f>SUM(L739:M739)</f>
        <v>12211242</v>
      </c>
      <c r="O739" s="169">
        <f>SUM(P739:Y739)</f>
        <v>255141</v>
      </c>
      <c r="P739" s="173">
        <f t="shared" ref="P739:R739" si="1248">SUM(P740:P741)</f>
        <v>255141</v>
      </c>
      <c r="Q739" s="171">
        <f t="shared" si="1248"/>
        <v>0</v>
      </c>
      <c r="R739" s="174">
        <f t="shared" si="1248"/>
        <v>0</v>
      </c>
      <c r="S739" s="175">
        <f t="shared" ref="S739:Y739" si="1249">SUM(S740:S741)</f>
        <v>0</v>
      </c>
      <c r="T739" s="171">
        <f t="shared" si="1249"/>
        <v>0</v>
      </c>
      <c r="U739" s="171">
        <f t="shared" si="1249"/>
        <v>0</v>
      </c>
      <c r="V739" s="171">
        <f t="shared" si="1249"/>
        <v>0</v>
      </c>
      <c r="W739" s="171">
        <f t="shared" si="1249"/>
        <v>0</v>
      </c>
      <c r="X739" s="171">
        <f t="shared" si="1249"/>
        <v>0</v>
      </c>
      <c r="Y739" s="174">
        <f t="shared" si="1249"/>
        <v>0</v>
      </c>
      <c r="Z739" s="149" t="str">
        <f t="shared" ca="1" si="1201"/>
        <v>nie</v>
      </c>
      <c r="AA739" s="366"/>
      <c r="AB739" s="150" t="str">
        <f t="shared" ca="1" si="1120"/>
        <v>-</v>
      </c>
      <c r="AC739" s="151" t="str">
        <f t="shared" ca="1" si="1215"/>
        <v>PO ZMIANIE</v>
      </c>
      <c r="AD739" s="152" t="str">
        <f t="shared" ca="1" si="1133"/>
        <v>PO ZMIANIE</v>
      </c>
      <c r="AE739" s="153" t="str">
        <f t="shared" ca="1" si="1216"/>
        <v>C/USN/VI/P3/4</v>
      </c>
      <c r="AF739" s="154" t="str">
        <f t="shared" ca="1" si="1217"/>
        <v>Budowa żłobka przy ul. Kazury wraz z infrastrukturą komunikacyjną</v>
      </c>
      <c r="AG739" s="155">
        <f t="shared" ca="1" si="1218"/>
        <v>85516</v>
      </c>
      <c r="AH739" s="155" t="str">
        <f t="shared" ca="1" si="1219"/>
        <v>6050</v>
      </c>
      <c r="AI739" s="156" t="str">
        <f t="shared" ca="1" si="1220"/>
        <v>ZLOB</v>
      </c>
      <c r="AJ739" s="157" t="str">
        <f t="shared" ca="1" si="1221"/>
        <v>WPF, w tym</v>
      </c>
      <c r="AK739" s="158" t="str">
        <f t="shared" ca="1" si="1134"/>
        <v>C/USN/VI/P3/4 85516 6050 ZLOB</v>
      </c>
      <c r="AL739" s="158" t="str">
        <f t="shared" ca="1" si="1135"/>
        <v>C/USN/VI/P3/4 85516 6050 WPF, w tym</v>
      </c>
      <c r="AM739" s="159" t="str">
        <f t="shared" ca="1" si="1136"/>
        <v>C/USN/VI/P3/4 85516 6050 ZLOB WPF, w tym</v>
      </c>
      <c r="AN739" s="160">
        <f t="shared" ca="1" si="1222"/>
        <v>12466383</v>
      </c>
      <c r="AO739" s="161">
        <f t="shared" ca="1" si="1223"/>
        <v>12211242</v>
      </c>
      <c r="AP739" s="162">
        <f t="shared" ca="1" si="1224"/>
        <v>0</v>
      </c>
      <c r="AQ739" s="163">
        <f t="shared" ca="1" si="1225"/>
        <v>255141</v>
      </c>
      <c r="AR739" s="164">
        <f t="shared" ca="1" si="1226"/>
        <v>0</v>
      </c>
      <c r="AS739" s="164">
        <f t="shared" ca="1" si="1227"/>
        <v>0</v>
      </c>
      <c r="AT739" s="164">
        <f t="shared" ca="1" si="1228"/>
        <v>0</v>
      </c>
      <c r="AU739" s="164">
        <f t="shared" ca="1" si="1229"/>
        <v>0</v>
      </c>
      <c r="AV739" s="164">
        <f t="shared" ca="1" si="1230"/>
        <v>0</v>
      </c>
      <c r="AW739" s="164">
        <f t="shared" ca="1" si="1231"/>
        <v>0</v>
      </c>
      <c r="AX739" s="164">
        <f t="shared" ca="1" si="1232"/>
        <v>0</v>
      </c>
      <c r="AY739" s="164">
        <f t="shared" ca="1" si="1233"/>
        <v>0</v>
      </c>
      <c r="AZ739" s="164">
        <f t="shared" ca="1" si="1234"/>
        <v>0</v>
      </c>
      <c r="BA739" s="165" t="str">
        <f t="shared" ca="1" si="1235"/>
        <v>nie</v>
      </c>
      <c r="BB739" s="166" t="str">
        <f t="shared" ca="1" si="1121"/>
        <v>-</v>
      </c>
      <c r="BC739" s="165" t="str">
        <f t="shared" ca="1" si="1202"/>
        <v>nie</v>
      </c>
    </row>
    <row r="740" spans="1:55" s="167" customFormat="1" ht="14.45" hidden="1" customHeight="1" x14ac:dyDescent="0.25">
      <c r="A740" s="493"/>
      <c r="B740" s="493"/>
      <c r="C740" s="494"/>
      <c r="D740" s="506"/>
      <c r="E740" s="497"/>
      <c r="F740" s="497"/>
      <c r="G740" s="497"/>
      <c r="H740" s="498"/>
      <c r="I740" s="499"/>
      <c r="J740" s="177" t="s">
        <v>103</v>
      </c>
      <c r="K740" s="178">
        <f>SUM(N740:O740)</f>
        <v>255141</v>
      </c>
      <c r="L740" s="179"/>
      <c r="M740" s="180"/>
      <c r="N740" s="172">
        <f>SUM(L740:M740)</f>
        <v>0</v>
      </c>
      <c r="O740" s="178">
        <f>SUM(P740:Y740)</f>
        <v>255141</v>
      </c>
      <c r="P740" s="181">
        <f>120456+134685</f>
        <v>255141</v>
      </c>
      <c r="Q740" s="180"/>
      <c r="R740" s="182"/>
      <c r="S740" s="183"/>
      <c r="T740" s="180"/>
      <c r="U740" s="180"/>
      <c r="V740" s="180"/>
      <c r="W740" s="180"/>
      <c r="X740" s="180"/>
      <c r="Y740" s="182"/>
      <c r="Z740" s="149" t="str">
        <f t="shared" ca="1" si="1201"/>
        <v>nie</v>
      </c>
      <c r="AA740" s="384"/>
      <c r="AB740" s="150" t="str">
        <f t="shared" ca="1" si="1120"/>
        <v>-</v>
      </c>
      <c r="AC740" s="151" t="str">
        <f t="shared" ca="1" si="1215"/>
        <v>PO ZMIANIE</v>
      </c>
      <c r="AD740" s="152" t="str">
        <f t="shared" ca="1" si="1133"/>
        <v>PO ZMIANIE</v>
      </c>
      <c r="AE740" s="153" t="str">
        <f t="shared" ca="1" si="1216"/>
        <v>C/USN/VI/P3/4</v>
      </c>
      <c r="AF740" s="154" t="str">
        <f t="shared" ca="1" si="1217"/>
        <v>Budowa żłobka przy ul. Kazury wraz z infrastrukturą komunikacyjną</v>
      </c>
      <c r="AG740" s="155">
        <f t="shared" ca="1" si="1218"/>
        <v>85516</v>
      </c>
      <c r="AH740" s="155" t="str">
        <f t="shared" ca="1" si="1219"/>
        <v>6050</v>
      </c>
      <c r="AI740" s="156" t="str">
        <f t="shared" ca="1" si="1220"/>
        <v>ZLOB</v>
      </c>
      <c r="AJ740" s="157" t="str">
        <f t="shared" ca="1" si="1221"/>
        <v>WPF/PM</v>
      </c>
      <c r="AK740" s="158" t="str">
        <f t="shared" ca="1" si="1134"/>
        <v>C/USN/VI/P3/4 85516 6050 ZLOB</v>
      </c>
      <c r="AL740" s="158" t="str">
        <f t="shared" ca="1" si="1135"/>
        <v>C/USN/VI/P3/4 85516 6050 WPF/PM</v>
      </c>
      <c r="AM740" s="159" t="str">
        <f t="shared" ca="1" si="1136"/>
        <v>C/USN/VI/P3/4 85516 6050 ZLOB WPF/PM</v>
      </c>
      <c r="AN740" s="160">
        <f t="shared" ca="1" si="1222"/>
        <v>255141</v>
      </c>
      <c r="AO740" s="161">
        <f t="shared" ca="1" si="1223"/>
        <v>0</v>
      </c>
      <c r="AP740" s="162">
        <f t="shared" ca="1" si="1224"/>
        <v>0</v>
      </c>
      <c r="AQ740" s="163">
        <f t="shared" ca="1" si="1225"/>
        <v>255141</v>
      </c>
      <c r="AR740" s="164">
        <f t="shared" ca="1" si="1226"/>
        <v>0</v>
      </c>
      <c r="AS740" s="164">
        <f t="shared" ca="1" si="1227"/>
        <v>0</v>
      </c>
      <c r="AT740" s="164">
        <f t="shared" ca="1" si="1228"/>
        <v>0</v>
      </c>
      <c r="AU740" s="164">
        <f t="shared" ca="1" si="1229"/>
        <v>0</v>
      </c>
      <c r="AV740" s="164">
        <f t="shared" ca="1" si="1230"/>
        <v>0</v>
      </c>
      <c r="AW740" s="164">
        <f t="shared" ca="1" si="1231"/>
        <v>0</v>
      </c>
      <c r="AX740" s="164">
        <f t="shared" ca="1" si="1232"/>
        <v>0</v>
      </c>
      <c r="AY740" s="164">
        <f t="shared" ca="1" si="1233"/>
        <v>0</v>
      </c>
      <c r="AZ740" s="164">
        <f t="shared" ca="1" si="1234"/>
        <v>0</v>
      </c>
      <c r="BA740" s="165" t="str">
        <f t="shared" ca="1" si="1235"/>
        <v>nie</v>
      </c>
      <c r="BB740" s="166" t="str">
        <f t="shared" ca="1" si="1121"/>
        <v>-</v>
      </c>
      <c r="BC740" s="165" t="str">
        <f t="shared" ca="1" si="1202"/>
        <v>nie</v>
      </c>
    </row>
    <row r="741" spans="1:55" s="167" customFormat="1" ht="14.45" hidden="1" customHeight="1" thickBot="1" x14ac:dyDescent="0.3">
      <c r="A741" s="500"/>
      <c r="B741" s="500"/>
      <c r="C741" s="501"/>
      <c r="D741" s="513"/>
      <c r="E741" s="503"/>
      <c r="F741" s="503"/>
      <c r="G741" s="503"/>
      <c r="H741" s="504"/>
      <c r="I741" s="499"/>
      <c r="J741" s="197" t="s">
        <v>104</v>
      </c>
      <c r="K741" s="198">
        <f>SUM(N741:O741)</f>
        <v>12211242</v>
      </c>
      <c r="L741" s="199">
        <v>12211242</v>
      </c>
      <c r="M741" s="200">
        <f>134685-134685</f>
        <v>0</v>
      </c>
      <c r="N741" s="371">
        <f>SUM(L741:M741)</f>
        <v>12211242</v>
      </c>
      <c r="O741" s="198">
        <f>SUM(P741:Y741)</f>
        <v>0</v>
      </c>
      <c r="P741" s="201"/>
      <c r="Q741" s="200"/>
      <c r="R741" s="202"/>
      <c r="S741" s="203"/>
      <c r="T741" s="200"/>
      <c r="U741" s="200"/>
      <c r="V741" s="200"/>
      <c r="W741" s="200"/>
      <c r="X741" s="200"/>
      <c r="Y741" s="202"/>
      <c r="Z741" s="149" t="str">
        <f t="shared" ca="1" si="1201"/>
        <v>nie</v>
      </c>
      <c r="AA741" s="384"/>
      <c r="AB741" s="150" t="str">
        <f t="shared" ca="1" si="1120"/>
        <v>-</v>
      </c>
      <c r="AC741" s="151" t="str">
        <f t="shared" ca="1" si="1215"/>
        <v>PO ZMIANIE</v>
      </c>
      <c r="AD741" s="152" t="str">
        <f t="shared" ca="1" si="1133"/>
        <v>PO ZMIANIE</v>
      </c>
      <c r="AE741" s="153" t="str">
        <f t="shared" ca="1" si="1216"/>
        <v>C/USN/VI/P3/4</v>
      </c>
      <c r="AF741" s="154" t="str">
        <f t="shared" ca="1" si="1217"/>
        <v>Budowa żłobka przy ul. Kazury wraz z infrastrukturą komunikacyjną</v>
      </c>
      <c r="AG741" s="155">
        <f t="shared" ca="1" si="1218"/>
        <v>85516</v>
      </c>
      <c r="AH741" s="155" t="str">
        <f t="shared" ca="1" si="1219"/>
        <v>6050</v>
      </c>
      <c r="AI741" s="156" t="str">
        <f t="shared" ca="1" si="1220"/>
        <v>ZLOB</v>
      </c>
      <c r="AJ741" s="157" t="str">
        <f t="shared" ca="1" si="1221"/>
        <v>WPF/UM</v>
      </c>
      <c r="AK741" s="158" t="str">
        <f t="shared" ca="1" si="1134"/>
        <v>C/USN/VI/P3/4 85516 6050 ZLOB</v>
      </c>
      <c r="AL741" s="158" t="str">
        <f t="shared" ca="1" si="1135"/>
        <v>C/USN/VI/P3/4 85516 6050 WPF/UM</v>
      </c>
      <c r="AM741" s="159" t="str">
        <f t="shared" ca="1" si="1136"/>
        <v>C/USN/VI/P3/4 85516 6050 ZLOB WPF/UM</v>
      </c>
      <c r="AN741" s="160">
        <f t="shared" ca="1" si="1222"/>
        <v>12211242</v>
      </c>
      <c r="AO741" s="161">
        <f t="shared" ca="1" si="1223"/>
        <v>12211242</v>
      </c>
      <c r="AP741" s="162">
        <f t="shared" ca="1" si="1224"/>
        <v>0</v>
      </c>
      <c r="AQ741" s="163">
        <f t="shared" ca="1" si="1225"/>
        <v>0</v>
      </c>
      <c r="AR741" s="164">
        <f t="shared" ca="1" si="1226"/>
        <v>0</v>
      </c>
      <c r="AS741" s="164">
        <f t="shared" ca="1" si="1227"/>
        <v>0</v>
      </c>
      <c r="AT741" s="164">
        <f t="shared" ca="1" si="1228"/>
        <v>0</v>
      </c>
      <c r="AU741" s="164">
        <f t="shared" ca="1" si="1229"/>
        <v>0</v>
      </c>
      <c r="AV741" s="164">
        <f t="shared" ca="1" si="1230"/>
        <v>0</v>
      </c>
      <c r="AW741" s="164">
        <f t="shared" ca="1" si="1231"/>
        <v>0</v>
      </c>
      <c r="AX741" s="164">
        <f t="shared" ca="1" si="1232"/>
        <v>0</v>
      </c>
      <c r="AY741" s="164">
        <f t="shared" ca="1" si="1233"/>
        <v>0</v>
      </c>
      <c r="AZ741" s="164">
        <f t="shared" ca="1" si="1234"/>
        <v>0</v>
      </c>
      <c r="BA741" s="165" t="str">
        <f t="shared" ca="1" si="1235"/>
        <v>nie</v>
      </c>
      <c r="BB741" s="166" t="str">
        <f t="shared" ca="1" si="1121"/>
        <v>-</v>
      </c>
      <c r="BC741" s="165" t="str">
        <f t="shared" ca="1" si="1202"/>
        <v>nie</v>
      </c>
    </row>
    <row r="742" spans="1:55" s="167" customFormat="1" ht="14.45" hidden="1" customHeight="1" x14ac:dyDescent="0.25">
      <c r="A742" s="143" t="s">
        <v>91</v>
      </c>
      <c r="B742" s="144"/>
      <c r="C742" s="145"/>
      <c r="D742" s="144"/>
      <c r="E742" s="144"/>
      <c r="F742" s="144"/>
      <c r="G742" s="144"/>
      <c r="H742" s="144"/>
      <c r="I742" s="144"/>
      <c r="J742" s="144"/>
      <c r="K742" s="144"/>
      <c r="L742" s="144"/>
      <c r="M742" s="144"/>
      <c r="N742" s="144"/>
      <c r="O742" s="144"/>
      <c r="P742" s="144"/>
      <c r="Q742" s="144"/>
      <c r="R742" s="146"/>
      <c r="S742" s="147"/>
      <c r="T742" s="147"/>
      <c r="U742" s="147"/>
      <c r="V742" s="147"/>
      <c r="W742" s="147"/>
      <c r="X742" s="147"/>
      <c r="Y742" s="148"/>
      <c r="Z742" s="149" t="str">
        <f t="shared" ca="1" si="1201"/>
        <v>nie</v>
      </c>
      <c r="AA742" s="366"/>
      <c r="AB742" s="150" t="str">
        <f t="shared" ca="1" si="1120"/>
        <v>-</v>
      </c>
      <c r="AC742" s="151" t="str">
        <f t="shared" ca="1" si="1215"/>
        <v>PRZED ZMIANĄ</v>
      </c>
      <c r="AD742" s="152" t="str">
        <f t="shared" ca="1" si="1133"/>
        <v/>
      </c>
      <c r="AE742" s="153" t="str">
        <f t="shared" ca="1" si="1216"/>
        <v/>
      </c>
      <c r="AF742" s="154" t="str">
        <f t="shared" ca="1" si="1217"/>
        <v/>
      </c>
      <c r="AG742" s="155" t="str">
        <f t="shared" ca="1" si="1218"/>
        <v/>
      </c>
      <c r="AH742" s="155" t="str">
        <f t="shared" ca="1" si="1219"/>
        <v/>
      </c>
      <c r="AI742" s="156" t="str">
        <f t="shared" ca="1" si="1220"/>
        <v/>
      </c>
      <c r="AJ742" s="157" t="str">
        <f t="shared" ca="1" si="1221"/>
        <v/>
      </c>
      <c r="AK742" s="158" t="str">
        <f t="shared" ca="1" si="1134"/>
        <v/>
      </c>
      <c r="AL742" s="158" t="str">
        <f t="shared" ca="1" si="1135"/>
        <v/>
      </c>
      <c r="AM742" s="159" t="str">
        <f t="shared" ca="1" si="1136"/>
        <v/>
      </c>
      <c r="AN742" s="160" t="str">
        <f t="shared" ca="1" si="1222"/>
        <v/>
      </c>
      <c r="AO742" s="161" t="str">
        <f t="shared" ca="1" si="1223"/>
        <v/>
      </c>
      <c r="AP742" s="162" t="str">
        <f t="shared" ca="1" si="1224"/>
        <v/>
      </c>
      <c r="AQ742" s="163" t="str">
        <f t="shared" ca="1" si="1225"/>
        <v/>
      </c>
      <c r="AR742" s="164" t="str">
        <f t="shared" ca="1" si="1226"/>
        <v/>
      </c>
      <c r="AS742" s="164" t="str">
        <f t="shared" ca="1" si="1227"/>
        <v/>
      </c>
      <c r="AT742" s="164" t="str">
        <f t="shared" ca="1" si="1228"/>
        <v/>
      </c>
      <c r="AU742" s="164" t="str">
        <f t="shared" ca="1" si="1229"/>
        <v/>
      </c>
      <c r="AV742" s="164" t="str">
        <f t="shared" ca="1" si="1230"/>
        <v/>
      </c>
      <c r="AW742" s="164" t="str">
        <f t="shared" ca="1" si="1231"/>
        <v/>
      </c>
      <c r="AX742" s="164" t="str">
        <f t="shared" ca="1" si="1232"/>
        <v/>
      </c>
      <c r="AY742" s="164" t="str">
        <f t="shared" ca="1" si="1233"/>
        <v/>
      </c>
      <c r="AZ742" s="164" t="str">
        <f t="shared" ca="1" si="1234"/>
        <v/>
      </c>
      <c r="BA742" s="165" t="str">
        <f t="shared" ca="1" si="1235"/>
        <v>nie</v>
      </c>
      <c r="BB742" s="166" t="str">
        <f t="shared" ca="1" si="1121"/>
        <v>-</v>
      </c>
      <c r="BC742" s="165" t="str">
        <f t="shared" ca="1" si="1202"/>
        <v>nie</v>
      </c>
    </row>
    <row r="743" spans="1:55" s="176" customFormat="1" ht="14.45" hidden="1" customHeight="1" x14ac:dyDescent="0.25">
      <c r="A743" s="493" t="s">
        <v>24</v>
      </c>
      <c r="B743" s="493" t="s">
        <v>26</v>
      </c>
      <c r="C743" s="494" t="s">
        <v>189</v>
      </c>
      <c r="D743" s="505" t="s">
        <v>190</v>
      </c>
      <c r="E743" s="497">
        <v>855</v>
      </c>
      <c r="F743" s="497">
        <v>85516</v>
      </c>
      <c r="G743" s="497">
        <v>6050</v>
      </c>
      <c r="H743" s="507">
        <v>2016</v>
      </c>
      <c r="I743" s="499" t="str">
        <f ca="1">IF(COUNTIF(OFFSET(I743,-1,-8),"*propon*")&gt;0,OFFSET(I743,4,0),IF(Y743&gt;0,"2033",IF(X743&gt;0,"2032",IF(W743&gt;0,"2031",IF(V743&gt;0,"2030",IF(U743&gt;0,"2029",IF(T743&gt;0,"2028",IF(S743&gt;0,"2027",IF(R743&gt;0,"2026",IF(Q743&gt;0,"2025",IF(P743&gt;0,"2024",IF(M743&gt;0,"2023",IF(L743&gt;0,"2022","")))))))))))))</f>
        <v>2024</v>
      </c>
      <c r="J743" s="168" t="s">
        <v>94</v>
      </c>
      <c r="K743" s="169">
        <f>SUM(N743:O743)</f>
        <v>2650000</v>
      </c>
      <c r="L743" s="170">
        <f t="shared" ref="L743:M743" si="1250">SUM(L744:L745)</f>
        <v>60671</v>
      </c>
      <c r="M743" s="171">
        <f t="shared" si="1250"/>
        <v>7064</v>
      </c>
      <c r="N743" s="172">
        <f>SUM(L743:M743)</f>
        <v>67735</v>
      </c>
      <c r="O743" s="169">
        <f>SUM(P743:Y743)</f>
        <v>2582265</v>
      </c>
      <c r="P743" s="173">
        <f t="shared" ref="P743:R743" si="1251">SUM(P744:P745)</f>
        <v>2582265</v>
      </c>
      <c r="Q743" s="171">
        <f t="shared" si="1251"/>
        <v>0</v>
      </c>
      <c r="R743" s="174">
        <f t="shared" si="1251"/>
        <v>0</v>
      </c>
      <c r="S743" s="175">
        <f t="shared" ref="S743:Y743" si="1252">SUM(S744:S745)</f>
        <v>0</v>
      </c>
      <c r="T743" s="171">
        <f t="shared" si="1252"/>
        <v>0</v>
      </c>
      <c r="U743" s="171">
        <f t="shared" si="1252"/>
        <v>0</v>
      </c>
      <c r="V743" s="171">
        <f t="shared" si="1252"/>
        <v>0</v>
      </c>
      <c r="W743" s="171">
        <f t="shared" si="1252"/>
        <v>0</v>
      </c>
      <c r="X743" s="171">
        <f t="shared" si="1252"/>
        <v>0</v>
      </c>
      <c r="Y743" s="174">
        <f t="shared" si="1252"/>
        <v>0</v>
      </c>
      <c r="Z743" s="149" t="str">
        <f t="shared" ca="1" si="1201"/>
        <v>nie</v>
      </c>
      <c r="AA743" s="366"/>
      <c r="AB743" s="150" t="str">
        <f t="shared" ca="1" si="1120"/>
        <v>-</v>
      </c>
      <c r="AC743" s="151" t="str">
        <f t="shared" ca="1" si="1215"/>
        <v>PRZED ZMIANĄ</v>
      </c>
      <c r="AD743" s="152" t="str">
        <f t="shared" ca="1" si="1133"/>
        <v>PRZED ZMIANĄ</v>
      </c>
      <c r="AE743" s="153" t="str">
        <f t="shared" ca="1" si="1216"/>
        <v>C/USN/VI/P3/4</v>
      </c>
      <c r="AF743" s="154" t="str">
        <f t="shared" ca="1" si="1217"/>
        <v>Budowa żłobka przy ul. Kazury wraz z infrastrukturą komunikacyjną</v>
      </c>
      <c r="AG743" s="155">
        <f t="shared" ca="1" si="1218"/>
        <v>85516</v>
      </c>
      <c r="AH743" s="155" t="str">
        <f t="shared" ca="1" si="1219"/>
        <v>6050</v>
      </c>
      <c r="AI743" s="156" t="str">
        <f t="shared" ca="1" si="1220"/>
        <v>GMMW</v>
      </c>
      <c r="AJ743" s="157" t="str">
        <f t="shared" ca="1" si="1221"/>
        <v>WPF, w tym</v>
      </c>
      <c r="AK743" s="158" t="str">
        <f t="shared" ca="1" si="1134"/>
        <v>C/USN/VI/P3/4 85516 6050 GMMW</v>
      </c>
      <c r="AL743" s="158" t="str">
        <f t="shared" ca="1" si="1135"/>
        <v>C/USN/VI/P3/4 85516 6050 WPF, w tym</v>
      </c>
      <c r="AM743" s="159" t="str">
        <f t="shared" ca="1" si="1136"/>
        <v>C/USN/VI/P3/4 85516 6050 GMMW WPF, w tym</v>
      </c>
      <c r="AN743" s="160">
        <f t="shared" ca="1" si="1222"/>
        <v>2650000</v>
      </c>
      <c r="AO743" s="161">
        <f t="shared" ca="1" si="1223"/>
        <v>60671</v>
      </c>
      <c r="AP743" s="162">
        <f t="shared" ca="1" si="1224"/>
        <v>7064</v>
      </c>
      <c r="AQ743" s="163">
        <f t="shared" ca="1" si="1225"/>
        <v>2582265</v>
      </c>
      <c r="AR743" s="164">
        <f t="shared" ca="1" si="1226"/>
        <v>0</v>
      </c>
      <c r="AS743" s="164">
        <f t="shared" ca="1" si="1227"/>
        <v>0</v>
      </c>
      <c r="AT743" s="164">
        <f t="shared" ca="1" si="1228"/>
        <v>0</v>
      </c>
      <c r="AU743" s="164">
        <f t="shared" ca="1" si="1229"/>
        <v>0</v>
      </c>
      <c r="AV743" s="164">
        <f t="shared" ca="1" si="1230"/>
        <v>0</v>
      </c>
      <c r="AW743" s="164">
        <f t="shared" ca="1" si="1231"/>
        <v>0</v>
      </c>
      <c r="AX743" s="164">
        <f t="shared" ca="1" si="1232"/>
        <v>0</v>
      </c>
      <c r="AY743" s="164">
        <f t="shared" ca="1" si="1233"/>
        <v>0</v>
      </c>
      <c r="AZ743" s="164">
        <f t="shared" ca="1" si="1234"/>
        <v>0</v>
      </c>
      <c r="BA743" s="165" t="str">
        <f t="shared" ca="1" si="1235"/>
        <v>nie</v>
      </c>
      <c r="BB743" s="166" t="str">
        <f t="shared" ca="1" si="1121"/>
        <v>-</v>
      </c>
      <c r="BC743" s="165" t="str">
        <f t="shared" ca="1" si="1202"/>
        <v>nie</v>
      </c>
    </row>
    <row r="744" spans="1:55" s="167" customFormat="1" ht="14.45" hidden="1" customHeight="1" x14ac:dyDescent="0.25">
      <c r="A744" s="493"/>
      <c r="B744" s="493"/>
      <c r="C744" s="494"/>
      <c r="D744" s="506"/>
      <c r="E744" s="497"/>
      <c r="F744" s="497"/>
      <c r="G744" s="497"/>
      <c r="H744" s="498"/>
      <c r="I744" s="499"/>
      <c r="J744" s="177" t="s">
        <v>95</v>
      </c>
      <c r="K744" s="178">
        <f>SUM(N744:O744)</f>
        <v>2582265</v>
      </c>
      <c r="L744" s="179"/>
      <c r="M744" s="180"/>
      <c r="N744" s="172">
        <f>SUM(L744:M744)</f>
        <v>0</v>
      </c>
      <c r="O744" s="178">
        <f>SUM(P744:Y744)</f>
        <v>2582265</v>
      </c>
      <c r="P744" s="181">
        <v>2582265</v>
      </c>
      <c r="Q744" s="180"/>
      <c r="R744" s="182"/>
      <c r="S744" s="183"/>
      <c r="T744" s="180"/>
      <c r="U744" s="180"/>
      <c r="V744" s="180"/>
      <c r="W744" s="180"/>
      <c r="X744" s="180"/>
      <c r="Y744" s="182"/>
      <c r="Z744" s="149" t="str">
        <f t="shared" ca="1" si="1201"/>
        <v>nie</v>
      </c>
      <c r="AA744" s="366"/>
      <c r="AB744" s="150" t="str">
        <f t="shared" ca="1" si="1120"/>
        <v>-</v>
      </c>
      <c r="AC744" s="151" t="str">
        <f t="shared" ca="1" si="1215"/>
        <v>PRZED ZMIANĄ</v>
      </c>
      <c r="AD744" s="152" t="str">
        <f t="shared" ca="1" si="1133"/>
        <v>PRZED ZMIANĄ</v>
      </c>
      <c r="AE744" s="153" t="str">
        <f t="shared" ca="1" si="1216"/>
        <v>C/USN/VI/P3/4</v>
      </c>
      <c r="AF744" s="154" t="str">
        <f t="shared" ca="1" si="1217"/>
        <v>Budowa żłobka przy ul. Kazury wraz z infrastrukturą komunikacyjną</v>
      </c>
      <c r="AG744" s="155">
        <f t="shared" ca="1" si="1218"/>
        <v>85516</v>
      </c>
      <c r="AH744" s="155" t="str">
        <f t="shared" ca="1" si="1219"/>
        <v>6050</v>
      </c>
      <c r="AI744" s="156" t="str">
        <f t="shared" ca="1" si="1220"/>
        <v>GMMW</v>
      </c>
      <c r="AJ744" s="157" t="str">
        <f t="shared" ca="1" si="1221"/>
        <v>WPF/PM</v>
      </c>
      <c r="AK744" s="158" t="str">
        <f t="shared" ca="1" si="1134"/>
        <v>C/USN/VI/P3/4 85516 6050 GMMW</v>
      </c>
      <c r="AL744" s="158" t="str">
        <f t="shared" ca="1" si="1135"/>
        <v>C/USN/VI/P3/4 85516 6050 WPF/PM</v>
      </c>
      <c r="AM744" s="159" t="str">
        <f t="shared" ca="1" si="1136"/>
        <v>C/USN/VI/P3/4 85516 6050 GMMW WPF/PM</v>
      </c>
      <c r="AN744" s="160">
        <f t="shared" ca="1" si="1222"/>
        <v>2582265</v>
      </c>
      <c r="AO744" s="161">
        <f t="shared" ca="1" si="1223"/>
        <v>0</v>
      </c>
      <c r="AP744" s="162">
        <f t="shared" ca="1" si="1224"/>
        <v>0</v>
      </c>
      <c r="AQ744" s="163">
        <f t="shared" ca="1" si="1225"/>
        <v>2582265</v>
      </c>
      <c r="AR744" s="164">
        <f t="shared" ca="1" si="1226"/>
        <v>0</v>
      </c>
      <c r="AS744" s="164">
        <f t="shared" ca="1" si="1227"/>
        <v>0</v>
      </c>
      <c r="AT744" s="164">
        <f t="shared" ca="1" si="1228"/>
        <v>0</v>
      </c>
      <c r="AU744" s="164">
        <f t="shared" ca="1" si="1229"/>
        <v>0</v>
      </c>
      <c r="AV744" s="164">
        <f t="shared" ca="1" si="1230"/>
        <v>0</v>
      </c>
      <c r="AW744" s="164">
        <f t="shared" ca="1" si="1231"/>
        <v>0</v>
      </c>
      <c r="AX744" s="164">
        <f t="shared" ca="1" si="1232"/>
        <v>0</v>
      </c>
      <c r="AY744" s="164">
        <f t="shared" ca="1" si="1233"/>
        <v>0</v>
      </c>
      <c r="AZ744" s="164">
        <f t="shared" ca="1" si="1234"/>
        <v>0</v>
      </c>
      <c r="BA744" s="165" t="str">
        <f t="shared" ca="1" si="1235"/>
        <v>nie</v>
      </c>
      <c r="BB744" s="166" t="str">
        <f t="shared" ca="1" si="1121"/>
        <v>-</v>
      </c>
      <c r="BC744" s="165" t="str">
        <f t="shared" ca="1" si="1202"/>
        <v>nie</v>
      </c>
    </row>
    <row r="745" spans="1:55" s="167" customFormat="1" ht="14.45" hidden="1" customHeight="1" x14ac:dyDescent="0.25">
      <c r="A745" s="493"/>
      <c r="B745" s="493"/>
      <c r="C745" s="494"/>
      <c r="D745" s="506"/>
      <c r="E745" s="497"/>
      <c r="F745" s="497"/>
      <c r="G745" s="497"/>
      <c r="H745" s="498"/>
      <c r="I745" s="499"/>
      <c r="J745" s="177" t="s">
        <v>96</v>
      </c>
      <c r="K745" s="178">
        <f>SUM(N745:O745)</f>
        <v>67735</v>
      </c>
      <c r="L745" s="184">
        <v>60671</v>
      </c>
      <c r="M745" s="180">
        <v>7064</v>
      </c>
      <c r="N745" s="172">
        <f>SUM(L745:M745)</f>
        <v>67735</v>
      </c>
      <c r="O745" s="178">
        <f>SUM(P745:Y745)</f>
        <v>0</v>
      </c>
      <c r="P745" s="181"/>
      <c r="Q745" s="180"/>
      <c r="R745" s="182"/>
      <c r="S745" s="183"/>
      <c r="T745" s="180"/>
      <c r="U745" s="180"/>
      <c r="V745" s="180"/>
      <c r="W745" s="180"/>
      <c r="X745" s="180"/>
      <c r="Y745" s="182"/>
      <c r="Z745" s="149" t="str">
        <f t="shared" ca="1" si="1201"/>
        <v>nie</v>
      </c>
      <c r="AA745" s="366"/>
      <c r="AB745" s="150" t="str">
        <f t="shared" ca="1" si="1120"/>
        <v>-</v>
      </c>
      <c r="AC745" s="151" t="str">
        <f t="shared" ca="1" si="1215"/>
        <v>PRZED ZMIANĄ</v>
      </c>
      <c r="AD745" s="152" t="str">
        <f t="shared" ca="1" si="1133"/>
        <v>PRZED ZMIANĄ</v>
      </c>
      <c r="AE745" s="153" t="str">
        <f t="shared" ca="1" si="1216"/>
        <v>C/USN/VI/P3/4</v>
      </c>
      <c r="AF745" s="154" t="str">
        <f t="shared" ca="1" si="1217"/>
        <v>Budowa żłobka przy ul. Kazury wraz z infrastrukturą komunikacyjną</v>
      </c>
      <c r="AG745" s="155">
        <f t="shared" ca="1" si="1218"/>
        <v>85516</v>
      </c>
      <c r="AH745" s="155" t="str">
        <f t="shared" ca="1" si="1219"/>
        <v>6050</v>
      </c>
      <c r="AI745" s="156" t="str">
        <f t="shared" ca="1" si="1220"/>
        <v>GMMW</v>
      </c>
      <c r="AJ745" s="157" t="str">
        <f t="shared" ca="1" si="1221"/>
        <v>WPF/UM</v>
      </c>
      <c r="AK745" s="158" t="str">
        <f t="shared" ca="1" si="1134"/>
        <v>C/USN/VI/P3/4 85516 6050 GMMW</v>
      </c>
      <c r="AL745" s="158" t="str">
        <f t="shared" ca="1" si="1135"/>
        <v>C/USN/VI/P3/4 85516 6050 WPF/UM</v>
      </c>
      <c r="AM745" s="159" t="str">
        <f t="shared" ca="1" si="1136"/>
        <v>C/USN/VI/P3/4 85516 6050 GMMW WPF/UM</v>
      </c>
      <c r="AN745" s="160">
        <f t="shared" ca="1" si="1222"/>
        <v>67735</v>
      </c>
      <c r="AO745" s="161">
        <f t="shared" ca="1" si="1223"/>
        <v>60671</v>
      </c>
      <c r="AP745" s="162">
        <f t="shared" ca="1" si="1224"/>
        <v>7064</v>
      </c>
      <c r="AQ745" s="163">
        <f t="shared" ca="1" si="1225"/>
        <v>0</v>
      </c>
      <c r="AR745" s="164">
        <f t="shared" ca="1" si="1226"/>
        <v>0</v>
      </c>
      <c r="AS745" s="164">
        <f t="shared" ca="1" si="1227"/>
        <v>0</v>
      </c>
      <c r="AT745" s="164">
        <f t="shared" ca="1" si="1228"/>
        <v>0</v>
      </c>
      <c r="AU745" s="164">
        <f t="shared" ca="1" si="1229"/>
        <v>0</v>
      </c>
      <c r="AV745" s="164">
        <f t="shared" ca="1" si="1230"/>
        <v>0</v>
      </c>
      <c r="AW745" s="164">
        <f t="shared" ca="1" si="1231"/>
        <v>0</v>
      </c>
      <c r="AX745" s="164">
        <f t="shared" ca="1" si="1232"/>
        <v>0</v>
      </c>
      <c r="AY745" s="164">
        <f t="shared" ca="1" si="1233"/>
        <v>0</v>
      </c>
      <c r="AZ745" s="164">
        <f t="shared" ca="1" si="1234"/>
        <v>0</v>
      </c>
      <c r="BA745" s="165" t="str">
        <f t="shared" ca="1" si="1235"/>
        <v>nie</v>
      </c>
      <c r="BB745" s="166" t="str">
        <f t="shared" ca="1" si="1121"/>
        <v>-</v>
      </c>
      <c r="BC745" s="165" t="str">
        <f t="shared" ca="1" si="1202"/>
        <v>nie</v>
      </c>
    </row>
    <row r="746" spans="1:55" s="167" customFormat="1" ht="14.45" hidden="1" customHeight="1" x14ac:dyDescent="0.25">
      <c r="A746" s="185" t="s">
        <v>97</v>
      </c>
      <c r="B746" s="186"/>
      <c r="C746" s="187"/>
      <c r="D746" s="186"/>
      <c r="E746" s="186"/>
      <c r="F746" s="186"/>
      <c r="G746" s="186"/>
      <c r="H746" s="186"/>
      <c r="I746" s="186"/>
      <c r="J746" s="186"/>
      <c r="K746" s="186"/>
      <c r="L746" s="186"/>
      <c r="M746" s="186"/>
      <c r="N746" s="186"/>
      <c r="O746" s="186"/>
      <c r="P746" s="186"/>
      <c r="Q746" s="186"/>
      <c r="R746" s="188"/>
      <c r="S746" s="189"/>
      <c r="T746" s="189"/>
      <c r="U746" s="189"/>
      <c r="V746" s="189"/>
      <c r="W746" s="189"/>
      <c r="X746" s="189"/>
      <c r="Y746" s="190"/>
      <c r="Z746" s="149" t="str">
        <f t="shared" ca="1" si="1201"/>
        <v>nie</v>
      </c>
      <c r="AA746" s="366"/>
      <c r="AB746" s="150" t="str">
        <f t="shared" ca="1" si="1120"/>
        <v>-</v>
      </c>
      <c r="AC746" s="151" t="str">
        <f t="shared" ca="1" si="1215"/>
        <v>PROPONOWANA ZMIANA</v>
      </c>
      <c r="AD746" s="152" t="str">
        <f t="shared" ca="1" si="1133"/>
        <v/>
      </c>
      <c r="AE746" s="153" t="str">
        <f t="shared" ca="1" si="1216"/>
        <v/>
      </c>
      <c r="AF746" s="154" t="str">
        <f t="shared" ca="1" si="1217"/>
        <v/>
      </c>
      <c r="AG746" s="155" t="str">
        <f t="shared" ca="1" si="1218"/>
        <v/>
      </c>
      <c r="AH746" s="155" t="str">
        <f t="shared" ca="1" si="1219"/>
        <v/>
      </c>
      <c r="AI746" s="156" t="str">
        <f t="shared" ca="1" si="1220"/>
        <v/>
      </c>
      <c r="AJ746" s="157" t="str">
        <f t="shared" ca="1" si="1221"/>
        <v/>
      </c>
      <c r="AK746" s="158" t="str">
        <f t="shared" ca="1" si="1134"/>
        <v/>
      </c>
      <c r="AL746" s="158" t="str">
        <f t="shared" ca="1" si="1135"/>
        <v/>
      </c>
      <c r="AM746" s="159" t="str">
        <f t="shared" ca="1" si="1136"/>
        <v/>
      </c>
      <c r="AN746" s="160" t="str">
        <f t="shared" ca="1" si="1222"/>
        <v/>
      </c>
      <c r="AO746" s="161" t="str">
        <f t="shared" ca="1" si="1223"/>
        <v/>
      </c>
      <c r="AP746" s="162" t="str">
        <f t="shared" ca="1" si="1224"/>
        <v/>
      </c>
      <c r="AQ746" s="163" t="str">
        <f t="shared" ca="1" si="1225"/>
        <v/>
      </c>
      <c r="AR746" s="164" t="str">
        <f t="shared" ca="1" si="1226"/>
        <v/>
      </c>
      <c r="AS746" s="164" t="str">
        <f t="shared" ca="1" si="1227"/>
        <v/>
      </c>
      <c r="AT746" s="164" t="str">
        <f t="shared" ca="1" si="1228"/>
        <v/>
      </c>
      <c r="AU746" s="164" t="str">
        <f t="shared" ca="1" si="1229"/>
        <v/>
      </c>
      <c r="AV746" s="164" t="str">
        <f t="shared" ca="1" si="1230"/>
        <v/>
      </c>
      <c r="AW746" s="164" t="str">
        <f t="shared" ca="1" si="1231"/>
        <v/>
      </c>
      <c r="AX746" s="164" t="str">
        <f t="shared" ca="1" si="1232"/>
        <v/>
      </c>
      <c r="AY746" s="164" t="str">
        <f t="shared" ca="1" si="1233"/>
        <v/>
      </c>
      <c r="AZ746" s="164" t="str">
        <f t="shared" ca="1" si="1234"/>
        <v/>
      </c>
      <c r="BA746" s="165" t="str">
        <f t="shared" ca="1" si="1235"/>
        <v>nie</v>
      </c>
      <c r="BB746" s="166" t="str">
        <f t="shared" ca="1" si="1121"/>
        <v>-</v>
      </c>
      <c r="BC746" s="165" t="str">
        <f t="shared" ca="1" si="1202"/>
        <v>nie</v>
      </c>
    </row>
    <row r="747" spans="1:55" s="176" customFormat="1" ht="14.45" hidden="1" customHeight="1" x14ac:dyDescent="0.25">
      <c r="A747" s="493" t="s">
        <v>24</v>
      </c>
      <c r="B747" s="493" t="s">
        <v>26</v>
      </c>
      <c r="C747" s="494" t="s">
        <v>189</v>
      </c>
      <c r="D747" s="505" t="s">
        <v>190</v>
      </c>
      <c r="E747" s="497">
        <v>855</v>
      </c>
      <c r="F747" s="497">
        <v>85516</v>
      </c>
      <c r="G747" s="497">
        <v>6050</v>
      </c>
      <c r="H747" s="507">
        <v>2016</v>
      </c>
      <c r="I747" s="499" t="str">
        <f ca="1">IF(COUNTIF(OFFSET(I747,-1,-8),"*propon*")&gt;0,OFFSET(I747,4,0),IF(Y747&gt;0,"2033",IF(X747&gt;0,"2032",IF(W747&gt;0,"2031",IF(V747&gt;0,"2030",IF(U747&gt;0,"2029",IF(T747&gt;0,"2028",IF(S747&gt;0,"2027",IF(R747&gt;0,"2026",IF(Q747&gt;0,"2025",IF(P747&gt;0,"2024",IF(M747&gt;0,"2023",IF(L747&gt;0,"2022","")))))))))))))</f>
        <v>2024</v>
      </c>
      <c r="J747" s="168" t="s">
        <v>98</v>
      </c>
      <c r="K747" s="169">
        <f>SUM(N747:O747)</f>
        <v>0</v>
      </c>
      <c r="L747" s="170">
        <f t="shared" ref="L747:M747" si="1253">SUM(L748:L749)</f>
        <v>0</v>
      </c>
      <c r="M747" s="171">
        <f t="shared" si="1253"/>
        <v>0</v>
      </c>
      <c r="N747" s="172">
        <f>SUM(L747:M747)</f>
        <v>0</v>
      </c>
      <c r="O747" s="169">
        <f>SUM(P747:Y747)</f>
        <v>0</v>
      </c>
      <c r="P747" s="173">
        <f t="shared" ref="P747:R747" si="1254">SUM(P748:P749)</f>
        <v>0</v>
      </c>
      <c r="Q747" s="171">
        <f t="shared" si="1254"/>
        <v>0</v>
      </c>
      <c r="R747" s="174">
        <f t="shared" si="1254"/>
        <v>0</v>
      </c>
      <c r="S747" s="175">
        <f t="shared" ref="S747:Y747" si="1255">SUM(S748:S749)</f>
        <v>0</v>
      </c>
      <c r="T747" s="171">
        <f t="shared" si="1255"/>
        <v>0</v>
      </c>
      <c r="U747" s="171">
        <f t="shared" si="1255"/>
        <v>0</v>
      </c>
      <c r="V747" s="171">
        <f t="shared" si="1255"/>
        <v>0</v>
      </c>
      <c r="W747" s="171">
        <f t="shared" si="1255"/>
        <v>0</v>
      </c>
      <c r="X747" s="171">
        <f t="shared" si="1255"/>
        <v>0</v>
      </c>
      <c r="Y747" s="174">
        <f t="shared" si="1255"/>
        <v>0</v>
      </c>
      <c r="Z747" s="149" t="str">
        <f t="shared" ca="1" si="1201"/>
        <v>nie</v>
      </c>
      <c r="AA747" s="366"/>
      <c r="AB747" s="150" t="str">
        <f t="shared" ca="1" si="1120"/>
        <v>-</v>
      </c>
      <c r="AC747" s="151" t="str">
        <f t="shared" ca="1" si="1215"/>
        <v>PROPONOWANA ZMIANA</v>
      </c>
      <c r="AD747" s="152" t="str">
        <f t="shared" ca="1" si="1133"/>
        <v>PROPONOWANA ZMIANA</v>
      </c>
      <c r="AE747" s="153" t="str">
        <f t="shared" ca="1" si="1216"/>
        <v>C/USN/VI/P3/4</v>
      </c>
      <c r="AF747" s="154" t="str">
        <f t="shared" ca="1" si="1217"/>
        <v>Budowa żłobka przy ul. Kazury wraz z infrastrukturą komunikacyjną</v>
      </c>
      <c r="AG747" s="155">
        <f t="shared" ca="1" si="1218"/>
        <v>85516</v>
      </c>
      <c r="AH747" s="155" t="str">
        <f t="shared" ca="1" si="1219"/>
        <v>6050</v>
      </c>
      <c r="AI747" s="156" t="str">
        <f t="shared" ca="1" si="1220"/>
        <v>GMMW</v>
      </c>
      <c r="AJ747" s="157" t="str">
        <f t="shared" ca="1" si="1221"/>
        <v>WPF, w tym</v>
      </c>
      <c r="AK747" s="158" t="str">
        <f t="shared" ca="1" si="1134"/>
        <v>C/USN/VI/P3/4 85516 6050 GMMW</v>
      </c>
      <c r="AL747" s="158" t="str">
        <f t="shared" ca="1" si="1135"/>
        <v>C/USN/VI/P3/4 85516 6050 WPF, w tym</v>
      </c>
      <c r="AM747" s="159" t="str">
        <f t="shared" ca="1" si="1136"/>
        <v>C/USN/VI/P3/4 85516 6050 GMMW WPF, w tym</v>
      </c>
      <c r="AN747" s="160">
        <f t="shared" ca="1" si="1222"/>
        <v>0</v>
      </c>
      <c r="AO747" s="161">
        <f t="shared" ca="1" si="1223"/>
        <v>0</v>
      </c>
      <c r="AP747" s="162">
        <f t="shared" ca="1" si="1224"/>
        <v>0</v>
      </c>
      <c r="AQ747" s="163">
        <f t="shared" ca="1" si="1225"/>
        <v>0</v>
      </c>
      <c r="AR747" s="164">
        <f t="shared" ca="1" si="1226"/>
        <v>0</v>
      </c>
      <c r="AS747" s="164">
        <f t="shared" ca="1" si="1227"/>
        <v>0</v>
      </c>
      <c r="AT747" s="164">
        <f t="shared" ca="1" si="1228"/>
        <v>0</v>
      </c>
      <c r="AU747" s="164">
        <f t="shared" ca="1" si="1229"/>
        <v>0</v>
      </c>
      <c r="AV747" s="164">
        <f t="shared" ca="1" si="1230"/>
        <v>0</v>
      </c>
      <c r="AW747" s="164">
        <f t="shared" ca="1" si="1231"/>
        <v>0</v>
      </c>
      <c r="AX747" s="164">
        <f t="shared" ca="1" si="1232"/>
        <v>0</v>
      </c>
      <c r="AY747" s="164">
        <f t="shared" ca="1" si="1233"/>
        <v>0</v>
      </c>
      <c r="AZ747" s="164">
        <f t="shared" ca="1" si="1234"/>
        <v>0</v>
      </c>
      <c r="BA747" s="165" t="str">
        <f t="shared" ca="1" si="1235"/>
        <v>nie</v>
      </c>
      <c r="BB747" s="166" t="str">
        <f t="shared" ca="1" si="1121"/>
        <v>-</v>
      </c>
      <c r="BC747" s="165" t="str">
        <f t="shared" ca="1" si="1202"/>
        <v>nie</v>
      </c>
    </row>
    <row r="748" spans="1:55" s="167" customFormat="1" ht="14.45" hidden="1" customHeight="1" x14ac:dyDescent="0.25">
      <c r="A748" s="493"/>
      <c r="B748" s="493"/>
      <c r="C748" s="494"/>
      <c r="D748" s="506"/>
      <c r="E748" s="497"/>
      <c r="F748" s="497"/>
      <c r="G748" s="497"/>
      <c r="H748" s="498"/>
      <c r="I748" s="499"/>
      <c r="J748" s="177" t="s">
        <v>99</v>
      </c>
      <c r="K748" s="178">
        <f>SUM(N748:O748)</f>
        <v>0</v>
      </c>
      <c r="L748" s="179">
        <f t="shared" ref="L748:M748" si="1256">L752-L744</f>
        <v>0</v>
      </c>
      <c r="M748" s="180">
        <f t="shared" si="1256"/>
        <v>0</v>
      </c>
      <c r="N748" s="172">
        <f>SUM(L748:M748)</f>
        <v>0</v>
      </c>
      <c r="O748" s="178">
        <f>SUM(P748:Y748)</f>
        <v>0</v>
      </c>
      <c r="P748" s="181">
        <f t="shared" ref="P748:R748" si="1257">P752-P744</f>
        <v>0</v>
      </c>
      <c r="Q748" s="180">
        <f t="shared" si="1257"/>
        <v>0</v>
      </c>
      <c r="R748" s="182">
        <f t="shared" si="1257"/>
        <v>0</v>
      </c>
      <c r="S748" s="183">
        <f t="shared" ref="S748:Y749" si="1258">S752-S744</f>
        <v>0</v>
      </c>
      <c r="T748" s="180">
        <f t="shared" si="1258"/>
        <v>0</v>
      </c>
      <c r="U748" s="180">
        <f t="shared" si="1258"/>
        <v>0</v>
      </c>
      <c r="V748" s="180">
        <f t="shared" si="1258"/>
        <v>0</v>
      </c>
      <c r="W748" s="180">
        <f t="shared" si="1258"/>
        <v>0</v>
      </c>
      <c r="X748" s="180">
        <f t="shared" si="1258"/>
        <v>0</v>
      </c>
      <c r="Y748" s="182">
        <f t="shared" si="1258"/>
        <v>0</v>
      </c>
      <c r="Z748" s="149" t="str">
        <f t="shared" ca="1" si="1201"/>
        <v>nie</v>
      </c>
      <c r="AA748" s="366"/>
      <c r="AB748" s="150" t="str">
        <f t="shared" ca="1" si="1120"/>
        <v>-</v>
      </c>
      <c r="AC748" s="151" t="str">
        <f t="shared" ca="1" si="1215"/>
        <v>PROPONOWANA ZMIANA</v>
      </c>
      <c r="AD748" s="152" t="str">
        <f t="shared" ca="1" si="1133"/>
        <v>PROPONOWANA ZMIANA</v>
      </c>
      <c r="AE748" s="153" t="str">
        <f t="shared" ca="1" si="1216"/>
        <v>C/USN/VI/P3/4</v>
      </c>
      <c r="AF748" s="154" t="str">
        <f t="shared" ca="1" si="1217"/>
        <v>Budowa żłobka przy ul. Kazury wraz z infrastrukturą komunikacyjną</v>
      </c>
      <c r="AG748" s="155">
        <f t="shared" ca="1" si="1218"/>
        <v>85516</v>
      </c>
      <c r="AH748" s="155" t="str">
        <f t="shared" ca="1" si="1219"/>
        <v>6050</v>
      </c>
      <c r="AI748" s="156" t="str">
        <f t="shared" ca="1" si="1220"/>
        <v>GMMW</v>
      </c>
      <c r="AJ748" s="157" t="str">
        <f t="shared" ca="1" si="1221"/>
        <v>WPF/PM</v>
      </c>
      <c r="AK748" s="158" t="str">
        <f t="shared" ca="1" si="1134"/>
        <v>C/USN/VI/P3/4 85516 6050 GMMW</v>
      </c>
      <c r="AL748" s="158" t="str">
        <f t="shared" ca="1" si="1135"/>
        <v>C/USN/VI/P3/4 85516 6050 WPF/PM</v>
      </c>
      <c r="AM748" s="159" t="str">
        <f t="shared" ca="1" si="1136"/>
        <v>C/USN/VI/P3/4 85516 6050 GMMW WPF/PM</v>
      </c>
      <c r="AN748" s="160">
        <f t="shared" ca="1" si="1222"/>
        <v>0</v>
      </c>
      <c r="AO748" s="161">
        <f t="shared" ca="1" si="1223"/>
        <v>0</v>
      </c>
      <c r="AP748" s="162">
        <f t="shared" ca="1" si="1224"/>
        <v>0</v>
      </c>
      <c r="AQ748" s="163">
        <f t="shared" ca="1" si="1225"/>
        <v>0</v>
      </c>
      <c r="AR748" s="164">
        <f t="shared" ca="1" si="1226"/>
        <v>0</v>
      </c>
      <c r="AS748" s="164">
        <f t="shared" ca="1" si="1227"/>
        <v>0</v>
      </c>
      <c r="AT748" s="164">
        <f t="shared" ca="1" si="1228"/>
        <v>0</v>
      </c>
      <c r="AU748" s="164">
        <f t="shared" ca="1" si="1229"/>
        <v>0</v>
      </c>
      <c r="AV748" s="164">
        <f t="shared" ca="1" si="1230"/>
        <v>0</v>
      </c>
      <c r="AW748" s="164">
        <f t="shared" ca="1" si="1231"/>
        <v>0</v>
      </c>
      <c r="AX748" s="164">
        <f t="shared" ca="1" si="1232"/>
        <v>0</v>
      </c>
      <c r="AY748" s="164">
        <f t="shared" ca="1" si="1233"/>
        <v>0</v>
      </c>
      <c r="AZ748" s="164">
        <f t="shared" ca="1" si="1234"/>
        <v>0</v>
      </c>
      <c r="BA748" s="165" t="str">
        <f t="shared" ca="1" si="1235"/>
        <v>nie</v>
      </c>
      <c r="BB748" s="166" t="str">
        <f t="shared" ca="1" si="1121"/>
        <v>-</v>
      </c>
      <c r="BC748" s="165" t="str">
        <f t="shared" ca="1" si="1202"/>
        <v>nie</v>
      </c>
    </row>
    <row r="749" spans="1:55" s="167" customFormat="1" ht="14.45" hidden="1" customHeight="1" x14ac:dyDescent="0.25">
      <c r="A749" s="493"/>
      <c r="B749" s="493"/>
      <c r="C749" s="494"/>
      <c r="D749" s="506"/>
      <c r="E749" s="497"/>
      <c r="F749" s="497"/>
      <c r="G749" s="497"/>
      <c r="H749" s="498"/>
      <c r="I749" s="499"/>
      <c r="J749" s="177" t="s">
        <v>100</v>
      </c>
      <c r="K749" s="178">
        <f>SUM(N749:O749)</f>
        <v>0</v>
      </c>
      <c r="L749" s="179">
        <f t="shared" ref="L749:M749" si="1259">L753-L745</f>
        <v>0</v>
      </c>
      <c r="M749" s="180">
        <f t="shared" si="1259"/>
        <v>0</v>
      </c>
      <c r="N749" s="172">
        <f>SUM(L749:M749)</f>
        <v>0</v>
      </c>
      <c r="O749" s="178">
        <f>SUM(P749:Y749)</f>
        <v>0</v>
      </c>
      <c r="P749" s="181">
        <f t="shared" ref="P749:R749" si="1260">P753-P745</f>
        <v>0</v>
      </c>
      <c r="Q749" s="180">
        <f t="shared" si="1260"/>
        <v>0</v>
      </c>
      <c r="R749" s="182">
        <f t="shared" si="1260"/>
        <v>0</v>
      </c>
      <c r="S749" s="183">
        <f t="shared" si="1258"/>
        <v>0</v>
      </c>
      <c r="T749" s="180">
        <f t="shared" si="1258"/>
        <v>0</v>
      </c>
      <c r="U749" s="180">
        <f t="shared" si="1258"/>
        <v>0</v>
      </c>
      <c r="V749" s="180">
        <f t="shared" si="1258"/>
        <v>0</v>
      </c>
      <c r="W749" s="180">
        <f t="shared" si="1258"/>
        <v>0</v>
      </c>
      <c r="X749" s="180">
        <f t="shared" si="1258"/>
        <v>0</v>
      </c>
      <c r="Y749" s="182">
        <f t="shared" si="1258"/>
        <v>0</v>
      </c>
      <c r="Z749" s="149" t="str">
        <f t="shared" ca="1" si="1201"/>
        <v>nie</v>
      </c>
      <c r="AA749" s="366"/>
      <c r="AB749" s="150" t="str">
        <f t="shared" ca="1" si="1120"/>
        <v>-</v>
      </c>
      <c r="AC749" s="151" t="str">
        <f t="shared" ca="1" si="1215"/>
        <v>PROPONOWANA ZMIANA</v>
      </c>
      <c r="AD749" s="152" t="str">
        <f t="shared" ca="1" si="1133"/>
        <v>PROPONOWANA ZMIANA</v>
      </c>
      <c r="AE749" s="153" t="str">
        <f t="shared" ca="1" si="1216"/>
        <v>C/USN/VI/P3/4</v>
      </c>
      <c r="AF749" s="154" t="str">
        <f t="shared" ca="1" si="1217"/>
        <v>Budowa żłobka przy ul. Kazury wraz z infrastrukturą komunikacyjną</v>
      </c>
      <c r="AG749" s="155">
        <f t="shared" ca="1" si="1218"/>
        <v>85516</v>
      </c>
      <c r="AH749" s="155" t="str">
        <f t="shared" ca="1" si="1219"/>
        <v>6050</v>
      </c>
      <c r="AI749" s="156" t="str">
        <f t="shared" ca="1" si="1220"/>
        <v>GMMW</v>
      </c>
      <c r="AJ749" s="157" t="str">
        <f t="shared" ca="1" si="1221"/>
        <v>WPF/UM</v>
      </c>
      <c r="AK749" s="158" t="str">
        <f t="shared" ca="1" si="1134"/>
        <v>C/USN/VI/P3/4 85516 6050 GMMW</v>
      </c>
      <c r="AL749" s="158" t="str">
        <f t="shared" ca="1" si="1135"/>
        <v>C/USN/VI/P3/4 85516 6050 WPF/UM</v>
      </c>
      <c r="AM749" s="159" t="str">
        <f t="shared" ca="1" si="1136"/>
        <v>C/USN/VI/P3/4 85516 6050 GMMW WPF/UM</v>
      </c>
      <c r="AN749" s="160">
        <f t="shared" ca="1" si="1222"/>
        <v>0</v>
      </c>
      <c r="AO749" s="161">
        <f t="shared" ca="1" si="1223"/>
        <v>0</v>
      </c>
      <c r="AP749" s="162">
        <f t="shared" ca="1" si="1224"/>
        <v>0</v>
      </c>
      <c r="AQ749" s="163">
        <f t="shared" ca="1" si="1225"/>
        <v>0</v>
      </c>
      <c r="AR749" s="164">
        <f t="shared" ca="1" si="1226"/>
        <v>0</v>
      </c>
      <c r="AS749" s="164">
        <f t="shared" ca="1" si="1227"/>
        <v>0</v>
      </c>
      <c r="AT749" s="164">
        <f t="shared" ca="1" si="1228"/>
        <v>0</v>
      </c>
      <c r="AU749" s="164">
        <f t="shared" ca="1" si="1229"/>
        <v>0</v>
      </c>
      <c r="AV749" s="164">
        <f t="shared" ca="1" si="1230"/>
        <v>0</v>
      </c>
      <c r="AW749" s="164">
        <f t="shared" ca="1" si="1231"/>
        <v>0</v>
      </c>
      <c r="AX749" s="164">
        <f t="shared" ca="1" si="1232"/>
        <v>0</v>
      </c>
      <c r="AY749" s="164">
        <f t="shared" ca="1" si="1233"/>
        <v>0</v>
      </c>
      <c r="AZ749" s="164">
        <f t="shared" ca="1" si="1234"/>
        <v>0</v>
      </c>
      <c r="BA749" s="165" t="str">
        <f t="shared" ca="1" si="1235"/>
        <v>nie</v>
      </c>
      <c r="BB749" s="166" t="str">
        <f t="shared" ca="1" si="1121"/>
        <v>-</v>
      </c>
      <c r="BC749" s="165" t="str">
        <f t="shared" ca="1" si="1202"/>
        <v>nie</v>
      </c>
    </row>
    <row r="750" spans="1:55" s="167" customFormat="1" ht="14.45" hidden="1" customHeight="1" x14ac:dyDescent="0.25">
      <c r="A750" s="191" t="s">
        <v>101</v>
      </c>
      <c r="B750" s="192"/>
      <c r="C750" s="193"/>
      <c r="D750" s="192"/>
      <c r="E750" s="192"/>
      <c r="F750" s="192"/>
      <c r="G750" s="192"/>
      <c r="H750" s="192"/>
      <c r="I750" s="192"/>
      <c r="J750" s="192"/>
      <c r="K750" s="192"/>
      <c r="L750" s="192"/>
      <c r="M750" s="192"/>
      <c r="N750" s="192"/>
      <c r="O750" s="192"/>
      <c r="P750" s="192"/>
      <c r="Q750" s="192"/>
      <c r="R750" s="194"/>
      <c r="S750" s="195"/>
      <c r="T750" s="195"/>
      <c r="U750" s="195"/>
      <c r="V750" s="195"/>
      <c r="W750" s="195"/>
      <c r="X750" s="195"/>
      <c r="Y750" s="196"/>
      <c r="Z750" s="149" t="str">
        <f t="shared" ca="1" si="1201"/>
        <v>nie</v>
      </c>
      <c r="AA750" s="366"/>
      <c r="AB750" s="150" t="str">
        <f t="shared" ca="1" si="1120"/>
        <v>-</v>
      </c>
      <c r="AC750" s="151" t="str">
        <f t="shared" ca="1" si="1215"/>
        <v>PO ZMIANIE</v>
      </c>
      <c r="AD750" s="152" t="str">
        <f t="shared" ca="1" si="1133"/>
        <v/>
      </c>
      <c r="AE750" s="153" t="str">
        <f t="shared" ca="1" si="1216"/>
        <v/>
      </c>
      <c r="AF750" s="154" t="str">
        <f t="shared" ca="1" si="1217"/>
        <v/>
      </c>
      <c r="AG750" s="155" t="str">
        <f t="shared" ca="1" si="1218"/>
        <v/>
      </c>
      <c r="AH750" s="155" t="str">
        <f t="shared" ca="1" si="1219"/>
        <v/>
      </c>
      <c r="AI750" s="156" t="str">
        <f t="shared" ca="1" si="1220"/>
        <v/>
      </c>
      <c r="AJ750" s="157" t="str">
        <f t="shared" ca="1" si="1221"/>
        <v/>
      </c>
      <c r="AK750" s="158" t="str">
        <f t="shared" ca="1" si="1134"/>
        <v/>
      </c>
      <c r="AL750" s="158" t="str">
        <f t="shared" ca="1" si="1135"/>
        <v/>
      </c>
      <c r="AM750" s="159" t="str">
        <f t="shared" ca="1" si="1136"/>
        <v/>
      </c>
      <c r="AN750" s="160" t="str">
        <f t="shared" ca="1" si="1222"/>
        <v/>
      </c>
      <c r="AO750" s="161" t="str">
        <f t="shared" ca="1" si="1223"/>
        <v/>
      </c>
      <c r="AP750" s="162" t="str">
        <f t="shared" ca="1" si="1224"/>
        <v/>
      </c>
      <c r="AQ750" s="163" t="str">
        <f t="shared" ca="1" si="1225"/>
        <v/>
      </c>
      <c r="AR750" s="164" t="str">
        <f t="shared" ca="1" si="1226"/>
        <v/>
      </c>
      <c r="AS750" s="164" t="str">
        <f t="shared" ca="1" si="1227"/>
        <v/>
      </c>
      <c r="AT750" s="164" t="str">
        <f t="shared" ca="1" si="1228"/>
        <v/>
      </c>
      <c r="AU750" s="164" t="str">
        <f t="shared" ca="1" si="1229"/>
        <v/>
      </c>
      <c r="AV750" s="164" t="str">
        <f t="shared" ca="1" si="1230"/>
        <v/>
      </c>
      <c r="AW750" s="164" t="str">
        <f t="shared" ca="1" si="1231"/>
        <v/>
      </c>
      <c r="AX750" s="164" t="str">
        <f t="shared" ca="1" si="1232"/>
        <v/>
      </c>
      <c r="AY750" s="164" t="str">
        <f t="shared" ca="1" si="1233"/>
        <v/>
      </c>
      <c r="AZ750" s="164" t="str">
        <f t="shared" ca="1" si="1234"/>
        <v/>
      </c>
      <c r="BA750" s="165" t="str">
        <f t="shared" ca="1" si="1235"/>
        <v>nie</v>
      </c>
      <c r="BB750" s="166" t="str">
        <f t="shared" ca="1" si="1121"/>
        <v>-</v>
      </c>
      <c r="BC750" s="165" t="str">
        <f t="shared" ca="1" si="1202"/>
        <v>nie</v>
      </c>
    </row>
    <row r="751" spans="1:55" s="176" customFormat="1" ht="14.45" hidden="1" customHeight="1" x14ac:dyDescent="0.25">
      <c r="A751" s="493" t="s">
        <v>24</v>
      </c>
      <c r="B751" s="493" t="s">
        <v>26</v>
      </c>
      <c r="C751" s="494" t="s">
        <v>189</v>
      </c>
      <c r="D751" s="505" t="s">
        <v>190</v>
      </c>
      <c r="E751" s="497">
        <v>855</v>
      </c>
      <c r="F751" s="497">
        <v>85516</v>
      </c>
      <c r="G751" s="497">
        <v>6050</v>
      </c>
      <c r="H751" s="507">
        <v>2016</v>
      </c>
      <c r="I751" s="499" t="str">
        <f ca="1">IF(COUNTIF(OFFSET(I751,-1,-8),"*propon*")&gt;0,OFFSET(I751,4,0),IF(Y751&gt;0,"2033",IF(X751&gt;0,"2032",IF(W751&gt;0,"2031",IF(V751&gt;0,"2030",IF(U751&gt;0,"2029",IF(T751&gt;0,"2028",IF(S751&gt;0,"2027",IF(R751&gt;0,"2026",IF(Q751&gt;0,"2025",IF(P751&gt;0,"2024",IF(M751&gt;0,"2023",IF(L751&gt;0,"2022","")))))))))))))</f>
        <v>2024</v>
      </c>
      <c r="J751" s="168" t="s">
        <v>102</v>
      </c>
      <c r="K751" s="169">
        <f>SUM(N751:O751)</f>
        <v>2650000</v>
      </c>
      <c r="L751" s="170">
        <f t="shared" ref="L751:M751" si="1261">SUM(L752:L753)</f>
        <v>60671</v>
      </c>
      <c r="M751" s="171">
        <f t="shared" si="1261"/>
        <v>7064</v>
      </c>
      <c r="N751" s="172">
        <f>SUM(L751:M751)</f>
        <v>67735</v>
      </c>
      <c r="O751" s="169">
        <f>SUM(P751:Y751)</f>
        <v>2582265</v>
      </c>
      <c r="P751" s="173">
        <f t="shared" ref="P751:R751" si="1262">SUM(P752:P753)</f>
        <v>2582265</v>
      </c>
      <c r="Q751" s="171">
        <f t="shared" si="1262"/>
        <v>0</v>
      </c>
      <c r="R751" s="174">
        <f t="shared" si="1262"/>
        <v>0</v>
      </c>
      <c r="S751" s="175">
        <f t="shared" ref="S751:Y751" si="1263">SUM(S752:S753)</f>
        <v>0</v>
      </c>
      <c r="T751" s="171">
        <f t="shared" si="1263"/>
        <v>0</v>
      </c>
      <c r="U751" s="171">
        <f t="shared" si="1263"/>
        <v>0</v>
      </c>
      <c r="V751" s="171">
        <f t="shared" si="1263"/>
        <v>0</v>
      </c>
      <c r="W751" s="171">
        <f t="shared" si="1263"/>
        <v>0</v>
      </c>
      <c r="X751" s="171">
        <f t="shared" si="1263"/>
        <v>0</v>
      </c>
      <c r="Y751" s="174">
        <f t="shared" si="1263"/>
        <v>0</v>
      </c>
      <c r="Z751" s="149" t="str">
        <f t="shared" ca="1" si="1201"/>
        <v>nie</v>
      </c>
      <c r="AA751" s="366"/>
      <c r="AB751" s="150" t="str">
        <f t="shared" ca="1" si="1120"/>
        <v>-</v>
      </c>
      <c r="AC751" s="151" t="str">
        <f t="shared" ca="1" si="1215"/>
        <v>PO ZMIANIE</v>
      </c>
      <c r="AD751" s="152" t="str">
        <f t="shared" ca="1" si="1133"/>
        <v>PO ZMIANIE</v>
      </c>
      <c r="AE751" s="153" t="str">
        <f t="shared" ca="1" si="1216"/>
        <v>C/USN/VI/P3/4</v>
      </c>
      <c r="AF751" s="154" t="str">
        <f t="shared" ca="1" si="1217"/>
        <v>Budowa żłobka przy ul. Kazury wraz z infrastrukturą komunikacyjną</v>
      </c>
      <c r="AG751" s="155">
        <f t="shared" ca="1" si="1218"/>
        <v>85516</v>
      </c>
      <c r="AH751" s="155" t="str">
        <f t="shared" ca="1" si="1219"/>
        <v>6050</v>
      </c>
      <c r="AI751" s="156" t="str">
        <f t="shared" ca="1" si="1220"/>
        <v>GMMW</v>
      </c>
      <c r="AJ751" s="157" t="str">
        <f t="shared" ca="1" si="1221"/>
        <v>WPF, w tym</v>
      </c>
      <c r="AK751" s="158" t="str">
        <f t="shared" ca="1" si="1134"/>
        <v>C/USN/VI/P3/4 85516 6050 GMMW</v>
      </c>
      <c r="AL751" s="158" t="str">
        <f t="shared" ca="1" si="1135"/>
        <v>C/USN/VI/P3/4 85516 6050 WPF, w tym</v>
      </c>
      <c r="AM751" s="159" t="str">
        <f t="shared" ca="1" si="1136"/>
        <v>C/USN/VI/P3/4 85516 6050 GMMW WPF, w tym</v>
      </c>
      <c r="AN751" s="160">
        <f t="shared" ca="1" si="1222"/>
        <v>2650000</v>
      </c>
      <c r="AO751" s="161">
        <f t="shared" ca="1" si="1223"/>
        <v>60671</v>
      </c>
      <c r="AP751" s="162">
        <f t="shared" ca="1" si="1224"/>
        <v>7064</v>
      </c>
      <c r="AQ751" s="163">
        <f t="shared" ca="1" si="1225"/>
        <v>2582265</v>
      </c>
      <c r="AR751" s="164">
        <f t="shared" ca="1" si="1226"/>
        <v>0</v>
      </c>
      <c r="AS751" s="164">
        <f t="shared" ca="1" si="1227"/>
        <v>0</v>
      </c>
      <c r="AT751" s="164">
        <f t="shared" ca="1" si="1228"/>
        <v>0</v>
      </c>
      <c r="AU751" s="164">
        <f t="shared" ca="1" si="1229"/>
        <v>0</v>
      </c>
      <c r="AV751" s="164">
        <f t="shared" ca="1" si="1230"/>
        <v>0</v>
      </c>
      <c r="AW751" s="164">
        <f t="shared" ca="1" si="1231"/>
        <v>0</v>
      </c>
      <c r="AX751" s="164">
        <f t="shared" ca="1" si="1232"/>
        <v>0</v>
      </c>
      <c r="AY751" s="164">
        <f t="shared" ca="1" si="1233"/>
        <v>0</v>
      </c>
      <c r="AZ751" s="164">
        <f t="shared" ca="1" si="1234"/>
        <v>0</v>
      </c>
      <c r="BA751" s="165" t="str">
        <f t="shared" ca="1" si="1235"/>
        <v>nie</v>
      </c>
      <c r="BB751" s="166" t="str">
        <f t="shared" ca="1" si="1121"/>
        <v>-</v>
      </c>
      <c r="BC751" s="165" t="str">
        <f t="shared" ca="1" si="1202"/>
        <v>nie</v>
      </c>
    </row>
    <row r="752" spans="1:55" s="167" customFormat="1" ht="14.45" hidden="1" customHeight="1" x14ac:dyDescent="0.25">
      <c r="A752" s="493"/>
      <c r="B752" s="493"/>
      <c r="C752" s="494"/>
      <c r="D752" s="506"/>
      <c r="E752" s="497"/>
      <c r="F752" s="497"/>
      <c r="G752" s="497"/>
      <c r="H752" s="498"/>
      <c r="I752" s="499"/>
      <c r="J752" s="177" t="s">
        <v>103</v>
      </c>
      <c r="K752" s="178">
        <f>SUM(N752:O752)</f>
        <v>2582265</v>
      </c>
      <c r="L752" s="179"/>
      <c r="M752" s="180"/>
      <c r="N752" s="172">
        <f>SUM(L752:M752)</f>
        <v>0</v>
      </c>
      <c r="O752" s="178">
        <f>SUM(P752:Y752)</f>
        <v>2582265</v>
      </c>
      <c r="P752" s="181">
        <f>232265+2350000</f>
        <v>2582265</v>
      </c>
      <c r="Q752" s="180"/>
      <c r="R752" s="182"/>
      <c r="S752" s="183"/>
      <c r="T752" s="180"/>
      <c r="U752" s="180"/>
      <c r="V752" s="180"/>
      <c r="W752" s="180"/>
      <c r="X752" s="180"/>
      <c r="Y752" s="182"/>
      <c r="Z752" s="149" t="str">
        <f t="shared" ca="1" si="1201"/>
        <v>nie</v>
      </c>
      <c r="AA752" s="384"/>
      <c r="AB752" s="150" t="str">
        <f t="shared" ca="1" si="1120"/>
        <v>-</v>
      </c>
      <c r="AC752" s="151" t="str">
        <f t="shared" ca="1" si="1215"/>
        <v>PO ZMIANIE</v>
      </c>
      <c r="AD752" s="152" t="str">
        <f t="shared" ca="1" si="1133"/>
        <v>PO ZMIANIE</v>
      </c>
      <c r="AE752" s="153" t="str">
        <f t="shared" ca="1" si="1216"/>
        <v>C/USN/VI/P3/4</v>
      </c>
      <c r="AF752" s="154" t="str">
        <f t="shared" ca="1" si="1217"/>
        <v>Budowa żłobka przy ul. Kazury wraz z infrastrukturą komunikacyjną</v>
      </c>
      <c r="AG752" s="155">
        <f t="shared" ca="1" si="1218"/>
        <v>85516</v>
      </c>
      <c r="AH752" s="155" t="str">
        <f t="shared" ca="1" si="1219"/>
        <v>6050</v>
      </c>
      <c r="AI752" s="156" t="str">
        <f t="shared" ca="1" si="1220"/>
        <v>GMMW</v>
      </c>
      <c r="AJ752" s="157" t="str">
        <f t="shared" ca="1" si="1221"/>
        <v>WPF/PM</v>
      </c>
      <c r="AK752" s="158" t="str">
        <f t="shared" ca="1" si="1134"/>
        <v>C/USN/VI/P3/4 85516 6050 GMMW</v>
      </c>
      <c r="AL752" s="158" t="str">
        <f t="shared" ca="1" si="1135"/>
        <v>C/USN/VI/P3/4 85516 6050 WPF/PM</v>
      </c>
      <c r="AM752" s="159" t="str">
        <f t="shared" ca="1" si="1136"/>
        <v>C/USN/VI/P3/4 85516 6050 GMMW WPF/PM</v>
      </c>
      <c r="AN752" s="160">
        <f t="shared" ca="1" si="1222"/>
        <v>2582265</v>
      </c>
      <c r="AO752" s="161">
        <f t="shared" ca="1" si="1223"/>
        <v>0</v>
      </c>
      <c r="AP752" s="162">
        <f t="shared" ca="1" si="1224"/>
        <v>0</v>
      </c>
      <c r="AQ752" s="163">
        <f t="shared" ca="1" si="1225"/>
        <v>2582265</v>
      </c>
      <c r="AR752" s="164">
        <f t="shared" ca="1" si="1226"/>
        <v>0</v>
      </c>
      <c r="AS752" s="164">
        <f t="shared" ca="1" si="1227"/>
        <v>0</v>
      </c>
      <c r="AT752" s="164">
        <f t="shared" ca="1" si="1228"/>
        <v>0</v>
      </c>
      <c r="AU752" s="164">
        <f t="shared" ca="1" si="1229"/>
        <v>0</v>
      </c>
      <c r="AV752" s="164">
        <f t="shared" ca="1" si="1230"/>
        <v>0</v>
      </c>
      <c r="AW752" s="164">
        <f t="shared" ca="1" si="1231"/>
        <v>0</v>
      </c>
      <c r="AX752" s="164">
        <f t="shared" ca="1" si="1232"/>
        <v>0</v>
      </c>
      <c r="AY752" s="164">
        <f t="shared" ca="1" si="1233"/>
        <v>0</v>
      </c>
      <c r="AZ752" s="164">
        <f t="shared" ca="1" si="1234"/>
        <v>0</v>
      </c>
      <c r="BA752" s="165" t="str">
        <f t="shared" ca="1" si="1235"/>
        <v>nie</v>
      </c>
      <c r="BB752" s="166" t="str">
        <f t="shared" ca="1" si="1121"/>
        <v>-</v>
      </c>
      <c r="BC752" s="165" t="str">
        <f t="shared" ca="1" si="1202"/>
        <v>nie</v>
      </c>
    </row>
    <row r="753" spans="1:55" s="167" customFormat="1" ht="14.45" hidden="1" customHeight="1" thickBot="1" x14ac:dyDescent="0.3">
      <c r="A753" s="500"/>
      <c r="B753" s="500"/>
      <c r="C753" s="501"/>
      <c r="D753" s="513"/>
      <c r="E753" s="503"/>
      <c r="F753" s="503"/>
      <c r="G753" s="503"/>
      <c r="H753" s="504"/>
      <c r="I753" s="499"/>
      <c r="J753" s="197" t="s">
        <v>104</v>
      </c>
      <c r="K753" s="198">
        <f>SUM(N753:O753)</f>
        <v>67735</v>
      </c>
      <c r="L753" s="199">
        <v>60671</v>
      </c>
      <c r="M753" s="200">
        <v>7064</v>
      </c>
      <c r="N753" s="371">
        <f>SUM(L753:M753)</f>
        <v>67735</v>
      </c>
      <c r="O753" s="198">
        <f>SUM(P753:Y753)</f>
        <v>0</v>
      </c>
      <c r="P753" s="201"/>
      <c r="Q753" s="200"/>
      <c r="R753" s="202"/>
      <c r="S753" s="203"/>
      <c r="T753" s="200"/>
      <c r="U753" s="200"/>
      <c r="V753" s="200"/>
      <c r="W753" s="200"/>
      <c r="X753" s="200"/>
      <c r="Y753" s="202"/>
      <c r="Z753" s="149" t="str">
        <f t="shared" ca="1" si="1201"/>
        <v>nie</v>
      </c>
      <c r="AA753" s="384"/>
      <c r="AB753" s="150" t="str">
        <f t="shared" ca="1" si="1120"/>
        <v>-</v>
      </c>
      <c r="AC753" s="151" t="str">
        <f t="shared" ca="1" si="1215"/>
        <v>PO ZMIANIE</v>
      </c>
      <c r="AD753" s="152" t="str">
        <f t="shared" ca="1" si="1133"/>
        <v>PO ZMIANIE</v>
      </c>
      <c r="AE753" s="153" t="str">
        <f t="shared" ca="1" si="1216"/>
        <v>C/USN/VI/P3/4</v>
      </c>
      <c r="AF753" s="154" t="str">
        <f t="shared" ca="1" si="1217"/>
        <v>Budowa żłobka przy ul. Kazury wraz z infrastrukturą komunikacyjną</v>
      </c>
      <c r="AG753" s="155">
        <f t="shared" ca="1" si="1218"/>
        <v>85516</v>
      </c>
      <c r="AH753" s="155" t="str">
        <f t="shared" ca="1" si="1219"/>
        <v>6050</v>
      </c>
      <c r="AI753" s="156" t="str">
        <f t="shared" ca="1" si="1220"/>
        <v>GMMW</v>
      </c>
      <c r="AJ753" s="157" t="str">
        <f t="shared" ca="1" si="1221"/>
        <v>WPF/UM</v>
      </c>
      <c r="AK753" s="158" t="str">
        <f t="shared" ca="1" si="1134"/>
        <v>C/USN/VI/P3/4 85516 6050 GMMW</v>
      </c>
      <c r="AL753" s="158" t="str">
        <f t="shared" ca="1" si="1135"/>
        <v>C/USN/VI/P3/4 85516 6050 WPF/UM</v>
      </c>
      <c r="AM753" s="159" t="str">
        <f t="shared" ca="1" si="1136"/>
        <v>C/USN/VI/P3/4 85516 6050 GMMW WPF/UM</v>
      </c>
      <c r="AN753" s="160">
        <f t="shared" ca="1" si="1222"/>
        <v>67735</v>
      </c>
      <c r="AO753" s="161">
        <f t="shared" ca="1" si="1223"/>
        <v>60671</v>
      </c>
      <c r="AP753" s="162">
        <f t="shared" ca="1" si="1224"/>
        <v>7064</v>
      </c>
      <c r="AQ753" s="163">
        <f t="shared" ca="1" si="1225"/>
        <v>0</v>
      </c>
      <c r="AR753" s="164">
        <f t="shared" ca="1" si="1226"/>
        <v>0</v>
      </c>
      <c r="AS753" s="164">
        <f t="shared" ca="1" si="1227"/>
        <v>0</v>
      </c>
      <c r="AT753" s="164">
        <f t="shared" ca="1" si="1228"/>
        <v>0</v>
      </c>
      <c r="AU753" s="164">
        <f t="shared" ca="1" si="1229"/>
        <v>0</v>
      </c>
      <c r="AV753" s="164">
        <f t="shared" ca="1" si="1230"/>
        <v>0</v>
      </c>
      <c r="AW753" s="164">
        <f t="shared" ca="1" si="1231"/>
        <v>0</v>
      </c>
      <c r="AX753" s="164">
        <f t="shared" ca="1" si="1232"/>
        <v>0</v>
      </c>
      <c r="AY753" s="164">
        <f t="shared" ca="1" si="1233"/>
        <v>0</v>
      </c>
      <c r="AZ753" s="164">
        <f t="shared" ca="1" si="1234"/>
        <v>0</v>
      </c>
      <c r="BA753" s="165" t="str">
        <f t="shared" ca="1" si="1235"/>
        <v>nie</v>
      </c>
      <c r="BB753" s="166" t="str">
        <f t="shared" ca="1" si="1121"/>
        <v>-</v>
      </c>
      <c r="BC753" s="165" t="str">
        <f t="shared" ca="1" si="1202"/>
        <v>nie</v>
      </c>
    </row>
    <row r="754" spans="1:55" s="167" customFormat="1" ht="14.45" hidden="1" customHeight="1" x14ac:dyDescent="0.25">
      <c r="A754" s="143" t="s">
        <v>91</v>
      </c>
      <c r="B754" s="144"/>
      <c r="C754" s="145"/>
      <c r="D754" s="144"/>
      <c r="E754" s="144"/>
      <c r="F754" s="144"/>
      <c r="G754" s="144"/>
      <c r="H754" s="144"/>
      <c r="I754" s="144"/>
      <c r="J754" s="144"/>
      <c r="K754" s="144"/>
      <c r="L754" s="144"/>
      <c r="M754" s="144"/>
      <c r="N754" s="144"/>
      <c r="O754" s="144"/>
      <c r="P754" s="144"/>
      <c r="Q754" s="144"/>
      <c r="R754" s="146"/>
      <c r="S754" s="147"/>
      <c r="T754" s="147"/>
      <c r="U754" s="147"/>
      <c r="V754" s="147"/>
      <c r="W754" s="147"/>
      <c r="X754" s="147"/>
      <c r="Y754" s="148"/>
      <c r="Z754" s="149" t="str">
        <f t="shared" ca="1" si="1201"/>
        <v>nie</v>
      </c>
      <c r="AA754" s="366"/>
      <c r="AB754" s="150" t="str">
        <f t="shared" ca="1" si="1120"/>
        <v>-</v>
      </c>
      <c r="AC754" s="151" t="str">
        <f t="shared" ca="1" si="1215"/>
        <v>PRZED ZMIANĄ</v>
      </c>
      <c r="AD754" s="152" t="str">
        <f t="shared" ca="1" si="1133"/>
        <v/>
      </c>
      <c r="AE754" s="153" t="str">
        <f t="shared" ca="1" si="1216"/>
        <v/>
      </c>
      <c r="AF754" s="154" t="str">
        <f t="shared" ca="1" si="1217"/>
        <v/>
      </c>
      <c r="AG754" s="155" t="str">
        <f t="shared" ca="1" si="1218"/>
        <v/>
      </c>
      <c r="AH754" s="155" t="str">
        <f t="shared" ca="1" si="1219"/>
        <v/>
      </c>
      <c r="AI754" s="156" t="str">
        <f t="shared" ca="1" si="1220"/>
        <v/>
      </c>
      <c r="AJ754" s="157" t="str">
        <f t="shared" ca="1" si="1221"/>
        <v/>
      </c>
      <c r="AK754" s="158" t="str">
        <f t="shared" ca="1" si="1134"/>
        <v/>
      </c>
      <c r="AL754" s="158" t="str">
        <f t="shared" ca="1" si="1135"/>
        <v/>
      </c>
      <c r="AM754" s="159" t="str">
        <f t="shared" ca="1" si="1136"/>
        <v/>
      </c>
      <c r="AN754" s="160" t="str">
        <f t="shared" ca="1" si="1222"/>
        <v/>
      </c>
      <c r="AO754" s="161" t="str">
        <f t="shared" ca="1" si="1223"/>
        <v/>
      </c>
      <c r="AP754" s="162" t="str">
        <f t="shared" ca="1" si="1224"/>
        <v/>
      </c>
      <c r="AQ754" s="163" t="str">
        <f t="shared" ca="1" si="1225"/>
        <v/>
      </c>
      <c r="AR754" s="164" t="str">
        <f t="shared" ca="1" si="1226"/>
        <v/>
      </c>
      <c r="AS754" s="164" t="str">
        <f t="shared" ca="1" si="1227"/>
        <v/>
      </c>
      <c r="AT754" s="164" t="str">
        <f t="shared" ca="1" si="1228"/>
        <v/>
      </c>
      <c r="AU754" s="164" t="str">
        <f t="shared" ca="1" si="1229"/>
        <v/>
      </c>
      <c r="AV754" s="164" t="str">
        <f t="shared" ca="1" si="1230"/>
        <v/>
      </c>
      <c r="AW754" s="164" t="str">
        <f t="shared" ca="1" si="1231"/>
        <v/>
      </c>
      <c r="AX754" s="164" t="str">
        <f t="shared" ca="1" si="1232"/>
        <v/>
      </c>
      <c r="AY754" s="164" t="str">
        <f t="shared" ca="1" si="1233"/>
        <v/>
      </c>
      <c r="AZ754" s="164" t="str">
        <f t="shared" ca="1" si="1234"/>
        <v/>
      </c>
      <c r="BA754" s="165" t="str">
        <f t="shared" ca="1" si="1235"/>
        <v>nie</v>
      </c>
      <c r="BB754" s="166" t="str">
        <f t="shared" ca="1" si="1121"/>
        <v>-</v>
      </c>
      <c r="BC754" s="165" t="str">
        <f t="shared" ca="1" si="1202"/>
        <v>nie</v>
      </c>
    </row>
    <row r="755" spans="1:55" s="176" customFormat="1" ht="14.45" hidden="1" customHeight="1" x14ac:dyDescent="0.25">
      <c r="A755" s="493" t="s">
        <v>24</v>
      </c>
      <c r="B755" s="493" t="s">
        <v>26</v>
      </c>
      <c r="C755" s="494" t="s">
        <v>191</v>
      </c>
      <c r="D755" s="505" t="s">
        <v>192</v>
      </c>
      <c r="E755" s="497">
        <v>852</v>
      </c>
      <c r="F755" s="497">
        <v>85202</v>
      </c>
      <c r="G755" s="497">
        <v>6050</v>
      </c>
      <c r="H755" s="507">
        <v>2019</v>
      </c>
      <c r="I755" s="499" t="str">
        <f ca="1">IF(COUNTIF(OFFSET(I755,-1,-8),"*propon*")&gt;0,OFFSET(I755,4,0),IF(Y755&gt;0,"2033",IF(X755&gt;0,"2032",IF(W755&gt;0,"2031",IF(V755&gt;0,"2030",IF(U755&gt;0,"2029",IF(T755&gt;0,"2028",IF(S755&gt;0,"2027",IF(R755&gt;0,"2026",IF(Q755&gt;0,"2025",IF(P755&gt;0,"2024",IF(M755&gt;0,"2023",IF(L755&gt;0,"2022","")))))))))))))</f>
        <v>2024</v>
      </c>
      <c r="J755" s="168" t="s">
        <v>94</v>
      </c>
      <c r="K755" s="169">
        <f>SUM(N755:O755)</f>
        <v>13085001</v>
      </c>
      <c r="L755" s="170">
        <f t="shared" ref="L755:M755" si="1264">SUM(L756:L757)</f>
        <v>1087725</v>
      </c>
      <c r="M755" s="171">
        <f t="shared" si="1264"/>
        <v>9862366</v>
      </c>
      <c r="N755" s="172">
        <f>SUM(L755:M755)</f>
        <v>10950091</v>
      </c>
      <c r="O755" s="169">
        <f>SUM(P755:Y755)</f>
        <v>2134910</v>
      </c>
      <c r="P755" s="173">
        <f t="shared" ref="P755:R755" si="1265">SUM(P756:P757)</f>
        <v>2134910</v>
      </c>
      <c r="Q755" s="171">
        <f t="shared" si="1265"/>
        <v>0</v>
      </c>
      <c r="R755" s="174">
        <f t="shared" si="1265"/>
        <v>0</v>
      </c>
      <c r="S755" s="175">
        <f t="shared" ref="S755:Y755" si="1266">SUM(S756:S757)</f>
        <v>0</v>
      </c>
      <c r="T755" s="171">
        <f t="shared" si="1266"/>
        <v>0</v>
      </c>
      <c r="U755" s="171">
        <f t="shared" si="1266"/>
        <v>0</v>
      </c>
      <c r="V755" s="171">
        <f t="shared" si="1266"/>
        <v>0</v>
      </c>
      <c r="W755" s="171">
        <f t="shared" si="1266"/>
        <v>0</v>
      </c>
      <c r="X755" s="171">
        <f t="shared" si="1266"/>
        <v>0</v>
      </c>
      <c r="Y755" s="174">
        <f t="shared" si="1266"/>
        <v>0</v>
      </c>
      <c r="Z755" s="149" t="str">
        <f t="shared" ca="1" si="1201"/>
        <v>nie</v>
      </c>
      <c r="AA755" s="366"/>
      <c r="AB755" s="150" t="str">
        <f t="shared" ca="1" si="1120"/>
        <v>-</v>
      </c>
      <c r="AC755" s="151" t="str">
        <f t="shared" ca="1" si="1215"/>
        <v>PRZED ZMIANĄ</v>
      </c>
      <c r="AD755" s="152" t="str">
        <f t="shared" ca="1" si="1133"/>
        <v>PRZED ZMIANĄ</v>
      </c>
      <c r="AE755" s="153" t="str">
        <f t="shared" ca="1" si="1216"/>
        <v>C/USN/VI/P3/7</v>
      </c>
      <c r="AF755" s="154" t="str">
        <f t="shared" ca="1" si="1217"/>
        <v>Budowa Centrum Opiekuńczo-Mieszkalnego "Ursynów"</v>
      </c>
      <c r="AG755" s="155">
        <f t="shared" ca="1" si="1218"/>
        <v>85202</v>
      </c>
      <c r="AH755" s="155" t="str">
        <f t="shared" ca="1" si="1219"/>
        <v>6050</v>
      </c>
      <c r="AI755" s="156" t="str">
        <f t="shared" ca="1" si="1220"/>
        <v>GMMW</v>
      </c>
      <c r="AJ755" s="157" t="str">
        <f t="shared" ca="1" si="1221"/>
        <v>WPF, w tym</v>
      </c>
      <c r="AK755" s="158" t="str">
        <f t="shared" ca="1" si="1134"/>
        <v>C/USN/VI/P3/7 85202 6050 GMMW</v>
      </c>
      <c r="AL755" s="158" t="str">
        <f t="shared" ca="1" si="1135"/>
        <v>C/USN/VI/P3/7 85202 6050 WPF, w tym</v>
      </c>
      <c r="AM755" s="159" t="str">
        <f t="shared" ca="1" si="1136"/>
        <v>C/USN/VI/P3/7 85202 6050 GMMW WPF, w tym</v>
      </c>
      <c r="AN755" s="160">
        <f t="shared" ca="1" si="1222"/>
        <v>13085001</v>
      </c>
      <c r="AO755" s="161">
        <f t="shared" ca="1" si="1223"/>
        <v>1087725</v>
      </c>
      <c r="AP755" s="162">
        <f t="shared" ca="1" si="1224"/>
        <v>9862366</v>
      </c>
      <c r="AQ755" s="163">
        <f t="shared" ca="1" si="1225"/>
        <v>2134910</v>
      </c>
      <c r="AR755" s="164">
        <f t="shared" ca="1" si="1226"/>
        <v>0</v>
      </c>
      <c r="AS755" s="164">
        <f t="shared" ca="1" si="1227"/>
        <v>0</v>
      </c>
      <c r="AT755" s="164">
        <f t="shared" ca="1" si="1228"/>
        <v>0</v>
      </c>
      <c r="AU755" s="164">
        <f t="shared" ca="1" si="1229"/>
        <v>0</v>
      </c>
      <c r="AV755" s="164">
        <f t="shared" ca="1" si="1230"/>
        <v>0</v>
      </c>
      <c r="AW755" s="164">
        <f t="shared" ca="1" si="1231"/>
        <v>0</v>
      </c>
      <c r="AX755" s="164">
        <f t="shared" ca="1" si="1232"/>
        <v>0</v>
      </c>
      <c r="AY755" s="164">
        <f t="shared" ca="1" si="1233"/>
        <v>0</v>
      </c>
      <c r="AZ755" s="164">
        <f t="shared" ca="1" si="1234"/>
        <v>0</v>
      </c>
      <c r="BA755" s="165" t="str">
        <f t="shared" ca="1" si="1235"/>
        <v>nie</v>
      </c>
      <c r="BB755" s="166" t="str">
        <f t="shared" ca="1" si="1121"/>
        <v>-</v>
      </c>
      <c r="BC755" s="165" t="str">
        <f t="shared" ca="1" si="1202"/>
        <v>nie</v>
      </c>
    </row>
    <row r="756" spans="1:55" s="167" customFormat="1" ht="14.45" hidden="1" customHeight="1" x14ac:dyDescent="0.25">
      <c r="A756" s="493"/>
      <c r="B756" s="493"/>
      <c r="C756" s="494"/>
      <c r="D756" s="506"/>
      <c r="E756" s="497"/>
      <c r="F756" s="497"/>
      <c r="G756" s="497"/>
      <c r="H756" s="498"/>
      <c r="I756" s="499"/>
      <c r="J756" s="177" t="s">
        <v>95</v>
      </c>
      <c r="K756" s="178">
        <f>SUM(N756:O756)</f>
        <v>1231130</v>
      </c>
      <c r="L756" s="179"/>
      <c r="M756" s="180"/>
      <c r="N756" s="172">
        <f>SUM(L756:M756)</f>
        <v>0</v>
      </c>
      <c r="O756" s="178">
        <f>SUM(P756:Y756)</f>
        <v>1231130</v>
      </c>
      <c r="P756" s="181">
        <v>1231130</v>
      </c>
      <c r="Q756" s="180"/>
      <c r="R756" s="182"/>
      <c r="S756" s="183"/>
      <c r="T756" s="180"/>
      <c r="U756" s="180"/>
      <c r="V756" s="180"/>
      <c r="W756" s="180"/>
      <c r="X756" s="180"/>
      <c r="Y756" s="182"/>
      <c r="Z756" s="149" t="str">
        <f t="shared" ca="1" si="1201"/>
        <v>nie</v>
      </c>
      <c r="AA756" s="366"/>
      <c r="AB756" s="150" t="str">
        <f t="shared" ca="1" si="1120"/>
        <v>-</v>
      </c>
      <c r="AC756" s="151" t="str">
        <f t="shared" ca="1" si="1215"/>
        <v>PRZED ZMIANĄ</v>
      </c>
      <c r="AD756" s="152" t="str">
        <f t="shared" ca="1" si="1133"/>
        <v>PRZED ZMIANĄ</v>
      </c>
      <c r="AE756" s="153" t="str">
        <f t="shared" ca="1" si="1216"/>
        <v>C/USN/VI/P3/7</v>
      </c>
      <c r="AF756" s="154" t="str">
        <f t="shared" ca="1" si="1217"/>
        <v>Budowa Centrum Opiekuńczo-Mieszkalnego "Ursynów"</v>
      </c>
      <c r="AG756" s="155">
        <f t="shared" ca="1" si="1218"/>
        <v>85202</v>
      </c>
      <c r="AH756" s="155" t="str">
        <f t="shared" ca="1" si="1219"/>
        <v>6050</v>
      </c>
      <c r="AI756" s="156" t="str">
        <f t="shared" ca="1" si="1220"/>
        <v>GMMW</v>
      </c>
      <c r="AJ756" s="157" t="str">
        <f t="shared" ca="1" si="1221"/>
        <v>WPF/PM</v>
      </c>
      <c r="AK756" s="158" t="str">
        <f t="shared" ca="1" si="1134"/>
        <v>C/USN/VI/P3/7 85202 6050 GMMW</v>
      </c>
      <c r="AL756" s="158" t="str">
        <f t="shared" ca="1" si="1135"/>
        <v>C/USN/VI/P3/7 85202 6050 WPF/PM</v>
      </c>
      <c r="AM756" s="159" t="str">
        <f t="shared" ca="1" si="1136"/>
        <v>C/USN/VI/P3/7 85202 6050 GMMW WPF/PM</v>
      </c>
      <c r="AN756" s="160">
        <f t="shared" ca="1" si="1222"/>
        <v>1231130</v>
      </c>
      <c r="AO756" s="161">
        <f t="shared" ca="1" si="1223"/>
        <v>0</v>
      </c>
      <c r="AP756" s="162">
        <f t="shared" ca="1" si="1224"/>
        <v>0</v>
      </c>
      <c r="AQ756" s="163">
        <f t="shared" ca="1" si="1225"/>
        <v>1231130</v>
      </c>
      <c r="AR756" s="164">
        <f t="shared" ca="1" si="1226"/>
        <v>0</v>
      </c>
      <c r="AS756" s="164">
        <f t="shared" ca="1" si="1227"/>
        <v>0</v>
      </c>
      <c r="AT756" s="164">
        <f t="shared" ca="1" si="1228"/>
        <v>0</v>
      </c>
      <c r="AU756" s="164">
        <f t="shared" ca="1" si="1229"/>
        <v>0</v>
      </c>
      <c r="AV756" s="164">
        <f t="shared" ca="1" si="1230"/>
        <v>0</v>
      </c>
      <c r="AW756" s="164">
        <f t="shared" ca="1" si="1231"/>
        <v>0</v>
      </c>
      <c r="AX756" s="164">
        <f t="shared" ca="1" si="1232"/>
        <v>0</v>
      </c>
      <c r="AY756" s="164">
        <f t="shared" ca="1" si="1233"/>
        <v>0</v>
      </c>
      <c r="AZ756" s="164">
        <f t="shared" ca="1" si="1234"/>
        <v>0</v>
      </c>
      <c r="BA756" s="165" t="str">
        <f t="shared" ca="1" si="1235"/>
        <v>nie</v>
      </c>
      <c r="BB756" s="166" t="str">
        <f t="shared" ca="1" si="1121"/>
        <v>-</v>
      </c>
      <c r="BC756" s="165" t="str">
        <f t="shared" ca="1" si="1202"/>
        <v>nie</v>
      </c>
    </row>
    <row r="757" spans="1:55" s="167" customFormat="1" ht="14.45" hidden="1" customHeight="1" x14ac:dyDescent="0.25">
      <c r="A757" s="493"/>
      <c r="B757" s="493"/>
      <c r="C757" s="494"/>
      <c r="D757" s="506"/>
      <c r="E757" s="497"/>
      <c r="F757" s="497"/>
      <c r="G757" s="497"/>
      <c r="H757" s="498"/>
      <c r="I757" s="499"/>
      <c r="J757" s="177" t="s">
        <v>96</v>
      </c>
      <c r="K757" s="178">
        <f>SUM(N757:O757)</f>
        <v>11853871</v>
      </c>
      <c r="L757" s="184">
        <v>1087725</v>
      </c>
      <c r="M757" s="180">
        <v>9862366</v>
      </c>
      <c r="N757" s="172">
        <f>SUM(L757:M757)</f>
        <v>10950091</v>
      </c>
      <c r="O757" s="178">
        <f>SUM(P757:Y757)</f>
        <v>903780</v>
      </c>
      <c r="P757" s="181">
        <v>903780</v>
      </c>
      <c r="Q757" s="180"/>
      <c r="R757" s="182"/>
      <c r="S757" s="183"/>
      <c r="T757" s="180"/>
      <c r="U757" s="180"/>
      <c r="V757" s="180"/>
      <c r="W757" s="180"/>
      <c r="X757" s="180"/>
      <c r="Y757" s="182"/>
      <c r="Z757" s="149" t="str">
        <f t="shared" ca="1" si="1201"/>
        <v>nie</v>
      </c>
      <c r="AA757" s="366"/>
      <c r="AB757" s="150" t="str">
        <f t="shared" ca="1" si="1120"/>
        <v>-</v>
      </c>
      <c r="AC757" s="151" t="str">
        <f t="shared" ca="1" si="1215"/>
        <v>PRZED ZMIANĄ</v>
      </c>
      <c r="AD757" s="152" t="str">
        <f t="shared" ca="1" si="1133"/>
        <v>PRZED ZMIANĄ</v>
      </c>
      <c r="AE757" s="153" t="str">
        <f t="shared" ca="1" si="1216"/>
        <v>C/USN/VI/P3/7</v>
      </c>
      <c r="AF757" s="154" t="str">
        <f t="shared" ca="1" si="1217"/>
        <v>Budowa Centrum Opiekuńczo-Mieszkalnego "Ursynów"</v>
      </c>
      <c r="AG757" s="155">
        <f t="shared" ca="1" si="1218"/>
        <v>85202</v>
      </c>
      <c r="AH757" s="155" t="str">
        <f t="shared" ca="1" si="1219"/>
        <v>6050</v>
      </c>
      <c r="AI757" s="156" t="str">
        <f t="shared" ca="1" si="1220"/>
        <v>GMMW</v>
      </c>
      <c r="AJ757" s="157" t="str">
        <f t="shared" ca="1" si="1221"/>
        <v>WPF/UM</v>
      </c>
      <c r="AK757" s="158" t="str">
        <f t="shared" ca="1" si="1134"/>
        <v>C/USN/VI/P3/7 85202 6050 GMMW</v>
      </c>
      <c r="AL757" s="158" t="str">
        <f t="shared" ca="1" si="1135"/>
        <v>C/USN/VI/P3/7 85202 6050 WPF/UM</v>
      </c>
      <c r="AM757" s="159" t="str">
        <f t="shared" ca="1" si="1136"/>
        <v>C/USN/VI/P3/7 85202 6050 GMMW WPF/UM</v>
      </c>
      <c r="AN757" s="160">
        <f t="shared" ca="1" si="1222"/>
        <v>11853871</v>
      </c>
      <c r="AO757" s="161">
        <f t="shared" ca="1" si="1223"/>
        <v>1087725</v>
      </c>
      <c r="AP757" s="162">
        <f t="shared" ca="1" si="1224"/>
        <v>9862366</v>
      </c>
      <c r="AQ757" s="163">
        <f t="shared" ca="1" si="1225"/>
        <v>903780</v>
      </c>
      <c r="AR757" s="164">
        <f t="shared" ca="1" si="1226"/>
        <v>0</v>
      </c>
      <c r="AS757" s="164">
        <f t="shared" ca="1" si="1227"/>
        <v>0</v>
      </c>
      <c r="AT757" s="164">
        <f t="shared" ca="1" si="1228"/>
        <v>0</v>
      </c>
      <c r="AU757" s="164">
        <f t="shared" ca="1" si="1229"/>
        <v>0</v>
      </c>
      <c r="AV757" s="164">
        <f t="shared" ca="1" si="1230"/>
        <v>0</v>
      </c>
      <c r="AW757" s="164">
        <f t="shared" ca="1" si="1231"/>
        <v>0</v>
      </c>
      <c r="AX757" s="164">
        <f t="shared" ca="1" si="1232"/>
        <v>0</v>
      </c>
      <c r="AY757" s="164">
        <f t="shared" ca="1" si="1233"/>
        <v>0</v>
      </c>
      <c r="AZ757" s="164">
        <f t="shared" ca="1" si="1234"/>
        <v>0</v>
      </c>
      <c r="BA757" s="165" t="str">
        <f t="shared" ca="1" si="1235"/>
        <v>nie</v>
      </c>
      <c r="BB757" s="166" t="str">
        <f t="shared" ca="1" si="1121"/>
        <v>-</v>
      </c>
      <c r="BC757" s="165" t="str">
        <f t="shared" ca="1" si="1202"/>
        <v>nie</v>
      </c>
    </row>
    <row r="758" spans="1:55" s="167" customFormat="1" ht="14.45" hidden="1" customHeight="1" x14ac:dyDescent="0.25">
      <c r="A758" s="185" t="s">
        <v>97</v>
      </c>
      <c r="B758" s="186"/>
      <c r="C758" s="187"/>
      <c r="D758" s="186"/>
      <c r="E758" s="186"/>
      <c r="F758" s="186"/>
      <c r="G758" s="186"/>
      <c r="H758" s="186"/>
      <c r="I758" s="186"/>
      <c r="J758" s="186"/>
      <c r="K758" s="186"/>
      <c r="L758" s="186"/>
      <c r="M758" s="186"/>
      <c r="N758" s="186"/>
      <c r="O758" s="186"/>
      <c r="P758" s="186"/>
      <c r="Q758" s="186"/>
      <c r="R758" s="188"/>
      <c r="S758" s="189"/>
      <c r="T758" s="189"/>
      <c r="U758" s="189"/>
      <c r="V758" s="189"/>
      <c r="W758" s="189"/>
      <c r="X758" s="189"/>
      <c r="Y758" s="190"/>
      <c r="Z758" s="149" t="str">
        <f t="shared" ca="1" si="1201"/>
        <v>nie</v>
      </c>
      <c r="AA758" s="366"/>
      <c r="AB758" s="150" t="str">
        <f t="shared" ca="1" si="1120"/>
        <v>-</v>
      </c>
      <c r="AC758" s="151" t="str">
        <f t="shared" ca="1" si="1215"/>
        <v>PROPONOWANA ZMIANA</v>
      </c>
      <c r="AD758" s="152" t="str">
        <f t="shared" ca="1" si="1133"/>
        <v/>
      </c>
      <c r="AE758" s="153" t="str">
        <f t="shared" ca="1" si="1216"/>
        <v/>
      </c>
      <c r="AF758" s="154" t="str">
        <f t="shared" ca="1" si="1217"/>
        <v/>
      </c>
      <c r="AG758" s="155" t="str">
        <f t="shared" ca="1" si="1218"/>
        <v/>
      </c>
      <c r="AH758" s="155" t="str">
        <f t="shared" ca="1" si="1219"/>
        <v/>
      </c>
      <c r="AI758" s="156" t="str">
        <f t="shared" ca="1" si="1220"/>
        <v/>
      </c>
      <c r="AJ758" s="157" t="str">
        <f t="shared" ca="1" si="1221"/>
        <v/>
      </c>
      <c r="AK758" s="158" t="str">
        <f t="shared" ca="1" si="1134"/>
        <v/>
      </c>
      <c r="AL758" s="158" t="str">
        <f t="shared" ca="1" si="1135"/>
        <v/>
      </c>
      <c r="AM758" s="159" t="str">
        <f t="shared" ca="1" si="1136"/>
        <v/>
      </c>
      <c r="AN758" s="160" t="str">
        <f t="shared" ca="1" si="1222"/>
        <v/>
      </c>
      <c r="AO758" s="161" t="str">
        <f t="shared" ca="1" si="1223"/>
        <v/>
      </c>
      <c r="AP758" s="162" t="str">
        <f t="shared" ca="1" si="1224"/>
        <v/>
      </c>
      <c r="AQ758" s="163" t="str">
        <f t="shared" ca="1" si="1225"/>
        <v/>
      </c>
      <c r="AR758" s="164" t="str">
        <f t="shared" ca="1" si="1226"/>
        <v/>
      </c>
      <c r="AS758" s="164" t="str">
        <f t="shared" ca="1" si="1227"/>
        <v/>
      </c>
      <c r="AT758" s="164" t="str">
        <f t="shared" ca="1" si="1228"/>
        <v/>
      </c>
      <c r="AU758" s="164" t="str">
        <f t="shared" ca="1" si="1229"/>
        <v/>
      </c>
      <c r="AV758" s="164" t="str">
        <f t="shared" ca="1" si="1230"/>
        <v/>
      </c>
      <c r="AW758" s="164" t="str">
        <f t="shared" ca="1" si="1231"/>
        <v/>
      </c>
      <c r="AX758" s="164" t="str">
        <f t="shared" ca="1" si="1232"/>
        <v/>
      </c>
      <c r="AY758" s="164" t="str">
        <f t="shared" ca="1" si="1233"/>
        <v/>
      </c>
      <c r="AZ758" s="164" t="str">
        <f t="shared" ca="1" si="1234"/>
        <v/>
      </c>
      <c r="BA758" s="165" t="str">
        <f t="shared" ca="1" si="1235"/>
        <v>nie</v>
      </c>
      <c r="BB758" s="166" t="str">
        <f t="shared" ca="1" si="1121"/>
        <v>-</v>
      </c>
      <c r="BC758" s="165" t="str">
        <f t="shared" ca="1" si="1202"/>
        <v>nie</v>
      </c>
    </row>
    <row r="759" spans="1:55" s="176" customFormat="1" ht="14.45" hidden="1" customHeight="1" x14ac:dyDescent="0.25">
      <c r="A759" s="493" t="s">
        <v>24</v>
      </c>
      <c r="B759" s="493" t="s">
        <v>26</v>
      </c>
      <c r="C759" s="494" t="s">
        <v>191</v>
      </c>
      <c r="D759" s="505" t="s">
        <v>192</v>
      </c>
      <c r="E759" s="497">
        <v>852</v>
      </c>
      <c r="F759" s="497">
        <v>85202</v>
      </c>
      <c r="G759" s="497">
        <v>6050</v>
      </c>
      <c r="H759" s="507">
        <v>2019</v>
      </c>
      <c r="I759" s="499" t="str">
        <f ca="1">IF(COUNTIF(OFFSET(I759,-1,-8),"*propon*")&gt;0,OFFSET(I759,4,0),IF(Y759&gt;0,"2033",IF(X759&gt;0,"2032",IF(W759&gt;0,"2031",IF(V759&gt;0,"2030",IF(U759&gt;0,"2029",IF(T759&gt;0,"2028",IF(S759&gt;0,"2027",IF(R759&gt;0,"2026",IF(Q759&gt;0,"2025",IF(P759&gt;0,"2024",IF(M759&gt;0,"2023",IF(L759&gt;0,"2022","")))))))))))))</f>
        <v>2024</v>
      </c>
      <c r="J759" s="168" t="s">
        <v>98</v>
      </c>
      <c r="K759" s="169">
        <f>SUM(N759:O759)</f>
        <v>0</v>
      </c>
      <c r="L759" s="170">
        <f t="shared" ref="L759:M759" si="1267">SUM(L760:L761)</f>
        <v>0</v>
      </c>
      <c r="M759" s="171">
        <f t="shared" si="1267"/>
        <v>0</v>
      </c>
      <c r="N759" s="172">
        <f>SUM(L759:M759)</f>
        <v>0</v>
      </c>
      <c r="O759" s="169">
        <f>SUM(P759:Y759)</f>
        <v>0</v>
      </c>
      <c r="P759" s="173">
        <f t="shared" ref="P759:R759" si="1268">SUM(P760:P761)</f>
        <v>0</v>
      </c>
      <c r="Q759" s="171">
        <f t="shared" si="1268"/>
        <v>0</v>
      </c>
      <c r="R759" s="174">
        <f t="shared" si="1268"/>
        <v>0</v>
      </c>
      <c r="S759" s="175">
        <f t="shared" ref="S759:Y759" si="1269">SUM(S760:S761)</f>
        <v>0</v>
      </c>
      <c r="T759" s="171">
        <f t="shared" si="1269"/>
        <v>0</v>
      </c>
      <c r="U759" s="171">
        <f t="shared" si="1269"/>
        <v>0</v>
      </c>
      <c r="V759" s="171">
        <f t="shared" si="1269"/>
        <v>0</v>
      </c>
      <c r="W759" s="171">
        <f t="shared" si="1269"/>
        <v>0</v>
      </c>
      <c r="X759" s="171">
        <f t="shared" si="1269"/>
        <v>0</v>
      </c>
      <c r="Y759" s="174">
        <f t="shared" si="1269"/>
        <v>0</v>
      </c>
      <c r="Z759" s="149" t="str">
        <f t="shared" ca="1" si="1201"/>
        <v>nie</v>
      </c>
      <c r="AA759" s="366"/>
      <c r="AB759" s="150" t="str">
        <f t="shared" ca="1" si="1120"/>
        <v>-</v>
      </c>
      <c r="AC759" s="151" t="str">
        <f t="shared" ca="1" si="1215"/>
        <v>PROPONOWANA ZMIANA</v>
      </c>
      <c r="AD759" s="152" t="str">
        <f t="shared" ca="1" si="1133"/>
        <v>PROPONOWANA ZMIANA</v>
      </c>
      <c r="AE759" s="153" t="str">
        <f t="shared" ca="1" si="1216"/>
        <v>C/USN/VI/P3/7</v>
      </c>
      <c r="AF759" s="154" t="str">
        <f t="shared" ca="1" si="1217"/>
        <v>Budowa Centrum Opiekuńczo-Mieszkalnego "Ursynów"</v>
      </c>
      <c r="AG759" s="155">
        <f t="shared" ca="1" si="1218"/>
        <v>85202</v>
      </c>
      <c r="AH759" s="155" t="str">
        <f t="shared" ca="1" si="1219"/>
        <v>6050</v>
      </c>
      <c r="AI759" s="156" t="str">
        <f t="shared" ca="1" si="1220"/>
        <v>GMMW</v>
      </c>
      <c r="AJ759" s="157" t="str">
        <f t="shared" ca="1" si="1221"/>
        <v>WPF, w tym</v>
      </c>
      <c r="AK759" s="158" t="str">
        <f t="shared" ca="1" si="1134"/>
        <v>C/USN/VI/P3/7 85202 6050 GMMW</v>
      </c>
      <c r="AL759" s="158" t="str">
        <f t="shared" ca="1" si="1135"/>
        <v>C/USN/VI/P3/7 85202 6050 WPF, w tym</v>
      </c>
      <c r="AM759" s="159" t="str">
        <f t="shared" ca="1" si="1136"/>
        <v>C/USN/VI/P3/7 85202 6050 GMMW WPF, w tym</v>
      </c>
      <c r="AN759" s="160">
        <f t="shared" ca="1" si="1222"/>
        <v>0</v>
      </c>
      <c r="AO759" s="161">
        <f t="shared" ca="1" si="1223"/>
        <v>0</v>
      </c>
      <c r="AP759" s="162">
        <f t="shared" ca="1" si="1224"/>
        <v>0</v>
      </c>
      <c r="AQ759" s="163">
        <f t="shared" ca="1" si="1225"/>
        <v>0</v>
      </c>
      <c r="AR759" s="164">
        <f t="shared" ca="1" si="1226"/>
        <v>0</v>
      </c>
      <c r="AS759" s="164">
        <f t="shared" ca="1" si="1227"/>
        <v>0</v>
      </c>
      <c r="AT759" s="164">
        <f t="shared" ca="1" si="1228"/>
        <v>0</v>
      </c>
      <c r="AU759" s="164">
        <f t="shared" ca="1" si="1229"/>
        <v>0</v>
      </c>
      <c r="AV759" s="164">
        <f t="shared" ca="1" si="1230"/>
        <v>0</v>
      </c>
      <c r="AW759" s="164">
        <f t="shared" ca="1" si="1231"/>
        <v>0</v>
      </c>
      <c r="AX759" s="164">
        <f t="shared" ca="1" si="1232"/>
        <v>0</v>
      </c>
      <c r="AY759" s="164">
        <f t="shared" ca="1" si="1233"/>
        <v>0</v>
      </c>
      <c r="AZ759" s="164">
        <f t="shared" ca="1" si="1234"/>
        <v>0</v>
      </c>
      <c r="BA759" s="165" t="str">
        <f t="shared" ca="1" si="1235"/>
        <v>nie</v>
      </c>
      <c r="BB759" s="166" t="str">
        <f t="shared" ca="1" si="1121"/>
        <v>-</v>
      </c>
      <c r="BC759" s="165" t="str">
        <f t="shared" ca="1" si="1202"/>
        <v>nie</v>
      </c>
    </row>
    <row r="760" spans="1:55" s="167" customFormat="1" ht="14.45" hidden="1" customHeight="1" x14ac:dyDescent="0.25">
      <c r="A760" s="493"/>
      <c r="B760" s="493"/>
      <c r="C760" s="494"/>
      <c r="D760" s="506"/>
      <c r="E760" s="497"/>
      <c r="F760" s="497"/>
      <c r="G760" s="497"/>
      <c r="H760" s="498"/>
      <c r="I760" s="499"/>
      <c r="J760" s="177" t="s">
        <v>99</v>
      </c>
      <c r="K760" s="178">
        <f>SUM(N760:O760)</f>
        <v>0</v>
      </c>
      <c r="L760" s="179">
        <f t="shared" ref="L760:M760" si="1270">L764-L756</f>
        <v>0</v>
      </c>
      <c r="M760" s="180">
        <f t="shared" si="1270"/>
        <v>0</v>
      </c>
      <c r="N760" s="172">
        <f>SUM(L760:M760)</f>
        <v>0</v>
      </c>
      <c r="O760" s="178">
        <f>SUM(P760:Y760)</f>
        <v>0</v>
      </c>
      <c r="P760" s="181">
        <f t="shared" ref="P760:R760" si="1271">P764-P756</f>
        <v>0</v>
      </c>
      <c r="Q760" s="180">
        <f t="shared" si="1271"/>
        <v>0</v>
      </c>
      <c r="R760" s="182">
        <f t="shared" si="1271"/>
        <v>0</v>
      </c>
      <c r="S760" s="183">
        <f t="shared" ref="S760:Y761" si="1272">S764-S756</f>
        <v>0</v>
      </c>
      <c r="T760" s="180">
        <f t="shared" si="1272"/>
        <v>0</v>
      </c>
      <c r="U760" s="180">
        <f t="shared" si="1272"/>
        <v>0</v>
      </c>
      <c r="V760" s="180">
        <f t="shared" si="1272"/>
        <v>0</v>
      </c>
      <c r="W760" s="180">
        <f t="shared" si="1272"/>
        <v>0</v>
      </c>
      <c r="X760" s="180">
        <f t="shared" si="1272"/>
        <v>0</v>
      </c>
      <c r="Y760" s="182">
        <f t="shared" si="1272"/>
        <v>0</v>
      </c>
      <c r="Z760" s="149" t="str">
        <f t="shared" ca="1" si="1201"/>
        <v>nie</v>
      </c>
      <c r="AA760" s="366"/>
      <c r="AB760" s="150" t="str">
        <f t="shared" ca="1" si="1120"/>
        <v>-</v>
      </c>
      <c r="AC760" s="151" t="str">
        <f t="shared" ca="1" si="1215"/>
        <v>PROPONOWANA ZMIANA</v>
      </c>
      <c r="AD760" s="152" t="str">
        <f t="shared" ca="1" si="1133"/>
        <v>PROPONOWANA ZMIANA</v>
      </c>
      <c r="AE760" s="153" t="str">
        <f t="shared" ca="1" si="1216"/>
        <v>C/USN/VI/P3/7</v>
      </c>
      <c r="AF760" s="154" t="str">
        <f t="shared" ca="1" si="1217"/>
        <v>Budowa Centrum Opiekuńczo-Mieszkalnego "Ursynów"</v>
      </c>
      <c r="AG760" s="155">
        <f t="shared" ca="1" si="1218"/>
        <v>85202</v>
      </c>
      <c r="AH760" s="155" t="str">
        <f t="shared" ca="1" si="1219"/>
        <v>6050</v>
      </c>
      <c r="AI760" s="156" t="str">
        <f t="shared" ca="1" si="1220"/>
        <v>GMMW</v>
      </c>
      <c r="AJ760" s="157" t="str">
        <f t="shared" ca="1" si="1221"/>
        <v>WPF/PM</v>
      </c>
      <c r="AK760" s="158" t="str">
        <f t="shared" ca="1" si="1134"/>
        <v>C/USN/VI/P3/7 85202 6050 GMMW</v>
      </c>
      <c r="AL760" s="158" t="str">
        <f t="shared" ca="1" si="1135"/>
        <v>C/USN/VI/P3/7 85202 6050 WPF/PM</v>
      </c>
      <c r="AM760" s="159" t="str">
        <f t="shared" ca="1" si="1136"/>
        <v>C/USN/VI/P3/7 85202 6050 GMMW WPF/PM</v>
      </c>
      <c r="AN760" s="160">
        <f t="shared" ca="1" si="1222"/>
        <v>0</v>
      </c>
      <c r="AO760" s="161">
        <f t="shared" ca="1" si="1223"/>
        <v>0</v>
      </c>
      <c r="AP760" s="162">
        <f t="shared" ca="1" si="1224"/>
        <v>0</v>
      </c>
      <c r="AQ760" s="163">
        <f t="shared" ca="1" si="1225"/>
        <v>0</v>
      </c>
      <c r="AR760" s="164">
        <f t="shared" ca="1" si="1226"/>
        <v>0</v>
      </c>
      <c r="AS760" s="164">
        <f t="shared" ca="1" si="1227"/>
        <v>0</v>
      </c>
      <c r="AT760" s="164">
        <f t="shared" ca="1" si="1228"/>
        <v>0</v>
      </c>
      <c r="AU760" s="164">
        <f t="shared" ca="1" si="1229"/>
        <v>0</v>
      </c>
      <c r="AV760" s="164">
        <f t="shared" ca="1" si="1230"/>
        <v>0</v>
      </c>
      <c r="AW760" s="164">
        <f t="shared" ca="1" si="1231"/>
        <v>0</v>
      </c>
      <c r="AX760" s="164">
        <f t="shared" ca="1" si="1232"/>
        <v>0</v>
      </c>
      <c r="AY760" s="164">
        <f t="shared" ca="1" si="1233"/>
        <v>0</v>
      </c>
      <c r="AZ760" s="164">
        <f t="shared" ca="1" si="1234"/>
        <v>0</v>
      </c>
      <c r="BA760" s="165" t="str">
        <f t="shared" ca="1" si="1235"/>
        <v>nie</v>
      </c>
      <c r="BB760" s="166" t="str">
        <f t="shared" ca="1" si="1121"/>
        <v>-</v>
      </c>
      <c r="BC760" s="165" t="str">
        <f t="shared" ca="1" si="1202"/>
        <v>nie</v>
      </c>
    </row>
    <row r="761" spans="1:55" s="167" customFormat="1" ht="14.45" hidden="1" customHeight="1" x14ac:dyDescent="0.25">
      <c r="A761" s="493"/>
      <c r="B761" s="493"/>
      <c r="C761" s="494"/>
      <c r="D761" s="506"/>
      <c r="E761" s="497"/>
      <c r="F761" s="497"/>
      <c r="G761" s="497"/>
      <c r="H761" s="498"/>
      <c r="I761" s="499"/>
      <c r="J761" s="177" t="s">
        <v>100</v>
      </c>
      <c r="K761" s="178">
        <f>SUM(N761:O761)</f>
        <v>0</v>
      </c>
      <c r="L761" s="179">
        <f t="shared" ref="L761:M761" si="1273">L765-L757</f>
        <v>0</v>
      </c>
      <c r="M761" s="180">
        <f t="shared" si="1273"/>
        <v>0</v>
      </c>
      <c r="N761" s="172">
        <f>SUM(L761:M761)</f>
        <v>0</v>
      </c>
      <c r="O761" s="178">
        <f>SUM(P761:Y761)</f>
        <v>0</v>
      </c>
      <c r="P761" s="181">
        <f t="shared" ref="P761:R761" si="1274">P765-P757</f>
        <v>0</v>
      </c>
      <c r="Q761" s="180">
        <f t="shared" si="1274"/>
        <v>0</v>
      </c>
      <c r="R761" s="182">
        <f t="shared" si="1274"/>
        <v>0</v>
      </c>
      <c r="S761" s="183">
        <f t="shared" si="1272"/>
        <v>0</v>
      </c>
      <c r="T761" s="180">
        <f t="shared" si="1272"/>
        <v>0</v>
      </c>
      <c r="U761" s="180">
        <f t="shared" si="1272"/>
        <v>0</v>
      </c>
      <c r="V761" s="180">
        <f t="shared" si="1272"/>
        <v>0</v>
      </c>
      <c r="W761" s="180">
        <f t="shared" si="1272"/>
        <v>0</v>
      </c>
      <c r="X761" s="180">
        <f t="shared" si="1272"/>
        <v>0</v>
      </c>
      <c r="Y761" s="182">
        <f t="shared" si="1272"/>
        <v>0</v>
      </c>
      <c r="Z761" s="149" t="str">
        <f t="shared" ca="1" si="1201"/>
        <v>nie</v>
      </c>
      <c r="AA761" s="366"/>
      <c r="AB761" s="150" t="str">
        <f t="shared" ca="1" si="1120"/>
        <v>-</v>
      </c>
      <c r="AC761" s="151" t="str">
        <f t="shared" ca="1" si="1215"/>
        <v>PROPONOWANA ZMIANA</v>
      </c>
      <c r="AD761" s="152" t="str">
        <f t="shared" ca="1" si="1133"/>
        <v>PROPONOWANA ZMIANA</v>
      </c>
      <c r="AE761" s="153" t="str">
        <f t="shared" ca="1" si="1216"/>
        <v>C/USN/VI/P3/7</v>
      </c>
      <c r="AF761" s="154" t="str">
        <f t="shared" ca="1" si="1217"/>
        <v>Budowa Centrum Opiekuńczo-Mieszkalnego "Ursynów"</v>
      </c>
      <c r="AG761" s="155">
        <f t="shared" ca="1" si="1218"/>
        <v>85202</v>
      </c>
      <c r="AH761" s="155" t="str">
        <f t="shared" ca="1" si="1219"/>
        <v>6050</v>
      </c>
      <c r="AI761" s="156" t="str">
        <f t="shared" ca="1" si="1220"/>
        <v>GMMW</v>
      </c>
      <c r="AJ761" s="157" t="str">
        <f t="shared" ca="1" si="1221"/>
        <v>WPF/UM</v>
      </c>
      <c r="AK761" s="158" t="str">
        <f t="shared" ca="1" si="1134"/>
        <v>C/USN/VI/P3/7 85202 6050 GMMW</v>
      </c>
      <c r="AL761" s="158" t="str">
        <f t="shared" ca="1" si="1135"/>
        <v>C/USN/VI/P3/7 85202 6050 WPF/UM</v>
      </c>
      <c r="AM761" s="159" t="str">
        <f t="shared" ca="1" si="1136"/>
        <v>C/USN/VI/P3/7 85202 6050 GMMW WPF/UM</v>
      </c>
      <c r="AN761" s="160">
        <f t="shared" ca="1" si="1222"/>
        <v>0</v>
      </c>
      <c r="AO761" s="161">
        <f t="shared" ca="1" si="1223"/>
        <v>0</v>
      </c>
      <c r="AP761" s="162">
        <f t="shared" ca="1" si="1224"/>
        <v>0</v>
      </c>
      <c r="AQ761" s="163">
        <f t="shared" ca="1" si="1225"/>
        <v>0</v>
      </c>
      <c r="AR761" s="164">
        <f t="shared" ca="1" si="1226"/>
        <v>0</v>
      </c>
      <c r="AS761" s="164">
        <f t="shared" ca="1" si="1227"/>
        <v>0</v>
      </c>
      <c r="AT761" s="164">
        <f t="shared" ca="1" si="1228"/>
        <v>0</v>
      </c>
      <c r="AU761" s="164">
        <f t="shared" ca="1" si="1229"/>
        <v>0</v>
      </c>
      <c r="AV761" s="164">
        <f t="shared" ca="1" si="1230"/>
        <v>0</v>
      </c>
      <c r="AW761" s="164">
        <f t="shared" ca="1" si="1231"/>
        <v>0</v>
      </c>
      <c r="AX761" s="164">
        <f t="shared" ca="1" si="1232"/>
        <v>0</v>
      </c>
      <c r="AY761" s="164">
        <f t="shared" ca="1" si="1233"/>
        <v>0</v>
      </c>
      <c r="AZ761" s="164">
        <f t="shared" ca="1" si="1234"/>
        <v>0</v>
      </c>
      <c r="BA761" s="165" t="str">
        <f t="shared" ca="1" si="1235"/>
        <v>nie</v>
      </c>
      <c r="BB761" s="166" t="str">
        <f t="shared" ca="1" si="1121"/>
        <v>-</v>
      </c>
      <c r="BC761" s="165" t="str">
        <f t="shared" ca="1" si="1202"/>
        <v>nie</v>
      </c>
    </row>
    <row r="762" spans="1:55" s="167" customFormat="1" ht="14.45" hidden="1" customHeight="1" x14ac:dyDescent="0.25">
      <c r="A762" s="191" t="s">
        <v>101</v>
      </c>
      <c r="B762" s="192"/>
      <c r="C762" s="193"/>
      <c r="D762" s="192"/>
      <c r="E762" s="192"/>
      <c r="F762" s="192"/>
      <c r="G762" s="192"/>
      <c r="H762" s="192"/>
      <c r="I762" s="192"/>
      <c r="J762" s="192"/>
      <c r="K762" s="192"/>
      <c r="L762" s="192"/>
      <c r="M762" s="192"/>
      <c r="N762" s="192"/>
      <c r="O762" s="192"/>
      <c r="P762" s="192"/>
      <c r="Q762" s="192"/>
      <c r="R762" s="194"/>
      <c r="S762" s="195"/>
      <c r="T762" s="195"/>
      <c r="U762" s="195"/>
      <c r="V762" s="195"/>
      <c r="W762" s="195"/>
      <c r="X762" s="195"/>
      <c r="Y762" s="196"/>
      <c r="Z762" s="149" t="str">
        <f t="shared" ca="1" si="1201"/>
        <v>nie</v>
      </c>
      <c r="AA762" s="366"/>
      <c r="AB762" s="150" t="str">
        <f t="shared" ca="1" si="1120"/>
        <v>-</v>
      </c>
      <c r="AC762" s="151" t="str">
        <f t="shared" ca="1" si="1215"/>
        <v>PO ZMIANIE</v>
      </c>
      <c r="AD762" s="152" t="str">
        <f t="shared" ca="1" si="1133"/>
        <v/>
      </c>
      <c r="AE762" s="153" t="str">
        <f t="shared" ca="1" si="1216"/>
        <v/>
      </c>
      <c r="AF762" s="154" t="str">
        <f t="shared" ca="1" si="1217"/>
        <v/>
      </c>
      <c r="AG762" s="155" t="str">
        <f t="shared" ca="1" si="1218"/>
        <v/>
      </c>
      <c r="AH762" s="155" t="str">
        <f t="shared" ca="1" si="1219"/>
        <v/>
      </c>
      <c r="AI762" s="156" t="str">
        <f t="shared" ca="1" si="1220"/>
        <v/>
      </c>
      <c r="AJ762" s="157" t="str">
        <f t="shared" ca="1" si="1221"/>
        <v/>
      </c>
      <c r="AK762" s="158" t="str">
        <f t="shared" ca="1" si="1134"/>
        <v/>
      </c>
      <c r="AL762" s="158" t="str">
        <f t="shared" ca="1" si="1135"/>
        <v/>
      </c>
      <c r="AM762" s="159" t="str">
        <f t="shared" ca="1" si="1136"/>
        <v/>
      </c>
      <c r="AN762" s="160" t="str">
        <f t="shared" ca="1" si="1222"/>
        <v/>
      </c>
      <c r="AO762" s="161" t="str">
        <f t="shared" ca="1" si="1223"/>
        <v/>
      </c>
      <c r="AP762" s="162" t="str">
        <f t="shared" ca="1" si="1224"/>
        <v/>
      </c>
      <c r="AQ762" s="163" t="str">
        <f t="shared" ca="1" si="1225"/>
        <v/>
      </c>
      <c r="AR762" s="164" t="str">
        <f t="shared" ca="1" si="1226"/>
        <v/>
      </c>
      <c r="AS762" s="164" t="str">
        <f t="shared" ca="1" si="1227"/>
        <v/>
      </c>
      <c r="AT762" s="164" t="str">
        <f t="shared" ca="1" si="1228"/>
        <v/>
      </c>
      <c r="AU762" s="164" t="str">
        <f t="shared" ca="1" si="1229"/>
        <v/>
      </c>
      <c r="AV762" s="164" t="str">
        <f t="shared" ca="1" si="1230"/>
        <v/>
      </c>
      <c r="AW762" s="164" t="str">
        <f t="shared" ca="1" si="1231"/>
        <v/>
      </c>
      <c r="AX762" s="164" t="str">
        <f t="shared" ca="1" si="1232"/>
        <v/>
      </c>
      <c r="AY762" s="164" t="str">
        <f t="shared" ca="1" si="1233"/>
        <v/>
      </c>
      <c r="AZ762" s="164" t="str">
        <f t="shared" ca="1" si="1234"/>
        <v/>
      </c>
      <c r="BA762" s="165" t="str">
        <f t="shared" ca="1" si="1235"/>
        <v>nie</v>
      </c>
      <c r="BB762" s="166" t="str">
        <f t="shared" ca="1" si="1121"/>
        <v>-</v>
      </c>
      <c r="BC762" s="165" t="str">
        <f t="shared" ca="1" si="1202"/>
        <v>nie</v>
      </c>
    </row>
    <row r="763" spans="1:55" s="176" customFormat="1" ht="14.45" hidden="1" customHeight="1" x14ac:dyDescent="0.25">
      <c r="A763" s="493" t="s">
        <v>24</v>
      </c>
      <c r="B763" s="493" t="s">
        <v>26</v>
      </c>
      <c r="C763" s="494" t="s">
        <v>191</v>
      </c>
      <c r="D763" s="505" t="s">
        <v>192</v>
      </c>
      <c r="E763" s="497">
        <v>852</v>
      </c>
      <c r="F763" s="497">
        <v>85202</v>
      </c>
      <c r="G763" s="497">
        <v>6050</v>
      </c>
      <c r="H763" s="507">
        <v>2019</v>
      </c>
      <c r="I763" s="499" t="str">
        <f ca="1">IF(COUNTIF(OFFSET(I763,-1,-8),"*propon*")&gt;0,OFFSET(I763,4,0),IF(Y763&gt;0,"2033",IF(X763&gt;0,"2032",IF(W763&gt;0,"2031",IF(V763&gt;0,"2030",IF(U763&gt;0,"2029",IF(T763&gt;0,"2028",IF(S763&gt;0,"2027",IF(R763&gt;0,"2026",IF(Q763&gt;0,"2025",IF(P763&gt;0,"2024",IF(M763&gt;0,"2023",IF(L763&gt;0,"2022","")))))))))))))</f>
        <v>2024</v>
      </c>
      <c r="J763" s="168" t="s">
        <v>102</v>
      </c>
      <c r="K763" s="169">
        <f>SUM(N763:O763)</f>
        <v>13085001</v>
      </c>
      <c r="L763" s="170">
        <f t="shared" ref="L763:M763" si="1275">SUM(L764:L765)</f>
        <v>1087725</v>
      </c>
      <c r="M763" s="171">
        <f t="shared" si="1275"/>
        <v>9862366</v>
      </c>
      <c r="N763" s="172">
        <f>SUM(L763:M763)</f>
        <v>10950091</v>
      </c>
      <c r="O763" s="169">
        <f>SUM(P763:Y763)</f>
        <v>2134910</v>
      </c>
      <c r="P763" s="173">
        <f t="shared" ref="P763:R763" si="1276">SUM(P764:P765)</f>
        <v>2134910</v>
      </c>
      <c r="Q763" s="171">
        <f t="shared" si="1276"/>
        <v>0</v>
      </c>
      <c r="R763" s="174">
        <f t="shared" si="1276"/>
        <v>0</v>
      </c>
      <c r="S763" s="175">
        <f t="shared" ref="S763:Y763" si="1277">SUM(S764:S765)</f>
        <v>0</v>
      </c>
      <c r="T763" s="171">
        <f t="shared" si="1277"/>
        <v>0</v>
      </c>
      <c r="U763" s="171">
        <f t="shared" si="1277"/>
        <v>0</v>
      </c>
      <c r="V763" s="171">
        <f t="shared" si="1277"/>
        <v>0</v>
      </c>
      <c r="W763" s="171">
        <f t="shared" si="1277"/>
        <v>0</v>
      </c>
      <c r="X763" s="171">
        <f t="shared" si="1277"/>
        <v>0</v>
      </c>
      <c r="Y763" s="174">
        <f t="shared" si="1277"/>
        <v>0</v>
      </c>
      <c r="Z763" s="149" t="str">
        <f t="shared" ca="1" si="1201"/>
        <v>nie</v>
      </c>
      <c r="AA763" s="366"/>
      <c r="AB763" s="150" t="str">
        <f t="shared" ref="AB763:AB814" ca="1" si="1278">IF(IF(OR(COUNTIF(AD763,"*bilans*")&gt;0,COUNTIF(AD763,"*prop*")&gt;0),COUNTIF(AO763:AZ763,"")+COUNTIF(AO763:AZ763,"0"),"")&lt;12,AE763,"-")</f>
        <v>-</v>
      </c>
      <c r="AC763" s="151" t="str">
        <f t="shared" ca="1" si="1215"/>
        <v>PO ZMIANIE</v>
      </c>
      <c r="AD763" s="152" t="str">
        <f t="shared" ca="1" si="1133"/>
        <v>PO ZMIANIE</v>
      </c>
      <c r="AE763" s="153" t="str">
        <f t="shared" ca="1" si="1216"/>
        <v>C/USN/VI/P3/7</v>
      </c>
      <c r="AF763" s="154" t="str">
        <f t="shared" ca="1" si="1217"/>
        <v>Budowa Centrum Opiekuńczo-Mieszkalnego "Ursynów"</v>
      </c>
      <c r="AG763" s="155">
        <f t="shared" ca="1" si="1218"/>
        <v>85202</v>
      </c>
      <c r="AH763" s="155" t="str">
        <f t="shared" ca="1" si="1219"/>
        <v>6050</v>
      </c>
      <c r="AI763" s="156" t="str">
        <f t="shared" ca="1" si="1220"/>
        <v>GMMW</v>
      </c>
      <c r="AJ763" s="157" t="str">
        <f t="shared" ca="1" si="1221"/>
        <v>WPF, w tym</v>
      </c>
      <c r="AK763" s="158" t="str">
        <f t="shared" ca="1" si="1134"/>
        <v>C/USN/VI/P3/7 85202 6050 GMMW</v>
      </c>
      <c r="AL763" s="158" t="str">
        <f t="shared" ca="1" si="1135"/>
        <v>C/USN/VI/P3/7 85202 6050 WPF, w tym</v>
      </c>
      <c r="AM763" s="159" t="str">
        <f t="shared" ca="1" si="1136"/>
        <v>C/USN/VI/P3/7 85202 6050 GMMW WPF, w tym</v>
      </c>
      <c r="AN763" s="160">
        <f t="shared" ca="1" si="1222"/>
        <v>13085001</v>
      </c>
      <c r="AO763" s="161">
        <f t="shared" ca="1" si="1223"/>
        <v>1087725</v>
      </c>
      <c r="AP763" s="162">
        <f t="shared" ca="1" si="1224"/>
        <v>9862366</v>
      </c>
      <c r="AQ763" s="163">
        <f t="shared" ca="1" si="1225"/>
        <v>2134910</v>
      </c>
      <c r="AR763" s="164">
        <f t="shared" ca="1" si="1226"/>
        <v>0</v>
      </c>
      <c r="AS763" s="164">
        <f t="shared" ca="1" si="1227"/>
        <v>0</v>
      </c>
      <c r="AT763" s="164">
        <f t="shared" ca="1" si="1228"/>
        <v>0</v>
      </c>
      <c r="AU763" s="164">
        <f t="shared" ca="1" si="1229"/>
        <v>0</v>
      </c>
      <c r="AV763" s="164">
        <f t="shared" ca="1" si="1230"/>
        <v>0</v>
      </c>
      <c r="AW763" s="164">
        <f t="shared" ca="1" si="1231"/>
        <v>0</v>
      </c>
      <c r="AX763" s="164">
        <f t="shared" ca="1" si="1232"/>
        <v>0</v>
      </c>
      <c r="AY763" s="164">
        <f t="shared" ca="1" si="1233"/>
        <v>0</v>
      </c>
      <c r="AZ763" s="164">
        <f t="shared" ca="1" si="1234"/>
        <v>0</v>
      </c>
      <c r="BA763" s="165" t="str">
        <f t="shared" ca="1" si="1235"/>
        <v>nie</v>
      </c>
      <c r="BB763" s="166" t="str">
        <f t="shared" ref="BB763:BB814" ca="1" si="1279">IF(COUNTIF(AD763,"*bilans*")&gt;0,"-",IF(IF(COUNTIF(AD763,"*prop*")&gt;0,COUNTIF(AO763:AZ763,"")+COUNTIF(AO763:AZ763,"0"),"")&lt;12,AK763,"-"))</f>
        <v>-</v>
      </c>
      <c r="BC763" s="165" t="str">
        <f t="shared" ca="1" si="1202"/>
        <v>nie</v>
      </c>
    </row>
    <row r="764" spans="1:55" s="167" customFormat="1" ht="14.45" hidden="1" customHeight="1" x14ac:dyDescent="0.25">
      <c r="A764" s="493"/>
      <c r="B764" s="493"/>
      <c r="C764" s="494"/>
      <c r="D764" s="506"/>
      <c r="E764" s="497"/>
      <c r="F764" s="497"/>
      <c r="G764" s="497"/>
      <c r="H764" s="498"/>
      <c r="I764" s="499"/>
      <c r="J764" s="177" t="s">
        <v>103</v>
      </c>
      <c r="K764" s="178">
        <f>SUM(N764:O764)</f>
        <v>1231130</v>
      </c>
      <c r="L764" s="179"/>
      <c r="M764" s="180"/>
      <c r="N764" s="172">
        <f>SUM(L764:M764)</f>
        <v>0</v>
      </c>
      <c r="O764" s="178">
        <f>SUM(P764:Y764)</f>
        <v>1231130</v>
      </c>
      <c r="P764" s="181">
        <f>686220+544910</f>
        <v>1231130</v>
      </c>
      <c r="Q764" s="180"/>
      <c r="R764" s="182"/>
      <c r="S764" s="183"/>
      <c r="T764" s="180"/>
      <c r="U764" s="180"/>
      <c r="V764" s="180"/>
      <c r="W764" s="180"/>
      <c r="X764" s="180"/>
      <c r="Y764" s="182"/>
      <c r="Z764" s="149" t="str">
        <f t="shared" ca="1" si="1201"/>
        <v>nie</v>
      </c>
      <c r="AA764" s="384"/>
      <c r="AB764" s="150" t="str">
        <f t="shared" ca="1" si="1278"/>
        <v>-</v>
      </c>
      <c r="AC764" s="151" t="str">
        <f t="shared" ca="1" si="1215"/>
        <v>PO ZMIANIE</v>
      </c>
      <c r="AD764" s="152" t="str">
        <f t="shared" ca="1" si="1133"/>
        <v>PO ZMIANIE</v>
      </c>
      <c r="AE764" s="153" t="str">
        <f t="shared" ca="1" si="1216"/>
        <v>C/USN/VI/P3/7</v>
      </c>
      <c r="AF764" s="154" t="str">
        <f t="shared" ca="1" si="1217"/>
        <v>Budowa Centrum Opiekuńczo-Mieszkalnego "Ursynów"</v>
      </c>
      <c r="AG764" s="155">
        <f t="shared" ca="1" si="1218"/>
        <v>85202</v>
      </c>
      <c r="AH764" s="155" t="str">
        <f t="shared" ca="1" si="1219"/>
        <v>6050</v>
      </c>
      <c r="AI764" s="156" t="str">
        <f t="shared" ca="1" si="1220"/>
        <v>GMMW</v>
      </c>
      <c r="AJ764" s="157" t="str">
        <f t="shared" ca="1" si="1221"/>
        <v>WPF/PM</v>
      </c>
      <c r="AK764" s="158" t="str">
        <f t="shared" ca="1" si="1134"/>
        <v>C/USN/VI/P3/7 85202 6050 GMMW</v>
      </c>
      <c r="AL764" s="158" t="str">
        <f t="shared" ca="1" si="1135"/>
        <v>C/USN/VI/P3/7 85202 6050 WPF/PM</v>
      </c>
      <c r="AM764" s="159" t="str">
        <f t="shared" ca="1" si="1136"/>
        <v>C/USN/VI/P3/7 85202 6050 GMMW WPF/PM</v>
      </c>
      <c r="AN764" s="160">
        <f t="shared" ca="1" si="1222"/>
        <v>1231130</v>
      </c>
      <c r="AO764" s="161">
        <f t="shared" ca="1" si="1223"/>
        <v>0</v>
      </c>
      <c r="AP764" s="162">
        <f t="shared" ca="1" si="1224"/>
        <v>0</v>
      </c>
      <c r="AQ764" s="163">
        <f t="shared" ca="1" si="1225"/>
        <v>1231130</v>
      </c>
      <c r="AR764" s="164">
        <f t="shared" ca="1" si="1226"/>
        <v>0</v>
      </c>
      <c r="AS764" s="164">
        <f t="shared" ca="1" si="1227"/>
        <v>0</v>
      </c>
      <c r="AT764" s="164">
        <f t="shared" ca="1" si="1228"/>
        <v>0</v>
      </c>
      <c r="AU764" s="164">
        <f t="shared" ca="1" si="1229"/>
        <v>0</v>
      </c>
      <c r="AV764" s="164">
        <f t="shared" ca="1" si="1230"/>
        <v>0</v>
      </c>
      <c r="AW764" s="164">
        <f t="shared" ca="1" si="1231"/>
        <v>0</v>
      </c>
      <c r="AX764" s="164">
        <f t="shared" ca="1" si="1232"/>
        <v>0</v>
      </c>
      <c r="AY764" s="164">
        <f t="shared" ca="1" si="1233"/>
        <v>0</v>
      </c>
      <c r="AZ764" s="164">
        <f t="shared" ca="1" si="1234"/>
        <v>0</v>
      </c>
      <c r="BA764" s="165" t="str">
        <f t="shared" ca="1" si="1235"/>
        <v>nie</v>
      </c>
      <c r="BB764" s="166" t="str">
        <f t="shared" ca="1" si="1279"/>
        <v>-</v>
      </c>
      <c r="BC764" s="165" t="str">
        <f t="shared" ca="1" si="1202"/>
        <v>nie</v>
      </c>
    </row>
    <row r="765" spans="1:55" s="167" customFormat="1" ht="14.45" hidden="1" customHeight="1" thickBot="1" x14ac:dyDescent="0.3">
      <c r="A765" s="500"/>
      <c r="B765" s="500"/>
      <c r="C765" s="501"/>
      <c r="D765" s="513"/>
      <c r="E765" s="503"/>
      <c r="F765" s="503"/>
      <c r="G765" s="503"/>
      <c r="H765" s="504"/>
      <c r="I765" s="499"/>
      <c r="J765" s="197" t="s">
        <v>104</v>
      </c>
      <c r="K765" s="198">
        <f>SUM(N765:O765)</f>
        <v>11853871</v>
      </c>
      <c r="L765" s="199">
        <v>1087725</v>
      </c>
      <c r="M765" s="200">
        <f>10057276-194910</f>
        <v>9862366</v>
      </c>
      <c r="N765" s="371">
        <f>SUM(L765:M765)</f>
        <v>10950091</v>
      </c>
      <c r="O765" s="198">
        <f>SUM(P765:Y765)</f>
        <v>903780</v>
      </c>
      <c r="P765" s="201">
        <v>903780</v>
      </c>
      <c r="Q765" s="200"/>
      <c r="R765" s="202"/>
      <c r="S765" s="203"/>
      <c r="T765" s="200"/>
      <c r="U765" s="200"/>
      <c r="V765" s="200"/>
      <c r="W765" s="200"/>
      <c r="X765" s="200"/>
      <c r="Y765" s="202"/>
      <c r="Z765" s="149" t="str">
        <f t="shared" ca="1" si="1201"/>
        <v>nie</v>
      </c>
      <c r="AA765" s="384"/>
      <c r="AB765" s="150" t="str">
        <f t="shared" ca="1" si="1278"/>
        <v>-</v>
      </c>
      <c r="AC765" s="151" t="str">
        <f t="shared" ca="1" si="1215"/>
        <v>PO ZMIANIE</v>
      </c>
      <c r="AD765" s="152" t="str">
        <f t="shared" ca="1" si="1133"/>
        <v>PO ZMIANIE</v>
      </c>
      <c r="AE765" s="153" t="str">
        <f t="shared" ca="1" si="1216"/>
        <v>C/USN/VI/P3/7</v>
      </c>
      <c r="AF765" s="154" t="str">
        <f t="shared" ca="1" si="1217"/>
        <v>Budowa Centrum Opiekuńczo-Mieszkalnego "Ursynów"</v>
      </c>
      <c r="AG765" s="155">
        <f t="shared" ca="1" si="1218"/>
        <v>85202</v>
      </c>
      <c r="AH765" s="155" t="str">
        <f t="shared" ca="1" si="1219"/>
        <v>6050</v>
      </c>
      <c r="AI765" s="156" t="str">
        <f t="shared" ca="1" si="1220"/>
        <v>GMMW</v>
      </c>
      <c r="AJ765" s="157" t="str">
        <f t="shared" ca="1" si="1221"/>
        <v>WPF/UM</v>
      </c>
      <c r="AK765" s="158" t="str">
        <f t="shared" ca="1" si="1134"/>
        <v>C/USN/VI/P3/7 85202 6050 GMMW</v>
      </c>
      <c r="AL765" s="158" t="str">
        <f t="shared" ca="1" si="1135"/>
        <v>C/USN/VI/P3/7 85202 6050 WPF/UM</v>
      </c>
      <c r="AM765" s="159" t="str">
        <f t="shared" ca="1" si="1136"/>
        <v>C/USN/VI/P3/7 85202 6050 GMMW WPF/UM</v>
      </c>
      <c r="AN765" s="160">
        <f t="shared" ca="1" si="1222"/>
        <v>11853871</v>
      </c>
      <c r="AO765" s="161">
        <f t="shared" ca="1" si="1223"/>
        <v>1087725</v>
      </c>
      <c r="AP765" s="162">
        <f t="shared" ca="1" si="1224"/>
        <v>9862366</v>
      </c>
      <c r="AQ765" s="163">
        <f t="shared" ca="1" si="1225"/>
        <v>903780</v>
      </c>
      <c r="AR765" s="164">
        <f t="shared" ca="1" si="1226"/>
        <v>0</v>
      </c>
      <c r="AS765" s="164">
        <f t="shared" ca="1" si="1227"/>
        <v>0</v>
      </c>
      <c r="AT765" s="164">
        <f t="shared" ca="1" si="1228"/>
        <v>0</v>
      </c>
      <c r="AU765" s="164">
        <f t="shared" ca="1" si="1229"/>
        <v>0</v>
      </c>
      <c r="AV765" s="164">
        <f t="shared" ca="1" si="1230"/>
        <v>0</v>
      </c>
      <c r="AW765" s="164">
        <f t="shared" ca="1" si="1231"/>
        <v>0</v>
      </c>
      <c r="AX765" s="164">
        <f t="shared" ca="1" si="1232"/>
        <v>0</v>
      </c>
      <c r="AY765" s="164">
        <f t="shared" ca="1" si="1233"/>
        <v>0</v>
      </c>
      <c r="AZ765" s="164">
        <f t="shared" ca="1" si="1234"/>
        <v>0</v>
      </c>
      <c r="BA765" s="165" t="str">
        <f t="shared" ca="1" si="1235"/>
        <v>nie</v>
      </c>
      <c r="BB765" s="166" t="str">
        <f t="shared" ca="1" si="1279"/>
        <v>-</v>
      </c>
      <c r="BC765" s="165" t="str">
        <f t="shared" ca="1" si="1202"/>
        <v>nie</v>
      </c>
    </row>
    <row r="766" spans="1:55" s="167" customFormat="1" ht="14.45" hidden="1" customHeight="1" x14ac:dyDescent="0.25">
      <c r="A766" s="143" t="s">
        <v>91</v>
      </c>
      <c r="B766" s="144"/>
      <c r="C766" s="145"/>
      <c r="D766" s="144"/>
      <c r="E766" s="144"/>
      <c r="F766" s="144"/>
      <c r="G766" s="144"/>
      <c r="H766" s="144"/>
      <c r="I766" s="144"/>
      <c r="J766" s="144"/>
      <c r="K766" s="144"/>
      <c r="L766" s="144"/>
      <c r="M766" s="144"/>
      <c r="N766" s="144"/>
      <c r="O766" s="144"/>
      <c r="P766" s="144"/>
      <c r="Q766" s="144"/>
      <c r="R766" s="146"/>
      <c r="S766" s="147"/>
      <c r="T766" s="147"/>
      <c r="U766" s="147"/>
      <c r="V766" s="147"/>
      <c r="W766" s="147"/>
      <c r="X766" s="147"/>
      <c r="Y766" s="148"/>
      <c r="Z766" s="149" t="str">
        <f t="shared" ca="1" si="1201"/>
        <v>nie</v>
      </c>
      <c r="AA766" s="366"/>
      <c r="AB766" s="150" t="str">
        <f t="shared" ca="1" si="1278"/>
        <v>-</v>
      </c>
      <c r="AC766" s="151" t="str">
        <f t="shared" ca="1" si="1215"/>
        <v>PRZED ZMIANĄ</v>
      </c>
      <c r="AD766" s="152" t="str">
        <f t="shared" ca="1" si="1133"/>
        <v/>
      </c>
      <c r="AE766" s="153" t="str">
        <f t="shared" ca="1" si="1216"/>
        <v/>
      </c>
      <c r="AF766" s="154" t="str">
        <f t="shared" ca="1" si="1217"/>
        <v/>
      </c>
      <c r="AG766" s="155" t="str">
        <f t="shared" ca="1" si="1218"/>
        <v/>
      </c>
      <c r="AH766" s="155" t="str">
        <f t="shared" ca="1" si="1219"/>
        <v/>
      </c>
      <c r="AI766" s="156" t="str">
        <f t="shared" ca="1" si="1220"/>
        <v/>
      </c>
      <c r="AJ766" s="157" t="str">
        <f t="shared" ca="1" si="1221"/>
        <v/>
      </c>
      <c r="AK766" s="158" t="str">
        <f t="shared" ca="1" si="1134"/>
        <v/>
      </c>
      <c r="AL766" s="158" t="str">
        <f t="shared" ca="1" si="1135"/>
        <v/>
      </c>
      <c r="AM766" s="159" t="str">
        <f t="shared" ca="1" si="1136"/>
        <v/>
      </c>
      <c r="AN766" s="160" t="str">
        <f t="shared" ca="1" si="1222"/>
        <v/>
      </c>
      <c r="AO766" s="161" t="str">
        <f t="shared" ca="1" si="1223"/>
        <v/>
      </c>
      <c r="AP766" s="162" t="str">
        <f t="shared" ca="1" si="1224"/>
        <v/>
      </c>
      <c r="AQ766" s="163" t="str">
        <f t="shared" ca="1" si="1225"/>
        <v/>
      </c>
      <c r="AR766" s="164" t="str">
        <f t="shared" ca="1" si="1226"/>
        <v/>
      </c>
      <c r="AS766" s="164" t="str">
        <f t="shared" ca="1" si="1227"/>
        <v/>
      </c>
      <c r="AT766" s="164" t="str">
        <f t="shared" ca="1" si="1228"/>
        <v/>
      </c>
      <c r="AU766" s="164" t="str">
        <f t="shared" ca="1" si="1229"/>
        <v/>
      </c>
      <c r="AV766" s="164" t="str">
        <f t="shared" ca="1" si="1230"/>
        <v/>
      </c>
      <c r="AW766" s="164" t="str">
        <f t="shared" ca="1" si="1231"/>
        <v/>
      </c>
      <c r="AX766" s="164" t="str">
        <f t="shared" ca="1" si="1232"/>
        <v/>
      </c>
      <c r="AY766" s="164" t="str">
        <f t="shared" ca="1" si="1233"/>
        <v/>
      </c>
      <c r="AZ766" s="164" t="str">
        <f t="shared" ca="1" si="1234"/>
        <v/>
      </c>
      <c r="BA766" s="165" t="str">
        <f t="shared" ca="1" si="1235"/>
        <v>nie</v>
      </c>
      <c r="BB766" s="166" t="str">
        <f t="shared" ca="1" si="1279"/>
        <v>-</v>
      </c>
      <c r="BC766" s="165" t="str">
        <f t="shared" ca="1" si="1202"/>
        <v>nie</v>
      </c>
    </row>
    <row r="767" spans="1:55" s="176" customFormat="1" ht="14.45" hidden="1" customHeight="1" x14ac:dyDescent="0.25">
      <c r="A767" s="493" t="s">
        <v>159</v>
      </c>
      <c r="B767" s="493" t="s">
        <v>26</v>
      </c>
      <c r="C767" s="494" t="s">
        <v>411</v>
      </c>
      <c r="D767" s="505" t="s">
        <v>412</v>
      </c>
      <c r="E767" s="497">
        <v>852</v>
      </c>
      <c r="F767" s="535">
        <v>85219</v>
      </c>
      <c r="G767" s="497">
        <v>6050</v>
      </c>
      <c r="H767" s="507">
        <v>2023</v>
      </c>
      <c r="I767" s="499" t="str">
        <f ca="1">IF(COUNTIF(OFFSET(I767,-1,-8),"*propon*")&gt;0,OFFSET(I767,4,0),IF(Y767&gt;0,"2033",IF(X767&gt;0,"2032",IF(W767&gt;0,"2031",IF(V767&gt;0,"2030",IF(U767&gt;0,"2029",IF(T767&gt;0,"2028",IF(S767&gt;0,"2027",IF(R767&gt;0,"2026",IF(Q767&gt;0,"2025",IF(P767&gt;0,"2024",IF(M767&gt;0,"2023",IF(L767&gt;0,"2022","")))))))))))))</f>
        <v>2025</v>
      </c>
      <c r="J767" s="168" t="s">
        <v>94</v>
      </c>
      <c r="K767" s="169">
        <f>SUM(N767:O767)</f>
        <v>531477</v>
      </c>
      <c r="L767" s="170">
        <f t="shared" ref="L767:M767" si="1280">SUM(L768:L769)</f>
        <v>0</v>
      </c>
      <c r="M767" s="171">
        <f t="shared" si="1280"/>
        <v>125500</v>
      </c>
      <c r="N767" s="172">
        <f>SUM(L767:M767)</f>
        <v>125500</v>
      </c>
      <c r="O767" s="169">
        <f>SUM(P767:Y767)</f>
        <v>405977</v>
      </c>
      <c r="P767" s="173">
        <f t="shared" ref="P767:Y767" si="1281">SUM(P768:P769)</f>
        <v>40000</v>
      </c>
      <c r="Q767" s="171">
        <f t="shared" si="1281"/>
        <v>365977</v>
      </c>
      <c r="R767" s="174">
        <f t="shared" si="1281"/>
        <v>0</v>
      </c>
      <c r="S767" s="175">
        <f t="shared" si="1281"/>
        <v>0</v>
      </c>
      <c r="T767" s="171">
        <f t="shared" si="1281"/>
        <v>0</v>
      </c>
      <c r="U767" s="171">
        <f t="shared" si="1281"/>
        <v>0</v>
      </c>
      <c r="V767" s="171">
        <f t="shared" si="1281"/>
        <v>0</v>
      </c>
      <c r="W767" s="171">
        <f t="shared" si="1281"/>
        <v>0</v>
      </c>
      <c r="X767" s="171">
        <f t="shared" si="1281"/>
        <v>0</v>
      </c>
      <c r="Y767" s="174">
        <f t="shared" si="1281"/>
        <v>0</v>
      </c>
      <c r="Z767" s="149" t="str">
        <f t="shared" ca="1" si="1201"/>
        <v>nie</v>
      </c>
      <c r="AA767" s="366"/>
      <c r="AB767" s="150" t="str">
        <f t="shared" ca="1" si="1278"/>
        <v>-</v>
      </c>
      <c r="AC767" s="151" t="str">
        <f t="shared" ca="1" si="1215"/>
        <v>PRZED ZMIANĄ</v>
      </c>
      <c r="AD767" s="152" t="str">
        <f t="shared" ca="1" si="1133"/>
        <v>PRZED ZMIANĄ</v>
      </c>
      <c r="AE767" s="153" t="str">
        <f t="shared" ca="1" si="1216"/>
        <v>C/USN/VI/P3/10</v>
      </c>
      <c r="AF767" s="154" t="str">
        <f t="shared" ca="1" si="1217"/>
        <v>Modernizacja budynku Ośrodka Pomocy Społecznej</v>
      </c>
      <c r="AG767" s="155">
        <f t="shared" ca="1" si="1218"/>
        <v>85219</v>
      </c>
      <c r="AH767" s="155" t="str">
        <f t="shared" ca="1" si="1219"/>
        <v>6050</v>
      </c>
      <c r="AI767" s="156" t="str">
        <f t="shared" ca="1" si="1220"/>
        <v>GMMW</v>
      </c>
      <c r="AJ767" s="157" t="str">
        <f t="shared" ca="1" si="1221"/>
        <v>WPF, w tym</v>
      </c>
      <c r="AK767" s="158" t="str">
        <f t="shared" ca="1" si="1134"/>
        <v>C/USN/VI/P3/10 85219 6050 GMMW</v>
      </c>
      <c r="AL767" s="158" t="str">
        <f t="shared" ca="1" si="1135"/>
        <v>C/USN/VI/P3/10 85219 6050 WPF, w tym</v>
      </c>
      <c r="AM767" s="159" t="str">
        <f t="shared" ca="1" si="1136"/>
        <v>C/USN/VI/P3/10 85219 6050 GMMW WPF, w tym</v>
      </c>
      <c r="AN767" s="160">
        <f t="shared" ca="1" si="1222"/>
        <v>531477</v>
      </c>
      <c r="AO767" s="161">
        <f t="shared" ca="1" si="1223"/>
        <v>0</v>
      </c>
      <c r="AP767" s="162">
        <f t="shared" ca="1" si="1224"/>
        <v>125500</v>
      </c>
      <c r="AQ767" s="163">
        <f t="shared" ca="1" si="1225"/>
        <v>40000</v>
      </c>
      <c r="AR767" s="164">
        <f t="shared" ca="1" si="1226"/>
        <v>365977</v>
      </c>
      <c r="AS767" s="164">
        <f t="shared" ca="1" si="1227"/>
        <v>0</v>
      </c>
      <c r="AT767" s="164">
        <f t="shared" ca="1" si="1228"/>
        <v>0</v>
      </c>
      <c r="AU767" s="164">
        <f t="shared" ca="1" si="1229"/>
        <v>0</v>
      </c>
      <c r="AV767" s="164">
        <f t="shared" ca="1" si="1230"/>
        <v>0</v>
      </c>
      <c r="AW767" s="164">
        <f t="shared" ca="1" si="1231"/>
        <v>0</v>
      </c>
      <c r="AX767" s="164">
        <f t="shared" ca="1" si="1232"/>
        <v>0</v>
      </c>
      <c r="AY767" s="164">
        <f t="shared" ca="1" si="1233"/>
        <v>0</v>
      </c>
      <c r="AZ767" s="164">
        <f t="shared" ca="1" si="1234"/>
        <v>0</v>
      </c>
      <c r="BA767" s="165" t="str">
        <f t="shared" ca="1" si="1235"/>
        <v>nie</v>
      </c>
      <c r="BB767" s="166" t="str">
        <f t="shared" ca="1" si="1279"/>
        <v>-</v>
      </c>
      <c r="BC767" s="165" t="str">
        <f t="shared" ca="1" si="1202"/>
        <v>nie</v>
      </c>
    </row>
    <row r="768" spans="1:55" s="167" customFormat="1" ht="14.45" hidden="1" customHeight="1" x14ac:dyDescent="0.25">
      <c r="A768" s="493"/>
      <c r="B768" s="493"/>
      <c r="C768" s="494"/>
      <c r="D768" s="506"/>
      <c r="E768" s="497"/>
      <c r="F768" s="536"/>
      <c r="G768" s="497"/>
      <c r="H768" s="498"/>
      <c r="I768" s="499"/>
      <c r="J768" s="177" t="s">
        <v>95</v>
      </c>
      <c r="K768" s="178">
        <f>SUM(N768:O768)</f>
        <v>405977</v>
      </c>
      <c r="L768" s="179"/>
      <c r="M768" s="180"/>
      <c r="N768" s="172">
        <f>SUM(L768:M768)</f>
        <v>0</v>
      </c>
      <c r="O768" s="178">
        <f>SUM(P768:Y768)</f>
        <v>405977</v>
      </c>
      <c r="P768" s="181">
        <v>40000</v>
      </c>
      <c r="Q768" s="180">
        <v>365977</v>
      </c>
      <c r="R768" s="182"/>
      <c r="S768" s="183"/>
      <c r="T768" s="180"/>
      <c r="U768" s="180"/>
      <c r="V768" s="180"/>
      <c r="W768" s="180"/>
      <c r="X768" s="180"/>
      <c r="Y768" s="182"/>
      <c r="Z768" s="149" t="str">
        <f t="shared" ca="1" si="1201"/>
        <v>nie</v>
      </c>
      <c r="AA768" s="366"/>
      <c r="AB768" s="150" t="str">
        <f t="shared" ca="1" si="1278"/>
        <v>-</v>
      </c>
      <c r="AC768" s="151" t="str">
        <f t="shared" ca="1" si="1215"/>
        <v>PRZED ZMIANĄ</v>
      </c>
      <c r="AD768" s="152" t="str">
        <f t="shared" ca="1" si="1133"/>
        <v>PRZED ZMIANĄ</v>
      </c>
      <c r="AE768" s="153" t="str">
        <f t="shared" ca="1" si="1216"/>
        <v>C/USN/VI/P3/10</v>
      </c>
      <c r="AF768" s="154" t="str">
        <f t="shared" ca="1" si="1217"/>
        <v>Modernizacja budynku Ośrodka Pomocy Społecznej</v>
      </c>
      <c r="AG768" s="155">
        <f t="shared" ca="1" si="1218"/>
        <v>85219</v>
      </c>
      <c r="AH768" s="155" t="str">
        <f t="shared" ca="1" si="1219"/>
        <v>6050</v>
      </c>
      <c r="AI768" s="156" t="str">
        <f t="shared" ca="1" si="1220"/>
        <v>GMMW</v>
      </c>
      <c r="AJ768" s="157" t="str">
        <f t="shared" ca="1" si="1221"/>
        <v>WPF/PM</v>
      </c>
      <c r="AK768" s="158" t="str">
        <f t="shared" ca="1" si="1134"/>
        <v>C/USN/VI/P3/10 85219 6050 GMMW</v>
      </c>
      <c r="AL768" s="158" t="str">
        <f t="shared" ca="1" si="1135"/>
        <v>C/USN/VI/P3/10 85219 6050 WPF/PM</v>
      </c>
      <c r="AM768" s="159" t="str">
        <f t="shared" ca="1" si="1136"/>
        <v>C/USN/VI/P3/10 85219 6050 GMMW WPF/PM</v>
      </c>
      <c r="AN768" s="160">
        <f t="shared" ca="1" si="1222"/>
        <v>405977</v>
      </c>
      <c r="AO768" s="161">
        <f t="shared" ca="1" si="1223"/>
        <v>0</v>
      </c>
      <c r="AP768" s="162">
        <f t="shared" ca="1" si="1224"/>
        <v>0</v>
      </c>
      <c r="AQ768" s="163">
        <f t="shared" ca="1" si="1225"/>
        <v>40000</v>
      </c>
      <c r="AR768" s="164">
        <f t="shared" ca="1" si="1226"/>
        <v>365977</v>
      </c>
      <c r="AS768" s="164">
        <f t="shared" ca="1" si="1227"/>
        <v>0</v>
      </c>
      <c r="AT768" s="164">
        <f t="shared" ca="1" si="1228"/>
        <v>0</v>
      </c>
      <c r="AU768" s="164">
        <f t="shared" ca="1" si="1229"/>
        <v>0</v>
      </c>
      <c r="AV768" s="164">
        <f t="shared" ca="1" si="1230"/>
        <v>0</v>
      </c>
      <c r="AW768" s="164">
        <f t="shared" ca="1" si="1231"/>
        <v>0</v>
      </c>
      <c r="AX768" s="164">
        <f t="shared" ca="1" si="1232"/>
        <v>0</v>
      </c>
      <c r="AY768" s="164">
        <f t="shared" ca="1" si="1233"/>
        <v>0</v>
      </c>
      <c r="AZ768" s="164">
        <f t="shared" ca="1" si="1234"/>
        <v>0</v>
      </c>
      <c r="BA768" s="165" t="str">
        <f t="shared" ca="1" si="1235"/>
        <v>nie</v>
      </c>
      <c r="BB768" s="166" t="str">
        <f t="shared" ca="1" si="1279"/>
        <v>-</v>
      </c>
      <c r="BC768" s="165" t="str">
        <f t="shared" ca="1" si="1202"/>
        <v>nie</v>
      </c>
    </row>
    <row r="769" spans="1:55" s="167" customFormat="1" ht="14.45" hidden="1" customHeight="1" x14ac:dyDescent="0.25">
      <c r="A769" s="493"/>
      <c r="B769" s="493"/>
      <c r="C769" s="494"/>
      <c r="D769" s="506"/>
      <c r="E769" s="497"/>
      <c r="F769" s="537"/>
      <c r="G769" s="497"/>
      <c r="H769" s="498"/>
      <c r="I769" s="499"/>
      <c r="J769" s="177" t="s">
        <v>96</v>
      </c>
      <c r="K769" s="178">
        <f>SUM(N769:O769)</f>
        <v>125500</v>
      </c>
      <c r="L769" s="184"/>
      <c r="M769" s="180">
        <v>125500</v>
      </c>
      <c r="N769" s="172">
        <f>SUM(L769:M769)</f>
        <v>125500</v>
      </c>
      <c r="O769" s="178">
        <f>SUM(P769:Y769)</f>
        <v>0</v>
      </c>
      <c r="P769" s="181"/>
      <c r="Q769" s="180"/>
      <c r="R769" s="182"/>
      <c r="S769" s="183"/>
      <c r="T769" s="180"/>
      <c r="U769" s="180"/>
      <c r="V769" s="180"/>
      <c r="W769" s="180"/>
      <c r="X769" s="180"/>
      <c r="Y769" s="182"/>
      <c r="Z769" s="149" t="str">
        <f t="shared" ca="1" si="1201"/>
        <v>nie</v>
      </c>
      <c r="AA769" s="366"/>
      <c r="AB769" s="150" t="str">
        <f t="shared" ca="1" si="1278"/>
        <v>-</v>
      </c>
      <c r="AC769" s="151" t="str">
        <f t="shared" ca="1" si="1215"/>
        <v>PRZED ZMIANĄ</v>
      </c>
      <c r="AD769" s="152" t="str">
        <f t="shared" ca="1" si="1133"/>
        <v>PRZED ZMIANĄ</v>
      </c>
      <c r="AE769" s="153" t="str">
        <f t="shared" ca="1" si="1216"/>
        <v>C/USN/VI/P3/10</v>
      </c>
      <c r="AF769" s="154" t="str">
        <f t="shared" ca="1" si="1217"/>
        <v>Modernizacja budynku Ośrodka Pomocy Społecznej</v>
      </c>
      <c r="AG769" s="155">
        <f t="shared" ca="1" si="1218"/>
        <v>85219</v>
      </c>
      <c r="AH769" s="155" t="str">
        <f t="shared" ca="1" si="1219"/>
        <v>6050</v>
      </c>
      <c r="AI769" s="156" t="str">
        <f t="shared" ca="1" si="1220"/>
        <v>GMMW</v>
      </c>
      <c r="AJ769" s="157" t="str">
        <f t="shared" ca="1" si="1221"/>
        <v>WPF/UM</v>
      </c>
      <c r="AK769" s="158" t="str">
        <f t="shared" ca="1" si="1134"/>
        <v>C/USN/VI/P3/10 85219 6050 GMMW</v>
      </c>
      <c r="AL769" s="158" t="str">
        <f t="shared" ca="1" si="1135"/>
        <v>C/USN/VI/P3/10 85219 6050 WPF/UM</v>
      </c>
      <c r="AM769" s="159" t="str">
        <f t="shared" ca="1" si="1136"/>
        <v>C/USN/VI/P3/10 85219 6050 GMMW WPF/UM</v>
      </c>
      <c r="AN769" s="160">
        <f t="shared" ca="1" si="1222"/>
        <v>125500</v>
      </c>
      <c r="AO769" s="161">
        <f t="shared" ca="1" si="1223"/>
        <v>0</v>
      </c>
      <c r="AP769" s="162">
        <f t="shared" ca="1" si="1224"/>
        <v>125500</v>
      </c>
      <c r="AQ769" s="163">
        <f t="shared" ca="1" si="1225"/>
        <v>0</v>
      </c>
      <c r="AR769" s="164">
        <f t="shared" ca="1" si="1226"/>
        <v>0</v>
      </c>
      <c r="AS769" s="164">
        <f t="shared" ca="1" si="1227"/>
        <v>0</v>
      </c>
      <c r="AT769" s="164">
        <f t="shared" ca="1" si="1228"/>
        <v>0</v>
      </c>
      <c r="AU769" s="164">
        <f t="shared" ca="1" si="1229"/>
        <v>0</v>
      </c>
      <c r="AV769" s="164">
        <f t="shared" ca="1" si="1230"/>
        <v>0</v>
      </c>
      <c r="AW769" s="164">
        <f t="shared" ca="1" si="1231"/>
        <v>0</v>
      </c>
      <c r="AX769" s="164">
        <f t="shared" ca="1" si="1232"/>
        <v>0</v>
      </c>
      <c r="AY769" s="164">
        <f t="shared" ca="1" si="1233"/>
        <v>0</v>
      </c>
      <c r="AZ769" s="164">
        <f t="shared" ca="1" si="1234"/>
        <v>0</v>
      </c>
      <c r="BA769" s="165" t="str">
        <f t="shared" ca="1" si="1235"/>
        <v>nie</v>
      </c>
      <c r="BB769" s="166" t="str">
        <f t="shared" ca="1" si="1279"/>
        <v>-</v>
      </c>
      <c r="BC769" s="165" t="str">
        <f t="shared" ca="1" si="1202"/>
        <v>nie</v>
      </c>
    </row>
    <row r="770" spans="1:55" s="167" customFormat="1" ht="14.45" hidden="1" customHeight="1" x14ac:dyDescent="0.25">
      <c r="A770" s="185" t="s">
        <v>97</v>
      </c>
      <c r="B770" s="186"/>
      <c r="C770" s="187"/>
      <c r="D770" s="186"/>
      <c r="E770" s="186"/>
      <c r="F770" s="186"/>
      <c r="G770" s="186"/>
      <c r="H770" s="186"/>
      <c r="I770" s="186"/>
      <c r="J770" s="186"/>
      <c r="K770" s="186"/>
      <c r="L770" s="186"/>
      <c r="M770" s="186"/>
      <c r="N770" s="186"/>
      <c r="O770" s="186"/>
      <c r="P770" s="186"/>
      <c r="Q770" s="186"/>
      <c r="R770" s="188"/>
      <c r="S770" s="189"/>
      <c r="T770" s="189"/>
      <c r="U770" s="189"/>
      <c r="V770" s="189"/>
      <c r="W770" s="189"/>
      <c r="X770" s="189"/>
      <c r="Y770" s="190"/>
      <c r="Z770" s="149" t="str">
        <f t="shared" ca="1" si="1201"/>
        <v>nie</v>
      </c>
      <c r="AA770" s="366"/>
      <c r="AB770" s="150" t="str">
        <f t="shared" ca="1" si="1278"/>
        <v>-</v>
      </c>
      <c r="AC770" s="151" t="str">
        <f t="shared" ca="1" si="1215"/>
        <v>PROPONOWANA ZMIANA</v>
      </c>
      <c r="AD770" s="152" t="str">
        <f t="shared" ca="1" si="1133"/>
        <v/>
      </c>
      <c r="AE770" s="153" t="str">
        <f t="shared" ca="1" si="1216"/>
        <v/>
      </c>
      <c r="AF770" s="154" t="str">
        <f t="shared" ca="1" si="1217"/>
        <v/>
      </c>
      <c r="AG770" s="155" t="str">
        <f t="shared" ca="1" si="1218"/>
        <v/>
      </c>
      <c r="AH770" s="155" t="str">
        <f t="shared" ca="1" si="1219"/>
        <v/>
      </c>
      <c r="AI770" s="156" t="str">
        <f t="shared" ca="1" si="1220"/>
        <v/>
      </c>
      <c r="AJ770" s="157" t="str">
        <f t="shared" ca="1" si="1221"/>
        <v/>
      </c>
      <c r="AK770" s="158" t="str">
        <f t="shared" ca="1" si="1134"/>
        <v/>
      </c>
      <c r="AL770" s="158" t="str">
        <f t="shared" ca="1" si="1135"/>
        <v/>
      </c>
      <c r="AM770" s="159" t="str">
        <f t="shared" ca="1" si="1136"/>
        <v/>
      </c>
      <c r="AN770" s="160" t="str">
        <f t="shared" ca="1" si="1222"/>
        <v/>
      </c>
      <c r="AO770" s="161" t="str">
        <f t="shared" ca="1" si="1223"/>
        <v/>
      </c>
      <c r="AP770" s="162" t="str">
        <f t="shared" ca="1" si="1224"/>
        <v/>
      </c>
      <c r="AQ770" s="163" t="str">
        <f t="shared" ca="1" si="1225"/>
        <v/>
      </c>
      <c r="AR770" s="164" t="str">
        <f t="shared" ca="1" si="1226"/>
        <v/>
      </c>
      <c r="AS770" s="164" t="str">
        <f t="shared" ca="1" si="1227"/>
        <v/>
      </c>
      <c r="AT770" s="164" t="str">
        <f t="shared" ca="1" si="1228"/>
        <v/>
      </c>
      <c r="AU770" s="164" t="str">
        <f t="shared" ca="1" si="1229"/>
        <v/>
      </c>
      <c r="AV770" s="164" t="str">
        <f t="shared" ca="1" si="1230"/>
        <v/>
      </c>
      <c r="AW770" s="164" t="str">
        <f t="shared" ca="1" si="1231"/>
        <v/>
      </c>
      <c r="AX770" s="164" t="str">
        <f t="shared" ca="1" si="1232"/>
        <v/>
      </c>
      <c r="AY770" s="164" t="str">
        <f t="shared" ca="1" si="1233"/>
        <v/>
      </c>
      <c r="AZ770" s="164" t="str">
        <f t="shared" ca="1" si="1234"/>
        <v/>
      </c>
      <c r="BA770" s="165" t="str">
        <f t="shared" ca="1" si="1235"/>
        <v>nie</v>
      </c>
      <c r="BB770" s="166" t="str">
        <f t="shared" ca="1" si="1279"/>
        <v>-</v>
      </c>
      <c r="BC770" s="165" t="str">
        <f t="shared" ca="1" si="1202"/>
        <v>nie</v>
      </c>
    </row>
    <row r="771" spans="1:55" s="176" customFormat="1" ht="14.45" hidden="1" customHeight="1" x14ac:dyDescent="0.25">
      <c r="A771" s="493" t="s">
        <v>159</v>
      </c>
      <c r="B771" s="493" t="s">
        <v>26</v>
      </c>
      <c r="C771" s="494" t="s">
        <v>411</v>
      </c>
      <c r="D771" s="505" t="s">
        <v>412</v>
      </c>
      <c r="E771" s="497">
        <v>852</v>
      </c>
      <c r="F771" s="535">
        <v>85219</v>
      </c>
      <c r="G771" s="497">
        <v>6050</v>
      </c>
      <c r="H771" s="507">
        <v>2023</v>
      </c>
      <c r="I771" s="499" t="str">
        <f ca="1">IF(COUNTIF(OFFSET(I771,-1,-8),"*propon*")&gt;0,OFFSET(I771,4,0),IF(Y771&gt;0,"2033",IF(X771&gt;0,"2032",IF(W771&gt;0,"2031",IF(V771&gt;0,"2030",IF(U771&gt;0,"2029",IF(T771&gt;0,"2028",IF(S771&gt;0,"2027",IF(R771&gt;0,"2026",IF(Q771&gt;0,"2025",IF(P771&gt;0,"2024",IF(M771&gt;0,"2023",IF(L771&gt;0,"2022","")))))))))))))</f>
        <v>2025</v>
      </c>
      <c r="J771" s="168" t="s">
        <v>98</v>
      </c>
      <c r="K771" s="169">
        <f>SUM(N771:O771)</f>
        <v>0</v>
      </c>
      <c r="L771" s="170">
        <f t="shared" ref="L771:M771" si="1282">SUM(L772:L773)</f>
        <v>0</v>
      </c>
      <c r="M771" s="171">
        <f t="shared" si="1282"/>
        <v>0</v>
      </c>
      <c r="N771" s="172">
        <f>SUM(L771:M771)</f>
        <v>0</v>
      </c>
      <c r="O771" s="169">
        <f>SUM(P771:Y771)</f>
        <v>0</v>
      </c>
      <c r="P771" s="173">
        <f t="shared" ref="P771:Y771" si="1283">SUM(P772:P773)</f>
        <v>0</v>
      </c>
      <c r="Q771" s="171">
        <f t="shared" si="1283"/>
        <v>0</v>
      </c>
      <c r="R771" s="174">
        <f t="shared" si="1283"/>
        <v>0</v>
      </c>
      <c r="S771" s="175">
        <f t="shared" si="1283"/>
        <v>0</v>
      </c>
      <c r="T771" s="171">
        <f t="shared" si="1283"/>
        <v>0</v>
      </c>
      <c r="U771" s="171">
        <f t="shared" si="1283"/>
        <v>0</v>
      </c>
      <c r="V771" s="171">
        <f t="shared" si="1283"/>
        <v>0</v>
      </c>
      <c r="W771" s="171">
        <f t="shared" si="1283"/>
        <v>0</v>
      </c>
      <c r="X771" s="171">
        <f t="shared" si="1283"/>
        <v>0</v>
      </c>
      <c r="Y771" s="174">
        <f t="shared" si="1283"/>
        <v>0</v>
      </c>
      <c r="Z771" s="149" t="str">
        <f t="shared" ca="1" si="1201"/>
        <v>nie</v>
      </c>
      <c r="AA771" s="366"/>
      <c r="AB771" s="150" t="str">
        <f t="shared" ca="1" si="1278"/>
        <v>-</v>
      </c>
      <c r="AC771" s="151" t="str">
        <f t="shared" ca="1" si="1215"/>
        <v>PROPONOWANA ZMIANA</v>
      </c>
      <c r="AD771" s="152" t="str">
        <f t="shared" ca="1" si="1133"/>
        <v>PROPONOWANA ZMIANA</v>
      </c>
      <c r="AE771" s="153" t="str">
        <f t="shared" ca="1" si="1216"/>
        <v>C/USN/VI/P3/10</v>
      </c>
      <c r="AF771" s="154" t="str">
        <f t="shared" ca="1" si="1217"/>
        <v>Modernizacja budynku Ośrodka Pomocy Społecznej</v>
      </c>
      <c r="AG771" s="155">
        <f t="shared" ca="1" si="1218"/>
        <v>85219</v>
      </c>
      <c r="AH771" s="155" t="str">
        <f t="shared" ca="1" si="1219"/>
        <v>6050</v>
      </c>
      <c r="AI771" s="156" t="str">
        <f t="shared" ca="1" si="1220"/>
        <v>GMMW</v>
      </c>
      <c r="AJ771" s="157" t="str">
        <f t="shared" ca="1" si="1221"/>
        <v>WPF, w tym</v>
      </c>
      <c r="AK771" s="158" t="str">
        <f t="shared" ca="1" si="1134"/>
        <v>C/USN/VI/P3/10 85219 6050 GMMW</v>
      </c>
      <c r="AL771" s="158" t="str">
        <f t="shared" ca="1" si="1135"/>
        <v>C/USN/VI/P3/10 85219 6050 WPF, w tym</v>
      </c>
      <c r="AM771" s="159" t="str">
        <f t="shared" ca="1" si="1136"/>
        <v>C/USN/VI/P3/10 85219 6050 GMMW WPF, w tym</v>
      </c>
      <c r="AN771" s="160">
        <f t="shared" ca="1" si="1222"/>
        <v>0</v>
      </c>
      <c r="AO771" s="161">
        <f t="shared" ca="1" si="1223"/>
        <v>0</v>
      </c>
      <c r="AP771" s="162">
        <f t="shared" ca="1" si="1224"/>
        <v>0</v>
      </c>
      <c r="AQ771" s="163">
        <f t="shared" ca="1" si="1225"/>
        <v>0</v>
      </c>
      <c r="AR771" s="164">
        <f t="shared" ca="1" si="1226"/>
        <v>0</v>
      </c>
      <c r="AS771" s="164">
        <f t="shared" ca="1" si="1227"/>
        <v>0</v>
      </c>
      <c r="AT771" s="164">
        <f t="shared" ca="1" si="1228"/>
        <v>0</v>
      </c>
      <c r="AU771" s="164">
        <f t="shared" ca="1" si="1229"/>
        <v>0</v>
      </c>
      <c r="AV771" s="164">
        <f t="shared" ca="1" si="1230"/>
        <v>0</v>
      </c>
      <c r="AW771" s="164">
        <f t="shared" ca="1" si="1231"/>
        <v>0</v>
      </c>
      <c r="AX771" s="164">
        <f t="shared" ca="1" si="1232"/>
        <v>0</v>
      </c>
      <c r="AY771" s="164">
        <f t="shared" ca="1" si="1233"/>
        <v>0</v>
      </c>
      <c r="AZ771" s="164">
        <f t="shared" ca="1" si="1234"/>
        <v>0</v>
      </c>
      <c r="BA771" s="165" t="str">
        <f t="shared" ca="1" si="1235"/>
        <v>nie</v>
      </c>
      <c r="BB771" s="166" t="str">
        <f t="shared" ca="1" si="1279"/>
        <v>-</v>
      </c>
      <c r="BC771" s="165" t="str">
        <f t="shared" ca="1" si="1202"/>
        <v>nie</v>
      </c>
    </row>
    <row r="772" spans="1:55" s="167" customFormat="1" ht="14.45" hidden="1" customHeight="1" x14ac:dyDescent="0.25">
      <c r="A772" s="493"/>
      <c r="B772" s="493"/>
      <c r="C772" s="494"/>
      <c r="D772" s="506"/>
      <c r="E772" s="497"/>
      <c r="F772" s="536"/>
      <c r="G772" s="497"/>
      <c r="H772" s="498"/>
      <c r="I772" s="499"/>
      <c r="J772" s="177" t="s">
        <v>99</v>
      </c>
      <c r="K772" s="178">
        <f>SUM(N772:O772)</f>
        <v>0</v>
      </c>
      <c r="L772" s="179">
        <f t="shared" ref="L772:M772" si="1284">L776-L768</f>
        <v>0</v>
      </c>
      <c r="M772" s="180">
        <f t="shared" si="1284"/>
        <v>0</v>
      </c>
      <c r="N772" s="172">
        <f>SUM(L772:M772)</f>
        <v>0</v>
      </c>
      <c r="O772" s="178">
        <f>SUM(P772:Y772)</f>
        <v>0</v>
      </c>
      <c r="P772" s="181">
        <f t="shared" ref="P772:Y772" si="1285">P776-P768</f>
        <v>0</v>
      </c>
      <c r="Q772" s="180">
        <f t="shared" si="1285"/>
        <v>0</v>
      </c>
      <c r="R772" s="182">
        <f t="shared" si="1285"/>
        <v>0</v>
      </c>
      <c r="S772" s="183">
        <f t="shared" si="1285"/>
        <v>0</v>
      </c>
      <c r="T772" s="180">
        <f t="shared" si="1285"/>
        <v>0</v>
      </c>
      <c r="U772" s="180">
        <f t="shared" si="1285"/>
        <v>0</v>
      </c>
      <c r="V772" s="180">
        <f t="shared" si="1285"/>
        <v>0</v>
      </c>
      <c r="W772" s="180">
        <f t="shared" si="1285"/>
        <v>0</v>
      </c>
      <c r="X772" s="180">
        <f t="shared" si="1285"/>
        <v>0</v>
      </c>
      <c r="Y772" s="182">
        <f t="shared" si="1285"/>
        <v>0</v>
      </c>
      <c r="Z772" s="149" t="str">
        <f t="shared" ca="1" si="1201"/>
        <v>nie</v>
      </c>
      <c r="AA772" s="366"/>
      <c r="AB772" s="150" t="str">
        <f t="shared" ca="1" si="1278"/>
        <v>-</v>
      </c>
      <c r="AC772" s="151" t="str">
        <f t="shared" ca="1" si="1215"/>
        <v>PROPONOWANA ZMIANA</v>
      </c>
      <c r="AD772" s="152" t="str">
        <f t="shared" ca="1" si="1133"/>
        <v>PROPONOWANA ZMIANA</v>
      </c>
      <c r="AE772" s="153" t="str">
        <f t="shared" ca="1" si="1216"/>
        <v>C/USN/VI/P3/10</v>
      </c>
      <c r="AF772" s="154" t="str">
        <f t="shared" ca="1" si="1217"/>
        <v>Modernizacja budynku Ośrodka Pomocy Społecznej</v>
      </c>
      <c r="AG772" s="155">
        <f t="shared" ca="1" si="1218"/>
        <v>85219</v>
      </c>
      <c r="AH772" s="155" t="str">
        <f t="shared" ca="1" si="1219"/>
        <v>6050</v>
      </c>
      <c r="AI772" s="156" t="str">
        <f t="shared" ca="1" si="1220"/>
        <v>GMMW</v>
      </c>
      <c r="AJ772" s="157" t="str">
        <f t="shared" ca="1" si="1221"/>
        <v>WPF/PM</v>
      </c>
      <c r="AK772" s="158" t="str">
        <f t="shared" ca="1" si="1134"/>
        <v>C/USN/VI/P3/10 85219 6050 GMMW</v>
      </c>
      <c r="AL772" s="158" t="str">
        <f t="shared" ca="1" si="1135"/>
        <v>C/USN/VI/P3/10 85219 6050 WPF/PM</v>
      </c>
      <c r="AM772" s="159" t="str">
        <f t="shared" ca="1" si="1136"/>
        <v>C/USN/VI/P3/10 85219 6050 GMMW WPF/PM</v>
      </c>
      <c r="AN772" s="160">
        <f t="shared" ca="1" si="1222"/>
        <v>0</v>
      </c>
      <c r="AO772" s="161">
        <f t="shared" ca="1" si="1223"/>
        <v>0</v>
      </c>
      <c r="AP772" s="162">
        <f t="shared" ca="1" si="1224"/>
        <v>0</v>
      </c>
      <c r="AQ772" s="163">
        <f t="shared" ca="1" si="1225"/>
        <v>0</v>
      </c>
      <c r="AR772" s="164">
        <f t="shared" ca="1" si="1226"/>
        <v>0</v>
      </c>
      <c r="AS772" s="164">
        <f t="shared" ca="1" si="1227"/>
        <v>0</v>
      </c>
      <c r="AT772" s="164">
        <f t="shared" ca="1" si="1228"/>
        <v>0</v>
      </c>
      <c r="AU772" s="164">
        <f t="shared" ca="1" si="1229"/>
        <v>0</v>
      </c>
      <c r="AV772" s="164">
        <f t="shared" ca="1" si="1230"/>
        <v>0</v>
      </c>
      <c r="AW772" s="164">
        <f t="shared" ca="1" si="1231"/>
        <v>0</v>
      </c>
      <c r="AX772" s="164">
        <f t="shared" ca="1" si="1232"/>
        <v>0</v>
      </c>
      <c r="AY772" s="164">
        <f t="shared" ca="1" si="1233"/>
        <v>0</v>
      </c>
      <c r="AZ772" s="164">
        <f t="shared" ca="1" si="1234"/>
        <v>0</v>
      </c>
      <c r="BA772" s="165" t="str">
        <f t="shared" ca="1" si="1235"/>
        <v>nie</v>
      </c>
      <c r="BB772" s="166" t="str">
        <f t="shared" ca="1" si="1279"/>
        <v>-</v>
      </c>
      <c r="BC772" s="165" t="str">
        <f t="shared" ca="1" si="1202"/>
        <v>nie</v>
      </c>
    </row>
    <row r="773" spans="1:55" s="167" customFormat="1" ht="14.45" hidden="1" customHeight="1" x14ac:dyDescent="0.25">
      <c r="A773" s="493"/>
      <c r="B773" s="493"/>
      <c r="C773" s="494"/>
      <c r="D773" s="506"/>
      <c r="E773" s="497"/>
      <c r="F773" s="537"/>
      <c r="G773" s="497"/>
      <c r="H773" s="498"/>
      <c r="I773" s="499"/>
      <c r="J773" s="177" t="s">
        <v>100</v>
      </c>
      <c r="K773" s="178">
        <f>SUM(N773:O773)</f>
        <v>0</v>
      </c>
      <c r="L773" s="179">
        <f t="shared" ref="L773:M773" si="1286">L777-L769</f>
        <v>0</v>
      </c>
      <c r="M773" s="180">
        <f t="shared" si="1286"/>
        <v>0</v>
      </c>
      <c r="N773" s="172">
        <f>SUM(L773:M773)</f>
        <v>0</v>
      </c>
      <c r="O773" s="178">
        <f>SUM(P773:Y773)</f>
        <v>0</v>
      </c>
      <c r="P773" s="181">
        <f t="shared" ref="P773:Y773" si="1287">P777-P769</f>
        <v>0</v>
      </c>
      <c r="Q773" s="180">
        <f t="shared" si="1287"/>
        <v>0</v>
      </c>
      <c r="R773" s="182">
        <f t="shared" si="1287"/>
        <v>0</v>
      </c>
      <c r="S773" s="183">
        <f t="shared" si="1287"/>
        <v>0</v>
      </c>
      <c r="T773" s="180">
        <f t="shared" si="1287"/>
        <v>0</v>
      </c>
      <c r="U773" s="180">
        <f t="shared" si="1287"/>
        <v>0</v>
      </c>
      <c r="V773" s="180">
        <f t="shared" si="1287"/>
        <v>0</v>
      </c>
      <c r="W773" s="180">
        <f t="shared" si="1287"/>
        <v>0</v>
      </c>
      <c r="X773" s="180">
        <f t="shared" si="1287"/>
        <v>0</v>
      </c>
      <c r="Y773" s="182">
        <f t="shared" si="1287"/>
        <v>0</v>
      </c>
      <c r="Z773" s="149" t="str">
        <f t="shared" ca="1" si="1201"/>
        <v>nie</v>
      </c>
      <c r="AA773" s="366"/>
      <c r="AB773" s="150" t="str">
        <f t="shared" ca="1" si="1278"/>
        <v>-</v>
      </c>
      <c r="AC773" s="151" t="str">
        <f t="shared" ca="1" si="1215"/>
        <v>PROPONOWANA ZMIANA</v>
      </c>
      <c r="AD773" s="152" t="str">
        <f t="shared" ca="1" si="1133"/>
        <v>PROPONOWANA ZMIANA</v>
      </c>
      <c r="AE773" s="153" t="str">
        <f t="shared" ca="1" si="1216"/>
        <v>C/USN/VI/P3/10</v>
      </c>
      <c r="AF773" s="154" t="str">
        <f t="shared" ca="1" si="1217"/>
        <v>Modernizacja budynku Ośrodka Pomocy Społecznej</v>
      </c>
      <c r="AG773" s="155">
        <f t="shared" ca="1" si="1218"/>
        <v>85219</v>
      </c>
      <c r="AH773" s="155" t="str">
        <f t="shared" ca="1" si="1219"/>
        <v>6050</v>
      </c>
      <c r="AI773" s="156" t="str">
        <f t="shared" ca="1" si="1220"/>
        <v>GMMW</v>
      </c>
      <c r="AJ773" s="157" t="str">
        <f t="shared" ca="1" si="1221"/>
        <v>WPF/UM</v>
      </c>
      <c r="AK773" s="158" t="str">
        <f t="shared" ca="1" si="1134"/>
        <v>C/USN/VI/P3/10 85219 6050 GMMW</v>
      </c>
      <c r="AL773" s="158" t="str">
        <f t="shared" ca="1" si="1135"/>
        <v>C/USN/VI/P3/10 85219 6050 WPF/UM</v>
      </c>
      <c r="AM773" s="159" t="str">
        <f t="shared" ca="1" si="1136"/>
        <v>C/USN/VI/P3/10 85219 6050 GMMW WPF/UM</v>
      </c>
      <c r="AN773" s="160">
        <f t="shared" ca="1" si="1222"/>
        <v>0</v>
      </c>
      <c r="AO773" s="161">
        <f t="shared" ca="1" si="1223"/>
        <v>0</v>
      </c>
      <c r="AP773" s="162">
        <f t="shared" ca="1" si="1224"/>
        <v>0</v>
      </c>
      <c r="AQ773" s="163">
        <f t="shared" ca="1" si="1225"/>
        <v>0</v>
      </c>
      <c r="AR773" s="164">
        <f t="shared" ca="1" si="1226"/>
        <v>0</v>
      </c>
      <c r="AS773" s="164">
        <f t="shared" ca="1" si="1227"/>
        <v>0</v>
      </c>
      <c r="AT773" s="164">
        <f t="shared" ca="1" si="1228"/>
        <v>0</v>
      </c>
      <c r="AU773" s="164">
        <f t="shared" ca="1" si="1229"/>
        <v>0</v>
      </c>
      <c r="AV773" s="164">
        <f t="shared" ca="1" si="1230"/>
        <v>0</v>
      </c>
      <c r="AW773" s="164">
        <f t="shared" ca="1" si="1231"/>
        <v>0</v>
      </c>
      <c r="AX773" s="164">
        <f t="shared" ca="1" si="1232"/>
        <v>0</v>
      </c>
      <c r="AY773" s="164">
        <f t="shared" ca="1" si="1233"/>
        <v>0</v>
      </c>
      <c r="AZ773" s="164">
        <f t="shared" ca="1" si="1234"/>
        <v>0</v>
      </c>
      <c r="BA773" s="165" t="str">
        <f t="shared" ca="1" si="1235"/>
        <v>nie</v>
      </c>
      <c r="BB773" s="166" t="str">
        <f t="shared" ca="1" si="1279"/>
        <v>-</v>
      </c>
      <c r="BC773" s="165" t="str">
        <f t="shared" ca="1" si="1202"/>
        <v>nie</v>
      </c>
    </row>
    <row r="774" spans="1:55" s="167" customFormat="1" ht="14.45" hidden="1" customHeight="1" x14ac:dyDescent="0.25">
      <c r="A774" s="191" t="s">
        <v>101</v>
      </c>
      <c r="B774" s="192"/>
      <c r="C774" s="193"/>
      <c r="D774" s="192"/>
      <c r="E774" s="192"/>
      <c r="F774" s="192"/>
      <c r="G774" s="192"/>
      <c r="H774" s="192"/>
      <c r="I774" s="192"/>
      <c r="J774" s="192"/>
      <c r="K774" s="192"/>
      <c r="L774" s="192"/>
      <c r="M774" s="192"/>
      <c r="N774" s="192"/>
      <c r="O774" s="192"/>
      <c r="P774" s="192"/>
      <c r="Q774" s="192"/>
      <c r="R774" s="194"/>
      <c r="S774" s="195"/>
      <c r="T774" s="195"/>
      <c r="U774" s="195"/>
      <c r="V774" s="195"/>
      <c r="W774" s="195"/>
      <c r="X774" s="195"/>
      <c r="Y774" s="196"/>
      <c r="Z774" s="149" t="str">
        <f t="shared" ca="1" si="1201"/>
        <v>nie</v>
      </c>
      <c r="AA774" s="366"/>
      <c r="AB774" s="150" t="str">
        <f t="shared" ca="1" si="1278"/>
        <v>-</v>
      </c>
      <c r="AC774" s="151" t="str">
        <f t="shared" ca="1" si="1215"/>
        <v>PO ZMIANIE</v>
      </c>
      <c r="AD774" s="152" t="str">
        <f t="shared" ca="1" si="1133"/>
        <v/>
      </c>
      <c r="AE774" s="153" t="str">
        <f t="shared" ca="1" si="1216"/>
        <v/>
      </c>
      <c r="AF774" s="154" t="str">
        <f t="shared" ca="1" si="1217"/>
        <v/>
      </c>
      <c r="AG774" s="155" t="str">
        <f t="shared" ca="1" si="1218"/>
        <v/>
      </c>
      <c r="AH774" s="155" t="str">
        <f t="shared" ca="1" si="1219"/>
        <v/>
      </c>
      <c r="AI774" s="156" t="str">
        <f t="shared" ca="1" si="1220"/>
        <v/>
      </c>
      <c r="AJ774" s="157" t="str">
        <f t="shared" ca="1" si="1221"/>
        <v/>
      </c>
      <c r="AK774" s="158" t="str">
        <f t="shared" ca="1" si="1134"/>
        <v/>
      </c>
      <c r="AL774" s="158" t="str">
        <f t="shared" ca="1" si="1135"/>
        <v/>
      </c>
      <c r="AM774" s="159" t="str">
        <f t="shared" ca="1" si="1136"/>
        <v/>
      </c>
      <c r="AN774" s="160" t="str">
        <f t="shared" ca="1" si="1222"/>
        <v/>
      </c>
      <c r="AO774" s="161" t="str">
        <f t="shared" ca="1" si="1223"/>
        <v/>
      </c>
      <c r="AP774" s="162" t="str">
        <f t="shared" ca="1" si="1224"/>
        <v/>
      </c>
      <c r="AQ774" s="163" t="str">
        <f t="shared" ca="1" si="1225"/>
        <v/>
      </c>
      <c r="AR774" s="164" t="str">
        <f t="shared" ca="1" si="1226"/>
        <v/>
      </c>
      <c r="AS774" s="164" t="str">
        <f t="shared" ca="1" si="1227"/>
        <v/>
      </c>
      <c r="AT774" s="164" t="str">
        <f t="shared" ca="1" si="1228"/>
        <v/>
      </c>
      <c r="AU774" s="164" t="str">
        <f t="shared" ca="1" si="1229"/>
        <v/>
      </c>
      <c r="AV774" s="164" t="str">
        <f t="shared" ca="1" si="1230"/>
        <v/>
      </c>
      <c r="AW774" s="164" t="str">
        <f t="shared" ca="1" si="1231"/>
        <v/>
      </c>
      <c r="AX774" s="164" t="str">
        <f t="shared" ca="1" si="1232"/>
        <v/>
      </c>
      <c r="AY774" s="164" t="str">
        <f t="shared" ca="1" si="1233"/>
        <v/>
      </c>
      <c r="AZ774" s="164" t="str">
        <f t="shared" ca="1" si="1234"/>
        <v/>
      </c>
      <c r="BA774" s="165" t="str">
        <f t="shared" ca="1" si="1235"/>
        <v>nie</v>
      </c>
      <c r="BB774" s="166" t="str">
        <f t="shared" ca="1" si="1279"/>
        <v>-</v>
      </c>
      <c r="BC774" s="165" t="str">
        <f t="shared" ca="1" si="1202"/>
        <v>nie</v>
      </c>
    </row>
    <row r="775" spans="1:55" s="176" customFormat="1" ht="14.45" hidden="1" customHeight="1" x14ac:dyDescent="0.25">
      <c r="A775" s="493" t="s">
        <v>159</v>
      </c>
      <c r="B775" s="493" t="s">
        <v>26</v>
      </c>
      <c r="C775" s="494" t="s">
        <v>411</v>
      </c>
      <c r="D775" s="505" t="s">
        <v>412</v>
      </c>
      <c r="E775" s="497">
        <v>852</v>
      </c>
      <c r="F775" s="535">
        <v>85219</v>
      </c>
      <c r="G775" s="497">
        <v>6050</v>
      </c>
      <c r="H775" s="507">
        <v>2023</v>
      </c>
      <c r="I775" s="499" t="str">
        <f ca="1">IF(COUNTIF(OFFSET(I775,-1,-8),"*propon*")&gt;0,OFFSET(I775,4,0),IF(Y775&gt;0,"2033",IF(X775&gt;0,"2032",IF(W775&gt;0,"2031",IF(V775&gt;0,"2030",IF(U775&gt;0,"2029",IF(T775&gt;0,"2028",IF(S775&gt;0,"2027",IF(R775&gt;0,"2026",IF(Q775&gt;0,"2025",IF(P775&gt;0,"2024",IF(M775&gt;0,"2023",IF(L775&gt;0,"2022","")))))))))))))</f>
        <v>2025</v>
      </c>
      <c r="J775" s="168" t="s">
        <v>102</v>
      </c>
      <c r="K775" s="169">
        <f>SUM(N775:O775)</f>
        <v>531477</v>
      </c>
      <c r="L775" s="170">
        <f t="shared" ref="L775:M775" si="1288">SUM(L776:L777)</f>
        <v>0</v>
      </c>
      <c r="M775" s="171">
        <f t="shared" si="1288"/>
        <v>125500</v>
      </c>
      <c r="N775" s="172">
        <f>SUM(L775:M775)</f>
        <v>125500</v>
      </c>
      <c r="O775" s="169">
        <f>SUM(P775:Y775)</f>
        <v>405977</v>
      </c>
      <c r="P775" s="173">
        <f t="shared" ref="P775:Y775" si="1289">SUM(P776:P777)</f>
        <v>40000</v>
      </c>
      <c r="Q775" s="171">
        <f t="shared" si="1289"/>
        <v>365977</v>
      </c>
      <c r="R775" s="174">
        <f t="shared" si="1289"/>
        <v>0</v>
      </c>
      <c r="S775" s="175">
        <f t="shared" si="1289"/>
        <v>0</v>
      </c>
      <c r="T775" s="171">
        <f t="shared" si="1289"/>
        <v>0</v>
      </c>
      <c r="U775" s="171">
        <f t="shared" si="1289"/>
        <v>0</v>
      </c>
      <c r="V775" s="171">
        <f t="shared" si="1289"/>
        <v>0</v>
      </c>
      <c r="W775" s="171">
        <f t="shared" si="1289"/>
        <v>0</v>
      </c>
      <c r="X775" s="171">
        <f t="shared" si="1289"/>
        <v>0</v>
      </c>
      <c r="Y775" s="174">
        <f t="shared" si="1289"/>
        <v>0</v>
      </c>
      <c r="Z775" s="149" t="str">
        <f t="shared" ca="1" si="1201"/>
        <v>nie</v>
      </c>
      <c r="AA775" s="366"/>
      <c r="AB775" s="150" t="str">
        <f t="shared" ca="1" si="1278"/>
        <v>-</v>
      </c>
      <c r="AC775" s="151" t="str">
        <f t="shared" ca="1" si="1215"/>
        <v>PO ZMIANIE</v>
      </c>
      <c r="AD775" s="152" t="str">
        <f t="shared" ca="1" si="1133"/>
        <v>PO ZMIANIE</v>
      </c>
      <c r="AE775" s="153" t="str">
        <f t="shared" ca="1" si="1216"/>
        <v>C/USN/VI/P3/10</v>
      </c>
      <c r="AF775" s="154" t="str">
        <f t="shared" ca="1" si="1217"/>
        <v>Modernizacja budynku Ośrodka Pomocy Społecznej</v>
      </c>
      <c r="AG775" s="155">
        <f t="shared" ca="1" si="1218"/>
        <v>85219</v>
      </c>
      <c r="AH775" s="155" t="str">
        <f t="shared" ca="1" si="1219"/>
        <v>6050</v>
      </c>
      <c r="AI775" s="156" t="str">
        <f t="shared" ca="1" si="1220"/>
        <v>GMMW</v>
      </c>
      <c r="AJ775" s="157" t="str">
        <f t="shared" ca="1" si="1221"/>
        <v>WPF, w tym</v>
      </c>
      <c r="AK775" s="158" t="str">
        <f t="shared" ca="1" si="1134"/>
        <v>C/USN/VI/P3/10 85219 6050 GMMW</v>
      </c>
      <c r="AL775" s="158" t="str">
        <f t="shared" ca="1" si="1135"/>
        <v>C/USN/VI/P3/10 85219 6050 WPF, w tym</v>
      </c>
      <c r="AM775" s="159" t="str">
        <f t="shared" ca="1" si="1136"/>
        <v>C/USN/VI/P3/10 85219 6050 GMMW WPF, w tym</v>
      </c>
      <c r="AN775" s="160">
        <f t="shared" ca="1" si="1222"/>
        <v>531477</v>
      </c>
      <c r="AO775" s="161">
        <f t="shared" ca="1" si="1223"/>
        <v>0</v>
      </c>
      <c r="AP775" s="162">
        <f t="shared" ca="1" si="1224"/>
        <v>125500</v>
      </c>
      <c r="AQ775" s="163">
        <f t="shared" ca="1" si="1225"/>
        <v>40000</v>
      </c>
      <c r="AR775" s="164">
        <f t="shared" ca="1" si="1226"/>
        <v>365977</v>
      </c>
      <c r="AS775" s="164">
        <f t="shared" ca="1" si="1227"/>
        <v>0</v>
      </c>
      <c r="AT775" s="164">
        <f t="shared" ca="1" si="1228"/>
        <v>0</v>
      </c>
      <c r="AU775" s="164">
        <f t="shared" ca="1" si="1229"/>
        <v>0</v>
      </c>
      <c r="AV775" s="164">
        <f t="shared" ca="1" si="1230"/>
        <v>0</v>
      </c>
      <c r="AW775" s="164">
        <f t="shared" ca="1" si="1231"/>
        <v>0</v>
      </c>
      <c r="AX775" s="164">
        <f t="shared" ca="1" si="1232"/>
        <v>0</v>
      </c>
      <c r="AY775" s="164">
        <f t="shared" ca="1" si="1233"/>
        <v>0</v>
      </c>
      <c r="AZ775" s="164">
        <f t="shared" ca="1" si="1234"/>
        <v>0</v>
      </c>
      <c r="BA775" s="165" t="str">
        <f t="shared" ca="1" si="1235"/>
        <v>nie</v>
      </c>
      <c r="BB775" s="166" t="str">
        <f t="shared" ca="1" si="1279"/>
        <v>-</v>
      </c>
      <c r="BC775" s="165" t="str">
        <f t="shared" ca="1" si="1202"/>
        <v>nie</v>
      </c>
    </row>
    <row r="776" spans="1:55" s="167" customFormat="1" ht="14.45" hidden="1" customHeight="1" x14ac:dyDescent="0.25">
      <c r="A776" s="493"/>
      <c r="B776" s="493"/>
      <c r="C776" s="494"/>
      <c r="D776" s="506"/>
      <c r="E776" s="497"/>
      <c r="F776" s="536"/>
      <c r="G776" s="497"/>
      <c r="H776" s="498"/>
      <c r="I776" s="499"/>
      <c r="J776" s="177" t="s">
        <v>103</v>
      </c>
      <c r="K776" s="178">
        <f>SUM(N776:O776)</f>
        <v>405977</v>
      </c>
      <c r="L776" s="179"/>
      <c r="M776" s="180"/>
      <c r="N776" s="172">
        <f>SUM(L776:M776)</f>
        <v>0</v>
      </c>
      <c r="O776" s="178">
        <f>SUM(P776:Y776)</f>
        <v>405977</v>
      </c>
      <c r="P776" s="181">
        <f>40000</f>
        <v>40000</v>
      </c>
      <c r="Q776" s="180">
        <f>365977</f>
        <v>365977</v>
      </c>
      <c r="R776" s="182"/>
      <c r="S776" s="183"/>
      <c r="T776" s="180"/>
      <c r="U776" s="180"/>
      <c r="V776" s="180"/>
      <c r="W776" s="180"/>
      <c r="X776" s="180"/>
      <c r="Y776" s="182"/>
      <c r="Z776" s="149" t="str">
        <f t="shared" ca="1" si="1201"/>
        <v>nie</v>
      </c>
      <c r="AA776" s="384"/>
      <c r="AB776" s="150" t="str">
        <f t="shared" ca="1" si="1278"/>
        <v>-</v>
      </c>
      <c r="AC776" s="151" t="str">
        <f t="shared" ca="1" si="1215"/>
        <v>PO ZMIANIE</v>
      </c>
      <c r="AD776" s="152" t="str">
        <f t="shared" ca="1" si="1133"/>
        <v>PO ZMIANIE</v>
      </c>
      <c r="AE776" s="153" t="str">
        <f t="shared" ca="1" si="1216"/>
        <v>C/USN/VI/P3/10</v>
      </c>
      <c r="AF776" s="154" t="str">
        <f t="shared" ca="1" si="1217"/>
        <v>Modernizacja budynku Ośrodka Pomocy Społecznej</v>
      </c>
      <c r="AG776" s="155">
        <f t="shared" ca="1" si="1218"/>
        <v>85219</v>
      </c>
      <c r="AH776" s="155" t="str">
        <f t="shared" ca="1" si="1219"/>
        <v>6050</v>
      </c>
      <c r="AI776" s="156" t="str">
        <f t="shared" ca="1" si="1220"/>
        <v>GMMW</v>
      </c>
      <c r="AJ776" s="157" t="str">
        <f t="shared" ca="1" si="1221"/>
        <v>WPF/PM</v>
      </c>
      <c r="AK776" s="158" t="str">
        <f t="shared" ca="1" si="1134"/>
        <v>C/USN/VI/P3/10 85219 6050 GMMW</v>
      </c>
      <c r="AL776" s="158" t="str">
        <f t="shared" ca="1" si="1135"/>
        <v>C/USN/VI/P3/10 85219 6050 WPF/PM</v>
      </c>
      <c r="AM776" s="159" t="str">
        <f t="shared" ca="1" si="1136"/>
        <v>C/USN/VI/P3/10 85219 6050 GMMW WPF/PM</v>
      </c>
      <c r="AN776" s="160">
        <f t="shared" ca="1" si="1222"/>
        <v>405977</v>
      </c>
      <c r="AO776" s="161">
        <f t="shared" ca="1" si="1223"/>
        <v>0</v>
      </c>
      <c r="AP776" s="162">
        <f t="shared" ca="1" si="1224"/>
        <v>0</v>
      </c>
      <c r="AQ776" s="163">
        <f t="shared" ca="1" si="1225"/>
        <v>40000</v>
      </c>
      <c r="AR776" s="164">
        <f t="shared" ca="1" si="1226"/>
        <v>365977</v>
      </c>
      <c r="AS776" s="164">
        <f t="shared" ca="1" si="1227"/>
        <v>0</v>
      </c>
      <c r="AT776" s="164">
        <f t="shared" ca="1" si="1228"/>
        <v>0</v>
      </c>
      <c r="AU776" s="164">
        <f t="shared" ca="1" si="1229"/>
        <v>0</v>
      </c>
      <c r="AV776" s="164">
        <f t="shared" ca="1" si="1230"/>
        <v>0</v>
      </c>
      <c r="AW776" s="164">
        <f t="shared" ca="1" si="1231"/>
        <v>0</v>
      </c>
      <c r="AX776" s="164">
        <f t="shared" ca="1" si="1232"/>
        <v>0</v>
      </c>
      <c r="AY776" s="164">
        <f t="shared" ca="1" si="1233"/>
        <v>0</v>
      </c>
      <c r="AZ776" s="164">
        <f t="shared" ca="1" si="1234"/>
        <v>0</v>
      </c>
      <c r="BA776" s="165" t="str">
        <f t="shared" ca="1" si="1235"/>
        <v>nie</v>
      </c>
      <c r="BB776" s="166" t="str">
        <f t="shared" ca="1" si="1279"/>
        <v>-</v>
      </c>
      <c r="BC776" s="165" t="str">
        <f t="shared" ca="1" si="1202"/>
        <v>nie</v>
      </c>
    </row>
    <row r="777" spans="1:55" s="167" customFormat="1" ht="14.45" hidden="1" customHeight="1" thickBot="1" x14ac:dyDescent="0.3">
      <c r="A777" s="493"/>
      <c r="B777" s="493"/>
      <c r="C777" s="494"/>
      <c r="D777" s="506"/>
      <c r="E777" s="497"/>
      <c r="F777" s="537"/>
      <c r="G777" s="497"/>
      <c r="H777" s="504"/>
      <c r="I777" s="499"/>
      <c r="J777" s="197" t="s">
        <v>104</v>
      </c>
      <c r="K777" s="198">
        <f>SUM(N777:O777)</f>
        <v>125500</v>
      </c>
      <c r="L777" s="199"/>
      <c r="M777" s="200">
        <f>125500</f>
        <v>125500</v>
      </c>
      <c r="N777" s="371">
        <f>SUM(L777:M777)</f>
        <v>125500</v>
      </c>
      <c r="O777" s="198">
        <f>SUM(P777:Y777)</f>
        <v>0</v>
      </c>
      <c r="P777" s="201"/>
      <c r="Q777" s="200"/>
      <c r="R777" s="202"/>
      <c r="S777" s="203"/>
      <c r="T777" s="200"/>
      <c r="U777" s="200"/>
      <c r="V777" s="200"/>
      <c r="W777" s="200"/>
      <c r="X777" s="200"/>
      <c r="Y777" s="202"/>
      <c r="Z777" s="149" t="str">
        <f t="shared" ca="1" si="1201"/>
        <v>nie</v>
      </c>
      <c r="AA777" s="384"/>
      <c r="AB777" s="150" t="str">
        <f t="shared" ca="1" si="1278"/>
        <v>-</v>
      </c>
      <c r="AC777" s="151" t="str">
        <f t="shared" ca="1" si="1215"/>
        <v>PO ZMIANIE</v>
      </c>
      <c r="AD777" s="152" t="str">
        <f t="shared" ca="1" si="1133"/>
        <v>PO ZMIANIE</v>
      </c>
      <c r="AE777" s="153" t="str">
        <f t="shared" ca="1" si="1216"/>
        <v>C/USN/VI/P3/10</v>
      </c>
      <c r="AF777" s="154" t="str">
        <f t="shared" ca="1" si="1217"/>
        <v>Modernizacja budynku Ośrodka Pomocy Społecznej</v>
      </c>
      <c r="AG777" s="155">
        <f t="shared" ca="1" si="1218"/>
        <v>85219</v>
      </c>
      <c r="AH777" s="155" t="str">
        <f t="shared" ca="1" si="1219"/>
        <v>6050</v>
      </c>
      <c r="AI777" s="156" t="str">
        <f t="shared" ca="1" si="1220"/>
        <v>GMMW</v>
      </c>
      <c r="AJ777" s="157" t="str">
        <f t="shared" ca="1" si="1221"/>
        <v>WPF/UM</v>
      </c>
      <c r="AK777" s="158" t="str">
        <f t="shared" ca="1" si="1134"/>
        <v>C/USN/VI/P3/10 85219 6050 GMMW</v>
      </c>
      <c r="AL777" s="158" t="str">
        <f t="shared" ca="1" si="1135"/>
        <v>C/USN/VI/P3/10 85219 6050 WPF/UM</v>
      </c>
      <c r="AM777" s="159" t="str">
        <f t="shared" ca="1" si="1136"/>
        <v>C/USN/VI/P3/10 85219 6050 GMMW WPF/UM</v>
      </c>
      <c r="AN777" s="160">
        <f t="shared" ca="1" si="1222"/>
        <v>125500</v>
      </c>
      <c r="AO777" s="161">
        <f t="shared" ca="1" si="1223"/>
        <v>0</v>
      </c>
      <c r="AP777" s="162">
        <f t="shared" ca="1" si="1224"/>
        <v>125500</v>
      </c>
      <c r="AQ777" s="163">
        <f t="shared" ca="1" si="1225"/>
        <v>0</v>
      </c>
      <c r="AR777" s="164">
        <f t="shared" ca="1" si="1226"/>
        <v>0</v>
      </c>
      <c r="AS777" s="164">
        <f t="shared" ca="1" si="1227"/>
        <v>0</v>
      </c>
      <c r="AT777" s="164">
        <f t="shared" ca="1" si="1228"/>
        <v>0</v>
      </c>
      <c r="AU777" s="164">
        <f t="shared" ca="1" si="1229"/>
        <v>0</v>
      </c>
      <c r="AV777" s="164">
        <f t="shared" ca="1" si="1230"/>
        <v>0</v>
      </c>
      <c r="AW777" s="164">
        <f t="shared" ca="1" si="1231"/>
        <v>0</v>
      </c>
      <c r="AX777" s="164">
        <f t="shared" ca="1" si="1232"/>
        <v>0</v>
      </c>
      <c r="AY777" s="164">
        <f t="shared" ca="1" si="1233"/>
        <v>0</v>
      </c>
      <c r="AZ777" s="164">
        <f t="shared" ca="1" si="1234"/>
        <v>0</v>
      </c>
      <c r="BA777" s="165" t="str">
        <f t="shared" ca="1" si="1235"/>
        <v>nie</v>
      </c>
      <c r="BB777" s="166" t="str">
        <f t="shared" ca="1" si="1279"/>
        <v>-</v>
      </c>
      <c r="BC777" s="165" t="str">
        <f t="shared" ca="1" si="1202"/>
        <v>nie</v>
      </c>
    </row>
    <row r="778" spans="1:55" s="167" customFormat="1" ht="14.45" hidden="1" customHeight="1" x14ac:dyDescent="0.25">
      <c r="A778" s="143" t="s">
        <v>91</v>
      </c>
      <c r="B778" s="144"/>
      <c r="C778" s="145"/>
      <c r="D778" s="144"/>
      <c r="E778" s="144"/>
      <c r="F778" s="144"/>
      <c r="G778" s="144"/>
      <c r="H778" s="144"/>
      <c r="I778" s="144"/>
      <c r="J778" s="144"/>
      <c r="K778" s="144"/>
      <c r="L778" s="144"/>
      <c r="M778" s="144"/>
      <c r="N778" s="144"/>
      <c r="O778" s="144"/>
      <c r="P778" s="144"/>
      <c r="Q778" s="144"/>
      <c r="R778" s="146"/>
      <c r="S778" s="147"/>
      <c r="T778" s="147"/>
      <c r="U778" s="147"/>
      <c r="V778" s="147"/>
      <c r="W778" s="147"/>
      <c r="X778" s="147"/>
      <c r="Y778" s="148"/>
      <c r="Z778" s="149" t="str">
        <f t="shared" ref="Z778:Z841" ca="1" si="1290">IF(COUNTIF(A778,"*zmia*")&gt;0,OFFSET(Z778,1,0),IF(COUNTIF($AB$10:$AB$888,AE778)&gt;0,"tak","nie"))</f>
        <v>nie</v>
      </c>
      <c r="AA778" s="366"/>
      <c r="AB778" s="150" t="str">
        <f t="shared" ca="1" si="1278"/>
        <v>-</v>
      </c>
      <c r="AC778" s="151" t="str">
        <f t="shared" ca="1" si="1215"/>
        <v>PRZED ZMIANĄ</v>
      </c>
      <c r="AD778" s="152" t="str">
        <f t="shared" ca="1" si="1133"/>
        <v/>
      </c>
      <c r="AE778" s="153" t="str">
        <f t="shared" ca="1" si="1216"/>
        <v/>
      </c>
      <c r="AF778" s="154" t="str">
        <f t="shared" ca="1" si="1217"/>
        <v/>
      </c>
      <c r="AG778" s="155" t="str">
        <f t="shared" ca="1" si="1218"/>
        <v/>
      </c>
      <c r="AH778" s="155" t="str">
        <f t="shared" ca="1" si="1219"/>
        <v/>
      </c>
      <c r="AI778" s="156" t="str">
        <f t="shared" ca="1" si="1220"/>
        <v/>
      </c>
      <c r="AJ778" s="157" t="str">
        <f t="shared" ca="1" si="1221"/>
        <v/>
      </c>
      <c r="AK778" s="158" t="str">
        <f t="shared" ca="1" si="1134"/>
        <v/>
      </c>
      <c r="AL778" s="158" t="str">
        <f t="shared" ca="1" si="1135"/>
        <v/>
      </c>
      <c r="AM778" s="159" t="str">
        <f t="shared" ca="1" si="1136"/>
        <v/>
      </c>
      <c r="AN778" s="160" t="str">
        <f t="shared" ca="1" si="1222"/>
        <v/>
      </c>
      <c r="AO778" s="161" t="str">
        <f t="shared" ca="1" si="1223"/>
        <v/>
      </c>
      <c r="AP778" s="162" t="str">
        <f t="shared" ca="1" si="1224"/>
        <v/>
      </c>
      <c r="AQ778" s="163" t="str">
        <f t="shared" ca="1" si="1225"/>
        <v/>
      </c>
      <c r="AR778" s="164" t="str">
        <f t="shared" ca="1" si="1226"/>
        <v/>
      </c>
      <c r="AS778" s="164" t="str">
        <f t="shared" ca="1" si="1227"/>
        <v/>
      </c>
      <c r="AT778" s="164" t="str">
        <f t="shared" ca="1" si="1228"/>
        <v/>
      </c>
      <c r="AU778" s="164" t="str">
        <f t="shared" ca="1" si="1229"/>
        <v/>
      </c>
      <c r="AV778" s="164" t="str">
        <f t="shared" ca="1" si="1230"/>
        <v/>
      </c>
      <c r="AW778" s="164" t="str">
        <f t="shared" ca="1" si="1231"/>
        <v/>
      </c>
      <c r="AX778" s="164" t="str">
        <f t="shared" ca="1" si="1232"/>
        <v/>
      </c>
      <c r="AY778" s="164" t="str">
        <f t="shared" ca="1" si="1233"/>
        <v/>
      </c>
      <c r="AZ778" s="164" t="str">
        <f t="shared" ca="1" si="1234"/>
        <v/>
      </c>
      <c r="BA778" s="165" t="str">
        <f t="shared" ca="1" si="1235"/>
        <v>nie</v>
      </c>
      <c r="BB778" s="166" t="str">
        <f t="shared" ca="1" si="1279"/>
        <v>-</v>
      </c>
      <c r="BC778" s="165" t="str">
        <f t="shared" ref="BC778:BC841" ca="1" si="1291">IF(AND(COUNTIF(AD778,"*zmi*")&gt;0,COUNTIF($BB$10:$BB$888,AK778)&gt;0),"tak","nie")</f>
        <v>nie</v>
      </c>
    </row>
    <row r="779" spans="1:55" s="176" customFormat="1" ht="14.45" hidden="1" customHeight="1" x14ac:dyDescent="0.25">
      <c r="A779" s="493" t="s">
        <v>24</v>
      </c>
      <c r="B779" s="493" t="s">
        <v>26</v>
      </c>
      <c r="C779" s="494" t="s">
        <v>193</v>
      </c>
      <c r="D779" s="505" t="s">
        <v>194</v>
      </c>
      <c r="E779" s="497">
        <v>921</v>
      </c>
      <c r="F779" s="497">
        <v>92109</v>
      </c>
      <c r="G779" s="497">
        <v>6220</v>
      </c>
      <c r="H779" s="507">
        <v>2021</v>
      </c>
      <c r="I779" s="499" t="str">
        <f ca="1">IF(COUNTIF(OFFSET(I779,-1,-8),"*propon*")&gt;0,OFFSET(I779,4,0),IF(Y779&gt;0,"2033",IF(X779&gt;0,"2032",IF(W779&gt;0,"2031",IF(V779&gt;0,"2030",IF(U779&gt;0,"2029",IF(T779&gt;0,"2028",IF(S779&gt;0,"2027",IF(R779&gt;0,"2026",IF(Q779&gt;0,"2025",IF(P779&gt;0,"2024",IF(M779&gt;0,"2023",IF(L779&gt;0,"2022","")))))))))))))</f>
        <v>2024</v>
      </c>
      <c r="J779" s="168" t="s">
        <v>94</v>
      </c>
      <c r="K779" s="169">
        <f>SUM(N779:O779)</f>
        <v>3426248</v>
      </c>
      <c r="L779" s="170">
        <f t="shared" ref="L779:M779" si="1292">SUM(L780:L781)</f>
        <v>2560438</v>
      </c>
      <c r="M779" s="171">
        <f t="shared" si="1292"/>
        <v>848998</v>
      </c>
      <c r="N779" s="172">
        <f>SUM(L779:M779)</f>
        <v>3409436</v>
      </c>
      <c r="O779" s="169">
        <f>SUM(P779:Y779)</f>
        <v>16812</v>
      </c>
      <c r="P779" s="173">
        <f t="shared" ref="P779:R779" si="1293">SUM(P780:P781)</f>
        <v>16812</v>
      </c>
      <c r="Q779" s="171">
        <f t="shared" si="1293"/>
        <v>0</v>
      </c>
      <c r="R779" s="174">
        <f t="shared" si="1293"/>
        <v>0</v>
      </c>
      <c r="S779" s="175">
        <f t="shared" ref="S779:Y779" si="1294">SUM(S780:S781)</f>
        <v>0</v>
      </c>
      <c r="T779" s="171">
        <f t="shared" si="1294"/>
        <v>0</v>
      </c>
      <c r="U779" s="171">
        <f t="shared" si="1294"/>
        <v>0</v>
      </c>
      <c r="V779" s="171">
        <f t="shared" si="1294"/>
        <v>0</v>
      </c>
      <c r="W779" s="171">
        <f t="shared" si="1294"/>
        <v>0</v>
      </c>
      <c r="X779" s="171">
        <f t="shared" si="1294"/>
        <v>0</v>
      </c>
      <c r="Y779" s="174">
        <f t="shared" si="1294"/>
        <v>0</v>
      </c>
      <c r="Z779" s="149" t="str">
        <f t="shared" ca="1" si="1290"/>
        <v>nie</v>
      </c>
      <c r="AA779" s="366"/>
      <c r="AB779" s="150" t="str">
        <f t="shared" ca="1" si="1278"/>
        <v>-</v>
      </c>
      <c r="AC779" s="151" t="str">
        <f t="shared" ca="1" si="1215"/>
        <v>PRZED ZMIANĄ</v>
      </c>
      <c r="AD779" s="152" t="str">
        <f t="shared" ca="1" si="1133"/>
        <v>PRZED ZMIANĄ</v>
      </c>
      <c r="AE779" s="153" t="str">
        <f t="shared" ca="1" si="1216"/>
        <v>C/USN/VII/P3/9</v>
      </c>
      <c r="AF779" s="154" t="str">
        <f t="shared" ca="1" si="1217"/>
        <v>Aranżacja wraz z adaptacją pomieszczeń i wyposażenie Ursynowskiego Centrum Kultury "Alternatywy"</v>
      </c>
      <c r="AG779" s="155">
        <f t="shared" ca="1" si="1218"/>
        <v>92109</v>
      </c>
      <c r="AH779" s="155" t="str">
        <f t="shared" ca="1" si="1219"/>
        <v>6220</v>
      </c>
      <c r="AI779" s="156" t="str">
        <f t="shared" ca="1" si="1220"/>
        <v>GMMW</v>
      </c>
      <c r="AJ779" s="157" t="str">
        <f t="shared" ca="1" si="1221"/>
        <v>WPF, w tym</v>
      </c>
      <c r="AK779" s="158" t="str">
        <f t="shared" ca="1" si="1134"/>
        <v>C/USN/VII/P3/9 92109 6220 GMMW</v>
      </c>
      <c r="AL779" s="158" t="str">
        <f t="shared" ca="1" si="1135"/>
        <v>C/USN/VII/P3/9 92109 6220 WPF, w tym</v>
      </c>
      <c r="AM779" s="159" t="str">
        <f t="shared" ca="1" si="1136"/>
        <v>C/USN/VII/P3/9 92109 6220 GMMW WPF, w tym</v>
      </c>
      <c r="AN779" s="160">
        <f t="shared" ca="1" si="1222"/>
        <v>3426248</v>
      </c>
      <c r="AO779" s="161">
        <f t="shared" ca="1" si="1223"/>
        <v>2560438</v>
      </c>
      <c r="AP779" s="162">
        <f t="shared" ca="1" si="1224"/>
        <v>848998</v>
      </c>
      <c r="AQ779" s="163">
        <f t="shared" ca="1" si="1225"/>
        <v>16812</v>
      </c>
      <c r="AR779" s="164">
        <f t="shared" ca="1" si="1226"/>
        <v>0</v>
      </c>
      <c r="AS779" s="164">
        <f t="shared" ca="1" si="1227"/>
        <v>0</v>
      </c>
      <c r="AT779" s="164">
        <f t="shared" ca="1" si="1228"/>
        <v>0</v>
      </c>
      <c r="AU779" s="164">
        <f t="shared" ca="1" si="1229"/>
        <v>0</v>
      </c>
      <c r="AV779" s="164">
        <f t="shared" ca="1" si="1230"/>
        <v>0</v>
      </c>
      <c r="AW779" s="164">
        <f t="shared" ca="1" si="1231"/>
        <v>0</v>
      </c>
      <c r="AX779" s="164">
        <f t="shared" ca="1" si="1232"/>
        <v>0</v>
      </c>
      <c r="AY779" s="164">
        <f t="shared" ca="1" si="1233"/>
        <v>0</v>
      </c>
      <c r="AZ779" s="164">
        <f t="shared" ca="1" si="1234"/>
        <v>0</v>
      </c>
      <c r="BA779" s="165" t="str">
        <f t="shared" ca="1" si="1235"/>
        <v>nie</v>
      </c>
      <c r="BB779" s="166" t="str">
        <f t="shared" ca="1" si="1279"/>
        <v>-</v>
      </c>
      <c r="BC779" s="165" t="str">
        <f t="shared" ca="1" si="1291"/>
        <v>nie</v>
      </c>
    </row>
    <row r="780" spans="1:55" s="167" customFormat="1" ht="14.45" hidden="1" customHeight="1" x14ac:dyDescent="0.25">
      <c r="A780" s="493"/>
      <c r="B780" s="493"/>
      <c r="C780" s="494"/>
      <c r="D780" s="506"/>
      <c r="E780" s="497"/>
      <c r="F780" s="497"/>
      <c r="G780" s="497"/>
      <c r="H780" s="498"/>
      <c r="I780" s="499"/>
      <c r="J780" s="177" t="s">
        <v>95</v>
      </c>
      <c r="K780" s="178">
        <f>SUM(N780:O780)</f>
        <v>16812</v>
      </c>
      <c r="L780" s="179"/>
      <c r="M780" s="180"/>
      <c r="N780" s="172">
        <f>SUM(L780:M780)</f>
        <v>0</v>
      </c>
      <c r="O780" s="178">
        <f>SUM(P780:Y780)</f>
        <v>16812</v>
      </c>
      <c r="P780" s="181">
        <v>16812</v>
      </c>
      <c r="Q780" s="180"/>
      <c r="R780" s="182"/>
      <c r="S780" s="183"/>
      <c r="T780" s="180"/>
      <c r="U780" s="180"/>
      <c r="V780" s="180"/>
      <c r="W780" s="180"/>
      <c r="X780" s="180"/>
      <c r="Y780" s="182"/>
      <c r="Z780" s="149" t="str">
        <f t="shared" ca="1" si="1290"/>
        <v>nie</v>
      </c>
      <c r="AA780" s="366"/>
      <c r="AB780" s="150" t="str">
        <f t="shared" ca="1" si="1278"/>
        <v>-</v>
      </c>
      <c r="AC780" s="151" t="str">
        <f t="shared" ca="1" si="1215"/>
        <v>PRZED ZMIANĄ</v>
      </c>
      <c r="AD780" s="152" t="str">
        <f t="shared" ca="1" si="1133"/>
        <v>PRZED ZMIANĄ</v>
      </c>
      <c r="AE780" s="153" t="str">
        <f t="shared" ca="1" si="1216"/>
        <v>C/USN/VII/P3/9</v>
      </c>
      <c r="AF780" s="154" t="str">
        <f t="shared" ca="1" si="1217"/>
        <v>Aranżacja wraz z adaptacją pomieszczeń i wyposażenie Ursynowskiego Centrum Kultury "Alternatywy"</v>
      </c>
      <c r="AG780" s="155">
        <f t="shared" ca="1" si="1218"/>
        <v>92109</v>
      </c>
      <c r="AH780" s="155" t="str">
        <f t="shared" ca="1" si="1219"/>
        <v>6220</v>
      </c>
      <c r="AI780" s="156" t="str">
        <f t="shared" ca="1" si="1220"/>
        <v>GMMW</v>
      </c>
      <c r="AJ780" s="157" t="str">
        <f t="shared" ca="1" si="1221"/>
        <v>WPF/PM</v>
      </c>
      <c r="AK780" s="158" t="str">
        <f t="shared" ca="1" si="1134"/>
        <v>C/USN/VII/P3/9 92109 6220 GMMW</v>
      </c>
      <c r="AL780" s="158" t="str">
        <f t="shared" ca="1" si="1135"/>
        <v>C/USN/VII/P3/9 92109 6220 WPF/PM</v>
      </c>
      <c r="AM780" s="159" t="str">
        <f t="shared" ca="1" si="1136"/>
        <v>C/USN/VII/P3/9 92109 6220 GMMW WPF/PM</v>
      </c>
      <c r="AN780" s="160">
        <f t="shared" ca="1" si="1222"/>
        <v>16812</v>
      </c>
      <c r="AO780" s="161">
        <f t="shared" ca="1" si="1223"/>
        <v>0</v>
      </c>
      <c r="AP780" s="162">
        <f t="shared" ca="1" si="1224"/>
        <v>0</v>
      </c>
      <c r="AQ780" s="163">
        <f t="shared" ca="1" si="1225"/>
        <v>16812</v>
      </c>
      <c r="AR780" s="164">
        <f t="shared" ca="1" si="1226"/>
        <v>0</v>
      </c>
      <c r="AS780" s="164">
        <f t="shared" ca="1" si="1227"/>
        <v>0</v>
      </c>
      <c r="AT780" s="164">
        <f t="shared" ca="1" si="1228"/>
        <v>0</v>
      </c>
      <c r="AU780" s="164">
        <f t="shared" ca="1" si="1229"/>
        <v>0</v>
      </c>
      <c r="AV780" s="164">
        <f t="shared" ca="1" si="1230"/>
        <v>0</v>
      </c>
      <c r="AW780" s="164">
        <f t="shared" ca="1" si="1231"/>
        <v>0</v>
      </c>
      <c r="AX780" s="164">
        <f t="shared" ca="1" si="1232"/>
        <v>0</v>
      </c>
      <c r="AY780" s="164">
        <f t="shared" ca="1" si="1233"/>
        <v>0</v>
      </c>
      <c r="AZ780" s="164">
        <f t="shared" ca="1" si="1234"/>
        <v>0</v>
      </c>
      <c r="BA780" s="165" t="str">
        <f t="shared" ca="1" si="1235"/>
        <v>nie</v>
      </c>
      <c r="BB780" s="166" t="str">
        <f t="shared" ca="1" si="1279"/>
        <v>-</v>
      </c>
      <c r="BC780" s="165" t="str">
        <f t="shared" ca="1" si="1291"/>
        <v>nie</v>
      </c>
    </row>
    <row r="781" spans="1:55" s="167" customFormat="1" ht="14.45" hidden="1" customHeight="1" x14ac:dyDescent="0.25">
      <c r="A781" s="493"/>
      <c r="B781" s="493"/>
      <c r="C781" s="494"/>
      <c r="D781" s="506"/>
      <c r="E781" s="497"/>
      <c r="F781" s="497"/>
      <c r="G781" s="497"/>
      <c r="H781" s="498"/>
      <c r="I781" s="499"/>
      <c r="J781" s="177" t="s">
        <v>96</v>
      </c>
      <c r="K781" s="178">
        <f>SUM(N781:O781)</f>
        <v>3409436</v>
      </c>
      <c r="L781" s="184">
        <v>2560438</v>
      </c>
      <c r="M781" s="180">
        <v>848998</v>
      </c>
      <c r="N781" s="172">
        <f>SUM(L781:M781)</f>
        <v>3409436</v>
      </c>
      <c r="O781" s="178">
        <f>SUM(P781:Y781)</f>
        <v>0</v>
      </c>
      <c r="P781" s="181"/>
      <c r="Q781" s="180"/>
      <c r="R781" s="182"/>
      <c r="S781" s="183"/>
      <c r="T781" s="180"/>
      <c r="U781" s="180"/>
      <c r="V781" s="180"/>
      <c r="W781" s="180"/>
      <c r="X781" s="180"/>
      <c r="Y781" s="182"/>
      <c r="Z781" s="149" t="str">
        <f t="shared" ca="1" si="1290"/>
        <v>nie</v>
      </c>
      <c r="AA781" s="366"/>
      <c r="AB781" s="150" t="str">
        <f t="shared" ca="1" si="1278"/>
        <v>-</v>
      </c>
      <c r="AC781" s="151" t="str">
        <f t="shared" ca="1" si="1215"/>
        <v>PRZED ZMIANĄ</v>
      </c>
      <c r="AD781" s="152" t="str">
        <f t="shared" ca="1" si="1133"/>
        <v>PRZED ZMIANĄ</v>
      </c>
      <c r="AE781" s="153" t="str">
        <f t="shared" ca="1" si="1216"/>
        <v>C/USN/VII/P3/9</v>
      </c>
      <c r="AF781" s="154" t="str">
        <f t="shared" ca="1" si="1217"/>
        <v>Aranżacja wraz z adaptacją pomieszczeń i wyposażenie Ursynowskiego Centrum Kultury "Alternatywy"</v>
      </c>
      <c r="AG781" s="155">
        <f t="shared" ca="1" si="1218"/>
        <v>92109</v>
      </c>
      <c r="AH781" s="155" t="str">
        <f t="shared" ca="1" si="1219"/>
        <v>6220</v>
      </c>
      <c r="AI781" s="156" t="str">
        <f t="shared" ca="1" si="1220"/>
        <v>GMMW</v>
      </c>
      <c r="AJ781" s="157" t="str">
        <f t="shared" ca="1" si="1221"/>
        <v>WPF/UM</v>
      </c>
      <c r="AK781" s="158" t="str">
        <f t="shared" ca="1" si="1134"/>
        <v>C/USN/VII/P3/9 92109 6220 GMMW</v>
      </c>
      <c r="AL781" s="158" t="str">
        <f t="shared" ca="1" si="1135"/>
        <v>C/USN/VII/P3/9 92109 6220 WPF/UM</v>
      </c>
      <c r="AM781" s="159" t="str">
        <f t="shared" ca="1" si="1136"/>
        <v>C/USN/VII/P3/9 92109 6220 GMMW WPF/UM</v>
      </c>
      <c r="AN781" s="160">
        <f t="shared" ca="1" si="1222"/>
        <v>3409436</v>
      </c>
      <c r="AO781" s="161">
        <f t="shared" ca="1" si="1223"/>
        <v>2560438</v>
      </c>
      <c r="AP781" s="162">
        <f t="shared" ca="1" si="1224"/>
        <v>848998</v>
      </c>
      <c r="AQ781" s="163">
        <f t="shared" ca="1" si="1225"/>
        <v>0</v>
      </c>
      <c r="AR781" s="164">
        <f t="shared" ca="1" si="1226"/>
        <v>0</v>
      </c>
      <c r="AS781" s="164">
        <f t="shared" ca="1" si="1227"/>
        <v>0</v>
      </c>
      <c r="AT781" s="164">
        <f t="shared" ca="1" si="1228"/>
        <v>0</v>
      </c>
      <c r="AU781" s="164">
        <f t="shared" ca="1" si="1229"/>
        <v>0</v>
      </c>
      <c r="AV781" s="164">
        <f t="shared" ca="1" si="1230"/>
        <v>0</v>
      </c>
      <c r="AW781" s="164">
        <f t="shared" ca="1" si="1231"/>
        <v>0</v>
      </c>
      <c r="AX781" s="164">
        <f t="shared" ca="1" si="1232"/>
        <v>0</v>
      </c>
      <c r="AY781" s="164">
        <f t="shared" ca="1" si="1233"/>
        <v>0</v>
      </c>
      <c r="AZ781" s="164">
        <f t="shared" ca="1" si="1234"/>
        <v>0</v>
      </c>
      <c r="BA781" s="165" t="str">
        <f t="shared" ca="1" si="1235"/>
        <v>nie</v>
      </c>
      <c r="BB781" s="166" t="str">
        <f t="shared" ca="1" si="1279"/>
        <v>-</v>
      </c>
      <c r="BC781" s="165" t="str">
        <f t="shared" ca="1" si="1291"/>
        <v>nie</v>
      </c>
    </row>
    <row r="782" spans="1:55" s="167" customFormat="1" ht="14.45" hidden="1" customHeight="1" x14ac:dyDescent="0.25">
      <c r="A782" s="185" t="s">
        <v>97</v>
      </c>
      <c r="B782" s="186"/>
      <c r="C782" s="187"/>
      <c r="D782" s="186"/>
      <c r="E782" s="186"/>
      <c r="F782" s="186"/>
      <c r="G782" s="186"/>
      <c r="H782" s="186"/>
      <c r="I782" s="186"/>
      <c r="J782" s="186"/>
      <c r="K782" s="186"/>
      <c r="L782" s="186"/>
      <c r="M782" s="186"/>
      <c r="N782" s="186"/>
      <c r="O782" s="186"/>
      <c r="P782" s="186"/>
      <c r="Q782" s="186"/>
      <c r="R782" s="188"/>
      <c r="S782" s="189"/>
      <c r="T782" s="189"/>
      <c r="U782" s="189"/>
      <c r="V782" s="189"/>
      <c r="W782" s="189"/>
      <c r="X782" s="189"/>
      <c r="Y782" s="190"/>
      <c r="Z782" s="149" t="str">
        <f t="shared" ca="1" si="1290"/>
        <v>nie</v>
      </c>
      <c r="AA782" s="366"/>
      <c r="AB782" s="150" t="str">
        <f t="shared" ca="1" si="1278"/>
        <v>-</v>
      </c>
      <c r="AC782" s="151" t="str">
        <f t="shared" ca="1" si="1215"/>
        <v>PROPONOWANA ZMIANA</v>
      </c>
      <c r="AD782" s="152" t="str">
        <f t="shared" ca="1" si="1133"/>
        <v/>
      </c>
      <c r="AE782" s="153" t="str">
        <f t="shared" ca="1" si="1216"/>
        <v/>
      </c>
      <c r="AF782" s="154" t="str">
        <f t="shared" ca="1" si="1217"/>
        <v/>
      </c>
      <c r="AG782" s="155" t="str">
        <f t="shared" ca="1" si="1218"/>
        <v/>
      </c>
      <c r="AH782" s="155" t="str">
        <f t="shared" ca="1" si="1219"/>
        <v/>
      </c>
      <c r="AI782" s="156" t="str">
        <f t="shared" ca="1" si="1220"/>
        <v/>
      </c>
      <c r="AJ782" s="157" t="str">
        <f t="shared" ca="1" si="1221"/>
        <v/>
      </c>
      <c r="AK782" s="158" t="str">
        <f t="shared" ca="1" si="1134"/>
        <v/>
      </c>
      <c r="AL782" s="158" t="str">
        <f t="shared" ca="1" si="1135"/>
        <v/>
      </c>
      <c r="AM782" s="159" t="str">
        <f t="shared" ca="1" si="1136"/>
        <v/>
      </c>
      <c r="AN782" s="160" t="str">
        <f t="shared" ca="1" si="1222"/>
        <v/>
      </c>
      <c r="AO782" s="161" t="str">
        <f t="shared" ca="1" si="1223"/>
        <v/>
      </c>
      <c r="AP782" s="162" t="str">
        <f t="shared" ca="1" si="1224"/>
        <v/>
      </c>
      <c r="AQ782" s="163" t="str">
        <f t="shared" ca="1" si="1225"/>
        <v/>
      </c>
      <c r="AR782" s="164" t="str">
        <f t="shared" ca="1" si="1226"/>
        <v/>
      </c>
      <c r="AS782" s="164" t="str">
        <f t="shared" ca="1" si="1227"/>
        <v/>
      </c>
      <c r="AT782" s="164" t="str">
        <f t="shared" ca="1" si="1228"/>
        <v/>
      </c>
      <c r="AU782" s="164" t="str">
        <f t="shared" ca="1" si="1229"/>
        <v/>
      </c>
      <c r="AV782" s="164" t="str">
        <f t="shared" ca="1" si="1230"/>
        <v/>
      </c>
      <c r="AW782" s="164" t="str">
        <f t="shared" ca="1" si="1231"/>
        <v/>
      </c>
      <c r="AX782" s="164" t="str">
        <f t="shared" ca="1" si="1232"/>
        <v/>
      </c>
      <c r="AY782" s="164" t="str">
        <f t="shared" ca="1" si="1233"/>
        <v/>
      </c>
      <c r="AZ782" s="164" t="str">
        <f t="shared" ca="1" si="1234"/>
        <v/>
      </c>
      <c r="BA782" s="165" t="str">
        <f t="shared" ca="1" si="1235"/>
        <v>nie</v>
      </c>
      <c r="BB782" s="166" t="str">
        <f t="shared" ca="1" si="1279"/>
        <v>-</v>
      </c>
      <c r="BC782" s="165" t="str">
        <f t="shared" ca="1" si="1291"/>
        <v>nie</v>
      </c>
    </row>
    <row r="783" spans="1:55" s="176" customFormat="1" ht="14.45" hidden="1" customHeight="1" x14ac:dyDescent="0.25">
      <c r="A783" s="493" t="s">
        <v>24</v>
      </c>
      <c r="B783" s="493" t="s">
        <v>26</v>
      </c>
      <c r="C783" s="494" t="s">
        <v>193</v>
      </c>
      <c r="D783" s="505" t="s">
        <v>194</v>
      </c>
      <c r="E783" s="497">
        <v>921</v>
      </c>
      <c r="F783" s="497">
        <v>92109</v>
      </c>
      <c r="G783" s="497">
        <v>6220</v>
      </c>
      <c r="H783" s="507">
        <v>2021</v>
      </c>
      <c r="I783" s="499" t="str">
        <f ca="1">IF(COUNTIF(OFFSET(I783,-1,-8),"*propon*")&gt;0,OFFSET(I783,4,0),IF(Y783&gt;0,"2033",IF(X783&gt;0,"2032",IF(W783&gt;0,"2031",IF(V783&gt;0,"2030",IF(U783&gt;0,"2029",IF(T783&gt;0,"2028",IF(S783&gt;0,"2027",IF(R783&gt;0,"2026",IF(Q783&gt;0,"2025",IF(P783&gt;0,"2024",IF(M783&gt;0,"2023",IF(L783&gt;0,"2022","")))))))))))))</f>
        <v>2024</v>
      </c>
      <c r="J783" s="168" t="s">
        <v>98</v>
      </c>
      <c r="K783" s="169">
        <f>SUM(N783:O783)</f>
        <v>0</v>
      </c>
      <c r="L783" s="170">
        <f t="shared" ref="L783:M783" si="1295">SUM(L784:L785)</f>
        <v>0</v>
      </c>
      <c r="M783" s="171">
        <f t="shared" si="1295"/>
        <v>0</v>
      </c>
      <c r="N783" s="172">
        <f>SUM(L783:M783)</f>
        <v>0</v>
      </c>
      <c r="O783" s="169">
        <f>SUM(P783:Y783)</f>
        <v>0</v>
      </c>
      <c r="P783" s="173">
        <f t="shared" ref="P783:R783" si="1296">SUM(P784:P785)</f>
        <v>0</v>
      </c>
      <c r="Q783" s="171">
        <f t="shared" si="1296"/>
        <v>0</v>
      </c>
      <c r="R783" s="174">
        <f t="shared" si="1296"/>
        <v>0</v>
      </c>
      <c r="S783" s="175">
        <f t="shared" ref="S783:Y783" si="1297">SUM(S784:S785)</f>
        <v>0</v>
      </c>
      <c r="T783" s="171">
        <f t="shared" si="1297"/>
        <v>0</v>
      </c>
      <c r="U783" s="171">
        <f t="shared" si="1297"/>
        <v>0</v>
      </c>
      <c r="V783" s="171">
        <f t="shared" si="1297"/>
        <v>0</v>
      </c>
      <c r="W783" s="171">
        <f t="shared" si="1297"/>
        <v>0</v>
      </c>
      <c r="X783" s="171">
        <f t="shared" si="1297"/>
        <v>0</v>
      </c>
      <c r="Y783" s="174">
        <f t="shared" si="1297"/>
        <v>0</v>
      </c>
      <c r="Z783" s="149" t="str">
        <f t="shared" ca="1" si="1290"/>
        <v>nie</v>
      </c>
      <c r="AA783" s="366"/>
      <c r="AB783" s="150" t="str">
        <f t="shared" ca="1" si="1278"/>
        <v>-</v>
      </c>
      <c r="AC783" s="151" t="str">
        <f t="shared" ca="1" si="1215"/>
        <v>PROPONOWANA ZMIANA</v>
      </c>
      <c r="AD783" s="152" t="str">
        <f t="shared" ca="1" si="1133"/>
        <v>PROPONOWANA ZMIANA</v>
      </c>
      <c r="AE783" s="153" t="str">
        <f t="shared" ca="1" si="1216"/>
        <v>C/USN/VII/P3/9</v>
      </c>
      <c r="AF783" s="154" t="str">
        <f t="shared" ca="1" si="1217"/>
        <v>Aranżacja wraz z adaptacją pomieszczeń i wyposażenie Ursynowskiego Centrum Kultury "Alternatywy"</v>
      </c>
      <c r="AG783" s="155">
        <f t="shared" ca="1" si="1218"/>
        <v>92109</v>
      </c>
      <c r="AH783" s="155" t="str">
        <f t="shared" ca="1" si="1219"/>
        <v>6220</v>
      </c>
      <c r="AI783" s="156" t="str">
        <f t="shared" ca="1" si="1220"/>
        <v>GMMW</v>
      </c>
      <c r="AJ783" s="157" t="str">
        <f t="shared" ca="1" si="1221"/>
        <v>WPF, w tym</v>
      </c>
      <c r="AK783" s="158" t="str">
        <f t="shared" ca="1" si="1134"/>
        <v>C/USN/VII/P3/9 92109 6220 GMMW</v>
      </c>
      <c r="AL783" s="158" t="str">
        <f t="shared" ca="1" si="1135"/>
        <v>C/USN/VII/P3/9 92109 6220 WPF, w tym</v>
      </c>
      <c r="AM783" s="159" t="str">
        <f t="shared" ca="1" si="1136"/>
        <v>C/USN/VII/P3/9 92109 6220 GMMW WPF, w tym</v>
      </c>
      <c r="AN783" s="160">
        <f t="shared" ca="1" si="1222"/>
        <v>0</v>
      </c>
      <c r="AO783" s="161">
        <f t="shared" ca="1" si="1223"/>
        <v>0</v>
      </c>
      <c r="AP783" s="162">
        <f t="shared" ca="1" si="1224"/>
        <v>0</v>
      </c>
      <c r="AQ783" s="163">
        <f t="shared" ca="1" si="1225"/>
        <v>0</v>
      </c>
      <c r="AR783" s="164">
        <f t="shared" ca="1" si="1226"/>
        <v>0</v>
      </c>
      <c r="AS783" s="164">
        <f t="shared" ca="1" si="1227"/>
        <v>0</v>
      </c>
      <c r="AT783" s="164">
        <f t="shared" ca="1" si="1228"/>
        <v>0</v>
      </c>
      <c r="AU783" s="164">
        <f t="shared" ca="1" si="1229"/>
        <v>0</v>
      </c>
      <c r="AV783" s="164">
        <f t="shared" ca="1" si="1230"/>
        <v>0</v>
      </c>
      <c r="AW783" s="164">
        <f t="shared" ca="1" si="1231"/>
        <v>0</v>
      </c>
      <c r="AX783" s="164">
        <f t="shared" ca="1" si="1232"/>
        <v>0</v>
      </c>
      <c r="AY783" s="164">
        <f t="shared" ca="1" si="1233"/>
        <v>0</v>
      </c>
      <c r="AZ783" s="164">
        <f t="shared" ca="1" si="1234"/>
        <v>0</v>
      </c>
      <c r="BA783" s="165" t="str">
        <f t="shared" ca="1" si="1235"/>
        <v>nie</v>
      </c>
      <c r="BB783" s="166" t="str">
        <f t="shared" ca="1" si="1279"/>
        <v>-</v>
      </c>
      <c r="BC783" s="165" t="str">
        <f t="shared" ca="1" si="1291"/>
        <v>nie</v>
      </c>
    </row>
    <row r="784" spans="1:55" s="167" customFormat="1" ht="14.45" hidden="1" customHeight="1" x14ac:dyDescent="0.25">
      <c r="A784" s="493"/>
      <c r="B784" s="493"/>
      <c r="C784" s="494"/>
      <c r="D784" s="506"/>
      <c r="E784" s="497"/>
      <c r="F784" s="497"/>
      <c r="G784" s="497"/>
      <c r="H784" s="498"/>
      <c r="I784" s="499"/>
      <c r="J784" s="177" t="s">
        <v>99</v>
      </c>
      <c r="K784" s="178">
        <f>SUM(N784:O784)</f>
        <v>0</v>
      </c>
      <c r="L784" s="179">
        <f t="shared" ref="L784:M784" si="1298">L788-L780</f>
        <v>0</v>
      </c>
      <c r="M784" s="180">
        <f t="shared" si="1298"/>
        <v>0</v>
      </c>
      <c r="N784" s="172">
        <f>SUM(L784:M784)</f>
        <v>0</v>
      </c>
      <c r="O784" s="178">
        <f>SUM(P784:Y784)</f>
        <v>0</v>
      </c>
      <c r="P784" s="181">
        <f t="shared" ref="P784:R784" si="1299">P788-P780</f>
        <v>0</v>
      </c>
      <c r="Q784" s="180">
        <f t="shared" si="1299"/>
        <v>0</v>
      </c>
      <c r="R784" s="182">
        <f t="shared" si="1299"/>
        <v>0</v>
      </c>
      <c r="S784" s="183">
        <f t="shared" ref="S784:Y785" si="1300">S788-S780</f>
        <v>0</v>
      </c>
      <c r="T784" s="180">
        <f t="shared" si="1300"/>
        <v>0</v>
      </c>
      <c r="U784" s="180">
        <f t="shared" si="1300"/>
        <v>0</v>
      </c>
      <c r="V784" s="180">
        <f t="shared" si="1300"/>
        <v>0</v>
      </c>
      <c r="W784" s="180">
        <f t="shared" si="1300"/>
        <v>0</v>
      </c>
      <c r="X784" s="180">
        <f t="shared" si="1300"/>
        <v>0</v>
      </c>
      <c r="Y784" s="182">
        <f t="shared" si="1300"/>
        <v>0</v>
      </c>
      <c r="Z784" s="149" t="str">
        <f t="shared" ca="1" si="1290"/>
        <v>nie</v>
      </c>
      <c r="AA784" s="366"/>
      <c r="AB784" s="150" t="str">
        <f t="shared" ca="1" si="1278"/>
        <v>-</v>
      </c>
      <c r="AC784" s="151" t="str">
        <f t="shared" ca="1" si="1215"/>
        <v>PROPONOWANA ZMIANA</v>
      </c>
      <c r="AD784" s="152" t="str">
        <f t="shared" ca="1" si="1133"/>
        <v>PROPONOWANA ZMIANA</v>
      </c>
      <c r="AE784" s="153" t="str">
        <f t="shared" ca="1" si="1216"/>
        <v>C/USN/VII/P3/9</v>
      </c>
      <c r="AF784" s="154" t="str">
        <f t="shared" ca="1" si="1217"/>
        <v>Aranżacja wraz z adaptacją pomieszczeń i wyposażenie Ursynowskiego Centrum Kultury "Alternatywy"</v>
      </c>
      <c r="AG784" s="155">
        <f t="shared" ca="1" si="1218"/>
        <v>92109</v>
      </c>
      <c r="AH784" s="155" t="str">
        <f t="shared" ca="1" si="1219"/>
        <v>6220</v>
      </c>
      <c r="AI784" s="156" t="str">
        <f t="shared" ca="1" si="1220"/>
        <v>GMMW</v>
      </c>
      <c r="AJ784" s="157" t="str">
        <f t="shared" ca="1" si="1221"/>
        <v>WPF/PM</v>
      </c>
      <c r="AK784" s="158" t="str">
        <f t="shared" ca="1" si="1134"/>
        <v>C/USN/VII/P3/9 92109 6220 GMMW</v>
      </c>
      <c r="AL784" s="158" t="str">
        <f t="shared" ca="1" si="1135"/>
        <v>C/USN/VII/P3/9 92109 6220 WPF/PM</v>
      </c>
      <c r="AM784" s="159" t="str">
        <f t="shared" ca="1" si="1136"/>
        <v>C/USN/VII/P3/9 92109 6220 GMMW WPF/PM</v>
      </c>
      <c r="AN784" s="160">
        <f t="shared" ca="1" si="1222"/>
        <v>0</v>
      </c>
      <c r="AO784" s="161">
        <f t="shared" ca="1" si="1223"/>
        <v>0</v>
      </c>
      <c r="AP784" s="162">
        <f t="shared" ca="1" si="1224"/>
        <v>0</v>
      </c>
      <c r="AQ784" s="163">
        <f t="shared" ca="1" si="1225"/>
        <v>0</v>
      </c>
      <c r="AR784" s="164">
        <f t="shared" ca="1" si="1226"/>
        <v>0</v>
      </c>
      <c r="AS784" s="164">
        <f t="shared" ca="1" si="1227"/>
        <v>0</v>
      </c>
      <c r="AT784" s="164">
        <f t="shared" ca="1" si="1228"/>
        <v>0</v>
      </c>
      <c r="AU784" s="164">
        <f t="shared" ca="1" si="1229"/>
        <v>0</v>
      </c>
      <c r="AV784" s="164">
        <f t="shared" ca="1" si="1230"/>
        <v>0</v>
      </c>
      <c r="AW784" s="164">
        <f t="shared" ca="1" si="1231"/>
        <v>0</v>
      </c>
      <c r="AX784" s="164">
        <f t="shared" ca="1" si="1232"/>
        <v>0</v>
      </c>
      <c r="AY784" s="164">
        <f t="shared" ca="1" si="1233"/>
        <v>0</v>
      </c>
      <c r="AZ784" s="164">
        <f t="shared" ca="1" si="1234"/>
        <v>0</v>
      </c>
      <c r="BA784" s="165" t="str">
        <f t="shared" ca="1" si="1235"/>
        <v>nie</v>
      </c>
      <c r="BB784" s="166" t="str">
        <f t="shared" ca="1" si="1279"/>
        <v>-</v>
      </c>
      <c r="BC784" s="165" t="str">
        <f t="shared" ca="1" si="1291"/>
        <v>nie</v>
      </c>
    </row>
    <row r="785" spans="1:55" s="167" customFormat="1" ht="14.45" hidden="1" customHeight="1" x14ac:dyDescent="0.25">
      <c r="A785" s="493"/>
      <c r="B785" s="493"/>
      <c r="C785" s="494"/>
      <c r="D785" s="506"/>
      <c r="E785" s="497"/>
      <c r="F785" s="497"/>
      <c r="G785" s="497"/>
      <c r="H785" s="498"/>
      <c r="I785" s="499"/>
      <c r="J785" s="177" t="s">
        <v>100</v>
      </c>
      <c r="K785" s="178">
        <f>SUM(N785:O785)</f>
        <v>0</v>
      </c>
      <c r="L785" s="179">
        <f t="shared" ref="L785:M785" si="1301">L789-L781</f>
        <v>0</v>
      </c>
      <c r="M785" s="180">
        <f t="shared" si="1301"/>
        <v>0</v>
      </c>
      <c r="N785" s="172">
        <f>SUM(L785:M785)</f>
        <v>0</v>
      </c>
      <c r="O785" s="178">
        <f>SUM(P785:Y785)</f>
        <v>0</v>
      </c>
      <c r="P785" s="181">
        <f t="shared" ref="P785:R785" si="1302">P789-P781</f>
        <v>0</v>
      </c>
      <c r="Q785" s="180">
        <f t="shared" si="1302"/>
        <v>0</v>
      </c>
      <c r="R785" s="182">
        <f t="shared" si="1302"/>
        <v>0</v>
      </c>
      <c r="S785" s="183">
        <f t="shared" si="1300"/>
        <v>0</v>
      </c>
      <c r="T785" s="180">
        <f t="shared" si="1300"/>
        <v>0</v>
      </c>
      <c r="U785" s="180">
        <f t="shared" si="1300"/>
        <v>0</v>
      </c>
      <c r="V785" s="180">
        <f t="shared" si="1300"/>
        <v>0</v>
      </c>
      <c r="W785" s="180">
        <f t="shared" si="1300"/>
        <v>0</v>
      </c>
      <c r="X785" s="180">
        <f t="shared" si="1300"/>
        <v>0</v>
      </c>
      <c r="Y785" s="182">
        <f t="shared" si="1300"/>
        <v>0</v>
      </c>
      <c r="Z785" s="149" t="str">
        <f t="shared" ca="1" si="1290"/>
        <v>nie</v>
      </c>
      <c r="AA785" s="366"/>
      <c r="AB785" s="150" t="str">
        <f t="shared" ca="1" si="1278"/>
        <v>-</v>
      </c>
      <c r="AC785" s="151" t="str">
        <f t="shared" ca="1" si="1215"/>
        <v>PROPONOWANA ZMIANA</v>
      </c>
      <c r="AD785" s="152" t="str">
        <f t="shared" ca="1" si="1133"/>
        <v>PROPONOWANA ZMIANA</v>
      </c>
      <c r="AE785" s="153" t="str">
        <f t="shared" ca="1" si="1216"/>
        <v>C/USN/VII/P3/9</v>
      </c>
      <c r="AF785" s="154" t="str">
        <f t="shared" ca="1" si="1217"/>
        <v>Aranżacja wraz z adaptacją pomieszczeń i wyposażenie Ursynowskiego Centrum Kultury "Alternatywy"</v>
      </c>
      <c r="AG785" s="155">
        <f t="shared" ca="1" si="1218"/>
        <v>92109</v>
      </c>
      <c r="AH785" s="155" t="str">
        <f t="shared" ca="1" si="1219"/>
        <v>6220</v>
      </c>
      <c r="AI785" s="156" t="str">
        <f t="shared" ca="1" si="1220"/>
        <v>GMMW</v>
      </c>
      <c r="AJ785" s="157" t="str">
        <f t="shared" ca="1" si="1221"/>
        <v>WPF/UM</v>
      </c>
      <c r="AK785" s="158" t="str">
        <f t="shared" ca="1" si="1134"/>
        <v>C/USN/VII/P3/9 92109 6220 GMMW</v>
      </c>
      <c r="AL785" s="158" t="str">
        <f t="shared" ca="1" si="1135"/>
        <v>C/USN/VII/P3/9 92109 6220 WPF/UM</v>
      </c>
      <c r="AM785" s="159" t="str">
        <f t="shared" ca="1" si="1136"/>
        <v>C/USN/VII/P3/9 92109 6220 GMMW WPF/UM</v>
      </c>
      <c r="AN785" s="160">
        <f t="shared" ca="1" si="1222"/>
        <v>0</v>
      </c>
      <c r="AO785" s="161">
        <f t="shared" ca="1" si="1223"/>
        <v>0</v>
      </c>
      <c r="AP785" s="162">
        <f t="shared" ca="1" si="1224"/>
        <v>0</v>
      </c>
      <c r="AQ785" s="163">
        <f t="shared" ca="1" si="1225"/>
        <v>0</v>
      </c>
      <c r="AR785" s="164">
        <f t="shared" ca="1" si="1226"/>
        <v>0</v>
      </c>
      <c r="AS785" s="164">
        <f t="shared" ca="1" si="1227"/>
        <v>0</v>
      </c>
      <c r="AT785" s="164">
        <f t="shared" ca="1" si="1228"/>
        <v>0</v>
      </c>
      <c r="AU785" s="164">
        <f t="shared" ca="1" si="1229"/>
        <v>0</v>
      </c>
      <c r="AV785" s="164">
        <f t="shared" ca="1" si="1230"/>
        <v>0</v>
      </c>
      <c r="AW785" s="164">
        <f t="shared" ca="1" si="1231"/>
        <v>0</v>
      </c>
      <c r="AX785" s="164">
        <f t="shared" ca="1" si="1232"/>
        <v>0</v>
      </c>
      <c r="AY785" s="164">
        <f t="shared" ca="1" si="1233"/>
        <v>0</v>
      </c>
      <c r="AZ785" s="164">
        <f t="shared" ca="1" si="1234"/>
        <v>0</v>
      </c>
      <c r="BA785" s="165" t="str">
        <f t="shared" ca="1" si="1235"/>
        <v>nie</v>
      </c>
      <c r="BB785" s="166" t="str">
        <f t="shared" ca="1" si="1279"/>
        <v>-</v>
      </c>
      <c r="BC785" s="165" t="str">
        <f t="shared" ca="1" si="1291"/>
        <v>nie</v>
      </c>
    </row>
    <row r="786" spans="1:55" s="167" customFormat="1" ht="14.45" hidden="1" customHeight="1" x14ac:dyDescent="0.25">
      <c r="A786" s="191" t="s">
        <v>101</v>
      </c>
      <c r="B786" s="192"/>
      <c r="C786" s="193"/>
      <c r="D786" s="192"/>
      <c r="E786" s="192"/>
      <c r="F786" s="192"/>
      <c r="G786" s="192"/>
      <c r="H786" s="192"/>
      <c r="I786" s="192"/>
      <c r="J786" s="192"/>
      <c r="K786" s="192"/>
      <c r="L786" s="192"/>
      <c r="M786" s="192"/>
      <c r="N786" s="192"/>
      <c r="O786" s="192"/>
      <c r="P786" s="192"/>
      <c r="Q786" s="192"/>
      <c r="R786" s="194"/>
      <c r="S786" s="195"/>
      <c r="T786" s="195"/>
      <c r="U786" s="195"/>
      <c r="V786" s="195"/>
      <c r="W786" s="195"/>
      <c r="X786" s="195"/>
      <c r="Y786" s="196"/>
      <c r="Z786" s="149" t="str">
        <f t="shared" ca="1" si="1290"/>
        <v>nie</v>
      </c>
      <c r="AA786" s="366"/>
      <c r="AB786" s="150" t="str">
        <f t="shared" ca="1" si="1278"/>
        <v>-</v>
      </c>
      <c r="AC786" s="151" t="str">
        <f t="shared" ca="1" si="1215"/>
        <v>PO ZMIANIE</v>
      </c>
      <c r="AD786" s="152" t="str">
        <f t="shared" ca="1" si="1133"/>
        <v/>
      </c>
      <c r="AE786" s="153" t="str">
        <f t="shared" ca="1" si="1216"/>
        <v/>
      </c>
      <c r="AF786" s="154" t="str">
        <f t="shared" ca="1" si="1217"/>
        <v/>
      </c>
      <c r="AG786" s="155" t="str">
        <f t="shared" ca="1" si="1218"/>
        <v/>
      </c>
      <c r="AH786" s="155" t="str">
        <f t="shared" ca="1" si="1219"/>
        <v/>
      </c>
      <c r="AI786" s="156" t="str">
        <f t="shared" ca="1" si="1220"/>
        <v/>
      </c>
      <c r="AJ786" s="157" t="str">
        <f t="shared" ca="1" si="1221"/>
        <v/>
      </c>
      <c r="AK786" s="158" t="str">
        <f t="shared" ca="1" si="1134"/>
        <v/>
      </c>
      <c r="AL786" s="158" t="str">
        <f t="shared" ca="1" si="1135"/>
        <v/>
      </c>
      <c r="AM786" s="159" t="str">
        <f t="shared" ca="1" si="1136"/>
        <v/>
      </c>
      <c r="AN786" s="160" t="str">
        <f t="shared" ca="1" si="1222"/>
        <v/>
      </c>
      <c r="AO786" s="161" t="str">
        <f t="shared" ca="1" si="1223"/>
        <v/>
      </c>
      <c r="AP786" s="162" t="str">
        <f t="shared" ca="1" si="1224"/>
        <v/>
      </c>
      <c r="AQ786" s="163" t="str">
        <f t="shared" ca="1" si="1225"/>
        <v/>
      </c>
      <c r="AR786" s="164" t="str">
        <f t="shared" ca="1" si="1226"/>
        <v/>
      </c>
      <c r="AS786" s="164" t="str">
        <f t="shared" ca="1" si="1227"/>
        <v/>
      </c>
      <c r="AT786" s="164" t="str">
        <f t="shared" ca="1" si="1228"/>
        <v/>
      </c>
      <c r="AU786" s="164" t="str">
        <f t="shared" ca="1" si="1229"/>
        <v/>
      </c>
      <c r="AV786" s="164" t="str">
        <f t="shared" ca="1" si="1230"/>
        <v/>
      </c>
      <c r="AW786" s="164" t="str">
        <f t="shared" ca="1" si="1231"/>
        <v/>
      </c>
      <c r="AX786" s="164" t="str">
        <f t="shared" ca="1" si="1232"/>
        <v/>
      </c>
      <c r="AY786" s="164" t="str">
        <f t="shared" ca="1" si="1233"/>
        <v/>
      </c>
      <c r="AZ786" s="164" t="str">
        <f t="shared" ca="1" si="1234"/>
        <v/>
      </c>
      <c r="BA786" s="165" t="str">
        <f t="shared" ca="1" si="1235"/>
        <v>nie</v>
      </c>
      <c r="BB786" s="166" t="str">
        <f t="shared" ca="1" si="1279"/>
        <v>-</v>
      </c>
      <c r="BC786" s="165" t="str">
        <f t="shared" ca="1" si="1291"/>
        <v>nie</v>
      </c>
    </row>
    <row r="787" spans="1:55" s="176" customFormat="1" ht="14.45" hidden="1" customHeight="1" x14ac:dyDescent="0.25">
      <c r="A787" s="493" t="s">
        <v>24</v>
      </c>
      <c r="B787" s="493" t="s">
        <v>26</v>
      </c>
      <c r="C787" s="494" t="s">
        <v>193</v>
      </c>
      <c r="D787" s="505" t="s">
        <v>194</v>
      </c>
      <c r="E787" s="497">
        <v>921</v>
      </c>
      <c r="F787" s="497">
        <v>92109</v>
      </c>
      <c r="G787" s="497">
        <v>6220</v>
      </c>
      <c r="H787" s="507">
        <v>2021</v>
      </c>
      <c r="I787" s="499" t="str">
        <f ca="1">IF(COUNTIF(OFFSET(I787,-1,-8),"*propon*")&gt;0,OFFSET(I787,4,0),IF(Y787&gt;0,"2033",IF(X787&gt;0,"2032",IF(W787&gt;0,"2031",IF(V787&gt;0,"2030",IF(U787&gt;0,"2029",IF(T787&gt;0,"2028",IF(S787&gt;0,"2027",IF(R787&gt;0,"2026",IF(Q787&gt;0,"2025",IF(P787&gt;0,"2024",IF(M787&gt;0,"2023",IF(L787&gt;0,"2022","")))))))))))))</f>
        <v>2024</v>
      </c>
      <c r="J787" s="168" t="s">
        <v>102</v>
      </c>
      <c r="K787" s="169">
        <f>SUM(N787:O787)</f>
        <v>3426248</v>
      </c>
      <c r="L787" s="170">
        <f t="shared" ref="L787:M787" si="1303">SUM(L788:L789)</f>
        <v>2560438</v>
      </c>
      <c r="M787" s="171">
        <f t="shared" si="1303"/>
        <v>848998</v>
      </c>
      <c r="N787" s="172">
        <f>SUM(L787:M787)</f>
        <v>3409436</v>
      </c>
      <c r="O787" s="169">
        <f>SUM(P787:Y787)</f>
        <v>16812</v>
      </c>
      <c r="P787" s="173">
        <f t="shared" ref="P787:R787" si="1304">SUM(P788:P789)</f>
        <v>16812</v>
      </c>
      <c r="Q787" s="171">
        <f t="shared" si="1304"/>
        <v>0</v>
      </c>
      <c r="R787" s="174">
        <f t="shared" si="1304"/>
        <v>0</v>
      </c>
      <c r="S787" s="175">
        <f t="shared" ref="S787:Y787" si="1305">SUM(S788:S789)</f>
        <v>0</v>
      </c>
      <c r="T787" s="171">
        <f t="shared" si="1305"/>
        <v>0</v>
      </c>
      <c r="U787" s="171">
        <f t="shared" si="1305"/>
        <v>0</v>
      </c>
      <c r="V787" s="171">
        <f t="shared" si="1305"/>
        <v>0</v>
      </c>
      <c r="W787" s="171">
        <f t="shared" si="1305"/>
        <v>0</v>
      </c>
      <c r="X787" s="171">
        <f t="shared" si="1305"/>
        <v>0</v>
      </c>
      <c r="Y787" s="174">
        <f t="shared" si="1305"/>
        <v>0</v>
      </c>
      <c r="Z787" s="149" t="str">
        <f t="shared" ca="1" si="1290"/>
        <v>nie</v>
      </c>
      <c r="AA787" s="366"/>
      <c r="AB787" s="150" t="str">
        <f t="shared" ca="1" si="1278"/>
        <v>-</v>
      </c>
      <c r="AC787" s="151" t="str">
        <f t="shared" ca="1" si="1215"/>
        <v>PO ZMIANIE</v>
      </c>
      <c r="AD787" s="152" t="str">
        <f t="shared" ca="1" si="1133"/>
        <v>PO ZMIANIE</v>
      </c>
      <c r="AE787" s="153" t="str">
        <f t="shared" ca="1" si="1216"/>
        <v>C/USN/VII/P3/9</v>
      </c>
      <c r="AF787" s="154" t="str">
        <f t="shared" ca="1" si="1217"/>
        <v>Aranżacja wraz z adaptacją pomieszczeń i wyposażenie Ursynowskiego Centrum Kultury "Alternatywy"</v>
      </c>
      <c r="AG787" s="155">
        <f t="shared" ca="1" si="1218"/>
        <v>92109</v>
      </c>
      <c r="AH787" s="155" t="str">
        <f t="shared" ca="1" si="1219"/>
        <v>6220</v>
      </c>
      <c r="AI787" s="156" t="str">
        <f t="shared" ca="1" si="1220"/>
        <v>GMMW</v>
      </c>
      <c r="AJ787" s="157" t="str">
        <f t="shared" ca="1" si="1221"/>
        <v>WPF, w tym</v>
      </c>
      <c r="AK787" s="158" t="str">
        <f t="shared" ca="1" si="1134"/>
        <v>C/USN/VII/P3/9 92109 6220 GMMW</v>
      </c>
      <c r="AL787" s="158" t="str">
        <f t="shared" ca="1" si="1135"/>
        <v>C/USN/VII/P3/9 92109 6220 WPF, w tym</v>
      </c>
      <c r="AM787" s="159" t="str">
        <f t="shared" ca="1" si="1136"/>
        <v>C/USN/VII/P3/9 92109 6220 GMMW WPF, w tym</v>
      </c>
      <c r="AN787" s="160">
        <f t="shared" ca="1" si="1222"/>
        <v>3426248</v>
      </c>
      <c r="AO787" s="161">
        <f t="shared" ca="1" si="1223"/>
        <v>2560438</v>
      </c>
      <c r="AP787" s="162">
        <f t="shared" ca="1" si="1224"/>
        <v>848998</v>
      </c>
      <c r="AQ787" s="163">
        <f t="shared" ca="1" si="1225"/>
        <v>16812</v>
      </c>
      <c r="AR787" s="164">
        <f t="shared" ca="1" si="1226"/>
        <v>0</v>
      </c>
      <c r="AS787" s="164">
        <f t="shared" ca="1" si="1227"/>
        <v>0</v>
      </c>
      <c r="AT787" s="164">
        <f t="shared" ca="1" si="1228"/>
        <v>0</v>
      </c>
      <c r="AU787" s="164">
        <f t="shared" ca="1" si="1229"/>
        <v>0</v>
      </c>
      <c r="AV787" s="164">
        <f t="shared" ca="1" si="1230"/>
        <v>0</v>
      </c>
      <c r="AW787" s="164">
        <f t="shared" ca="1" si="1231"/>
        <v>0</v>
      </c>
      <c r="AX787" s="164">
        <f t="shared" ca="1" si="1232"/>
        <v>0</v>
      </c>
      <c r="AY787" s="164">
        <f t="shared" ca="1" si="1233"/>
        <v>0</v>
      </c>
      <c r="AZ787" s="164">
        <f t="shared" ca="1" si="1234"/>
        <v>0</v>
      </c>
      <c r="BA787" s="165" t="str">
        <f t="shared" ca="1" si="1235"/>
        <v>nie</v>
      </c>
      <c r="BB787" s="166" t="str">
        <f t="shared" ca="1" si="1279"/>
        <v>-</v>
      </c>
      <c r="BC787" s="165" t="str">
        <f t="shared" ca="1" si="1291"/>
        <v>nie</v>
      </c>
    </row>
    <row r="788" spans="1:55" s="167" customFormat="1" ht="14.45" hidden="1" customHeight="1" x14ac:dyDescent="0.25">
      <c r="A788" s="493"/>
      <c r="B788" s="493"/>
      <c r="C788" s="494"/>
      <c r="D788" s="506"/>
      <c r="E788" s="497"/>
      <c r="F788" s="497"/>
      <c r="G788" s="497"/>
      <c r="H788" s="498"/>
      <c r="I788" s="499"/>
      <c r="J788" s="177" t="s">
        <v>103</v>
      </c>
      <c r="K788" s="178">
        <f>SUM(N788:O788)</f>
        <v>16812</v>
      </c>
      <c r="L788" s="179"/>
      <c r="M788" s="180"/>
      <c r="N788" s="172">
        <f>SUM(L788:M788)</f>
        <v>0</v>
      </c>
      <c r="O788" s="178">
        <f>SUM(P788:Y788)</f>
        <v>16812</v>
      </c>
      <c r="P788" s="181">
        <f>16812</f>
        <v>16812</v>
      </c>
      <c r="Q788" s="180"/>
      <c r="R788" s="182"/>
      <c r="S788" s="183"/>
      <c r="T788" s="180"/>
      <c r="U788" s="180"/>
      <c r="V788" s="180"/>
      <c r="W788" s="180"/>
      <c r="X788" s="180"/>
      <c r="Y788" s="182"/>
      <c r="Z788" s="149" t="str">
        <f t="shared" ca="1" si="1290"/>
        <v>nie</v>
      </c>
      <c r="AA788" s="384"/>
      <c r="AB788" s="150" t="str">
        <f t="shared" ca="1" si="1278"/>
        <v>-</v>
      </c>
      <c r="AC788" s="151" t="str">
        <f t="shared" ca="1" si="1215"/>
        <v>PO ZMIANIE</v>
      </c>
      <c r="AD788" s="152" t="str">
        <f t="shared" ca="1" si="1133"/>
        <v>PO ZMIANIE</v>
      </c>
      <c r="AE788" s="153" t="str">
        <f t="shared" ca="1" si="1216"/>
        <v>C/USN/VII/P3/9</v>
      </c>
      <c r="AF788" s="154" t="str">
        <f t="shared" ca="1" si="1217"/>
        <v>Aranżacja wraz z adaptacją pomieszczeń i wyposażenie Ursynowskiego Centrum Kultury "Alternatywy"</v>
      </c>
      <c r="AG788" s="155">
        <f t="shared" ca="1" si="1218"/>
        <v>92109</v>
      </c>
      <c r="AH788" s="155" t="str">
        <f t="shared" ca="1" si="1219"/>
        <v>6220</v>
      </c>
      <c r="AI788" s="156" t="str">
        <f t="shared" ca="1" si="1220"/>
        <v>GMMW</v>
      </c>
      <c r="AJ788" s="157" t="str">
        <f t="shared" ca="1" si="1221"/>
        <v>WPF/PM</v>
      </c>
      <c r="AK788" s="158" t="str">
        <f t="shared" ca="1" si="1134"/>
        <v>C/USN/VII/P3/9 92109 6220 GMMW</v>
      </c>
      <c r="AL788" s="158" t="str">
        <f t="shared" ca="1" si="1135"/>
        <v>C/USN/VII/P3/9 92109 6220 WPF/PM</v>
      </c>
      <c r="AM788" s="159" t="str">
        <f t="shared" ca="1" si="1136"/>
        <v>C/USN/VII/P3/9 92109 6220 GMMW WPF/PM</v>
      </c>
      <c r="AN788" s="160">
        <f t="shared" ca="1" si="1222"/>
        <v>16812</v>
      </c>
      <c r="AO788" s="161">
        <f t="shared" ca="1" si="1223"/>
        <v>0</v>
      </c>
      <c r="AP788" s="162">
        <f t="shared" ca="1" si="1224"/>
        <v>0</v>
      </c>
      <c r="AQ788" s="163">
        <f t="shared" ca="1" si="1225"/>
        <v>16812</v>
      </c>
      <c r="AR788" s="164">
        <f t="shared" ca="1" si="1226"/>
        <v>0</v>
      </c>
      <c r="AS788" s="164">
        <f t="shared" ca="1" si="1227"/>
        <v>0</v>
      </c>
      <c r="AT788" s="164">
        <f t="shared" ca="1" si="1228"/>
        <v>0</v>
      </c>
      <c r="AU788" s="164">
        <f t="shared" ca="1" si="1229"/>
        <v>0</v>
      </c>
      <c r="AV788" s="164">
        <f t="shared" ca="1" si="1230"/>
        <v>0</v>
      </c>
      <c r="AW788" s="164">
        <f t="shared" ca="1" si="1231"/>
        <v>0</v>
      </c>
      <c r="AX788" s="164">
        <f t="shared" ca="1" si="1232"/>
        <v>0</v>
      </c>
      <c r="AY788" s="164">
        <f t="shared" ca="1" si="1233"/>
        <v>0</v>
      </c>
      <c r="AZ788" s="164">
        <f t="shared" ca="1" si="1234"/>
        <v>0</v>
      </c>
      <c r="BA788" s="165" t="str">
        <f t="shared" ca="1" si="1235"/>
        <v>nie</v>
      </c>
      <c r="BB788" s="166" t="str">
        <f t="shared" ca="1" si="1279"/>
        <v>-</v>
      </c>
      <c r="BC788" s="165" t="str">
        <f t="shared" ca="1" si="1291"/>
        <v>nie</v>
      </c>
    </row>
    <row r="789" spans="1:55" s="167" customFormat="1" ht="14.45" hidden="1" customHeight="1" thickBot="1" x14ac:dyDescent="0.3">
      <c r="A789" s="500"/>
      <c r="B789" s="500"/>
      <c r="C789" s="501"/>
      <c r="D789" s="513"/>
      <c r="E789" s="503"/>
      <c r="F789" s="503"/>
      <c r="G789" s="503"/>
      <c r="H789" s="504"/>
      <c r="I789" s="499"/>
      <c r="J789" s="197" t="s">
        <v>104</v>
      </c>
      <c r="K789" s="198">
        <f>SUM(N789:O789)</f>
        <v>3409436</v>
      </c>
      <c r="L789" s="199">
        <v>2560438</v>
      </c>
      <c r="M789" s="200">
        <f>848998</f>
        <v>848998</v>
      </c>
      <c r="N789" s="371">
        <f>SUM(L789:M789)</f>
        <v>3409436</v>
      </c>
      <c r="O789" s="198">
        <f>SUM(P789:Y789)</f>
        <v>0</v>
      </c>
      <c r="P789" s="201"/>
      <c r="Q789" s="200"/>
      <c r="R789" s="202"/>
      <c r="S789" s="203"/>
      <c r="T789" s="200"/>
      <c r="U789" s="200"/>
      <c r="V789" s="200"/>
      <c r="W789" s="200"/>
      <c r="X789" s="200"/>
      <c r="Y789" s="202"/>
      <c r="Z789" s="149" t="str">
        <f t="shared" ca="1" si="1290"/>
        <v>nie</v>
      </c>
      <c r="AA789" s="384"/>
      <c r="AB789" s="150" t="str">
        <f t="shared" ca="1" si="1278"/>
        <v>-</v>
      </c>
      <c r="AC789" s="151" t="str">
        <f t="shared" ca="1" si="1215"/>
        <v>PO ZMIANIE</v>
      </c>
      <c r="AD789" s="152" t="str">
        <f t="shared" ca="1" si="1133"/>
        <v>PO ZMIANIE</v>
      </c>
      <c r="AE789" s="153" t="str">
        <f t="shared" ca="1" si="1216"/>
        <v>C/USN/VII/P3/9</v>
      </c>
      <c r="AF789" s="154" t="str">
        <f t="shared" ca="1" si="1217"/>
        <v>Aranżacja wraz z adaptacją pomieszczeń i wyposażenie Ursynowskiego Centrum Kultury "Alternatywy"</v>
      </c>
      <c r="AG789" s="155">
        <f t="shared" ca="1" si="1218"/>
        <v>92109</v>
      </c>
      <c r="AH789" s="155" t="str">
        <f t="shared" ca="1" si="1219"/>
        <v>6220</v>
      </c>
      <c r="AI789" s="156" t="str">
        <f t="shared" ca="1" si="1220"/>
        <v>GMMW</v>
      </c>
      <c r="AJ789" s="157" t="str">
        <f t="shared" ca="1" si="1221"/>
        <v>WPF/UM</v>
      </c>
      <c r="AK789" s="158" t="str">
        <f t="shared" ca="1" si="1134"/>
        <v>C/USN/VII/P3/9 92109 6220 GMMW</v>
      </c>
      <c r="AL789" s="158" t="str">
        <f t="shared" ca="1" si="1135"/>
        <v>C/USN/VII/P3/9 92109 6220 WPF/UM</v>
      </c>
      <c r="AM789" s="159" t="str">
        <f t="shared" ca="1" si="1136"/>
        <v>C/USN/VII/P3/9 92109 6220 GMMW WPF/UM</v>
      </c>
      <c r="AN789" s="160">
        <f t="shared" ca="1" si="1222"/>
        <v>3409436</v>
      </c>
      <c r="AO789" s="161">
        <f t="shared" ca="1" si="1223"/>
        <v>2560438</v>
      </c>
      <c r="AP789" s="162">
        <f t="shared" ca="1" si="1224"/>
        <v>848998</v>
      </c>
      <c r="AQ789" s="163">
        <f t="shared" ca="1" si="1225"/>
        <v>0</v>
      </c>
      <c r="AR789" s="164">
        <f t="shared" ca="1" si="1226"/>
        <v>0</v>
      </c>
      <c r="AS789" s="164">
        <f t="shared" ca="1" si="1227"/>
        <v>0</v>
      </c>
      <c r="AT789" s="164">
        <f t="shared" ca="1" si="1228"/>
        <v>0</v>
      </c>
      <c r="AU789" s="164">
        <f t="shared" ca="1" si="1229"/>
        <v>0</v>
      </c>
      <c r="AV789" s="164">
        <f t="shared" ca="1" si="1230"/>
        <v>0</v>
      </c>
      <c r="AW789" s="164">
        <f t="shared" ca="1" si="1231"/>
        <v>0</v>
      </c>
      <c r="AX789" s="164">
        <f t="shared" ca="1" si="1232"/>
        <v>0</v>
      </c>
      <c r="AY789" s="164">
        <f t="shared" ca="1" si="1233"/>
        <v>0</v>
      </c>
      <c r="AZ789" s="164">
        <f t="shared" ca="1" si="1234"/>
        <v>0</v>
      </c>
      <c r="BA789" s="165" t="str">
        <f t="shared" ca="1" si="1235"/>
        <v>nie</v>
      </c>
      <c r="BB789" s="166" t="str">
        <f t="shared" ca="1" si="1279"/>
        <v>-</v>
      </c>
      <c r="BC789" s="165" t="str">
        <f t="shared" ca="1" si="1291"/>
        <v>nie</v>
      </c>
    </row>
    <row r="790" spans="1:55" ht="14.45" hidden="1" customHeight="1" x14ac:dyDescent="0.25">
      <c r="A790" s="143" t="s">
        <v>91</v>
      </c>
      <c r="B790" s="144"/>
      <c r="C790" s="145"/>
      <c r="D790" s="144"/>
      <c r="E790" s="144"/>
      <c r="F790" s="144"/>
      <c r="G790" s="144"/>
      <c r="H790" s="144"/>
      <c r="I790" s="144"/>
      <c r="J790" s="144"/>
      <c r="K790" s="144"/>
      <c r="L790" s="144"/>
      <c r="M790" s="144"/>
      <c r="N790" s="144"/>
      <c r="O790" s="144"/>
      <c r="P790" s="144"/>
      <c r="Q790" s="144"/>
      <c r="R790" s="146"/>
      <c r="S790" s="147"/>
      <c r="T790" s="147"/>
      <c r="U790" s="147"/>
      <c r="V790" s="147"/>
      <c r="W790" s="147"/>
      <c r="X790" s="147"/>
      <c r="Y790" s="148"/>
      <c r="Z790" s="149" t="str">
        <f t="shared" ca="1" si="1290"/>
        <v>nie</v>
      </c>
      <c r="AA790" s="366"/>
      <c r="AB790" s="150" t="str">
        <f t="shared" ca="1" si="1278"/>
        <v>-</v>
      </c>
      <c r="AC790" s="151" t="str">
        <f t="shared" ca="1" si="1215"/>
        <v>PRZED ZMIANĄ</v>
      </c>
      <c r="AD790" s="152" t="str">
        <f t="shared" ca="1" si="1133"/>
        <v/>
      </c>
      <c r="AE790" s="153" t="str">
        <f t="shared" ca="1" si="1216"/>
        <v/>
      </c>
      <c r="AF790" s="154" t="str">
        <f t="shared" ca="1" si="1217"/>
        <v/>
      </c>
      <c r="AG790" s="155" t="str">
        <f t="shared" ca="1" si="1218"/>
        <v/>
      </c>
      <c r="AH790" s="155" t="str">
        <f t="shared" ca="1" si="1219"/>
        <v/>
      </c>
      <c r="AI790" s="156" t="str">
        <f t="shared" ca="1" si="1220"/>
        <v/>
      </c>
      <c r="AJ790" s="157" t="str">
        <f t="shared" ca="1" si="1221"/>
        <v/>
      </c>
      <c r="AK790" s="158" t="str">
        <f t="shared" ca="1" si="1134"/>
        <v/>
      </c>
      <c r="AL790" s="158" t="str">
        <f t="shared" ca="1" si="1135"/>
        <v/>
      </c>
      <c r="AM790" s="159" t="str">
        <f t="shared" ca="1" si="1136"/>
        <v/>
      </c>
      <c r="AN790" s="160" t="str">
        <f t="shared" ca="1" si="1222"/>
        <v/>
      </c>
      <c r="AO790" s="161" t="str">
        <f t="shared" ca="1" si="1223"/>
        <v/>
      </c>
      <c r="AP790" s="162" t="str">
        <f t="shared" ca="1" si="1224"/>
        <v/>
      </c>
      <c r="AQ790" s="163" t="str">
        <f t="shared" ca="1" si="1225"/>
        <v/>
      </c>
      <c r="AR790" s="164" t="str">
        <f t="shared" ca="1" si="1226"/>
        <v/>
      </c>
      <c r="AS790" s="164" t="str">
        <f t="shared" ca="1" si="1227"/>
        <v/>
      </c>
      <c r="AT790" s="164" t="str">
        <f t="shared" ca="1" si="1228"/>
        <v/>
      </c>
      <c r="AU790" s="164" t="str">
        <f t="shared" ca="1" si="1229"/>
        <v/>
      </c>
      <c r="AV790" s="164" t="str">
        <f t="shared" ca="1" si="1230"/>
        <v/>
      </c>
      <c r="AW790" s="164" t="str">
        <f t="shared" ca="1" si="1231"/>
        <v/>
      </c>
      <c r="AX790" s="164" t="str">
        <f t="shared" ca="1" si="1232"/>
        <v/>
      </c>
      <c r="AY790" s="164" t="str">
        <f t="shared" ca="1" si="1233"/>
        <v/>
      </c>
      <c r="AZ790" s="164" t="str">
        <f t="shared" ca="1" si="1234"/>
        <v/>
      </c>
      <c r="BA790" s="165" t="str">
        <f t="shared" ca="1" si="1235"/>
        <v>nie</v>
      </c>
      <c r="BB790" s="166" t="str">
        <f t="shared" ca="1" si="1279"/>
        <v>-</v>
      </c>
      <c r="BC790" s="165" t="str">
        <f t="shared" ca="1" si="1291"/>
        <v>nie</v>
      </c>
    </row>
    <row r="791" spans="1:55" ht="14.45" hidden="1" customHeight="1" x14ac:dyDescent="0.25">
      <c r="A791" s="493" t="s">
        <v>24</v>
      </c>
      <c r="B791" s="493" t="s">
        <v>26</v>
      </c>
      <c r="C791" s="494" t="s">
        <v>195</v>
      </c>
      <c r="D791" s="505" t="s">
        <v>196</v>
      </c>
      <c r="E791" s="497">
        <v>921</v>
      </c>
      <c r="F791" s="497">
        <v>92116</v>
      </c>
      <c r="G791" s="497">
        <v>6050</v>
      </c>
      <c r="H791" s="507">
        <v>2023</v>
      </c>
      <c r="I791" s="499" t="str">
        <f ca="1">IF(COUNTIF(OFFSET(I791,-1,-8),"*propon*")&gt;0,OFFSET(I791,4,0),IF(Y791&gt;0,"2033",IF(X791&gt;0,"2032",IF(W791&gt;0,"2031",IF(V791&gt;0,"2030",IF(U791&gt;0,"2029",IF(T791&gt;0,"2028",IF(S791&gt;0,"2027",IF(R791&gt;0,"2026",IF(Q791&gt;0,"2025",IF(P791&gt;0,"2024",IF(M791&gt;0,"2023",IF(L791&gt;0,"2022","")))))))))))))</f>
        <v>2025</v>
      </c>
      <c r="J791" s="168" t="s">
        <v>94</v>
      </c>
      <c r="K791" s="169">
        <f>SUM(N791:O791)</f>
        <v>2717350</v>
      </c>
      <c r="L791" s="170">
        <f t="shared" ref="L791:M791" si="1306">SUM(L792:L793)</f>
        <v>0</v>
      </c>
      <c r="M791" s="171">
        <f t="shared" si="1306"/>
        <v>0</v>
      </c>
      <c r="N791" s="172">
        <f>SUM(L791:M791)</f>
        <v>0</v>
      </c>
      <c r="O791" s="169">
        <f>SUM(P791:Y791)</f>
        <v>2717350</v>
      </c>
      <c r="P791" s="173">
        <f t="shared" ref="P791:R791" si="1307">SUM(P792:P793)</f>
        <v>2700000</v>
      </c>
      <c r="Q791" s="171">
        <f t="shared" si="1307"/>
        <v>17350</v>
      </c>
      <c r="R791" s="174">
        <f t="shared" si="1307"/>
        <v>0</v>
      </c>
      <c r="S791" s="175">
        <f t="shared" ref="S791:Y791" si="1308">SUM(S792:S793)</f>
        <v>0</v>
      </c>
      <c r="T791" s="171">
        <f t="shared" si="1308"/>
        <v>0</v>
      </c>
      <c r="U791" s="171">
        <f t="shared" si="1308"/>
        <v>0</v>
      </c>
      <c r="V791" s="171">
        <f t="shared" si="1308"/>
        <v>0</v>
      </c>
      <c r="W791" s="171">
        <f t="shared" si="1308"/>
        <v>0</v>
      </c>
      <c r="X791" s="171">
        <f t="shared" si="1308"/>
        <v>0</v>
      </c>
      <c r="Y791" s="174">
        <f t="shared" si="1308"/>
        <v>0</v>
      </c>
      <c r="Z791" s="149" t="str">
        <f t="shared" ca="1" si="1290"/>
        <v>nie</v>
      </c>
      <c r="AA791" s="366"/>
      <c r="AB791" s="150" t="str">
        <f t="shared" ca="1" si="1278"/>
        <v>-</v>
      </c>
      <c r="AC791" s="151" t="str">
        <f t="shared" ca="1" si="1215"/>
        <v>PRZED ZMIANĄ</v>
      </c>
      <c r="AD791" s="152" t="str">
        <f t="shared" ca="1" si="1133"/>
        <v>PRZED ZMIANĄ</v>
      </c>
      <c r="AE791" s="153" t="str">
        <f t="shared" ca="1" si="1216"/>
        <v>C/USN/VII/P3/11</v>
      </c>
      <c r="AF791" s="154" t="str">
        <f t="shared" ca="1" si="1217"/>
        <v>Adaptacja pomieszczeń dla potrzeb Ursynoteki po przedszkolu przy ul. Polnej Róży</v>
      </c>
      <c r="AG791" s="155">
        <f t="shared" ca="1" si="1218"/>
        <v>92116</v>
      </c>
      <c r="AH791" s="155" t="str">
        <f t="shared" ca="1" si="1219"/>
        <v>6050</v>
      </c>
      <c r="AI791" s="156" t="str">
        <f t="shared" ca="1" si="1220"/>
        <v>GMMW</v>
      </c>
      <c r="AJ791" s="157" t="str">
        <f t="shared" ca="1" si="1221"/>
        <v>WPF, w tym</v>
      </c>
      <c r="AK791" s="158" t="str">
        <f t="shared" ca="1" si="1134"/>
        <v>C/USN/VII/P3/11 92116 6050 GMMW</v>
      </c>
      <c r="AL791" s="158" t="str">
        <f t="shared" ca="1" si="1135"/>
        <v>C/USN/VII/P3/11 92116 6050 WPF, w tym</v>
      </c>
      <c r="AM791" s="159" t="str">
        <f t="shared" ca="1" si="1136"/>
        <v>C/USN/VII/P3/11 92116 6050 GMMW WPF, w tym</v>
      </c>
      <c r="AN791" s="160">
        <f t="shared" ca="1" si="1222"/>
        <v>2717350</v>
      </c>
      <c r="AO791" s="161">
        <f t="shared" ca="1" si="1223"/>
        <v>0</v>
      </c>
      <c r="AP791" s="162">
        <f t="shared" ca="1" si="1224"/>
        <v>0</v>
      </c>
      <c r="AQ791" s="163">
        <f t="shared" ca="1" si="1225"/>
        <v>2700000</v>
      </c>
      <c r="AR791" s="164">
        <f t="shared" ca="1" si="1226"/>
        <v>17350</v>
      </c>
      <c r="AS791" s="164">
        <f t="shared" ca="1" si="1227"/>
        <v>0</v>
      </c>
      <c r="AT791" s="164">
        <f t="shared" ca="1" si="1228"/>
        <v>0</v>
      </c>
      <c r="AU791" s="164">
        <f t="shared" ca="1" si="1229"/>
        <v>0</v>
      </c>
      <c r="AV791" s="164">
        <f t="shared" ca="1" si="1230"/>
        <v>0</v>
      </c>
      <c r="AW791" s="164">
        <f t="shared" ca="1" si="1231"/>
        <v>0</v>
      </c>
      <c r="AX791" s="164">
        <f t="shared" ca="1" si="1232"/>
        <v>0</v>
      </c>
      <c r="AY791" s="164">
        <f t="shared" ca="1" si="1233"/>
        <v>0</v>
      </c>
      <c r="AZ791" s="164">
        <f t="shared" ca="1" si="1234"/>
        <v>0</v>
      </c>
      <c r="BA791" s="165" t="str">
        <f t="shared" ca="1" si="1235"/>
        <v>nie</v>
      </c>
      <c r="BB791" s="166" t="str">
        <f t="shared" ca="1" si="1279"/>
        <v>-</v>
      </c>
      <c r="BC791" s="165" t="str">
        <f t="shared" ca="1" si="1291"/>
        <v>nie</v>
      </c>
    </row>
    <row r="792" spans="1:55" ht="14.45" hidden="1" customHeight="1" x14ac:dyDescent="0.25">
      <c r="A792" s="493"/>
      <c r="B792" s="493"/>
      <c r="C792" s="494"/>
      <c r="D792" s="506"/>
      <c r="E792" s="497"/>
      <c r="F792" s="497"/>
      <c r="G792" s="497"/>
      <c r="H792" s="498"/>
      <c r="I792" s="499"/>
      <c r="J792" s="177" t="s">
        <v>95</v>
      </c>
      <c r="K792" s="178">
        <f>SUM(N792:O792)</f>
        <v>2717350</v>
      </c>
      <c r="L792" s="179"/>
      <c r="M792" s="180"/>
      <c r="N792" s="172">
        <f>SUM(L792:M792)</f>
        <v>0</v>
      </c>
      <c r="O792" s="178">
        <f>SUM(P792:Y792)</f>
        <v>2717350</v>
      </c>
      <c r="P792" s="181">
        <v>2700000</v>
      </c>
      <c r="Q792" s="180">
        <v>17350</v>
      </c>
      <c r="R792" s="182"/>
      <c r="S792" s="183"/>
      <c r="T792" s="180"/>
      <c r="U792" s="180"/>
      <c r="V792" s="180"/>
      <c r="W792" s="180"/>
      <c r="X792" s="180"/>
      <c r="Y792" s="182"/>
      <c r="Z792" s="149" t="str">
        <f t="shared" ca="1" si="1290"/>
        <v>nie</v>
      </c>
      <c r="AA792" s="366"/>
      <c r="AB792" s="150" t="str">
        <f t="shared" ca="1" si="1278"/>
        <v>-</v>
      </c>
      <c r="AC792" s="151" t="str">
        <f t="shared" ca="1" si="1215"/>
        <v>PRZED ZMIANĄ</v>
      </c>
      <c r="AD792" s="152" t="str">
        <f t="shared" ca="1" si="1133"/>
        <v>PRZED ZMIANĄ</v>
      </c>
      <c r="AE792" s="153" t="str">
        <f t="shared" ca="1" si="1216"/>
        <v>C/USN/VII/P3/11</v>
      </c>
      <c r="AF792" s="154" t="str">
        <f t="shared" ca="1" si="1217"/>
        <v>Adaptacja pomieszczeń dla potrzeb Ursynoteki po przedszkolu przy ul. Polnej Róży</v>
      </c>
      <c r="AG792" s="155">
        <f t="shared" ca="1" si="1218"/>
        <v>92116</v>
      </c>
      <c r="AH792" s="155" t="str">
        <f t="shared" ca="1" si="1219"/>
        <v>6050</v>
      </c>
      <c r="AI792" s="156" t="str">
        <f t="shared" ca="1" si="1220"/>
        <v>GMMW</v>
      </c>
      <c r="AJ792" s="157" t="str">
        <f t="shared" ca="1" si="1221"/>
        <v>WPF/PM</v>
      </c>
      <c r="AK792" s="158" t="str">
        <f t="shared" ca="1" si="1134"/>
        <v>C/USN/VII/P3/11 92116 6050 GMMW</v>
      </c>
      <c r="AL792" s="158" t="str">
        <f t="shared" ca="1" si="1135"/>
        <v>C/USN/VII/P3/11 92116 6050 WPF/PM</v>
      </c>
      <c r="AM792" s="159" t="str">
        <f t="shared" ca="1" si="1136"/>
        <v>C/USN/VII/P3/11 92116 6050 GMMW WPF/PM</v>
      </c>
      <c r="AN792" s="160">
        <f t="shared" ca="1" si="1222"/>
        <v>2717350</v>
      </c>
      <c r="AO792" s="161">
        <f t="shared" ca="1" si="1223"/>
        <v>0</v>
      </c>
      <c r="AP792" s="162">
        <f t="shared" ca="1" si="1224"/>
        <v>0</v>
      </c>
      <c r="AQ792" s="163">
        <f t="shared" ca="1" si="1225"/>
        <v>2700000</v>
      </c>
      <c r="AR792" s="164">
        <f t="shared" ca="1" si="1226"/>
        <v>17350</v>
      </c>
      <c r="AS792" s="164">
        <f t="shared" ca="1" si="1227"/>
        <v>0</v>
      </c>
      <c r="AT792" s="164">
        <f t="shared" ca="1" si="1228"/>
        <v>0</v>
      </c>
      <c r="AU792" s="164">
        <f t="shared" ca="1" si="1229"/>
        <v>0</v>
      </c>
      <c r="AV792" s="164">
        <f t="shared" ca="1" si="1230"/>
        <v>0</v>
      </c>
      <c r="AW792" s="164">
        <f t="shared" ca="1" si="1231"/>
        <v>0</v>
      </c>
      <c r="AX792" s="164">
        <f t="shared" ca="1" si="1232"/>
        <v>0</v>
      </c>
      <c r="AY792" s="164">
        <f t="shared" ca="1" si="1233"/>
        <v>0</v>
      </c>
      <c r="AZ792" s="164">
        <f t="shared" ca="1" si="1234"/>
        <v>0</v>
      </c>
      <c r="BA792" s="165" t="str">
        <f t="shared" ca="1" si="1235"/>
        <v>nie</v>
      </c>
      <c r="BB792" s="166" t="str">
        <f t="shared" ca="1" si="1279"/>
        <v>-</v>
      </c>
      <c r="BC792" s="165" t="str">
        <f t="shared" ca="1" si="1291"/>
        <v>nie</v>
      </c>
    </row>
    <row r="793" spans="1:55" ht="14.45" hidden="1" customHeight="1" x14ac:dyDescent="0.25">
      <c r="A793" s="493"/>
      <c r="B793" s="493"/>
      <c r="C793" s="494"/>
      <c r="D793" s="506"/>
      <c r="E793" s="497"/>
      <c r="F793" s="497"/>
      <c r="G793" s="497"/>
      <c r="H793" s="498"/>
      <c r="I793" s="499"/>
      <c r="J793" s="177" t="s">
        <v>96</v>
      </c>
      <c r="K793" s="178">
        <f>SUM(N793:O793)</f>
        <v>0</v>
      </c>
      <c r="L793" s="184"/>
      <c r="M793" s="180"/>
      <c r="N793" s="172">
        <f>SUM(L793:M793)</f>
        <v>0</v>
      </c>
      <c r="O793" s="178">
        <f>SUM(P793:Y793)</f>
        <v>0</v>
      </c>
      <c r="P793" s="181"/>
      <c r="Q793" s="180"/>
      <c r="R793" s="182"/>
      <c r="S793" s="183"/>
      <c r="T793" s="180"/>
      <c r="U793" s="180"/>
      <c r="V793" s="180"/>
      <c r="W793" s="180"/>
      <c r="X793" s="180"/>
      <c r="Y793" s="182"/>
      <c r="Z793" s="149" t="str">
        <f t="shared" ca="1" si="1290"/>
        <v>nie</v>
      </c>
      <c r="AA793" s="366"/>
      <c r="AB793" s="150" t="str">
        <f t="shared" ca="1" si="1278"/>
        <v>-</v>
      </c>
      <c r="AC793" s="151" t="str">
        <f t="shared" ca="1" si="1215"/>
        <v>PRZED ZMIANĄ</v>
      </c>
      <c r="AD793" s="152" t="str">
        <f t="shared" ca="1" si="1133"/>
        <v>PRZED ZMIANĄ</v>
      </c>
      <c r="AE793" s="153" t="str">
        <f t="shared" ca="1" si="1216"/>
        <v>C/USN/VII/P3/11</v>
      </c>
      <c r="AF793" s="154" t="str">
        <f t="shared" ca="1" si="1217"/>
        <v>Adaptacja pomieszczeń dla potrzeb Ursynoteki po przedszkolu przy ul. Polnej Róży</v>
      </c>
      <c r="AG793" s="155">
        <f t="shared" ca="1" si="1218"/>
        <v>92116</v>
      </c>
      <c r="AH793" s="155" t="str">
        <f t="shared" ca="1" si="1219"/>
        <v>6050</v>
      </c>
      <c r="AI793" s="156" t="str">
        <f t="shared" ca="1" si="1220"/>
        <v>GMMW</v>
      </c>
      <c r="AJ793" s="157" t="str">
        <f t="shared" ca="1" si="1221"/>
        <v>WPF/UM</v>
      </c>
      <c r="AK793" s="158" t="str">
        <f t="shared" ca="1" si="1134"/>
        <v>C/USN/VII/P3/11 92116 6050 GMMW</v>
      </c>
      <c r="AL793" s="158" t="str">
        <f t="shared" ca="1" si="1135"/>
        <v>C/USN/VII/P3/11 92116 6050 WPF/UM</v>
      </c>
      <c r="AM793" s="159" t="str">
        <f t="shared" ca="1" si="1136"/>
        <v>C/USN/VII/P3/11 92116 6050 GMMW WPF/UM</v>
      </c>
      <c r="AN793" s="160">
        <f t="shared" ca="1" si="1222"/>
        <v>0</v>
      </c>
      <c r="AO793" s="161">
        <f t="shared" ca="1" si="1223"/>
        <v>0</v>
      </c>
      <c r="AP793" s="162">
        <f t="shared" ca="1" si="1224"/>
        <v>0</v>
      </c>
      <c r="AQ793" s="163">
        <f t="shared" ca="1" si="1225"/>
        <v>0</v>
      </c>
      <c r="AR793" s="164">
        <f t="shared" ca="1" si="1226"/>
        <v>0</v>
      </c>
      <c r="AS793" s="164">
        <f t="shared" ca="1" si="1227"/>
        <v>0</v>
      </c>
      <c r="AT793" s="164">
        <f t="shared" ca="1" si="1228"/>
        <v>0</v>
      </c>
      <c r="AU793" s="164">
        <f t="shared" ca="1" si="1229"/>
        <v>0</v>
      </c>
      <c r="AV793" s="164">
        <f t="shared" ca="1" si="1230"/>
        <v>0</v>
      </c>
      <c r="AW793" s="164">
        <f t="shared" ca="1" si="1231"/>
        <v>0</v>
      </c>
      <c r="AX793" s="164">
        <f t="shared" ca="1" si="1232"/>
        <v>0</v>
      </c>
      <c r="AY793" s="164">
        <f t="shared" ca="1" si="1233"/>
        <v>0</v>
      </c>
      <c r="AZ793" s="164">
        <f t="shared" ca="1" si="1234"/>
        <v>0</v>
      </c>
      <c r="BA793" s="165" t="str">
        <f t="shared" ca="1" si="1235"/>
        <v>nie</v>
      </c>
      <c r="BB793" s="166" t="str">
        <f t="shared" ca="1" si="1279"/>
        <v>-</v>
      </c>
      <c r="BC793" s="165" t="str">
        <f t="shared" ca="1" si="1291"/>
        <v>nie</v>
      </c>
    </row>
    <row r="794" spans="1:55" ht="14.45" hidden="1" customHeight="1" x14ac:dyDescent="0.25">
      <c r="A794" s="185" t="s">
        <v>97</v>
      </c>
      <c r="B794" s="186"/>
      <c r="C794" s="187"/>
      <c r="D794" s="186"/>
      <c r="E794" s="186"/>
      <c r="F794" s="186"/>
      <c r="G794" s="186"/>
      <c r="H794" s="186"/>
      <c r="I794" s="186"/>
      <c r="J794" s="186"/>
      <c r="K794" s="186"/>
      <c r="L794" s="186"/>
      <c r="M794" s="186"/>
      <c r="N794" s="186"/>
      <c r="O794" s="186"/>
      <c r="P794" s="186"/>
      <c r="Q794" s="186"/>
      <c r="R794" s="188"/>
      <c r="S794" s="189"/>
      <c r="T794" s="189"/>
      <c r="U794" s="189"/>
      <c r="V794" s="189"/>
      <c r="W794" s="189"/>
      <c r="X794" s="189"/>
      <c r="Y794" s="190"/>
      <c r="Z794" s="149" t="str">
        <f t="shared" ca="1" si="1290"/>
        <v>nie</v>
      </c>
      <c r="AA794" s="366"/>
      <c r="AB794" s="150" t="str">
        <f t="shared" ca="1" si="1278"/>
        <v>-</v>
      </c>
      <c r="AC794" s="151" t="str">
        <f t="shared" ref="AC794:AC845" ca="1" si="1309">IF(OR(A794="",COUNTIF(A794,"*12.000*")&gt;0),OFFSET(AC794,-1,0),A794)</f>
        <v>PROPONOWANA ZMIANA</v>
      </c>
      <c r="AD794" s="152" t="str">
        <f t="shared" ca="1" si="1133"/>
        <v/>
      </c>
      <c r="AE794" s="153" t="str">
        <f t="shared" ref="AE794:AE845" ca="1" si="1310">IF(COUNTIF(A794,"*bilans*")&gt;0,"Bilans zmian",IF(COUNTIF(A794,"*zmi*")&gt;0,"",IF(COUNTIF(A794:C794,"")=0,C794,IF(AND(COUNTIF(C794,"")=1,COUNTIF(OFFSET(A794,-1,0),"*przed*")=1,COUNTIF(OFFSET(AE794,4,0),"")=0),OFFSET(AE794,4,0),IF(AND(COUNTIF(A794:B794,"")=0,COUNTIF(OFFSET(A794,-1,0),"*zmi*")=1),"nowe:"&amp;" "&amp;AF794,OFFSET(AE794,-1,0))))))</f>
        <v/>
      </c>
      <c r="AF794" s="154" t="str">
        <f t="shared" ref="AF794:AF845" ca="1" si="1311">IF(COUNTIF(A794,"*zmi*")&gt;0,"",IF(COUNTIF(A794:C794,"")=0,D794,IF(AND(COUNTIF(C794,"")=1,COUNTIF(OFFSET(A794,-1,0),"*przed*")=1),OFFSET(AF794,4,0),IF(AND(COUNTIF(A794:B794,"")=0,COUNTIF(OFFSET(A794,-1,0),"*zmi*")=1),D794,OFFSET(AF794,-1,0)))))</f>
        <v/>
      </c>
      <c r="AG794" s="155" t="str">
        <f t="shared" ref="AG794:AG845" ca="1" si="1312">IF(COUNTIF($A794,"*zmi*")&gt;0,"",IF(COUNTIF($A794:$C794,"")=0,F794,IF(AND(COUNTIF($C794,"")=1,COUNTIF(OFFSET($A794,-1,0),"*przed*")=1),OFFSET(AG794,4,0),IF(AND(COUNTIF($A794:$B794,"")=0,COUNTIF(OFFSET($A794,-1,0),"*zmi*")=1),F794,OFFSET(AG794,-1,0)))))</f>
        <v/>
      </c>
      <c r="AH794" s="155" t="str">
        <f t="shared" ref="AH794:AH845" ca="1" si="1313">IF(COUNTIF($A794,"*zmi*")&gt;0,"",IF(COUNTIF($A794:$C794,"")=0,LEFT(G794,4),IF(AND(COUNTIF($C794,"")=1,COUNTIF(OFFSET($A794,-1,0),"*przed*")=1),OFFSET(AH794,4,0),IF(AND(COUNTIF($A794:$B794,"")=0,COUNTIF(OFFSET($A794,-1,0),"*zmi*")=1),LEFT(G794,4),OFFSET(AH794,-1,0)))))</f>
        <v/>
      </c>
      <c r="AI794" s="156" t="str">
        <f t="shared" ref="AI794:AI845" ca="1" si="1314">IF(COUNTIF($A794,"*zmi*")&gt;0,"",IF(COUNTIF($A794:$C794,"")=0,B794,IF(AND(COUNTIF($C794,"")=1,COUNTIF(OFFSET($A794,-1,0),"*przed*")=1),OFFSET(AI794,4,0),IF(AND(COUNTIF($A794:$B794,"")=0,COUNTIF(OFFSET($A794,-1,0),"*zmi*")=1),B794,OFFSET(AI794,-1,0)))))</f>
        <v/>
      </c>
      <c r="AJ794" s="157" t="str">
        <f t="shared" ref="AJ794:AJ845" ca="1" si="1315">IF(AH794="","",IF(COUNTIF(A794,"*zmi*")&gt;0,"",SUBSTITUTE(SUBSTITUTE(J794,";",""),":","")))</f>
        <v/>
      </c>
      <c r="AK794" s="158" t="str">
        <f t="shared" ca="1" si="1134"/>
        <v/>
      </c>
      <c r="AL794" s="158" t="str">
        <f t="shared" ca="1" si="1135"/>
        <v/>
      </c>
      <c r="AM794" s="159" t="str">
        <f t="shared" ca="1" si="1136"/>
        <v/>
      </c>
      <c r="AN794" s="160" t="str">
        <f t="shared" ref="AN794:AN845" ca="1" si="1316">IF(COUNTIF($AE794,"*bilans*")&gt;0,K794,IF(OR(COUNTIF($A794,"*zmi*")&gt;0,$AI794=""),"",K794))</f>
        <v/>
      </c>
      <c r="AO794" s="161" t="str">
        <f t="shared" ref="AO794:AO845" ca="1" si="1317">IF(COUNTIF($AE794,"*bilans*")&gt;0,L794,IF(OR(COUNTIF($A794,"*zmi*")&gt;0,$AI794=""),"",L794))</f>
        <v/>
      </c>
      <c r="AP794" s="162" t="str">
        <f t="shared" ref="AP794:AP845" ca="1" si="1318">IF(COUNTIF($AE794,"*bilans*")&gt;0,M794,IF(OR(COUNTIF($A794,"*zmi*")&gt;0,$AI794=""),"",M794))</f>
        <v/>
      </c>
      <c r="AQ794" s="163" t="str">
        <f t="shared" ref="AQ794:AQ845" ca="1" si="1319">IF(COUNTIF($AE794,"*bilans*")&gt;0,P794,IF(OR(COUNTIF($A794,"*zmi*")&gt;0,$AI794=""),"",P794))</f>
        <v/>
      </c>
      <c r="AR794" s="164" t="str">
        <f t="shared" ref="AR794:AR845" ca="1" si="1320">IF(COUNTIF($AE794,"*bilans*")&gt;0,Q794,IF(OR(COUNTIF($A794,"*zmi*")&gt;0,$AI794=""),"",Q794))</f>
        <v/>
      </c>
      <c r="AS794" s="164" t="str">
        <f t="shared" ref="AS794:AS845" ca="1" si="1321">IF(COUNTIF($AE794,"*bilans*")&gt;0,R794,IF(OR(COUNTIF($A794,"*zmi*")&gt;0,$AI794=""),"",R794))</f>
        <v/>
      </c>
      <c r="AT794" s="164" t="str">
        <f t="shared" ref="AT794:AT845" ca="1" si="1322">IF(COUNTIF($AE794,"*bilans*")&gt;0,S794,IF(OR(COUNTIF($A794,"*zmi*")&gt;0,$AI794=""),"",S794))</f>
        <v/>
      </c>
      <c r="AU794" s="164" t="str">
        <f t="shared" ref="AU794:AU845" ca="1" si="1323">IF(COUNTIF($AE794,"*bilans*")&gt;0,T794,IF(OR(COUNTIF($A794,"*zmi*")&gt;0,$AI794=""),"",T794))</f>
        <v/>
      </c>
      <c r="AV794" s="164" t="str">
        <f t="shared" ref="AV794:AV845" ca="1" si="1324">IF(COUNTIF($AE794,"*bilans*")&gt;0,U794,IF(OR(COUNTIF($A794,"*zmi*")&gt;0,$AI794=""),"",U794))</f>
        <v/>
      </c>
      <c r="AW794" s="164" t="str">
        <f t="shared" ref="AW794:AW845" ca="1" si="1325">IF(COUNTIF($AE794,"*bilans*")&gt;0,V794,IF(OR(COUNTIF($A794,"*zmi*")&gt;0,$AI794=""),"",V794))</f>
        <v/>
      </c>
      <c r="AX794" s="164" t="str">
        <f t="shared" ref="AX794:AX845" ca="1" si="1326">IF(COUNTIF($AE794,"*bilans*")&gt;0,W794,IF(OR(COUNTIF($A794,"*zmi*")&gt;0,$AI794=""),"",W794))</f>
        <v/>
      </c>
      <c r="AY794" s="164" t="str">
        <f t="shared" ref="AY794:AY845" ca="1" si="1327">IF(COUNTIF($AE794,"*bilans*")&gt;0,X794,IF(OR(COUNTIF($A794,"*zmi*")&gt;0,$AI794=""),"",X794))</f>
        <v/>
      </c>
      <c r="AZ794" s="164" t="str">
        <f t="shared" ref="AZ794:AZ845" ca="1" si="1328">IF(COUNTIF($AE794,"*bilans*")&gt;0,Y794,IF(OR(COUNTIF($A794,"*zmi*")&gt;0,$AI794=""),"",Y794))</f>
        <v/>
      </c>
      <c r="BA794" s="165" t="str">
        <f t="shared" ref="BA794:BA845" ca="1" si="1329">Z794</f>
        <v>nie</v>
      </c>
      <c r="BB794" s="166" t="str">
        <f t="shared" ca="1" si="1279"/>
        <v>-</v>
      </c>
      <c r="BC794" s="165" t="str">
        <f t="shared" ca="1" si="1291"/>
        <v>nie</v>
      </c>
    </row>
    <row r="795" spans="1:55" ht="14.45" hidden="1" customHeight="1" x14ac:dyDescent="0.25">
      <c r="A795" s="493" t="s">
        <v>24</v>
      </c>
      <c r="B795" s="493" t="s">
        <v>26</v>
      </c>
      <c r="C795" s="494" t="s">
        <v>195</v>
      </c>
      <c r="D795" s="505" t="s">
        <v>196</v>
      </c>
      <c r="E795" s="497">
        <v>921</v>
      </c>
      <c r="F795" s="497">
        <v>92116</v>
      </c>
      <c r="G795" s="497">
        <v>6050</v>
      </c>
      <c r="H795" s="507">
        <v>2023</v>
      </c>
      <c r="I795" s="499" t="str">
        <f ca="1">IF(COUNTIF(OFFSET(I795,-1,-8),"*propon*")&gt;0,OFFSET(I795,4,0),IF(Y795&gt;0,"2033",IF(X795&gt;0,"2032",IF(W795&gt;0,"2031",IF(V795&gt;0,"2030",IF(U795&gt;0,"2029",IF(T795&gt;0,"2028",IF(S795&gt;0,"2027",IF(R795&gt;0,"2026",IF(Q795&gt;0,"2025",IF(P795&gt;0,"2024",IF(M795&gt;0,"2023",IF(L795&gt;0,"2022","")))))))))))))</f>
        <v>2025</v>
      </c>
      <c r="J795" s="168" t="s">
        <v>98</v>
      </c>
      <c r="K795" s="169">
        <f>SUM(N795:O795)</f>
        <v>0</v>
      </c>
      <c r="L795" s="170">
        <f t="shared" ref="L795:M795" si="1330">SUM(L796:L797)</f>
        <v>0</v>
      </c>
      <c r="M795" s="171">
        <f t="shared" si="1330"/>
        <v>0</v>
      </c>
      <c r="N795" s="172">
        <f>SUM(L795:M795)</f>
        <v>0</v>
      </c>
      <c r="O795" s="169">
        <f>SUM(P795:Y795)</f>
        <v>0</v>
      </c>
      <c r="P795" s="173">
        <f t="shared" ref="P795:R795" si="1331">SUM(P796:P797)</f>
        <v>0</v>
      </c>
      <c r="Q795" s="171">
        <f t="shared" si="1331"/>
        <v>0</v>
      </c>
      <c r="R795" s="174">
        <f t="shared" si="1331"/>
        <v>0</v>
      </c>
      <c r="S795" s="175">
        <f t="shared" ref="S795:Y795" si="1332">SUM(S796:S797)</f>
        <v>0</v>
      </c>
      <c r="T795" s="171">
        <f t="shared" si="1332"/>
        <v>0</v>
      </c>
      <c r="U795" s="171">
        <f t="shared" si="1332"/>
        <v>0</v>
      </c>
      <c r="V795" s="171">
        <f t="shared" si="1332"/>
        <v>0</v>
      </c>
      <c r="W795" s="171">
        <f t="shared" si="1332"/>
        <v>0</v>
      </c>
      <c r="X795" s="171">
        <f t="shared" si="1332"/>
        <v>0</v>
      </c>
      <c r="Y795" s="174">
        <f t="shared" si="1332"/>
        <v>0</v>
      </c>
      <c r="Z795" s="149" t="str">
        <f t="shared" ca="1" si="1290"/>
        <v>nie</v>
      </c>
      <c r="AA795" s="366"/>
      <c r="AB795" s="150" t="str">
        <f t="shared" ca="1" si="1278"/>
        <v>-</v>
      </c>
      <c r="AC795" s="151" t="str">
        <f t="shared" ca="1" si="1309"/>
        <v>PROPONOWANA ZMIANA</v>
      </c>
      <c r="AD795" s="152" t="str">
        <f t="shared" ca="1" si="1133"/>
        <v>PROPONOWANA ZMIANA</v>
      </c>
      <c r="AE795" s="153" t="str">
        <f t="shared" ca="1" si="1310"/>
        <v>C/USN/VII/P3/11</v>
      </c>
      <c r="AF795" s="154" t="str">
        <f t="shared" ca="1" si="1311"/>
        <v>Adaptacja pomieszczeń dla potrzeb Ursynoteki po przedszkolu przy ul. Polnej Róży</v>
      </c>
      <c r="AG795" s="155">
        <f t="shared" ca="1" si="1312"/>
        <v>92116</v>
      </c>
      <c r="AH795" s="155" t="str">
        <f t="shared" ca="1" si="1313"/>
        <v>6050</v>
      </c>
      <c r="AI795" s="156" t="str">
        <f t="shared" ca="1" si="1314"/>
        <v>GMMW</v>
      </c>
      <c r="AJ795" s="157" t="str">
        <f t="shared" ca="1" si="1315"/>
        <v>WPF, w tym</v>
      </c>
      <c r="AK795" s="158" t="str">
        <f t="shared" ca="1" si="1134"/>
        <v>C/USN/VII/P3/11 92116 6050 GMMW</v>
      </c>
      <c r="AL795" s="158" t="str">
        <f t="shared" ca="1" si="1135"/>
        <v>C/USN/VII/P3/11 92116 6050 WPF, w tym</v>
      </c>
      <c r="AM795" s="159" t="str">
        <f t="shared" ca="1" si="1136"/>
        <v>C/USN/VII/P3/11 92116 6050 GMMW WPF, w tym</v>
      </c>
      <c r="AN795" s="160">
        <f t="shared" ca="1" si="1316"/>
        <v>0</v>
      </c>
      <c r="AO795" s="161">
        <f t="shared" ca="1" si="1317"/>
        <v>0</v>
      </c>
      <c r="AP795" s="162">
        <f t="shared" ca="1" si="1318"/>
        <v>0</v>
      </c>
      <c r="AQ795" s="163">
        <f t="shared" ca="1" si="1319"/>
        <v>0</v>
      </c>
      <c r="AR795" s="164">
        <f t="shared" ca="1" si="1320"/>
        <v>0</v>
      </c>
      <c r="AS795" s="164">
        <f t="shared" ca="1" si="1321"/>
        <v>0</v>
      </c>
      <c r="AT795" s="164">
        <f t="shared" ca="1" si="1322"/>
        <v>0</v>
      </c>
      <c r="AU795" s="164">
        <f t="shared" ca="1" si="1323"/>
        <v>0</v>
      </c>
      <c r="AV795" s="164">
        <f t="shared" ca="1" si="1324"/>
        <v>0</v>
      </c>
      <c r="AW795" s="164">
        <f t="shared" ca="1" si="1325"/>
        <v>0</v>
      </c>
      <c r="AX795" s="164">
        <f t="shared" ca="1" si="1326"/>
        <v>0</v>
      </c>
      <c r="AY795" s="164">
        <f t="shared" ca="1" si="1327"/>
        <v>0</v>
      </c>
      <c r="AZ795" s="164">
        <f t="shared" ca="1" si="1328"/>
        <v>0</v>
      </c>
      <c r="BA795" s="165" t="str">
        <f t="shared" ca="1" si="1329"/>
        <v>nie</v>
      </c>
      <c r="BB795" s="166" t="str">
        <f t="shared" ca="1" si="1279"/>
        <v>-</v>
      </c>
      <c r="BC795" s="165" t="str">
        <f t="shared" ca="1" si="1291"/>
        <v>nie</v>
      </c>
    </row>
    <row r="796" spans="1:55" ht="14.45" hidden="1" customHeight="1" x14ac:dyDescent="0.25">
      <c r="A796" s="493"/>
      <c r="B796" s="493"/>
      <c r="C796" s="494"/>
      <c r="D796" s="506"/>
      <c r="E796" s="497"/>
      <c r="F796" s="497"/>
      <c r="G796" s="497"/>
      <c r="H796" s="498"/>
      <c r="I796" s="499"/>
      <c r="J796" s="177" t="s">
        <v>99</v>
      </c>
      <c r="K796" s="178">
        <f>SUM(N796:O796)</f>
        <v>0</v>
      </c>
      <c r="L796" s="179">
        <f t="shared" ref="L796:M796" si="1333">L800-L792</f>
        <v>0</v>
      </c>
      <c r="M796" s="180">
        <f t="shared" si="1333"/>
        <v>0</v>
      </c>
      <c r="N796" s="172">
        <f>SUM(L796:M796)</f>
        <v>0</v>
      </c>
      <c r="O796" s="178">
        <f>SUM(P796:Y796)</f>
        <v>0</v>
      </c>
      <c r="P796" s="181">
        <f t="shared" ref="P796:R796" si="1334">P800-P792</f>
        <v>0</v>
      </c>
      <c r="Q796" s="180">
        <f t="shared" si="1334"/>
        <v>0</v>
      </c>
      <c r="R796" s="182">
        <f t="shared" si="1334"/>
        <v>0</v>
      </c>
      <c r="S796" s="183">
        <f t="shared" ref="S796:Y797" si="1335">S800-S792</f>
        <v>0</v>
      </c>
      <c r="T796" s="180">
        <f t="shared" si="1335"/>
        <v>0</v>
      </c>
      <c r="U796" s="180">
        <f t="shared" si="1335"/>
        <v>0</v>
      </c>
      <c r="V796" s="180">
        <f t="shared" si="1335"/>
        <v>0</v>
      </c>
      <c r="W796" s="180">
        <f t="shared" si="1335"/>
        <v>0</v>
      </c>
      <c r="X796" s="180">
        <f t="shared" si="1335"/>
        <v>0</v>
      </c>
      <c r="Y796" s="182">
        <f t="shared" si="1335"/>
        <v>0</v>
      </c>
      <c r="Z796" s="149" t="str">
        <f t="shared" ca="1" si="1290"/>
        <v>nie</v>
      </c>
      <c r="AA796" s="366"/>
      <c r="AB796" s="150" t="str">
        <f t="shared" ca="1" si="1278"/>
        <v>-</v>
      </c>
      <c r="AC796" s="151" t="str">
        <f t="shared" ca="1" si="1309"/>
        <v>PROPONOWANA ZMIANA</v>
      </c>
      <c r="AD796" s="152" t="str">
        <f t="shared" ca="1" si="1133"/>
        <v>PROPONOWANA ZMIANA</v>
      </c>
      <c r="AE796" s="153" t="str">
        <f t="shared" ca="1" si="1310"/>
        <v>C/USN/VII/P3/11</v>
      </c>
      <c r="AF796" s="154" t="str">
        <f t="shared" ca="1" si="1311"/>
        <v>Adaptacja pomieszczeń dla potrzeb Ursynoteki po przedszkolu przy ul. Polnej Róży</v>
      </c>
      <c r="AG796" s="155">
        <f t="shared" ca="1" si="1312"/>
        <v>92116</v>
      </c>
      <c r="AH796" s="155" t="str">
        <f t="shared" ca="1" si="1313"/>
        <v>6050</v>
      </c>
      <c r="AI796" s="156" t="str">
        <f t="shared" ca="1" si="1314"/>
        <v>GMMW</v>
      </c>
      <c r="AJ796" s="157" t="str">
        <f t="shared" ca="1" si="1315"/>
        <v>WPF/PM</v>
      </c>
      <c r="AK796" s="158" t="str">
        <f t="shared" ca="1" si="1134"/>
        <v>C/USN/VII/P3/11 92116 6050 GMMW</v>
      </c>
      <c r="AL796" s="158" t="str">
        <f t="shared" ca="1" si="1135"/>
        <v>C/USN/VII/P3/11 92116 6050 WPF/PM</v>
      </c>
      <c r="AM796" s="159" t="str">
        <f t="shared" ca="1" si="1136"/>
        <v>C/USN/VII/P3/11 92116 6050 GMMW WPF/PM</v>
      </c>
      <c r="AN796" s="160">
        <f t="shared" ca="1" si="1316"/>
        <v>0</v>
      </c>
      <c r="AO796" s="161">
        <f t="shared" ca="1" si="1317"/>
        <v>0</v>
      </c>
      <c r="AP796" s="162">
        <f t="shared" ca="1" si="1318"/>
        <v>0</v>
      </c>
      <c r="AQ796" s="163">
        <f t="shared" ca="1" si="1319"/>
        <v>0</v>
      </c>
      <c r="AR796" s="164">
        <f t="shared" ca="1" si="1320"/>
        <v>0</v>
      </c>
      <c r="AS796" s="164">
        <f t="shared" ca="1" si="1321"/>
        <v>0</v>
      </c>
      <c r="AT796" s="164">
        <f t="shared" ca="1" si="1322"/>
        <v>0</v>
      </c>
      <c r="AU796" s="164">
        <f t="shared" ca="1" si="1323"/>
        <v>0</v>
      </c>
      <c r="AV796" s="164">
        <f t="shared" ca="1" si="1324"/>
        <v>0</v>
      </c>
      <c r="AW796" s="164">
        <f t="shared" ca="1" si="1325"/>
        <v>0</v>
      </c>
      <c r="AX796" s="164">
        <f t="shared" ca="1" si="1326"/>
        <v>0</v>
      </c>
      <c r="AY796" s="164">
        <f t="shared" ca="1" si="1327"/>
        <v>0</v>
      </c>
      <c r="AZ796" s="164">
        <f t="shared" ca="1" si="1328"/>
        <v>0</v>
      </c>
      <c r="BA796" s="165" t="str">
        <f t="shared" ca="1" si="1329"/>
        <v>nie</v>
      </c>
      <c r="BB796" s="166" t="str">
        <f t="shared" ca="1" si="1279"/>
        <v>-</v>
      </c>
      <c r="BC796" s="165" t="str">
        <f t="shared" ca="1" si="1291"/>
        <v>nie</v>
      </c>
    </row>
    <row r="797" spans="1:55" ht="14.45" hidden="1" customHeight="1" x14ac:dyDescent="0.25">
      <c r="A797" s="493"/>
      <c r="B797" s="493"/>
      <c r="C797" s="494"/>
      <c r="D797" s="506"/>
      <c r="E797" s="497"/>
      <c r="F797" s="497"/>
      <c r="G797" s="497"/>
      <c r="H797" s="498"/>
      <c r="I797" s="499"/>
      <c r="J797" s="177" t="s">
        <v>100</v>
      </c>
      <c r="K797" s="178">
        <f>SUM(N797:O797)</f>
        <v>0</v>
      </c>
      <c r="L797" s="179">
        <f t="shared" ref="L797:M797" si="1336">L801-L793</f>
        <v>0</v>
      </c>
      <c r="M797" s="180">
        <f t="shared" si="1336"/>
        <v>0</v>
      </c>
      <c r="N797" s="172">
        <f>SUM(L797:M797)</f>
        <v>0</v>
      </c>
      <c r="O797" s="178">
        <f>SUM(P797:Y797)</f>
        <v>0</v>
      </c>
      <c r="P797" s="181">
        <f t="shared" ref="P797:R797" si="1337">P801-P793</f>
        <v>0</v>
      </c>
      <c r="Q797" s="180">
        <f t="shared" si="1337"/>
        <v>0</v>
      </c>
      <c r="R797" s="182">
        <f t="shared" si="1337"/>
        <v>0</v>
      </c>
      <c r="S797" s="183">
        <f t="shared" si="1335"/>
        <v>0</v>
      </c>
      <c r="T797" s="180">
        <f t="shared" si="1335"/>
        <v>0</v>
      </c>
      <c r="U797" s="180">
        <f t="shared" si="1335"/>
        <v>0</v>
      </c>
      <c r="V797" s="180">
        <f t="shared" si="1335"/>
        <v>0</v>
      </c>
      <c r="W797" s="180">
        <f t="shared" si="1335"/>
        <v>0</v>
      </c>
      <c r="X797" s="180">
        <f t="shared" si="1335"/>
        <v>0</v>
      </c>
      <c r="Y797" s="182">
        <f t="shared" si="1335"/>
        <v>0</v>
      </c>
      <c r="Z797" s="149" t="str">
        <f t="shared" ca="1" si="1290"/>
        <v>nie</v>
      </c>
      <c r="AA797" s="366"/>
      <c r="AB797" s="150" t="str">
        <f t="shared" ca="1" si="1278"/>
        <v>-</v>
      </c>
      <c r="AC797" s="151" t="str">
        <f t="shared" ca="1" si="1309"/>
        <v>PROPONOWANA ZMIANA</v>
      </c>
      <c r="AD797" s="152" t="str">
        <f t="shared" ca="1" si="1133"/>
        <v>PROPONOWANA ZMIANA</v>
      </c>
      <c r="AE797" s="153" t="str">
        <f t="shared" ca="1" si="1310"/>
        <v>C/USN/VII/P3/11</v>
      </c>
      <c r="AF797" s="154" t="str">
        <f t="shared" ca="1" si="1311"/>
        <v>Adaptacja pomieszczeń dla potrzeb Ursynoteki po przedszkolu przy ul. Polnej Róży</v>
      </c>
      <c r="AG797" s="155">
        <f t="shared" ca="1" si="1312"/>
        <v>92116</v>
      </c>
      <c r="AH797" s="155" t="str">
        <f t="shared" ca="1" si="1313"/>
        <v>6050</v>
      </c>
      <c r="AI797" s="156" t="str">
        <f t="shared" ca="1" si="1314"/>
        <v>GMMW</v>
      </c>
      <c r="AJ797" s="157" t="str">
        <f t="shared" ca="1" si="1315"/>
        <v>WPF/UM</v>
      </c>
      <c r="AK797" s="158" t="str">
        <f t="shared" ca="1" si="1134"/>
        <v>C/USN/VII/P3/11 92116 6050 GMMW</v>
      </c>
      <c r="AL797" s="158" t="str">
        <f t="shared" ca="1" si="1135"/>
        <v>C/USN/VII/P3/11 92116 6050 WPF/UM</v>
      </c>
      <c r="AM797" s="159" t="str">
        <f t="shared" ca="1" si="1136"/>
        <v>C/USN/VII/P3/11 92116 6050 GMMW WPF/UM</v>
      </c>
      <c r="AN797" s="160">
        <f t="shared" ca="1" si="1316"/>
        <v>0</v>
      </c>
      <c r="AO797" s="161">
        <f t="shared" ca="1" si="1317"/>
        <v>0</v>
      </c>
      <c r="AP797" s="162">
        <f t="shared" ca="1" si="1318"/>
        <v>0</v>
      </c>
      <c r="AQ797" s="163">
        <f t="shared" ca="1" si="1319"/>
        <v>0</v>
      </c>
      <c r="AR797" s="164">
        <f t="shared" ca="1" si="1320"/>
        <v>0</v>
      </c>
      <c r="AS797" s="164">
        <f t="shared" ca="1" si="1321"/>
        <v>0</v>
      </c>
      <c r="AT797" s="164">
        <f t="shared" ca="1" si="1322"/>
        <v>0</v>
      </c>
      <c r="AU797" s="164">
        <f t="shared" ca="1" si="1323"/>
        <v>0</v>
      </c>
      <c r="AV797" s="164">
        <f t="shared" ca="1" si="1324"/>
        <v>0</v>
      </c>
      <c r="AW797" s="164">
        <f t="shared" ca="1" si="1325"/>
        <v>0</v>
      </c>
      <c r="AX797" s="164">
        <f t="shared" ca="1" si="1326"/>
        <v>0</v>
      </c>
      <c r="AY797" s="164">
        <f t="shared" ca="1" si="1327"/>
        <v>0</v>
      </c>
      <c r="AZ797" s="164">
        <f t="shared" ca="1" si="1328"/>
        <v>0</v>
      </c>
      <c r="BA797" s="165" t="str">
        <f t="shared" ca="1" si="1329"/>
        <v>nie</v>
      </c>
      <c r="BB797" s="166" t="str">
        <f t="shared" ca="1" si="1279"/>
        <v>-</v>
      </c>
      <c r="BC797" s="165" t="str">
        <f t="shared" ca="1" si="1291"/>
        <v>nie</v>
      </c>
    </row>
    <row r="798" spans="1:55" ht="14.45" hidden="1" customHeight="1" x14ac:dyDescent="0.25">
      <c r="A798" s="191" t="s">
        <v>101</v>
      </c>
      <c r="B798" s="192"/>
      <c r="C798" s="193"/>
      <c r="D798" s="192"/>
      <c r="E798" s="192"/>
      <c r="F798" s="192"/>
      <c r="G798" s="192"/>
      <c r="H798" s="192"/>
      <c r="I798" s="192"/>
      <c r="J798" s="192"/>
      <c r="K798" s="192"/>
      <c r="L798" s="192"/>
      <c r="M798" s="192"/>
      <c r="N798" s="192"/>
      <c r="O798" s="192"/>
      <c r="P798" s="192"/>
      <c r="Q798" s="192"/>
      <c r="R798" s="194"/>
      <c r="S798" s="195"/>
      <c r="T798" s="195"/>
      <c r="U798" s="195"/>
      <c r="V798" s="195"/>
      <c r="W798" s="195"/>
      <c r="X798" s="195"/>
      <c r="Y798" s="196"/>
      <c r="Z798" s="149" t="str">
        <f t="shared" ca="1" si="1290"/>
        <v>nie</v>
      </c>
      <c r="AA798" s="366"/>
      <c r="AB798" s="150" t="str">
        <f t="shared" ca="1" si="1278"/>
        <v>-</v>
      </c>
      <c r="AC798" s="151" t="str">
        <f t="shared" ca="1" si="1309"/>
        <v>PO ZMIANIE</v>
      </c>
      <c r="AD798" s="152" t="str">
        <f t="shared" ca="1" si="1133"/>
        <v/>
      </c>
      <c r="AE798" s="153" t="str">
        <f t="shared" ca="1" si="1310"/>
        <v/>
      </c>
      <c r="AF798" s="154" t="str">
        <f t="shared" ca="1" si="1311"/>
        <v/>
      </c>
      <c r="AG798" s="155" t="str">
        <f t="shared" ca="1" si="1312"/>
        <v/>
      </c>
      <c r="AH798" s="155" t="str">
        <f t="shared" ca="1" si="1313"/>
        <v/>
      </c>
      <c r="AI798" s="156" t="str">
        <f t="shared" ca="1" si="1314"/>
        <v/>
      </c>
      <c r="AJ798" s="157" t="str">
        <f t="shared" ca="1" si="1315"/>
        <v/>
      </c>
      <c r="AK798" s="158" t="str">
        <f t="shared" ca="1" si="1134"/>
        <v/>
      </c>
      <c r="AL798" s="158" t="str">
        <f t="shared" ca="1" si="1135"/>
        <v/>
      </c>
      <c r="AM798" s="159" t="str">
        <f t="shared" ca="1" si="1136"/>
        <v/>
      </c>
      <c r="AN798" s="160" t="str">
        <f t="shared" ca="1" si="1316"/>
        <v/>
      </c>
      <c r="AO798" s="161" t="str">
        <f t="shared" ca="1" si="1317"/>
        <v/>
      </c>
      <c r="AP798" s="162" t="str">
        <f t="shared" ca="1" si="1318"/>
        <v/>
      </c>
      <c r="AQ798" s="163" t="str">
        <f t="shared" ca="1" si="1319"/>
        <v/>
      </c>
      <c r="AR798" s="164" t="str">
        <f t="shared" ca="1" si="1320"/>
        <v/>
      </c>
      <c r="AS798" s="164" t="str">
        <f t="shared" ca="1" si="1321"/>
        <v/>
      </c>
      <c r="AT798" s="164" t="str">
        <f t="shared" ca="1" si="1322"/>
        <v/>
      </c>
      <c r="AU798" s="164" t="str">
        <f t="shared" ca="1" si="1323"/>
        <v/>
      </c>
      <c r="AV798" s="164" t="str">
        <f t="shared" ca="1" si="1324"/>
        <v/>
      </c>
      <c r="AW798" s="164" t="str">
        <f t="shared" ca="1" si="1325"/>
        <v/>
      </c>
      <c r="AX798" s="164" t="str">
        <f t="shared" ca="1" si="1326"/>
        <v/>
      </c>
      <c r="AY798" s="164" t="str">
        <f t="shared" ca="1" si="1327"/>
        <v/>
      </c>
      <c r="AZ798" s="164" t="str">
        <f t="shared" ca="1" si="1328"/>
        <v/>
      </c>
      <c r="BA798" s="165" t="str">
        <f t="shared" ca="1" si="1329"/>
        <v>nie</v>
      </c>
      <c r="BB798" s="166" t="str">
        <f t="shared" ca="1" si="1279"/>
        <v>-</v>
      </c>
      <c r="BC798" s="165" t="str">
        <f t="shared" ca="1" si="1291"/>
        <v>nie</v>
      </c>
    </row>
    <row r="799" spans="1:55" ht="14.45" hidden="1" customHeight="1" x14ac:dyDescent="0.25">
      <c r="A799" s="493" t="s">
        <v>24</v>
      </c>
      <c r="B799" s="493" t="s">
        <v>26</v>
      </c>
      <c r="C799" s="494" t="s">
        <v>195</v>
      </c>
      <c r="D799" s="505" t="s">
        <v>196</v>
      </c>
      <c r="E799" s="497">
        <v>921</v>
      </c>
      <c r="F799" s="497">
        <v>92116</v>
      </c>
      <c r="G799" s="497">
        <v>6050</v>
      </c>
      <c r="H799" s="507">
        <v>2023</v>
      </c>
      <c r="I799" s="499" t="str">
        <f ca="1">IF(COUNTIF(OFFSET(I799,-1,-8),"*propon*")&gt;0,OFFSET(I799,4,0),IF(Y799&gt;0,"2033",IF(X799&gt;0,"2032",IF(W799&gt;0,"2031",IF(V799&gt;0,"2030",IF(U799&gt;0,"2029",IF(T799&gt;0,"2028",IF(S799&gt;0,"2027",IF(R799&gt;0,"2026",IF(Q799&gt;0,"2025",IF(P799&gt;0,"2024",IF(M799&gt;0,"2023",IF(L799&gt;0,"2022","")))))))))))))</f>
        <v>2025</v>
      </c>
      <c r="J799" s="168" t="s">
        <v>102</v>
      </c>
      <c r="K799" s="169">
        <f>SUM(N799:O799)</f>
        <v>2717350</v>
      </c>
      <c r="L799" s="170">
        <f t="shared" ref="L799:M799" si="1338">SUM(L800:L801)</f>
        <v>0</v>
      </c>
      <c r="M799" s="171">
        <f t="shared" si="1338"/>
        <v>0</v>
      </c>
      <c r="N799" s="172">
        <f>SUM(L799:M799)</f>
        <v>0</v>
      </c>
      <c r="O799" s="169">
        <f>SUM(P799:Y799)</f>
        <v>2717350</v>
      </c>
      <c r="P799" s="173">
        <f t="shared" ref="P799:R799" si="1339">SUM(P800:P801)</f>
        <v>2700000</v>
      </c>
      <c r="Q799" s="171">
        <f t="shared" si="1339"/>
        <v>17350</v>
      </c>
      <c r="R799" s="174">
        <f t="shared" si="1339"/>
        <v>0</v>
      </c>
      <c r="S799" s="175">
        <f t="shared" ref="S799:Y799" si="1340">SUM(S800:S801)</f>
        <v>0</v>
      </c>
      <c r="T799" s="171">
        <f t="shared" si="1340"/>
        <v>0</v>
      </c>
      <c r="U799" s="171">
        <f t="shared" si="1340"/>
        <v>0</v>
      </c>
      <c r="V799" s="171">
        <f t="shared" si="1340"/>
        <v>0</v>
      </c>
      <c r="W799" s="171">
        <f t="shared" si="1340"/>
        <v>0</v>
      </c>
      <c r="X799" s="171">
        <f t="shared" si="1340"/>
        <v>0</v>
      </c>
      <c r="Y799" s="174">
        <f t="shared" si="1340"/>
        <v>0</v>
      </c>
      <c r="Z799" s="149" t="str">
        <f t="shared" ca="1" si="1290"/>
        <v>nie</v>
      </c>
      <c r="AA799" s="366"/>
      <c r="AB799" s="150" t="str">
        <f t="shared" ca="1" si="1278"/>
        <v>-</v>
      </c>
      <c r="AC799" s="151" t="str">
        <f t="shared" ca="1" si="1309"/>
        <v>PO ZMIANIE</v>
      </c>
      <c r="AD799" s="152" t="str">
        <f t="shared" ca="1" si="1133"/>
        <v>PO ZMIANIE</v>
      </c>
      <c r="AE799" s="153" t="str">
        <f t="shared" ca="1" si="1310"/>
        <v>C/USN/VII/P3/11</v>
      </c>
      <c r="AF799" s="154" t="str">
        <f t="shared" ca="1" si="1311"/>
        <v>Adaptacja pomieszczeń dla potrzeb Ursynoteki po przedszkolu przy ul. Polnej Róży</v>
      </c>
      <c r="AG799" s="155">
        <f t="shared" ca="1" si="1312"/>
        <v>92116</v>
      </c>
      <c r="AH799" s="155" t="str">
        <f t="shared" ca="1" si="1313"/>
        <v>6050</v>
      </c>
      <c r="AI799" s="156" t="str">
        <f t="shared" ca="1" si="1314"/>
        <v>GMMW</v>
      </c>
      <c r="AJ799" s="157" t="str">
        <f t="shared" ca="1" si="1315"/>
        <v>WPF, w tym</v>
      </c>
      <c r="AK799" s="158" t="str">
        <f t="shared" ca="1" si="1134"/>
        <v>C/USN/VII/P3/11 92116 6050 GMMW</v>
      </c>
      <c r="AL799" s="158" t="str">
        <f t="shared" ca="1" si="1135"/>
        <v>C/USN/VII/P3/11 92116 6050 WPF, w tym</v>
      </c>
      <c r="AM799" s="159" t="str">
        <f t="shared" ca="1" si="1136"/>
        <v>C/USN/VII/P3/11 92116 6050 GMMW WPF, w tym</v>
      </c>
      <c r="AN799" s="160">
        <f t="shared" ca="1" si="1316"/>
        <v>2717350</v>
      </c>
      <c r="AO799" s="161">
        <f t="shared" ca="1" si="1317"/>
        <v>0</v>
      </c>
      <c r="AP799" s="162">
        <f t="shared" ca="1" si="1318"/>
        <v>0</v>
      </c>
      <c r="AQ799" s="163">
        <f t="shared" ca="1" si="1319"/>
        <v>2700000</v>
      </c>
      <c r="AR799" s="164">
        <f t="shared" ca="1" si="1320"/>
        <v>17350</v>
      </c>
      <c r="AS799" s="164">
        <f t="shared" ca="1" si="1321"/>
        <v>0</v>
      </c>
      <c r="AT799" s="164">
        <f t="shared" ca="1" si="1322"/>
        <v>0</v>
      </c>
      <c r="AU799" s="164">
        <f t="shared" ca="1" si="1323"/>
        <v>0</v>
      </c>
      <c r="AV799" s="164">
        <f t="shared" ca="1" si="1324"/>
        <v>0</v>
      </c>
      <c r="AW799" s="164">
        <f t="shared" ca="1" si="1325"/>
        <v>0</v>
      </c>
      <c r="AX799" s="164">
        <f t="shared" ca="1" si="1326"/>
        <v>0</v>
      </c>
      <c r="AY799" s="164">
        <f t="shared" ca="1" si="1327"/>
        <v>0</v>
      </c>
      <c r="AZ799" s="164">
        <f t="shared" ca="1" si="1328"/>
        <v>0</v>
      </c>
      <c r="BA799" s="165" t="str">
        <f t="shared" ca="1" si="1329"/>
        <v>nie</v>
      </c>
      <c r="BB799" s="166" t="str">
        <f t="shared" ca="1" si="1279"/>
        <v>-</v>
      </c>
      <c r="BC799" s="165" t="str">
        <f t="shared" ca="1" si="1291"/>
        <v>nie</v>
      </c>
    </row>
    <row r="800" spans="1:55" ht="14.45" hidden="1" customHeight="1" x14ac:dyDescent="0.25">
      <c r="A800" s="493"/>
      <c r="B800" s="493"/>
      <c r="C800" s="494"/>
      <c r="D800" s="506"/>
      <c r="E800" s="497"/>
      <c r="F800" s="497"/>
      <c r="G800" s="497"/>
      <c r="H800" s="498"/>
      <c r="I800" s="499"/>
      <c r="J800" s="177" t="s">
        <v>103</v>
      </c>
      <c r="K800" s="178">
        <f>SUM(N800:O800)</f>
        <v>2717350</v>
      </c>
      <c r="L800" s="179"/>
      <c r="M800" s="180"/>
      <c r="N800" s="172">
        <f>SUM(L800:M800)</f>
        <v>0</v>
      </c>
      <c r="O800" s="178">
        <f>SUM(P800:Y800)</f>
        <v>2717350</v>
      </c>
      <c r="P800" s="181">
        <f>2000000+700000</f>
        <v>2700000</v>
      </c>
      <c r="Q800" s="180">
        <f>17350</f>
        <v>17350</v>
      </c>
      <c r="R800" s="182"/>
      <c r="S800" s="183"/>
      <c r="T800" s="180"/>
      <c r="U800" s="180"/>
      <c r="V800" s="180"/>
      <c r="W800" s="180"/>
      <c r="X800" s="180"/>
      <c r="Y800" s="182"/>
      <c r="Z800" s="149" t="str">
        <f t="shared" ca="1" si="1290"/>
        <v>nie</v>
      </c>
      <c r="AA800" s="384"/>
      <c r="AB800" s="150" t="str">
        <f t="shared" ca="1" si="1278"/>
        <v>-</v>
      </c>
      <c r="AC800" s="151" t="str">
        <f t="shared" ca="1" si="1309"/>
        <v>PO ZMIANIE</v>
      </c>
      <c r="AD800" s="152" t="str">
        <f t="shared" ca="1" si="1133"/>
        <v>PO ZMIANIE</v>
      </c>
      <c r="AE800" s="153" t="str">
        <f t="shared" ca="1" si="1310"/>
        <v>C/USN/VII/P3/11</v>
      </c>
      <c r="AF800" s="154" t="str">
        <f t="shared" ca="1" si="1311"/>
        <v>Adaptacja pomieszczeń dla potrzeb Ursynoteki po przedszkolu przy ul. Polnej Róży</v>
      </c>
      <c r="AG800" s="155">
        <f t="shared" ca="1" si="1312"/>
        <v>92116</v>
      </c>
      <c r="AH800" s="155" t="str">
        <f t="shared" ca="1" si="1313"/>
        <v>6050</v>
      </c>
      <c r="AI800" s="156" t="str">
        <f t="shared" ca="1" si="1314"/>
        <v>GMMW</v>
      </c>
      <c r="AJ800" s="157" t="str">
        <f t="shared" ca="1" si="1315"/>
        <v>WPF/PM</v>
      </c>
      <c r="AK800" s="158" t="str">
        <f t="shared" ca="1" si="1134"/>
        <v>C/USN/VII/P3/11 92116 6050 GMMW</v>
      </c>
      <c r="AL800" s="158" t="str">
        <f t="shared" ca="1" si="1135"/>
        <v>C/USN/VII/P3/11 92116 6050 WPF/PM</v>
      </c>
      <c r="AM800" s="159" t="str">
        <f t="shared" ca="1" si="1136"/>
        <v>C/USN/VII/P3/11 92116 6050 GMMW WPF/PM</v>
      </c>
      <c r="AN800" s="160">
        <f t="shared" ca="1" si="1316"/>
        <v>2717350</v>
      </c>
      <c r="AO800" s="161">
        <f t="shared" ca="1" si="1317"/>
        <v>0</v>
      </c>
      <c r="AP800" s="162">
        <f t="shared" ca="1" si="1318"/>
        <v>0</v>
      </c>
      <c r="AQ800" s="163">
        <f t="shared" ca="1" si="1319"/>
        <v>2700000</v>
      </c>
      <c r="AR800" s="164">
        <f t="shared" ca="1" si="1320"/>
        <v>17350</v>
      </c>
      <c r="AS800" s="164">
        <f t="shared" ca="1" si="1321"/>
        <v>0</v>
      </c>
      <c r="AT800" s="164">
        <f t="shared" ca="1" si="1322"/>
        <v>0</v>
      </c>
      <c r="AU800" s="164">
        <f t="shared" ca="1" si="1323"/>
        <v>0</v>
      </c>
      <c r="AV800" s="164">
        <f t="shared" ca="1" si="1324"/>
        <v>0</v>
      </c>
      <c r="AW800" s="164">
        <f t="shared" ca="1" si="1325"/>
        <v>0</v>
      </c>
      <c r="AX800" s="164">
        <f t="shared" ca="1" si="1326"/>
        <v>0</v>
      </c>
      <c r="AY800" s="164">
        <f t="shared" ca="1" si="1327"/>
        <v>0</v>
      </c>
      <c r="AZ800" s="164">
        <f t="shared" ca="1" si="1328"/>
        <v>0</v>
      </c>
      <c r="BA800" s="165" t="str">
        <f t="shared" ca="1" si="1329"/>
        <v>nie</v>
      </c>
      <c r="BB800" s="166" t="str">
        <f t="shared" ca="1" si="1279"/>
        <v>-</v>
      </c>
      <c r="BC800" s="165" t="str">
        <f t="shared" ca="1" si="1291"/>
        <v>nie</v>
      </c>
    </row>
    <row r="801" spans="1:55" ht="14.45" hidden="1" customHeight="1" thickBot="1" x14ac:dyDescent="0.3">
      <c r="A801" s="500"/>
      <c r="B801" s="500"/>
      <c r="C801" s="501"/>
      <c r="D801" s="513"/>
      <c r="E801" s="503"/>
      <c r="F801" s="503"/>
      <c r="G801" s="503"/>
      <c r="H801" s="504"/>
      <c r="I801" s="499"/>
      <c r="J801" s="197" t="s">
        <v>104</v>
      </c>
      <c r="K801" s="198">
        <f>SUM(N801:O801)</f>
        <v>0</v>
      </c>
      <c r="L801" s="199"/>
      <c r="M801" s="200"/>
      <c r="N801" s="371">
        <f>SUM(L801:M801)</f>
        <v>0</v>
      </c>
      <c r="O801" s="198">
        <f>SUM(P801:Y801)</f>
        <v>0</v>
      </c>
      <c r="P801" s="201"/>
      <c r="Q801" s="200"/>
      <c r="R801" s="202"/>
      <c r="S801" s="203"/>
      <c r="T801" s="200"/>
      <c r="U801" s="200"/>
      <c r="V801" s="200"/>
      <c r="W801" s="200"/>
      <c r="X801" s="200"/>
      <c r="Y801" s="202"/>
      <c r="Z801" s="149" t="str">
        <f t="shared" ca="1" si="1290"/>
        <v>nie</v>
      </c>
      <c r="AA801" s="384"/>
      <c r="AB801" s="150" t="str">
        <f t="shared" ca="1" si="1278"/>
        <v>-</v>
      </c>
      <c r="AC801" s="151" t="str">
        <f t="shared" ca="1" si="1309"/>
        <v>PO ZMIANIE</v>
      </c>
      <c r="AD801" s="152" t="str">
        <f t="shared" ca="1" si="1133"/>
        <v>PO ZMIANIE</v>
      </c>
      <c r="AE801" s="153" t="str">
        <f t="shared" ca="1" si="1310"/>
        <v>C/USN/VII/P3/11</v>
      </c>
      <c r="AF801" s="154" t="str">
        <f t="shared" ca="1" si="1311"/>
        <v>Adaptacja pomieszczeń dla potrzeb Ursynoteki po przedszkolu przy ul. Polnej Róży</v>
      </c>
      <c r="AG801" s="155">
        <f t="shared" ca="1" si="1312"/>
        <v>92116</v>
      </c>
      <c r="AH801" s="155" t="str">
        <f t="shared" ca="1" si="1313"/>
        <v>6050</v>
      </c>
      <c r="AI801" s="156" t="str">
        <f t="shared" ca="1" si="1314"/>
        <v>GMMW</v>
      </c>
      <c r="AJ801" s="157" t="str">
        <f t="shared" ca="1" si="1315"/>
        <v>WPF/UM</v>
      </c>
      <c r="AK801" s="158" t="str">
        <f t="shared" ca="1" si="1134"/>
        <v>C/USN/VII/P3/11 92116 6050 GMMW</v>
      </c>
      <c r="AL801" s="158" t="str">
        <f t="shared" ca="1" si="1135"/>
        <v>C/USN/VII/P3/11 92116 6050 WPF/UM</v>
      </c>
      <c r="AM801" s="159" t="str">
        <f t="shared" ca="1" si="1136"/>
        <v>C/USN/VII/P3/11 92116 6050 GMMW WPF/UM</v>
      </c>
      <c r="AN801" s="160">
        <f t="shared" ca="1" si="1316"/>
        <v>0</v>
      </c>
      <c r="AO801" s="161">
        <f t="shared" ca="1" si="1317"/>
        <v>0</v>
      </c>
      <c r="AP801" s="162">
        <f t="shared" ca="1" si="1318"/>
        <v>0</v>
      </c>
      <c r="AQ801" s="163">
        <f t="shared" ca="1" si="1319"/>
        <v>0</v>
      </c>
      <c r="AR801" s="164">
        <f t="shared" ca="1" si="1320"/>
        <v>0</v>
      </c>
      <c r="AS801" s="164">
        <f t="shared" ca="1" si="1321"/>
        <v>0</v>
      </c>
      <c r="AT801" s="164">
        <f t="shared" ca="1" si="1322"/>
        <v>0</v>
      </c>
      <c r="AU801" s="164">
        <f t="shared" ca="1" si="1323"/>
        <v>0</v>
      </c>
      <c r="AV801" s="164">
        <f t="shared" ca="1" si="1324"/>
        <v>0</v>
      </c>
      <c r="AW801" s="164">
        <f t="shared" ca="1" si="1325"/>
        <v>0</v>
      </c>
      <c r="AX801" s="164">
        <f t="shared" ca="1" si="1326"/>
        <v>0</v>
      </c>
      <c r="AY801" s="164">
        <f t="shared" ca="1" si="1327"/>
        <v>0</v>
      </c>
      <c r="AZ801" s="164">
        <f t="shared" ca="1" si="1328"/>
        <v>0</v>
      </c>
      <c r="BA801" s="165" t="str">
        <f t="shared" ca="1" si="1329"/>
        <v>nie</v>
      </c>
      <c r="BB801" s="166" t="str">
        <f t="shared" ca="1" si="1279"/>
        <v>-</v>
      </c>
      <c r="BC801" s="165" t="str">
        <f t="shared" ca="1" si="1291"/>
        <v>nie</v>
      </c>
    </row>
    <row r="802" spans="1:55" ht="14.45" hidden="1" customHeight="1" x14ac:dyDescent="0.25">
      <c r="A802" s="143" t="s">
        <v>91</v>
      </c>
      <c r="B802" s="144"/>
      <c r="C802" s="145"/>
      <c r="D802" s="144"/>
      <c r="E802" s="144"/>
      <c r="F802" s="144"/>
      <c r="G802" s="144"/>
      <c r="H802" s="144"/>
      <c r="I802" s="144"/>
      <c r="J802" s="144"/>
      <c r="K802" s="144"/>
      <c r="L802" s="144"/>
      <c r="M802" s="144"/>
      <c r="N802" s="144"/>
      <c r="O802" s="144"/>
      <c r="P802" s="144"/>
      <c r="Q802" s="144"/>
      <c r="R802" s="146"/>
      <c r="S802" s="147"/>
      <c r="T802" s="147"/>
      <c r="U802" s="147"/>
      <c r="V802" s="147"/>
      <c r="W802" s="147"/>
      <c r="X802" s="147"/>
      <c r="Y802" s="148"/>
      <c r="Z802" s="149" t="str">
        <f t="shared" ca="1" si="1290"/>
        <v>nie</v>
      </c>
      <c r="AA802" s="366"/>
      <c r="AB802" s="150" t="str">
        <f t="shared" ref="AB802:AB813" ca="1" si="1341">IF(IF(OR(COUNTIF(AD802,"*bilans*")&gt;0,COUNTIF(AD802,"*prop*")&gt;0),COUNTIF(AO802:AZ802,"")+COUNTIF(AO802:AZ802,"0"),"")&lt;12,AE802,"-")</f>
        <v>-</v>
      </c>
      <c r="AC802" s="151" t="str">
        <f t="shared" ca="1" si="1309"/>
        <v>PRZED ZMIANĄ</v>
      </c>
      <c r="AD802" s="152" t="str">
        <f t="shared" ref="AD802:AD813" ca="1" si="1342">IF(AE802="","",AC802)</f>
        <v/>
      </c>
      <c r="AE802" s="153" t="str">
        <f t="shared" ca="1" si="1310"/>
        <v/>
      </c>
      <c r="AF802" s="154" t="str">
        <f t="shared" ca="1" si="1311"/>
        <v/>
      </c>
      <c r="AG802" s="155" t="str">
        <f t="shared" ca="1" si="1312"/>
        <v/>
      </c>
      <c r="AH802" s="155" t="str">
        <f t="shared" ca="1" si="1313"/>
        <v/>
      </c>
      <c r="AI802" s="156" t="str">
        <f t="shared" ca="1" si="1314"/>
        <v/>
      </c>
      <c r="AJ802" s="157" t="str">
        <f t="shared" ca="1" si="1315"/>
        <v/>
      </c>
      <c r="AK802" s="158" t="str">
        <f t="shared" ref="AK802:AK813" ca="1" si="1343">IF(AH802="","",AE802&amp;" "&amp;AG802&amp;" "&amp;AH802&amp;" "&amp;AI802)</f>
        <v/>
      </c>
      <c r="AL802" s="158" t="str">
        <f t="shared" ref="AL802:AL813" ca="1" si="1344">IF(AH802="","",AE802&amp;" "&amp;AG802&amp;" "&amp;AH802&amp;" "&amp;AJ802)</f>
        <v/>
      </c>
      <c r="AM802" s="159" t="str">
        <f t="shared" ref="AM802:AM813" ca="1" si="1345">IF(AH802="","",AE802&amp;" "&amp;AG802&amp;" "&amp;AH802&amp;" "&amp;AI802&amp;" "&amp;AJ802)</f>
        <v/>
      </c>
      <c r="AN802" s="160" t="str">
        <f t="shared" ca="1" si="1316"/>
        <v/>
      </c>
      <c r="AO802" s="161" t="str">
        <f t="shared" ca="1" si="1317"/>
        <v/>
      </c>
      <c r="AP802" s="162" t="str">
        <f t="shared" ca="1" si="1318"/>
        <v/>
      </c>
      <c r="AQ802" s="163" t="str">
        <f t="shared" ca="1" si="1319"/>
        <v/>
      </c>
      <c r="AR802" s="164" t="str">
        <f t="shared" ca="1" si="1320"/>
        <v/>
      </c>
      <c r="AS802" s="164" t="str">
        <f t="shared" ca="1" si="1321"/>
        <v/>
      </c>
      <c r="AT802" s="164" t="str">
        <f t="shared" ca="1" si="1322"/>
        <v/>
      </c>
      <c r="AU802" s="164" t="str">
        <f t="shared" ca="1" si="1323"/>
        <v/>
      </c>
      <c r="AV802" s="164" t="str">
        <f t="shared" ca="1" si="1324"/>
        <v/>
      </c>
      <c r="AW802" s="164" t="str">
        <f t="shared" ca="1" si="1325"/>
        <v/>
      </c>
      <c r="AX802" s="164" t="str">
        <f t="shared" ca="1" si="1326"/>
        <v/>
      </c>
      <c r="AY802" s="164" t="str">
        <f t="shared" ca="1" si="1327"/>
        <v/>
      </c>
      <c r="AZ802" s="164" t="str">
        <f t="shared" ca="1" si="1328"/>
        <v/>
      </c>
      <c r="BA802" s="165" t="str">
        <f t="shared" ca="1" si="1329"/>
        <v>nie</v>
      </c>
      <c r="BB802" s="166" t="str">
        <f t="shared" ref="BB802:BB813" ca="1" si="1346">IF(COUNTIF(AD802,"*bilans*")&gt;0,"-",IF(IF(COUNTIF(AD802,"*prop*")&gt;0,COUNTIF(AO802:AZ802,"")+COUNTIF(AO802:AZ802,"0"),"")&lt;12,AK802,"-"))</f>
        <v>-</v>
      </c>
      <c r="BC802" s="165" t="str">
        <f t="shared" ca="1" si="1291"/>
        <v>nie</v>
      </c>
    </row>
    <row r="803" spans="1:55" ht="14.45" hidden="1" customHeight="1" x14ac:dyDescent="0.25">
      <c r="A803" s="493" t="s">
        <v>24</v>
      </c>
      <c r="B803" s="493" t="s">
        <v>422</v>
      </c>
      <c r="C803" s="494" t="s">
        <v>195</v>
      </c>
      <c r="D803" s="505" t="s">
        <v>196</v>
      </c>
      <c r="E803" s="497">
        <v>921</v>
      </c>
      <c r="F803" s="497">
        <v>92116</v>
      </c>
      <c r="G803" s="497">
        <v>6050</v>
      </c>
      <c r="H803" s="507">
        <v>2023</v>
      </c>
      <c r="I803" s="499" t="str">
        <f ca="1">IF(COUNTIF(OFFSET(I803,-1,-8),"*propon*")&gt;0,OFFSET(I803,4,0),IF(Y803&gt;0,"2033",IF(X803&gt;0,"2032",IF(W803&gt;0,"2031",IF(V803&gt;0,"2030",IF(U803&gt;0,"2029",IF(T803&gt;0,"2028",IF(S803&gt;0,"2027",IF(R803&gt;0,"2026",IF(Q803&gt;0,"2025",IF(P803&gt;0,"2024",IF(M803&gt;0,"2023",IF(L803&gt;0,"2022","")))))))))))))</f>
        <v>2025</v>
      </c>
      <c r="J803" s="168" t="s">
        <v>94</v>
      </c>
      <c r="K803" s="169">
        <f>SUM(N803:O803)</f>
        <v>1000000</v>
      </c>
      <c r="L803" s="170">
        <f t="shared" ref="L803:M803" si="1347">SUM(L804:L805)</f>
        <v>0</v>
      </c>
      <c r="M803" s="171">
        <f t="shared" si="1347"/>
        <v>116850</v>
      </c>
      <c r="N803" s="172">
        <f>SUM(L803:M803)</f>
        <v>116850</v>
      </c>
      <c r="O803" s="169">
        <f>SUM(P803:Y803)</f>
        <v>883150</v>
      </c>
      <c r="P803" s="173">
        <f t="shared" ref="P803:Y803" si="1348">SUM(P804:P805)</f>
        <v>683150</v>
      </c>
      <c r="Q803" s="171">
        <f t="shared" si="1348"/>
        <v>200000</v>
      </c>
      <c r="R803" s="174">
        <f t="shared" si="1348"/>
        <v>0</v>
      </c>
      <c r="S803" s="175">
        <f t="shared" si="1348"/>
        <v>0</v>
      </c>
      <c r="T803" s="171">
        <f t="shared" si="1348"/>
        <v>0</v>
      </c>
      <c r="U803" s="171">
        <f t="shared" si="1348"/>
        <v>0</v>
      </c>
      <c r="V803" s="171">
        <f t="shared" si="1348"/>
        <v>0</v>
      </c>
      <c r="W803" s="171">
        <f t="shared" si="1348"/>
        <v>0</v>
      </c>
      <c r="X803" s="171">
        <f t="shared" si="1348"/>
        <v>0</v>
      </c>
      <c r="Y803" s="174">
        <f t="shared" si="1348"/>
        <v>0</v>
      </c>
      <c r="Z803" s="149" t="str">
        <f t="shared" ca="1" si="1290"/>
        <v>nie</v>
      </c>
      <c r="AA803" s="366"/>
      <c r="AB803" s="150" t="str">
        <f t="shared" ca="1" si="1341"/>
        <v>-</v>
      </c>
      <c r="AC803" s="151" t="str">
        <f t="shared" ca="1" si="1309"/>
        <v>PRZED ZMIANĄ</v>
      </c>
      <c r="AD803" s="152" t="str">
        <f t="shared" ca="1" si="1342"/>
        <v>PRZED ZMIANĄ</v>
      </c>
      <c r="AE803" s="153" t="str">
        <f t="shared" ca="1" si="1310"/>
        <v>C/USN/VII/P3/11</v>
      </c>
      <c r="AF803" s="154" t="str">
        <f t="shared" ca="1" si="1311"/>
        <v>Adaptacja pomieszczeń dla potrzeb Ursynoteki po przedszkolu przy ul. Polnej Róży</v>
      </c>
      <c r="AG803" s="155">
        <f t="shared" ca="1" si="1312"/>
        <v>92116</v>
      </c>
      <c r="AH803" s="155" t="str">
        <f t="shared" ca="1" si="1313"/>
        <v>6050</v>
      </c>
      <c r="AI803" s="156" t="str">
        <f t="shared" ca="1" si="1314"/>
        <v>MWPO/0024</v>
      </c>
      <c r="AJ803" s="157" t="str">
        <f t="shared" ca="1" si="1315"/>
        <v>WPF, w tym</v>
      </c>
      <c r="AK803" s="158" t="str">
        <f t="shared" ca="1" si="1343"/>
        <v>C/USN/VII/P3/11 92116 6050 MWPO/0024</v>
      </c>
      <c r="AL803" s="158" t="str">
        <f t="shared" ca="1" si="1344"/>
        <v>C/USN/VII/P3/11 92116 6050 WPF, w tym</v>
      </c>
      <c r="AM803" s="159" t="str">
        <f t="shared" ca="1" si="1345"/>
        <v>C/USN/VII/P3/11 92116 6050 MWPO/0024 WPF, w tym</v>
      </c>
      <c r="AN803" s="160">
        <f t="shared" ca="1" si="1316"/>
        <v>1000000</v>
      </c>
      <c r="AO803" s="161">
        <f t="shared" ca="1" si="1317"/>
        <v>0</v>
      </c>
      <c r="AP803" s="162">
        <f t="shared" ca="1" si="1318"/>
        <v>116850</v>
      </c>
      <c r="AQ803" s="163">
        <f t="shared" ca="1" si="1319"/>
        <v>683150</v>
      </c>
      <c r="AR803" s="164">
        <f t="shared" ca="1" si="1320"/>
        <v>200000</v>
      </c>
      <c r="AS803" s="164">
        <f t="shared" ca="1" si="1321"/>
        <v>0</v>
      </c>
      <c r="AT803" s="164">
        <f t="shared" ca="1" si="1322"/>
        <v>0</v>
      </c>
      <c r="AU803" s="164">
        <f t="shared" ca="1" si="1323"/>
        <v>0</v>
      </c>
      <c r="AV803" s="164">
        <f t="shared" ca="1" si="1324"/>
        <v>0</v>
      </c>
      <c r="AW803" s="164">
        <f t="shared" ca="1" si="1325"/>
        <v>0</v>
      </c>
      <c r="AX803" s="164">
        <f t="shared" ca="1" si="1326"/>
        <v>0</v>
      </c>
      <c r="AY803" s="164">
        <f t="shared" ca="1" si="1327"/>
        <v>0</v>
      </c>
      <c r="AZ803" s="164">
        <f t="shared" ca="1" si="1328"/>
        <v>0</v>
      </c>
      <c r="BA803" s="165" t="str">
        <f t="shared" ca="1" si="1329"/>
        <v>nie</v>
      </c>
      <c r="BB803" s="166" t="str">
        <f t="shared" ca="1" si="1346"/>
        <v>-</v>
      </c>
      <c r="BC803" s="165" t="str">
        <f t="shared" ca="1" si="1291"/>
        <v>nie</v>
      </c>
    </row>
    <row r="804" spans="1:55" ht="14.45" hidden="1" customHeight="1" x14ac:dyDescent="0.25">
      <c r="A804" s="493"/>
      <c r="B804" s="493"/>
      <c r="C804" s="494"/>
      <c r="D804" s="506"/>
      <c r="E804" s="497"/>
      <c r="F804" s="497"/>
      <c r="G804" s="497"/>
      <c r="H804" s="498"/>
      <c r="I804" s="499"/>
      <c r="J804" s="177" t="s">
        <v>95</v>
      </c>
      <c r="K804" s="178">
        <f>SUM(N804:O804)</f>
        <v>875155</v>
      </c>
      <c r="L804" s="179"/>
      <c r="M804" s="180"/>
      <c r="N804" s="172">
        <f>SUM(L804:M804)</f>
        <v>0</v>
      </c>
      <c r="O804" s="178">
        <f>SUM(P804:Y804)</f>
        <v>875155</v>
      </c>
      <c r="P804" s="181">
        <v>675155</v>
      </c>
      <c r="Q804" s="180">
        <v>200000</v>
      </c>
      <c r="R804" s="182"/>
      <c r="S804" s="183"/>
      <c r="T804" s="180"/>
      <c r="U804" s="180"/>
      <c r="V804" s="180"/>
      <c r="W804" s="180"/>
      <c r="X804" s="180"/>
      <c r="Y804" s="182"/>
      <c r="Z804" s="149" t="str">
        <f t="shared" ca="1" si="1290"/>
        <v>nie</v>
      </c>
      <c r="AA804" s="366"/>
      <c r="AB804" s="150" t="str">
        <f t="shared" ca="1" si="1341"/>
        <v>-</v>
      </c>
      <c r="AC804" s="151" t="str">
        <f t="shared" ca="1" si="1309"/>
        <v>PRZED ZMIANĄ</v>
      </c>
      <c r="AD804" s="152" t="str">
        <f t="shared" ca="1" si="1342"/>
        <v>PRZED ZMIANĄ</v>
      </c>
      <c r="AE804" s="153" t="str">
        <f t="shared" ca="1" si="1310"/>
        <v>C/USN/VII/P3/11</v>
      </c>
      <c r="AF804" s="154" t="str">
        <f t="shared" ca="1" si="1311"/>
        <v>Adaptacja pomieszczeń dla potrzeb Ursynoteki po przedszkolu przy ul. Polnej Róży</v>
      </c>
      <c r="AG804" s="155">
        <f t="shared" ca="1" si="1312"/>
        <v>92116</v>
      </c>
      <c r="AH804" s="155" t="str">
        <f t="shared" ca="1" si="1313"/>
        <v>6050</v>
      </c>
      <c r="AI804" s="156" t="str">
        <f t="shared" ca="1" si="1314"/>
        <v>MWPO/0024</v>
      </c>
      <c r="AJ804" s="157" t="str">
        <f t="shared" ca="1" si="1315"/>
        <v>WPF/PM</v>
      </c>
      <c r="AK804" s="158" t="str">
        <f t="shared" ca="1" si="1343"/>
        <v>C/USN/VII/P3/11 92116 6050 MWPO/0024</v>
      </c>
      <c r="AL804" s="158" t="str">
        <f t="shared" ca="1" si="1344"/>
        <v>C/USN/VII/P3/11 92116 6050 WPF/PM</v>
      </c>
      <c r="AM804" s="159" t="str">
        <f t="shared" ca="1" si="1345"/>
        <v>C/USN/VII/P3/11 92116 6050 MWPO/0024 WPF/PM</v>
      </c>
      <c r="AN804" s="160">
        <f t="shared" ca="1" si="1316"/>
        <v>875155</v>
      </c>
      <c r="AO804" s="161">
        <f t="shared" ca="1" si="1317"/>
        <v>0</v>
      </c>
      <c r="AP804" s="162">
        <f t="shared" ca="1" si="1318"/>
        <v>0</v>
      </c>
      <c r="AQ804" s="163">
        <f t="shared" ca="1" si="1319"/>
        <v>675155</v>
      </c>
      <c r="AR804" s="164">
        <f t="shared" ca="1" si="1320"/>
        <v>200000</v>
      </c>
      <c r="AS804" s="164">
        <f t="shared" ca="1" si="1321"/>
        <v>0</v>
      </c>
      <c r="AT804" s="164">
        <f t="shared" ca="1" si="1322"/>
        <v>0</v>
      </c>
      <c r="AU804" s="164">
        <f t="shared" ca="1" si="1323"/>
        <v>0</v>
      </c>
      <c r="AV804" s="164">
        <f t="shared" ca="1" si="1324"/>
        <v>0</v>
      </c>
      <c r="AW804" s="164">
        <f t="shared" ca="1" si="1325"/>
        <v>0</v>
      </c>
      <c r="AX804" s="164">
        <f t="shared" ca="1" si="1326"/>
        <v>0</v>
      </c>
      <c r="AY804" s="164">
        <f t="shared" ca="1" si="1327"/>
        <v>0</v>
      </c>
      <c r="AZ804" s="164">
        <f t="shared" ca="1" si="1328"/>
        <v>0</v>
      </c>
      <c r="BA804" s="165" t="str">
        <f t="shared" ca="1" si="1329"/>
        <v>nie</v>
      </c>
      <c r="BB804" s="166" t="str">
        <f t="shared" ca="1" si="1346"/>
        <v>-</v>
      </c>
      <c r="BC804" s="165" t="str">
        <f t="shared" ca="1" si="1291"/>
        <v>nie</v>
      </c>
    </row>
    <row r="805" spans="1:55" ht="14.45" hidden="1" customHeight="1" x14ac:dyDescent="0.25">
      <c r="A805" s="493"/>
      <c r="B805" s="493"/>
      <c r="C805" s="494"/>
      <c r="D805" s="506"/>
      <c r="E805" s="497"/>
      <c r="F805" s="497"/>
      <c r="G805" s="497"/>
      <c r="H805" s="498"/>
      <c r="I805" s="499"/>
      <c r="J805" s="177" t="s">
        <v>96</v>
      </c>
      <c r="K805" s="178">
        <f>SUM(N805:O805)</f>
        <v>124845</v>
      </c>
      <c r="L805" s="184"/>
      <c r="M805" s="180">
        <v>116850</v>
      </c>
      <c r="N805" s="172">
        <f>SUM(L805:M805)</f>
        <v>116850</v>
      </c>
      <c r="O805" s="178">
        <f>SUM(P805:Y805)</f>
        <v>7995</v>
      </c>
      <c r="P805" s="181">
        <v>7995</v>
      </c>
      <c r="Q805" s="180"/>
      <c r="R805" s="182"/>
      <c r="S805" s="183"/>
      <c r="T805" s="180"/>
      <c r="U805" s="180"/>
      <c r="V805" s="180"/>
      <c r="W805" s="180"/>
      <c r="X805" s="180"/>
      <c r="Y805" s="182"/>
      <c r="Z805" s="149" t="str">
        <f t="shared" ca="1" si="1290"/>
        <v>nie</v>
      </c>
      <c r="AA805" s="366"/>
      <c r="AB805" s="150" t="str">
        <f t="shared" ca="1" si="1341"/>
        <v>-</v>
      </c>
      <c r="AC805" s="151" t="str">
        <f t="shared" ca="1" si="1309"/>
        <v>PRZED ZMIANĄ</v>
      </c>
      <c r="AD805" s="152" t="str">
        <f t="shared" ca="1" si="1342"/>
        <v>PRZED ZMIANĄ</v>
      </c>
      <c r="AE805" s="153" t="str">
        <f t="shared" ca="1" si="1310"/>
        <v>C/USN/VII/P3/11</v>
      </c>
      <c r="AF805" s="154" t="str">
        <f t="shared" ca="1" si="1311"/>
        <v>Adaptacja pomieszczeń dla potrzeb Ursynoteki po przedszkolu przy ul. Polnej Róży</v>
      </c>
      <c r="AG805" s="155">
        <f t="shared" ca="1" si="1312"/>
        <v>92116</v>
      </c>
      <c r="AH805" s="155" t="str">
        <f t="shared" ca="1" si="1313"/>
        <v>6050</v>
      </c>
      <c r="AI805" s="156" t="str">
        <f t="shared" ca="1" si="1314"/>
        <v>MWPO/0024</v>
      </c>
      <c r="AJ805" s="157" t="str">
        <f t="shared" ca="1" si="1315"/>
        <v>WPF/UM</v>
      </c>
      <c r="AK805" s="158" t="str">
        <f t="shared" ca="1" si="1343"/>
        <v>C/USN/VII/P3/11 92116 6050 MWPO/0024</v>
      </c>
      <c r="AL805" s="158" t="str">
        <f t="shared" ca="1" si="1344"/>
        <v>C/USN/VII/P3/11 92116 6050 WPF/UM</v>
      </c>
      <c r="AM805" s="159" t="str">
        <f t="shared" ca="1" si="1345"/>
        <v>C/USN/VII/P3/11 92116 6050 MWPO/0024 WPF/UM</v>
      </c>
      <c r="AN805" s="160">
        <f t="shared" ca="1" si="1316"/>
        <v>124845</v>
      </c>
      <c r="AO805" s="161">
        <f t="shared" ca="1" si="1317"/>
        <v>0</v>
      </c>
      <c r="AP805" s="162">
        <f t="shared" ca="1" si="1318"/>
        <v>116850</v>
      </c>
      <c r="AQ805" s="163">
        <f t="shared" ca="1" si="1319"/>
        <v>7995</v>
      </c>
      <c r="AR805" s="164">
        <f t="shared" ca="1" si="1320"/>
        <v>0</v>
      </c>
      <c r="AS805" s="164">
        <f t="shared" ca="1" si="1321"/>
        <v>0</v>
      </c>
      <c r="AT805" s="164">
        <f t="shared" ca="1" si="1322"/>
        <v>0</v>
      </c>
      <c r="AU805" s="164">
        <f t="shared" ca="1" si="1323"/>
        <v>0</v>
      </c>
      <c r="AV805" s="164">
        <f t="shared" ca="1" si="1324"/>
        <v>0</v>
      </c>
      <c r="AW805" s="164">
        <f t="shared" ca="1" si="1325"/>
        <v>0</v>
      </c>
      <c r="AX805" s="164">
        <f t="shared" ca="1" si="1326"/>
        <v>0</v>
      </c>
      <c r="AY805" s="164">
        <f t="shared" ca="1" si="1327"/>
        <v>0</v>
      </c>
      <c r="AZ805" s="164">
        <f t="shared" ca="1" si="1328"/>
        <v>0</v>
      </c>
      <c r="BA805" s="165" t="str">
        <f t="shared" ca="1" si="1329"/>
        <v>nie</v>
      </c>
      <c r="BB805" s="166" t="str">
        <f t="shared" ca="1" si="1346"/>
        <v>-</v>
      </c>
      <c r="BC805" s="165" t="str">
        <f t="shared" ca="1" si="1291"/>
        <v>nie</v>
      </c>
    </row>
    <row r="806" spans="1:55" ht="14.45" hidden="1" customHeight="1" x14ac:dyDescent="0.25">
      <c r="A806" s="185" t="s">
        <v>97</v>
      </c>
      <c r="B806" s="186"/>
      <c r="C806" s="187"/>
      <c r="D806" s="186"/>
      <c r="E806" s="186"/>
      <c r="F806" s="186"/>
      <c r="G806" s="186"/>
      <c r="H806" s="186"/>
      <c r="I806" s="186"/>
      <c r="J806" s="186"/>
      <c r="K806" s="186"/>
      <c r="L806" s="186"/>
      <c r="M806" s="186"/>
      <c r="N806" s="186"/>
      <c r="O806" s="186"/>
      <c r="P806" s="186"/>
      <c r="Q806" s="186"/>
      <c r="R806" s="188"/>
      <c r="S806" s="189"/>
      <c r="T806" s="189"/>
      <c r="U806" s="189"/>
      <c r="V806" s="189"/>
      <c r="W806" s="189"/>
      <c r="X806" s="189"/>
      <c r="Y806" s="190"/>
      <c r="Z806" s="149" t="str">
        <f t="shared" ca="1" si="1290"/>
        <v>nie</v>
      </c>
      <c r="AA806" s="366"/>
      <c r="AB806" s="150" t="str">
        <f t="shared" ca="1" si="1341"/>
        <v>-</v>
      </c>
      <c r="AC806" s="151" t="str">
        <f t="shared" ca="1" si="1309"/>
        <v>PROPONOWANA ZMIANA</v>
      </c>
      <c r="AD806" s="152" t="str">
        <f t="shared" ca="1" si="1342"/>
        <v/>
      </c>
      <c r="AE806" s="153" t="str">
        <f t="shared" ca="1" si="1310"/>
        <v/>
      </c>
      <c r="AF806" s="154" t="str">
        <f t="shared" ca="1" si="1311"/>
        <v/>
      </c>
      <c r="AG806" s="155" t="str">
        <f t="shared" ca="1" si="1312"/>
        <v/>
      </c>
      <c r="AH806" s="155" t="str">
        <f t="shared" ca="1" si="1313"/>
        <v/>
      </c>
      <c r="AI806" s="156" t="str">
        <f t="shared" ca="1" si="1314"/>
        <v/>
      </c>
      <c r="AJ806" s="157" t="str">
        <f t="shared" ca="1" si="1315"/>
        <v/>
      </c>
      <c r="AK806" s="158" t="str">
        <f t="shared" ca="1" si="1343"/>
        <v/>
      </c>
      <c r="AL806" s="158" t="str">
        <f t="shared" ca="1" si="1344"/>
        <v/>
      </c>
      <c r="AM806" s="159" t="str">
        <f t="shared" ca="1" si="1345"/>
        <v/>
      </c>
      <c r="AN806" s="160" t="str">
        <f t="shared" ca="1" si="1316"/>
        <v/>
      </c>
      <c r="AO806" s="161" t="str">
        <f t="shared" ca="1" si="1317"/>
        <v/>
      </c>
      <c r="AP806" s="162" t="str">
        <f t="shared" ca="1" si="1318"/>
        <v/>
      </c>
      <c r="AQ806" s="163" t="str">
        <f t="shared" ca="1" si="1319"/>
        <v/>
      </c>
      <c r="AR806" s="164" t="str">
        <f t="shared" ca="1" si="1320"/>
        <v/>
      </c>
      <c r="AS806" s="164" t="str">
        <f t="shared" ca="1" si="1321"/>
        <v/>
      </c>
      <c r="AT806" s="164" t="str">
        <f t="shared" ca="1" si="1322"/>
        <v/>
      </c>
      <c r="AU806" s="164" t="str">
        <f t="shared" ca="1" si="1323"/>
        <v/>
      </c>
      <c r="AV806" s="164" t="str">
        <f t="shared" ca="1" si="1324"/>
        <v/>
      </c>
      <c r="AW806" s="164" t="str">
        <f t="shared" ca="1" si="1325"/>
        <v/>
      </c>
      <c r="AX806" s="164" t="str">
        <f t="shared" ca="1" si="1326"/>
        <v/>
      </c>
      <c r="AY806" s="164" t="str">
        <f t="shared" ca="1" si="1327"/>
        <v/>
      </c>
      <c r="AZ806" s="164" t="str">
        <f t="shared" ca="1" si="1328"/>
        <v/>
      </c>
      <c r="BA806" s="165" t="str">
        <f t="shared" ca="1" si="1329"/>
        <v>nie</v>
      </c>
      <c r="BB806" s="166" t="str">
        <f t="shared" ca="1" si="1346"/>
        <v>-</v>
      </c>
      <c r="BC806" s="165" t="str">
        <f t="shared" ca="1" si="1291"/>
        <v>nie</v>
      </c>
    </row>
    <row r="807" spans="1:55" ht="14.45" hidden="1" customHeight="1" x14ac:dyDescent="0.25">
      <c r="A807" s="493" t="s">
        <v>24</v>
      </c>
      <c r="B807" s="493" t="s">
        <v>422</v>
      </c>
      <c r="C807" s="494" t="s">
        <v>195</v>
      </c>
      <c r="D807" s="505" t="s">
        <v>196</v>
      </c>
      <c r="E807" s="497">
        <v>921</v>
      </c>
      <c r="F807" s="497">
        <v>92116</v>
      </c>
      <c r="G807" s="497">
        <v>6050</v>
      </c>
      <c r="H807" s="507">
        <v>2023</v>
      </c>
      <c r="I807" s="499" t="str">
        <f ca="1">IF(COUNTIF(OFFSET(I807,-1,-8),"*propon*")&gt;0,OFFSET(I807,4,0),IF(Y807&gt;0,"2033",IF(X807&gt;0,"2032",IF(W807&gt;0,"2031",IF(V807&gt;0,"2030",IF(U807&gt;0,"2029",IF(T807&gt;0,"2028",IF(S807&gt;0,"2027",IF(R807&gt;0,"2026",IF(Q807&gt;0,"2025",IF(P807&gt;0,"2024",IF(M807&gt;0,"2023",IF(L807&gt;0,"2022","")))))))))))))</f>
        <v>2025</v>
      </c>
      <c r="J807" s="168" t="s">
        <v>98</v>
      </c>
      <c r="K807" s="169">
        <f>SUM(N807:O807)</f>
        <v>0</v>
      </c>
      <c r="L807" s="170">
        <f t="shared" ref="L807:M807" si="1349">SUM(L808:L809)</f>
        <v>0</v>
      </c>
      <c r="M807" s="171">
        <f t="shared" si="1349"/>
        <v>0</v>
      </c>
      <c r="N807" s="172">
        <f>SUM(L807:M807)</f>
        <v>0</v>
      </c>
      <c r="O807" s="169">
        <f>SUM(P807:Y807)</f>
        <v>0</v>
      </c>
      <c r="P807" s="173">
        <f t="shared" ref="P807:Y807" si="1350">SUM(P808:P809)</f>
        <v>0</v>
      </c>
      <c r="Q807" s="171">
        <f t="shared" si="1350"/>
        <v>0</v>
      </c>
      <c r="R807" s="174">
        <f t="shared" si="1350"/>
        <v>0</v>
      </c>
      <c r="S807" s="175">
        <f t="shared" si="1350"/>
        <v>0</v>
      </c>
      <c r="T807" s="171">
        <f t="shared" si="1350"/>
        <v>0</v>
      </c>
      <c r="U807" s="171">
        <f t="shared" si="1350"/>
        <v>0</v>
      </c>
      <c r="V807" s="171">
        <f t="shared" si="1350"/>
        <v>0</v>
      </c>
      <c r="W807" s="171">
        <f t="shared" si="1350"/>
        <v>0</v>
      </c>
      <c r="X807" s="171">
        <f t="shared" si="1350"/>
        <v>0</v>
      </c>
      <c r="Y807" s="174">
        <f t="shared" si="1350"/>
        <v>0</v>
      </c>
      <c r="Z807" s="149" t="str">
        <f t="shared" ca="1" si="1290"/>
        <v>nie</v>
      </c>
      <c r="AA807" s="366"/>
      <c r="AB807" s="150" t="str">
        <f t="shared" ca="1" si="1341"/>
        <v>-</v>
      </c>
      <c r="AC807" s="151" t="str">
        <f t="shared" ca="1" si="1309"/>
        <v>PROPONOWANA ZMIANA</v>
      </c>
      <c r="AD807" s="152" t="str">
        <f t="shared" ca="1" si="1342"/>
        <v>PROPONOWANA ZMIANA</v>
      </c>
      <c r="AE807" s="153" t="str">
        <f t="shared" ca="1" si="1310"/>
        <v>C/USN/VII/P3/11</v>
      </c>
      <c r="AF807" s="154" t="str">
        <f t="shared" ca="1" si="1311"/>
        <v>Adaptacja pomieszczeń dla potrzeb Ursynoteki po przedszkolu przy ul. Polnej Róży</v>
      </c>
      <c r="AG807" s="155">
        <f t="shared" ca="1" si="1312"/>
        <v>92116</v>
      </c>
      <c r="AH807" s="155" t="str">
        <f t="shared" ca="1" si="1313"/>
        <v>6050</v>
      </c>
      <c r="AI807" s="156" t="str">
        <f t="shared" ca="1" si="1314"/>
        <v>MWPO/0024</v>
      </c>
      <c r="AJ807" s="157" t="str">
        <f t="shared" ca="1" si="1315"/>
        <v>WPF, w tym</v>
      </c>
      <c r="AK807" s="158" t="str">
        <f t="shared" ca="1" si="1343"/>
        <v>C/USN/VII/P3/11 92116 6050 MWPO/0024</v>
      </c>
      <c r="AL807" s="158" t="str">
        <f t="shared" ca="1" si="1344"/>
        <v>C/USN/VII/P3/11 92116 6050 WPF, w tym</v>
      </c>
      <c r="AM807" s="159" t="str">
        <f t="shared" ca="1" si="1345"/>
        <v>C/USN/VII/P3/11 92116 6050 MWPO/0024 WPF, w tym</v>
      </c>
      <c r="AN807" s="160">
        <f t="shared" ca="1" si="1316"/>
        <v>0</v>
      </c>
      <c r="AO807" s="161">
        <f t="shared" ca="1" si="1317"/>
        <v>0</v>
      </c>
      <c r="AP807" s="162">
        <f t="shared" ca="1" si="1318"/>
        <v>0</v>
      </c>
      <c r="AQ807" s="163">
        <f t="shared" ca="1" si="1319"/>
        <v>0</v>
      </c>
      <c r="AR807" s="164">
        <f t="shared" ca="1" si="1320"/>
        <v>0</v>
      </c>
      <c r="AS807" s="164">
        <f t="shared" ca="1" si="1321"/>
        <v>0</v>
      </c>
      <c r="AT807" s="164">
        <f t="shared" ca="1" si="1322"/>
        <v>0</v>
      </c>
      <c r="AU807" s="164">
        <f t="shared" ca="1" si="1323"/>
        <v>0</v>
      </c>
      <c r="AV807" s="164">
        <f t="shared" ca="1" si="1324"/>
        <v>0</v>
      </c>
      <c r="AW807" s="164">
        <f t="shared" ca="1" si="1325"/>
        <v>0</v>
      </c>
      <c r="AX807" s="164">
        <f t="shared" ca="1" si="1326"/>
        <v>0</v>
      </c>
      <c r="AY807" s="164">
        <f t="shared" ca="1" si="1327"/>
        <v>0</v>
      </c>
      <c r="AZ807" s="164">
        <f t="shared" ca="1" si="1328"/>
        <v>0</v>
      </c>
      <c r="BA807" s="165" t="str">
        <f t="shared" ca="1" si="1329"/>
        <v>nie</v>
      </c>
      <c r="BB807" s="166" t="str">
        <f t="shared" ca="1" si="1346"/>
        <v>-</v>
      </c>
      <c r="BC807" s="165" t="str">
        <f t="shared" ca="1" si="1291"/>
        <v>nie</v>
      </c>
    </row>
    <row r="808" spans="1:55" ht="14.45" hidden="1" customHeight="1" x14ac:dyDescent="0.25">
      <c r="A808" s="493"/>
      <c r="B808" s="493"/>
      <c r="C808" s="494"/>
      <c r="D808" s="506"/>
      <c r="E808" s="497"/>
      <c r="F808" s="497"/>
      <c r="G808" s="497"/>
      <c r="H808" s="498"/>
      <c r="I808" s="499"/>
      <c r="J808" s="177" t="s">
        <v>99</v>
      </c>
      <c r="K808" s="178">
        <f>SUM(N808:O808)</f>
        <v>0</v>
      </c>
      <c r="L808" s="179">
        <f t="shared" ref="L808:M808" si="1351">L812-L804</f>
        <v>0</v>
      </c>
      <c r="M808" s="180">
        <f t="shared" si="1351"/>
        <v>0</v>
      </c>
      <c r="N808" s="172">
        <f>SUM(L808:M808)</f>
        <v>0</v>
      </c>
      <c r="O808" s="178">
        <f>SUM(P808:Y808)</f>
        <v>0</v>
      </c>
      <c r="P808" s="181">
        <f t="shared" ref="P808:Y808" si="1352">P812-P804</f>
        <v>0</v>
      </c>
      <c r="Q808" s="180">
        <f t="shared" si="1352"/>
        <v>0</v>
      </c>
      <c r="R808" s="182">
        <f t="shared" si="1352"/>
        <v>0</v>
      </c>
      <c r="S808" s="183">
        <f t="shared" si="1352"/>
        <v>0</v>
      </c>
      <c r="T808" s="180">
        <f t="shared" si="1352"/>
        <v>0</v>
      </c>
      <c r="U808" s="180">
        <f t="shared" si="1352"/>
        <v>0</v>
      </c>
      <c r="V808" s="180">
        <f t="shared" si="1352"/>
        <v>0</v>
      </c>
      <c r="W808" s="180">
        <f t="shared" si="1352"/>
        <v>0</v>
      </c>
      <c r="X808" s="180">
        <f t="shared" si="1352"/>
        <v>0</v>
      </c>
      <c r="Y808" s="182">
        <f t="shared" si="1352"/>
        <v>0</v>
      </c>
      <c r="Z808" s="149" t="str">
        <f t="shared" ca="1" si="1290"/>
        <v>nie</v>
      </c>
      <c r="AA808" s="366"/>
      <c r="AB808" s="150" t="str">
        <f t="shared" ca="1" si="1341"/>
        <v>-</v>
      </c>
      <c r="AC808" s="151" t="str">
        <f t="shared" ca="1" si="1309"/>
        <v>PROPONOWANA ZMIANA</v>
      </c>
      <c r="AD808" s="152" t="str">
        <f t="shared" ca="1" si="1342"/>
        <v>PROPONOWANA ZMIANA</v>
      </c>
      <c r="AE808" s="153" t="str">
        <f t="shared" ca="1" si="1310"/>
        <v>C/USN/VII/P3/11</v>
      </c>
      <c r="AF808" s="154" t="str">
        <f t="shared" ca="1" si="1311"/>
        <v>Adaptacja pomieszczeń dla potrzeb Ursynoteki po przedszkolu przy ul. Polnej Róży</v>
      </c>
      <c r="AG808" s="155">
        <f t="shared" ca="1" si="1312"/>
        <v>92116</v>
      </c>
      <c r="AH808" s="155" t="str">
        <f t="shared" ca="1" si="1313"/>
        <v>6050</v>
      </c>
      <c r="AI808" s="156" t="str">
        <f t="shared" ca="1" si="1314"/>
        <v>MWPO/0024</v>
      </c>
      <c r="AJ808" s="157" t="str">
        <f t="shared" ca="1" si="1315"/>
        <v>WPF/PM</v>
      </c>
      <c r="AK808" s="158" t="str">
        <f t="shared" ca="1" si="1343"/>
        <v>C/USN/VII/P3/11 92116 6050 MWPO/0024</v>
      </c>
      <c r="AL808" s="158" t="str">
        <f t="shared" ca="1" si="1344"/>
        <v>C/USN/VII/P3/11 92116 6050 WPF/PM</v>
      </c>
      <c r="AM808" s="159" t="str">
        <f t="shared" ca="1" si="1345"/>
        <v>C/USN/VII/P3/11 92116 6050 MWPO/0024 WPF/PM</v>
      </c>
      <c r="AN808" s="160">
        <f t="shared" ca="1" si="1316"/>
        <v>0</v>
      </c>
      <c r="AO808" s="161">
        <f t="shared" ca="1" si="1317"/>
        <v>0</v>
      </c>
      <c r="AP808" s="162">
        <f t="shared" ca="1" si="1318"/>
        <v>0</v>
      </c>
      <c r="AQ808" s="163">
        <f t="shared" ca="1" si="1319"/>
        <v>0</v>
      </c>
      <c r="AR808" s="164">
        <f t="shared" ca="1" si="1320"/>
        <v>0</v>
      </c>
      <c r="AS808" s="164">
        <f t="shared" ca="1" si="1321"/>
        <v>0</v>
      </c>
      <c r="AT808" s="164">
        <f t="shared" ca="1" si="1322"/>
        <v>0</v>
      </c>
      <c r="AU808" s="164">
        <f t="shared" ca="1" si="1323"/>
        <v>0</v>
      </c>
      <c r="AV808" s="164">
        <f t="shared" ca="1" si="1324"/>
        <v>0</v>
      </c>
      <c r="AW808" s="164">
        <f t="shared" ca="1" si="1325"/>
        <v>0</v>
      </c>
      <c r="AX808" s="164">
        <f t="shared" ca="1" si="1326"/>
        <v>0</v>
      </c>
      <c r="AY808" s="164">
        <f t="shared" ca="1" si="1327"/>
        <v>0</v>
      </c>
      <c r="AZ808" s="164">
        <f t="shared" ca="1" si="1328"/>
        <v>0</v>
      </c>
      <c r="BA808" s="165" t="str">
        <f t="shared" ca="1" si="1329"/>
        <v>nie</v>
      </c>
      <c r="BB808" s="166" t="str">
        <f t="shared" ca="1" si="1346"/>
        <v>-</v>
      </c>
      <c r="BC808" s="165" t="str">
        <f t="shared" ca="1" si="1291"/>
        <v>nie</v>
      </c>
    </row>
    <row r="809" spans="1:55" ht="14.45" hidden="1" customHeight="1" x14ac:dyDescent="0.25">
      <c r="A809" s="493"/>
      <c r="B809" s="493"/>
      <c r="C809" s="494"/>
      <c r="D809" s="506"/>
      <c r="E809" s="497"/>
      <c r="F809" s="497"/>
      <c r="G809" s="497"/>
      <c r="H809" s="498"/>
      <c r="I809" s="499"/>
      <c r="J809" s="177" t="s">
        <v>100</v>
      </c>
      <c r="K809" s="178">
        <f>SUM(N809:O809)</f>
        <v>0</v>
      </c>
      <c r="L809" s="179">
        <f t="shared" ref="L809:M809" si="1353">L813-L805</f>
        <v>0</v>
      </c>
      <c r="M809" s="180">
        <f t="shared" si="1353"/>
        <v>0</v>
      </c>
      <c r="N809" s="172">
        <f>SUM(L809:M809)</f>
        <v>0</v>
      </c>
      <c r="O809" s="178">
        <f>SUM(P809:Y809)</f>
        <v>0</v>
      </c>
      <c r="P809" s="181">
        <f t="shared" ref="P809:Y809" si="1354">P813-P805</f>
        <v>0</v>
      </c>
      <c r="Q809" s="180">
        <f t="shared" si="1354"/>
        <v>0</v>
      </c>
      <c r="R809" s="182">
        <f t="shared" si="1354"/>
        <v>0</v>
      </c>
      <c r="S809" s="183">
        <f t="shared" si="1354"/>
        <v>0</v>
      </c>
      <c r="T809" s="180">
        <f t="shared" si="1354"/>
        <v>0</v>
      </c>
      <c r="U809" s="180">
        <f t="shared" si="1354"/>
        <v>0</v>
      </c>
      <c r="V809" s="180">
        <f t="shared" si="1354"/>
        <v>0</v>
      </c>
      <c r="W809" s="180">
        <f t="shared" si="1354"/>
        <v>0</v>
      </c>
      <c r="X809" s="180">
        <f t="shared" si="1354"/>
        <v>0</v>
      </c>
      <c r="Y809" s="182">
        <f t="shared" si="1354"/>
        <v>0</v>
      </c>
      <c r="Z809" s="149" t="str">
        <f t="shared" ca="1" si="1290"/>
        <v>nie</v>
      </c>
      <c r="AA809" s="366"/>
      <c r="AB809" s="150" t="str">
        <f t="shared" ca="1" si="1341"/>
        <v>-</v>
      </c>
      <c r="AC809" s="151" t="str">
        <f t="shared" ca="1" si="1309"/>
        <v>PROPONOWANA ZMIANA</v>
      </c>
      <c r="AD809" s="152" t="str">
        <f t="shared" ca="1" si="1342"/>
        <v>PROPONOWANA ZMIANA</v>
      </c>
      <c r="AE809" s="153" t="str">
        <f t="shared" ca="1" si="1310"/>
        <v>C/USN/VII/P3/11</v>
      </c>
      <c r="AF809" s="154" t="str">
        <f t="shared" ca="1" si="1311"/>
        <v>Adaptacja pomieszczeń dla potrzeb Ursynoteki po przedszkolu przy ul. Polnej Róży</v>
      </c>
      <c r="AG809" s="155">
        <f t="shared" ca="1" si="1312"/>
        <v>92116</v>
      </c>
      <c r="AH809" s="155" t="str">
        <f t="shared" ca="1" si="1313"/>
        <v>6050</v>
      </c>
      <c r="AI809" s="156" t="str">
        <f t="shared" ca="1" si="1314"/>
        <v>MWPO/0024</v>
      </c>
      <c r="AJ809" s="157" t="str">
        <f t="shared" ca="1" si="1315"/>
        <v>WPF/UM</v>
      </c>
      <c r="AK809" s="158" t="str">
        <f t="shared" ca="1" si="1343"/>
        <v>C/USN/VII/P3/11 92116 6050 MWPO/0024</v>
      </c>
      <c r="AL809" s="158" t="str">
        <f t="shared" ca="1" si="1344"/>
        <v>C/USN/VII/P3/11 92116 6050 WPF/UM</v>
      </c>
      <c r="AM809" s="159" t="str">
        <f t="shared" ca="1" si="1345"/>
        <v>C/USN/VII/P3/11 92116 6050 MWPO/0024 WPF/UM</v>
      </c>
      <c r="AN809" s="160">
        <f t="shared" ca="1" si="1316"/>
        <v>0</v>
      </c>
      <c r="AO809" s="161">
        <f t="shared" ca="1" si="1317"/>
        <v>0</v>
      </c>
      <c r="AP809" s="162">
        <f t="shared" ca="1" si="1318"/>
        <v>0</v>
      </c>
      <c r="AQ809" s="163">
        <f t="shared" ca="1" si="1319"/>
        <v>0</v>
      </c>
      <c r="AR809" s="164">
        <f t="shared" ca="1" si="1320"/>
        <v>0</v>
      </c>
      <c r="AS809" s="164">
        <f t="shared" ca="1" si="1321"/>
        <v>0</v>
      </c>
      <c r="AT809" s="164">
        <f t="shared" ca="1" si="1322"/>
        <v>0</v>
      </c>
      <c r="AU809" s="164">
        <f t="shared" ca="1" si="1323"/>
        <v>0</v>
      </c>
      <c r="AV809" s="164">
        <f t="shared" ca="1" si="1324"/>
        <v>0</v>
      </c>
      <c r="AW809" s="164">
        <f t="shared" ca="1" si="1325"/>
        <v>0</v>
      </c>
      <c r="AX809" s="164">
        <f t="shared" ca="1" si="1326"/>
        <v>0</v>
      </c>
      <c r="AY809" s="164">
        <f t="shared" ca="1" si="1327"/>
        <v>0</v>
      </c>
      <c r="AZ809" s="164">
        <f t="shared" ca="1" si="1328"/>
        <v>0</v>
      </c>
      <c r="BA809" s="165" t="str">
        <f t="shared" ca="1" si="1329"/>
        <v>nie</v>
      </c>
      <c r="BB809" s="166" t="str">
        <f t="shared" ca="1" si="1346"/>
        <v>-</v>
      </c>
      <c r="BC809" s="165" t="str">
        <f t="shared" ca="1" si="1291"/>
        <v>nie</v>
      </c>
    </row>
    <row r="810" spans="1:55" ht="14.45" hidden="1" customHeight="1" x14ac:dyDescent="0.25">
      <c r="A810" s="191" t="s">
        <v>101</v>
      </c>
      <c r="B810" s="192"/>
      <c r="C810" s="193"/>
      <c r="D810" s="192"/>
      <c r="E810" s="192"/>
      <c r="F810" s="192"/>
      <c r="G810" s="192"/>
      <c r="H810" s="192"/>
      <c r="I810" s="192"/>
      <c r="J810" s="192"/>
      <c r="K810" s="192"/>
      <c r="L810" s="192"/>
      <c r="M810" s="192"/>
      <c r="N810" s="192"/>
      <c r="O810" s="192"/>
      <c r="P810" s="192"/>
      <c r="Q810" s="192"/>
      <c r="R810" s="194"/>
      <c r="S810" s="195"/>
      <c r="T810" s="195"/>
      <c r="U810" s="195"/>
      <c r="V810" s="195"/>
      <c r="W810" s="195"/>
      <c r="X810" s="195"/>
      <c r="Y810" s="196"/>
      <c r="Z810" s="149" t="str">
        <f t="shared" ca="1" si="1290"/>
        <v>nie</v>
      </c>
      <c r="AA810" s="366"/>
      <c r="AB810" s="150" t="str">
        <f t="shared" ca="1" si="1341"/>
        <v>-</v>
      </c>
      <c r="AC810" s="151" t="str">
        <f t="shared" ca="1" si="1309"/>
        <v>PO ZMIANIE</v>
      </c>
      <c r="AD810" s="152" t="str">
        <f t="shared" ca="1" si="1342"/>
        <v/>
      </c>
      <c r="AE810" s="153" t="str">
        <f t="shared" ca="1" si="1310"/>
        <v/>
      </c>
      <c r="AF810" s="154" t="str">
        <f t="shared" ca="1" si="1311"/>
        <v/>
      </c>
      <c r="AG810" s="155" t="str">
        <f t="shared" ca="1" si="1312"/>
        <v/>
      </c>
      <c r="AH810" s="155" t="str">
        <f t="shared" ca="1" si="1313"/>
        <v/>
      </c>
      <c r="AI810" s="156" t="str">
        <f t="shared" ca="1" si="1314"/>
        <v/>
      </c>
      <c r="AJ810" s="157" t="str">
        <f t="shared" ca="1" si="1315"/>
        <v/>
      </c>
      <c r="AK810" s="158" t="str">
        <f t="shared" ca="1" si="1343"/>
        <v/>
      </c>
      <c r="AL810" s="158" t="str">
        <f t="shared" ca="1" si="1344"/>
        <v/>
      </c>
      <c r="AM810" s="159" t="str">
        <f t="shared" ca="1" si="1345"/>
        <v/>
      </c>
      <c r="AN810" s="160" t="str">
        <f t="shared" ca="1" si="1316"/>
        <v/>
      </c>
      <c r="AO810" s="161" t="str">
        <f t="shared" ca="1" si="1317"/>
        <v/>
      </c>
      <c r="AP810" s="162" t="str">
        <f t="shared" ca="1" si="1318"/>
        <v/>
      </c>
      <c r="AQ810" s="163" t="str">
        <f t="shared" ca="1" si="1319"/>
        <v/>
      </c>
      <c r="AR810" s="164" t="str">
        <f t="shared" ca="1" si="1320"/>
        <v/>
      </c>
      <c r="AS810" s="164" t="str">
        <f t="shared" ca="1" si="1321"/>
        <v/>
      </c>
      <c r="AT810" s="164" t="str">
        <f t="shared" ca="1" si="1322"/>
        <v/>
      </c>
      <c r="AU810" s="164" t="str">
        <f t="shared" ca="1" si="1323"/>
        <v/>
      </c>
      <c r="AV810" s="164" t="str">
        <f t="shared" ca="1" si="1324"/>
        <v/>
      </c>
      <c r="AW810" s="164" t="str">
        <f t="shared" ca="1" si="1325"/>
        <v/>
      </c>
      <c r="AX810" s="164" t="str">
        <f t="shared" ca="1" si="1326"/>
        <v/>
      </c>
      <c r="AY810" s="164" t="str">
        <f t="shared" ca="1" si="1327"/>
        <v/>
      </c>
      <c r="AZ810" s="164" t="str">
        <f t="shared" ca="1" si="1328"/>
        <v/>
      </c>
      <c r="BA810" s="165" t="str">
        <f t="shared" ca="1" si="1329"/>
        <v>nie</v>
      </c>
      <c r="BB810" s="166" t="str">
        <f t="shared" ca="1" si="1346"/>
        <v>-</v>
      </c>
      <c r="BC810" s="165" t="str">
        <f t="shared" ca="1" si="1291"/>
        <v>nie</v>
      </c>
    </row>
    <row r="811" spans="1:55" ht="14.45" hidden="1" customHeight="1" x14ac:dyDescent="0.25">
      <c r="A811" s="493" t="s">
        <v>24</v>
      </c>
      <c r="B811" s="493" t="s">
        <v>422</v>
      </c>
      <c r="C811" s="494" t="s">
        <v>195</v>
      </c>
      <c r="D811" s="505" t="s">
        <v>196</v>
      </c>
      <c r="E811" s="497">
        <v>921</v>
      </c>
      <c r="F811" s="497">
        <v>92116</v>
      </c>
      <c r="G811" s="497">
        <v>6050</v>
      </c>
      <c r="H811" s="507">
        <v>2023</v>
      </c>
      <c r="I811" s="499" t="str">
        <f ca="1">IF(COUNTIF(OFFSET(I811,-1,-8),"*propon*")&gt;0,OFFSET(I811,4,0),IF(Y811&gt;0,"2033",IF(X811&gt;0,"2032",IF(W811&gt;0,"2031",IF(V811&gt;0,"2030",IF(U811&gt;0,"2029",IF(T811&gt;0,"2028",IF(S811&gt;0,"2027",IF(R811&gt;0,"2026",IF(Q811&gt;0,"2025",IF(P811&gt;0,"2024",IF(M811&gt;0,"2023",IF(L811&gt;0,"2022","")))))))))))))</f>
        <v>2025</v>
      </c>
      <c r="J811" s="168" t="s">
        <v>102</v>
      </c>
      <c r="K811" s="169">
        <f>SUM(N811:O811)</f>
        <v>1000000</v>
      </c>
      <c r="L811" s="170">
        <f t="shared" ref="L811:M811" si="1355">SUM(L812:L813)</f>
        <v>0</v>
      </c>
      <c r="M811" s="171">
        <f t="shared" si="1355"/>
        <v>116850</v>
      </c>
      <c r="N811" s="172">
        <f>SUM(L811:M811)</f>
        <v>116850</v>
      </c>
      <c r="O811" s="169">
        <f>SUM(P811:Y811)</f>
        <v>883150</v>
      </c>
      <c r="P811" s="173">
        <f t="shared" ref="P811:Y811" si="1356">SUM(P812:P813)</f>
        <v>683150</v>
      </c>
      <c r="Q811" s="171">
        <f t="shared" si="1356"/>
        <v>200000</v>
      </c>
      <c r="R811" s="174">
        <f t="shared" si="1356"/>
        <v>0</v>
      </c>
      <c r="S811" s="175">
        <f t="shared" si="1356"/>
        <v>0</v>
      </c>
      <c r="T811" s="171">
        <f t="shared" si="1356"/>
        <v>0</v>
      </c>
      <c r="U811" s="171">
        <f t="shared" si="1356"/>
        <v>0</v>
      </c>
      <c r="V811" s="171">
        <f t="shared" si="1356"/>
        <v>0</v>
      </c>
      <c r="W811" s="171">
        <f t="shared" si="1356"/>
        <v>0</v>
      </c>
      <c r="X811" s="171">
        <f t="shared" si="1356"/>
        <v>0</v>
      </c>
      <c r="Y811" s="174">
        <f t="shared" si="1356"/>
        <v>0</v>
      </c>
      <c r="Z811" s="149" t="str">
        <f t="shared" ca="1" si="1290"/>
        <v>nie</v>
      </c>
      <c r="AA811" s="366"/>
      <c r="AB811" s="150" t="str">
        <f t="shared" ca="1" si="1341"/>
        <v>-</v>
      </c>
      <c r="AC811" s="151" t="str">
        <f t="shared" ca="1" si="1309"/>
        <v>PO ZMIANIE</v>
      </c>
      <c r="AD811" s="152" t="str">
        <f t="shared" ca="1" si="1342"/>
        <v>PO ZMIANIE</v>
      </c>
      <c r="AE811" s="153" t="str">
        <f t="shared" ca="1" si="1310"/>
        <v>C/USN/VII/P3/11</v>
      </c>
      <c r="AF811" s="154" t="str">
        <f t="shared" ca="1" si="1311"/>
        <v>Adaptacja pomieszczeń dla potrzeb Ursynoteki po przedszkolu przy ul. Polnej Róży</v>
      </c>
      <c r="AG811" s="155">
        <f t="shared" ca="1" si="1312"/>
        <v>92116</v>
      </c>
      <c r="AH811" s="155" t="str">
        <f t="shared" ca="1" si="1313"/>
        <v>6050</v>
      </c>
      <c r="AI811" s="156" t="str">
        <f t="shared" ca="1" si="1314"/>
        <v>MWPO/0024</v>
      </c>
      <c r="AJ811" s="157" t="str">
        <f t="shared" ca="1" si="1315"/>
        <v>WPF, w tym</v>
      </c>
      <c r="AK811" s="158" t="str">
        <f t="shared" ca="1" si="1343"/>
        <v>C/USN/VII/P3/11 92116 6050 MWPO/0024</v>
      </c>
      <c r="AL811" s="158" t="str">
        <f t="shared" ca="1" si="1344"/>
        <v>C/USN/VII/P3/11 92116 6050 WPF, w tym</v>
      </c>
      <c r="AM811" s="159" t="str">
        <f t="shared" ca="1" si="1345"/>
        <v>C/USN/VII/P3/11 92116 6050 MWPO/0024 WPF, w tym</v>
      </c>
      <c r="AN811" s="160">
        <f t="shared" ca="1" si="1316"/>
        <v>1000000</v>
      </c>
      <c r="AO811" s="161">
        <f t="shared" ca="1" si="1317"/>
        <v>0</v>
      </c>
      <c r="AP811" s="162">
        <f t="shared" ca="1" si="1318"/>
        <v>116850</v>
      </c>
      <c r="AQ811" s="163">
        <f t="shared" ca="1" si="1319"/>
        <v>683150</v>
      </c>
      <c r="AR811" s="164">
        <f t="shared" ca="1" si="1320"/>
        <v>200000</v>
      </c>
      <c r="AS811" s="164">
        <f t="shared" ca="1" si="1321"/>
        <v>0</v>
      </c>
      <c r="AT811" s="164">
        <f t="shared" ca="1" si="1322"/>
        <v>0</v>
      </c>
      <c r="AU811" s="164">
        <f t="shared" ca="1" si="1323"/>
        <v>0</v>
      </c>
      <c r="AV811" s="164">
        <f t="shared" ca="1" si="1324"/>
        <v>0</v>
      </c>
      <c r="AW811" s="164">
        <f t="shared" ca="1" si="1325"/>
        <v>0</v>
      </c>
      <c r="AX811" s="164">
        <f t="shared" ca="1" si="1326"/>
        <v>0</v>
      </c>
      <c r="AY811" s="164">
        <f t="shared" ca="1" si="1327"/>
        <v>0</v>
      </c>
      <c r="AZ811" s="164">
        <f t="shared" ca="1" si="1328"/>
        <v>0</v>
      </c>
      <c r="BA811" s="165" t="str">
        <f t="shared" ca="1" si="1329"/>
        <v>nie</v>
      </c>
      <c r="BB811" s="166" t="str">
        <f t="shared" ca="1" si="1346"/>
        <v>-</v>
      </c>
      <c r="BC811" s="165" t="str">
        <f t="shared" ca="1" si="1291"/>
        <v>nie</v>
      </c>
    </row>
    <row r="812" spans="1:55" ht="14.45" hidden="1" customHeight="1" x14ac:dyDescent="0.25">
      <c r="A812" s="493"/>
      <c r="B812" s="493"/>
      <c r="C812" s="494"/>
      <c r="D812" s="506"/>
      <c r="E812" s="497"/>
      <c r="F812" s="497"/>
      <c r="G812" s="497"/>
      <c r="H812" s="498"/>
      <c r="I812" s="499"/>
      <c r="J812" s="177" t="s">
        <v>103</v>
      </c>
      <c r="K812" s="178">
        <f>SUM(N812:O812)</f>
        <v>875155</v>
      </c>
      <c r="L812" s="179"/>
      <c r="M812" s="180"/>
      <c r="N812" s="172">
        <f>SUM(L812:M812)</f>
        <v>0</v>
      </c>
      <c r="O812" s="178">
        <f>SUM(P812:Y812)</f>
        <v>875155</v>
      </c>
      <c r="P812" s="181">
        <f>592005+83150</f>
        <v>675155</v>
      </c>
      <c r="Q812" s="180">
        <v>200000</v>
      </c>
      <c r="R812" s="182"/>
      <c r="S812" s="183"/>
      <c r="T812" s="180"/>
      <c r="U812" s="180"/>
      <c r="V812" s="180"/>
      <c r="W812" s="180"/>
      <c r="X812" s="180"/>
      <c r="Y812" s="182"/>
      <c r="Z812" s="149" t="str">
        <f t="shared" ca="1" si="1290"/>
        <v>nie</v>
      </c>
      <c r="AA812" s="384"/>
      <c r="AB812" s="150" t="str">
        <f t="shared" ca="1" si="1341"/>
        <v>-</v>
      </c>
      <c r="AC812" s="151" t="str">
        <f t="shared" ca="1" si="1309"/>
        <v>PO ZMIANIE</v>
      </c>
      <c r="AD812" s="152" t="str">
        <f t="shared" ca="1" si="1342"/>
        <v>PO ZMIANIE</v>
      </c>
      <c r="AE812" s="153" t="str">
        <f t="shared" ca="1" si="1310"/>
        <v>C/USN/VII/P3/11</v>
      </c>
      <c r="AF812" s="154" t="str">
        <f t="shared" ca="1" si="1311"/>
        <v>Adaptacja pomieszczeń dla potrzeb Ursynoteki po przedszkolu przy ul. Polnej Róży</v>
      </c>
      <c r="AG812" s="155">
        <f t="shared" ca="1" si="1312"/>
        <v>92116</v>
      </c>
      <c r="AH812" s="155" t="str">
        <f t="shared" ca="1" si="1313"/>
        <v>6050</v>
      </c>
      <c r="AI812" s="156" t="str">
        <f t="shared" ca="1" si="1314"/>
        <v>MWPO/0024</v>
      </c>
      <c r="AJ812" s="157" t="str">
        <f t="shared" ca="1" si="1315"/>
        <v>WPF/PM</v>
      </c>
      <c r="AK812" s="158" t="str">
        <f t="shared" ca="1" si="1343"/>
        <v>C/USN/VII/P3/11 92116 6050 MWPO/0024</v>
      </c>
      <c r="AL812" s="158" t="str">
        <f t="shared" ca="1" si="1344"/>
        <v>C/USN/VII/P3/11 92116 6050 WPF/PM</v>
      </c>
      <c r="AM812" s="159" t="str">
        <f t="shared" ca="1" si="1345"/>
        <v>C/USN/VII/P3/11 92116 6050 MWPO/0024 WPF/PM</v>
      </c>
      <c r="AN812" s="160">
        <f t="shared" ca="1" si="1316"/>
        <v>875155</v>
      </c>
      <c r="AO812" s="161">
        <f t="shared" ca="1" si="1317"/>
        <v>0</v>
      </c>
      <c r="AP812" s="162">
        <f t="shared" ca="1" si="1318"/>
        <v>0</v>
      </c>
      <c r="AQ812" s="163">
        <f t="shared" ca="1" si="1319"/>
        <v>675155</v>
      </c>
      <c r="AR812" s="164">
        <f t="shared" ca="1" si="1320"/>
        <v>200000</v>
      </c>
      <c r="AS812" s="164">
        <f t="shared" ca="1" si="1321"/>
        <v>0</v>
      </c>
      <c r="AT812" s="164">
        <f t="shared" ca="1" si="1322"/>
        <v>0</v>
      </c>
      <c r="AU812" s="164">
        <f t="shared" ca="1" si="1323"/>
        <v>0</v>
      </c>
      <c r="AV812" s="164">
        <f t="shared" ca="1" si="1324"/>
        <v>0</v>
      </c>
      <c r="AW812" s="164">
        <f t="shared" ca="1" si="1325"/>
        <v>0</v>
      </c>
      <c r="AX812" s="164">
        <f t="shared" ca="1" si="1326"/>
        <v>0</v>
      </c>
      <c r="AY812" s="164">
        <f t="shared" ca="1" si="1327"/>
        <v>0</v>
      </c>
      <c r="AZ812" s="164">
        <f t="shared" ca="1" si="1328"/>
        <v>0</v>
      </c>
      <c r="BA812" s="165" t="str">
        <f t="shared" ca="1" si="1329"/>
        <v>nie</v>
      </c>
      <c r="BB812" s="166" t="str">
        <f t="shared" ca="1" si="1346"/>
        <v>-</v>
      </c>
      <c r="BC812" s="165" t="str">
        <f t="shared" ca="1" si="1291"/>
        <v>nie</v>
      </c>
    </row>
    <row r="813" spans="1:55" ht="14.45" hidden="1" customHeight="1" thickBot="1" x14ac:dyDescent="0.3">
      <c r="A813" s="500"/>
      <c r="B813" s="500"/>
      <c r="C813" s="501"/>
      <c r="D813" s="513"/>
      <c r="E813" s="503"/>
      <c r="F813" s="503"/>
      <c r="G813" s="503"/>
      <c r="H813" s="504"/>
      <c r="I813" s="499"/>
      <c r="J813" s="197" t="s">
        <v>104</v>
      </c>
      <c r="K813" s="198">
        <f>SUM(N813:O813)</f>
        <v>124845</v>
      </c>
      <c r="L813" s="199"/>
      <c r="M813" s="200">
        <f>200000-83150</f>
        <v>116850</v>
      </c>
      <c r="N813" s="371">
        <f>SUM(L813:M813)</f>
        <v>116850</v>
      </c>
      <c r="O813" s="198">
        <f>SUM(P813:Y813)</f>
        <v>7995</v>
      </c>
      <c r="P813" s="201">
        <v>7995</v>
      </c>
      <c r="Q813" s="200"/>
      <c r="R813" s="202"/>
      <c r="S813" s="203"/>
      <c r="T813" s="200"/>
      <c r="U813" s="200"/>
      <c r="V813" s="200"/>
      <c r="W813" s="200"/>
      <c r="X813" s="200"/>
      <c r="Y813" s="202"/>
      <c r="Z813" s="149" t="str">
        <f t="shared" ca="1" si="1290"/>
        <v>nie</v>
      </c>
      <c r="AA813" s="384"/>
      <c r="AB813" s="150" t="str">
        <f t="shared" ca="1" si="1341"/>
        <v>-</v>
      </c>
      <c r="AC813" s="151" t="str">
        <f t="shared" ca="1" si="1309"/>
        <v>PO ZMIANIE</v>
      </c>
      <c r="AD813" s="152" t="str">
        <f t="shared" ca="1" si="1342"/>
        <v>PO ZMIANIE</v>
      </c>
      <c r="AE813" s="153" t="str">
        <f t="shared" ca="1" si="1310"/>
        <v>C/USN/VII/P3/11</v>
      </c>
      <c r="AF813" s="154" t="str">
        <f t="shared" ca="1" si="1311"/>
        <v>Adaptacja pomieszczeń dla potrzeb Ursynoteki po przedszkolu przy ul. Polnej Róży</v>
      </c>
      <c r="AG813" s="155">
        <f t="shared" ca="1" si="1312"/>
        <v>92116</v>
      </c>
      <c r="AH813" s="155" t="str">
        <f t="shared" ca="1" si="1313"/>
        <v>6050</v>
      </c>
      <c r="AI813" s="156" t="str">
        <f t="shared" ca="1" si="1314"/>
        <v>MWPO/0024</v>
      </c>
      <c r="AJ813" s="157" t="str">
        <f t="shared" ca="1" si="1315"/>
        <v>WPF/UM</v>
      </c>
      <c r="AK813" s="158" t="str">
        <f t="shared" ca="1" si="1343"/>
        <v>C/USN/VII/P3/11 92116 6050 MWPO/0024</v>
      </c>
      <c r="AL813" s="158" t="str">
        <f t="shared" ca="1" si="1344"/>
        <v>C/USN/VII/P3/11 92116 6050 WPF/UM</v>
      </c>
      <c r="AM813" s="159" t="str">
        <f t="shared" ca="1" si="1345"/>
        <v>C/USN/VII/P3/11 92116 6050 MWPO/0024 WPF/UM</v>
      </c>
      <c r="AN813" s="160">
        <f t="shared" ca="1" si="1316"/>
        <v>124845</v>
      </c>
      <c r="AO813" s="161">
        <f t="shared" ca="1" si="1317"/>
        <v>0</v>
      </c>
      <c r="AP813" s="162">
        <f t="shared" ca="1" si="1318"/>
        <v>116850</v>
      </c>
      <c r="AQ813" s="163">
        <f t="shared" ca="1" si="1319"/>
        <v>7995</v>
      </c>
      <c r="AR813" s="164">
        <f t="shared" ca="1" si="1320"/>
        <v>0</v>
      </c>
      <c r="AS813" s="164">
        <f t="shared" ca="1" si="1321"/>
        <v>0</v>
      </c>
      <c r="AT813" s="164">
        <f t="shared" ca="1" si="1322"/>
        <v>0</v>
      </c>
      <c r="AU813" s="164">
        <f t="shared" ca="1" si="1323"/>
        <v>0</v>
      </c>
      <c r="AV813" s="164">
        <f t="shared" ca="1" si="1324"/>
        <v>0</v>
      </c>
      <c r="AW813" s="164">
        <f t="shared" ca="1" si="1325"/>
        <v>0</v>
      </c>
      <c r="AX813" s="164">
        <f t="shared" ca="1" si="1326"/>
        <v>0</v>
      </c>
      <c r="AY813" s="164">
        <f t="shared" ca="1" si="1327"/>
        <v>0</v>
      </c>
      <c r="AZ813" s="164">
        <f t="shared" ca="1" si="1328"/>
        <v>0</v>
      </c>
      <c r="BA813" s="165" t="str">
        <f t="shared" ca="1" si="1329"/>
        <v>nie</v>
      </c>
      <c r="BB813" s="166" t="str">
        <f t="shared" ca="1" si="1346"/>
        <v>-</v>
      </c>
      <c r="BC813" s="165" t="str">
        <f t="shared" ca="1" si="1291"/>
        <v>nie</v>
      </c>
    </row>
    <row r="814" spans="1:55" ht="14.45" hidden="1" customHeight="1" x14ac:dyDescent="0.25">
      <c r="A814" s="143" t="s">
        <v>91</v>
      </c>
      <c r="B814" s="144"/>
      <c r="C814" s="145"/>
      <c r="D814" s="144"/>
      <c r="E814" s="144"/>
      <c r="F814" s="144"/>
      <c r="G814" s="144"/>
      <c r="H814" s="144"/>
      <c r="I814" s="144"/>
      <c r="J814" s="144"/>
      <c r="K814" s="144"/>
      <c r="L814" s="144"/>
      <c r="M814" s="144"/>
      <c r="N814" s="144"/>
      <c r="O814" s="144"/>
      <c r="P814" s="144"/>
      <c r="Q814" s="144"/>
      <c r="R814" s="146"/>
      <c r="S814" s="147"/>
      <c r="T814" s="147"/>
      <c r="U814" s="147"/>
      <c r="V814" s="147"/>
      <c r="W814" s="147"/>
      <c r="X814" s="147"/>
      <c r="Y814" s="148"/>
      <c r="Z814" s="149" t="str">
        <f t="shared" ca="1" si="1290"/>
        <v>nie</v>
      </c>
      <c r="AA814" s="366"/>
      <c r="AB814" s="150" t="str">
        <f t="shared" ca="1" si="1278"/>
        <v>-</v>
      </c>
      <c r="AC814" s="151" t="str">
        <f t="shared" ca="1" si="1309"/>
        <v>PRZED ZMIANĄ</v>
      </c>
      <c r="AD814" s="152" t="str">
        <f t="shared" ca="1" si="1133"/>
        <v/>
      </c>
      <c r="AE814" s="153" t="str">
        <f t="shared" ca="1" si="1310"/>
        <v/>
      </c>
      <c r="AF814" s="154" t="str">
        <f t="shared" ca="1" si="1311"/>
        <v/>
      </c>
      <c r="AG814" s="155" t="str">
        <f t="shared" ca="1" si="1312"/>
        <v/>
      </c>
      <c r="AH814" s="155" t="str">
        <f t="shared" ca="1" si="1313"/>
        <v/>
      </c>
      <c r="AI814" s="156" t="str">
        <f t="shared" ca="1" si="1314"/>
        <v/>
      </c>
      <c r="AJ814" s="157" t="str">
        <f t="shared" ca="1" si="1315"/>
        <v/>
      </c>
      <c r="AK814" s="158" t="str">
        <f t="shared" ca="1" si="1134"/>
        <v/>
      </c>
      <c r="AL814" s="158" t="str">
        <f t="shared" ca="1" si="1135"/>
        <v/>
      </c>
      <c r="AM814" s="159" t="str">
        <f t="shared" ca="1" si="1136"/>
        <v/>
      </c>
      <c r="AN814" s="160" t="str">
        <f t="shared" ca="1" si="1316"/>
        <v/>
      </c>
      <c r="AO814" s="161" t="str">
        <f t="shared" ca="1" si="1317"/>
        <v/>
      </c>
      <c r="AP814" s="162" t="str">
        <f t="shared" ca="1" si="1318"/>
        <v/>
      </c>
      <c r="AQ814" s="163" t="str">
        <f t="shared" ca="1" si="1319"/>
        <v/>
      </c>
      <c r="AR814" s="164" t="str">
        <f t="shared" ca="1" si="1320"/>
        <v/>
      </c>
      <c r="AS814" s="164" t="str">
        <f t="shared" ca="1" si="1321"/>
        <v/>
      </c>
      <c r="AT814" s="164" t="str">
        <f t="shared" ca="1" si="1322"/>
        <v/>
      </c>
      <c r="AU814" s="164" t="str">
        <f t="shared" ca="1" si="1323"/>
        <v/>
      </c>
      <c r="AV814" s="164" t="str">
        <f t="shared" ca="1" si="1324"/>
        <v/>
      </c>
      <c r="AW814" s="164" t="str">
        <f t="shared" ca="1" si="1325"/>
        <v/>
      </c>
      <c r="AX814" s="164" t="str">
        <f t="shared" ca="1" si="1326"/>
        <v/>
      </c>
      <c r="AY814" s="164" t="str">
        <f t="shared" ca="1" si="1327"/>
        <v/>
      </c>
      <c r="AZ814" s="164" t="str">
        <f t="shared" ca="1" si="1328"/>
        <v/>
      </c>
      <c r="BA814" s="165" t="str">
        <f t="shared" ca="1" si="1329"/>
        <v>nie</v>
      </c>
      <c r="BB814" s="166" t="str">
        <f t="shared" ca="1" si="1279"/>
        <v>-</v>
      </c>
      <c r="BC814" s="165" t="str">
        <f t="shared" ca="1" si="1291"/>
        <v>nie</v>
      </c>
    </row>
    <row r="815" spans="1:55" ht="14.45" hidden="1" customHeight="1" x14ac:dyDescent="0.25">
      <c r="A815" s="493" t="s">
        <v>24</v>
      </c>
      <c r="B815" s="493" t="s">
        <v>197</v>
      </c>
      <c r="C815" s="494" t="s">
        <v>198</v>
      </c>
      <c r="D815" s="505" t="s">
        <v>199</v>
      </c>
      <c r="E815" s="497">
        <v>926</v>
      </c>
      <c r="F815" s="497">
        <v>92601</v>
      </c>
      <c r="G815" s="497">
        <v>6210</v>
      </c>
      <c r="H815" s="498" t="s">
        <v>162</v>
      </c>
      <c r="I815" s="499" t="str">
        <f ca="1">IF(COUNTIF(OFFSET(I815,-1,-8),"*propon*")&gt;0,OFFSET(I815,4,0),IF(Y815&gt;0,"2033",IF(X815&gt;0,"2032",IF(W815&gt;0,"2031",IF(V815&gt;0,"2030",IF(U815&gt;0,"2029",IF(T815&gt;0,"2028",IF(S815&gt;0,"2027",IF(R815&gt;0,"2026",IF(Q815&gt;0,"2025",IF(P815&gt;0,"2024",IF(M815&gt;0,"2023",IF(L815&gt;0,"2022","")))))))))))))</f>
        <v>2024</v>
      </c>
      <c r="J815" s="168" t="s">
        <v>94</v>
      </c>
      <c r="K815" s="169">
        <f>SUM(N815:O815)</f>
        <v>3400000</v>
      </c>
      <c r="L815" s="170">
        <f t="shared" ref="L815:M815" si="1357">SUM(L816:L817)</f>
        <v>0</v>
      </c>
      <c r="M815" s="171">
        <f t="shared" si="1357"/>
        <v>241161</v>
      </c>
      <c r="N815" s="172">
        <f>SUM(L815:M815)</f>
        <v>241161</v>
      </c>
      <c r="O815" s="169">
        <f>SUM(P815:Y815)</f>
        <v>3158839</v>
      </c>
      <c r="P815" s="173">
        <f t="shared" ref="P815:R815" si="1358">SUM(P816:P817)</f>
        <v>3158839</v>
      </c>
      <c r="Q815" s="171">
        <f t="shared" si="1358"/>
        <v>0</v>
      </c>
      <c r="R815" s="174">
        <f t="shared" si="1358"/>
        <v>0</v>
      </c>
      <c r="S815" s="175">
        <f t="shared" ref="S815:Y815" si="1359">SUM(S816:S817)</f>
        <v>0</v>
      </c>
      <c r="T815" s="171">
        <f t="shared" si="1359"/>
        <v>0</v>
      </c>
      <c r="U815" s="171">
        <f t="shared" si="1359"/>
        <v>0</v>
      </c>
      <c r="V815" s="171">
        <f t="shared" si="1359"/>
        <v>0</v>
      </c>
      <c r="W815" s="171">
        <f t="shared" si="1359"/>
        <v>0</v>
      </c>
      <c r="X815" s="171">
        <f t="shared" si="1359"/>
        <v>0</v>
      </c>
      <c r="Y815" s="174">
        <f t="shared" si="1359"/>
        <v>0</v>
      </c>
      <c r="Z815" s="149" t="str">
        <f t="shared" ca="1" si="1290"/>
        <v>nie</v>
      </c>
      <c r="AA815" s="366"/>
      <c r="AB815" s="150" t="str">
        <f t="shared" ref="AB815:AB866" ca="1" si="1360">IF(IF(OR(COUNTIF(AD815,"*bilans*")&gt;0,COUNTIF(AD815,"*prop*")&gt;0),COUNTIF(AO815:AZ815,"")+COUNTIF(AO815:AZ815,"0"),"")&lt;12,AE815,"-")</f>
        <v>-</v>
      </c>
      <c r="AC815" s="151" t="str">
        <f t="shared" ca="1" si="1309"/>
        <v>PRZED ZMIANĄ</v>
      </c>
      <c r="AD815" s="152" t="str">
        <f t="shared" ca="1" si="1133"/>
        <v>PRZED ZMIANĄ</v>
      </c>
      <c r="AE815" s="153" t="str">
        <f t="shared" ca="1" si="1310"/>
        <v>C/USN/VIII/P1/24</v>
      </c>
      <c r="AF815" s="154" t="str">
        <f t="shared" ca="1" si="1311"/>
        <v>Budowa instalacji fotowoltaicznych w obiektach Ursynowskiego Centrum Sportu i Rekreacji</v>
      </c>
      <c r="AG815" s="155">
        <f t="shared" ca="1" si="1312"/>
        <v>92601</v>
      </c>
      <c r="AH815" s="155" t="str">
        <f t="shared" ca="1" si="1313"/>
        <v>6210</v>
      </c>
      <c r="AI815" s="156" t="str">
        <f t="shared" ca="1" si="1314"/>
        <v>SMOG</v>
      </c>
      <c r="AJ815" s="157" t="str">
        <f t="shared" ca="1" si="1315"/>
        <v>WPF, w tym</v>
      </c>
      <c r="AK815" s="158" t="str">
        <f t="shared" ca="1" si="1134"/>
        <v>C/USN/VIII/P1/24 92601 6210 SMOG</v>
      </c>
      <c r="AL815" s="158" t="str">
        <f t="shared" ca="1" si="1135"/>
        <v>C/USN/VIII/P1/24 92601 6210 WPF, w tym</v>
      </c>
      <c r="AM815" s="159" t="str">
        <f t="shared" ca="1" si="1136"/>
        <v>C/USN/VIII/P1/24 92601 6210 SMOG WPF, w tym</v>
      </c>
      <c r="AN815" s="160">
        <f t="shared" ca="1" si="1316"/>
        <v>3400000</v>
      </c>
      <c r="AO815" s="161">
        <f t="shared" ca="1" si="1317"/>
        <v>0</v>
      </c>
      <c r="AP815" s="162">
        <f t="shared" ca="1" si="1318"/>
        <v>241161</v>
      </c>
      <c r="AQ815" s="163">
        <f t="shared" ca="1" si="1319"/>
        <v>3158839</v>
      </c>
      <c r="AR815" s="164">
        <f t="shared" ca="1" si="1320"/>
        <v>0</v>
      </c>
      <c r="AS815" s="164">
        <f t="shared" ca="1" si="1321"/>
        <v>0</v>
      </c>
      <c r="AT815" s="164">
        <f t="shared" ca="1" si="1322"/>
        <v>0</v>
      </c>
      <c r="AU815" s="164">
        <f t="shared" ca="1" si="1323"/>
        <v>0</v>
      </c>
      <c r="AV815" s="164">
        <f t="shared" ca="1" si="1324"/>
        <v>0</v>
      </c>
      <c r="AW815" s="164">
        <f t="shared" ca="1" si="1325"/>
        <v>0</v>
      </c>
      <c r="AX815" s="164">
        <f t="shared" ca="1" si="1326"/>
        <v>0</v>
      </c>
      <c r="AY815" s="164">
        <f t="shared" ca="1" si="1327"/>
        <v>0</v>
      </c>
      <c r="AZ815" s="164">
        <f t="shared" ca="1" si="1328"/>
        <v>0</v>
      </c>
      <c r="BA815" s="165" t="str">
        <f t="shared" ca="1" si="1329"/>
        <v>nie</v>
      </c>
      <c r="BB815" s="166" t="str">
        <f t="shared" ref="BB815:BB866" ca="1" si="1361">IF(COUNTIF(AD815,"*bilans*")&gt;0,"-",IF(IF(COUNTIF(AD815,"*prop*")&gt;0,COUNTIF(AO815:AZ815,"")+COUNTIF(AO815:AZ815,"0"),"")&lt;12,AK815,"-"))</f>
        <v>-</v>
      </c>
      <c r="BC815" s="165" t="str">
        <f t="shared" ca="1" si="1291"/>
        <v>nie</v>
      </c>
    </row>
    <row r="816" spans="1:55" ht="14.45" hidden="1" customHeight="1" x14ac:dyDescent="0.25">
      <c r="A816" s="493"/>
      <c r="B816" s="493"/>
      <c r="C816" s="494"/>
      <c r="D816" s="506"/>
      <c r="E816" s="497"/>
      <c r="F816" s="497"/>
      <c r="G816" s="497"/>
      <c r="H816" s="498"/>
      <c r="I816" s="499"/>
      <c r="J816" s="177" t="s">
        <v>95</v>
      </c>
      <c r="K816" s="178">
        <f>SUM(N816:O816)</f>
        <v>3158839</v>
      </c>
      <c r="L816" s="179"/>
      <c r="M816" s="180"/>
      <c r="N816" s="172">
        <f>SUM(L816:M816)</f>
        <v>0</v>
      </c>
      <c r="O816" s="178">
        <f>SUM(P816:Y816)</f>
        <v>3158839</v>
      </c>
      <c r="P816" s="181">
        <v>3158839</v>
      </c>
      <c r="Q816" s="180"/>
      <c r="R816" s="182"/>
      <c r="S816" s="183"/>
      <c r="T816" s="180"/>
      <c r="U816" s="180"/>
      <c r="V816" s="180"/>
      <c r="W816" s="180"/>
      <c r="X816" s="180"/>
      <c r="Y816" s="182"/>
      <c r="Z816" s="149" t="str">
        <f t="shared" ca="1" si="1290"/>
        <v>nie</v>
      </c>
      <c r="AA816" s="366"/>
      <c r="AB816" s="150" t="str">
        <f t="shared" ca="1" si="1360"/>
        <v>-</v>
      </c>
      <c r="AC816" s="151" t="str">
        <f t="shared" ca="1" si="1309"/>
        <v>PRZED ZMIANĄ</v>
      </c>
      <c r="AD816" s="152" t="str">
        <f t="shared" ca="1" si="1133"/>
        <v>PRZED ZMIANĄ</v>
      </c>
      <c r="AE816" s="153" t="str">
        <f t="shared" ca="1" si="1310"/>
        <v>C/USN/VIII/P1/24</v>
      </c>
      <c r="AF816" s="154" t="str">
        <f t="shared" ca="1" si="1311"/>
        <v>Budowa instalacji fotowoltaicznych w obiektach Ursynowskiego Centrum Sportu i Rekreacji</v>
      </c>
      <c r="AG816" s="155">
        <f t="shared" ca="1" si="1312"/>
        <v>92601</v>
      </c>
      <c r="AH816" s="155" t="str">
        <f t="shared" ca="1" si="1313"/>
        <v>6210</v>
      </c>
      <c r="AI816" s="156" t="str">
        <f t="shared" ca="1" si="1314"/>
        <v>SMOG</v>
      </c>
      <c r="AJ816" s="157" t="str">
        <f t="shared" ca="1" si="1315"/>
        <v>WPF/PM</v>
      </c>
      <c r="AK816" s="158" t="str">
        <f t="shared" ca="1" si="1134"/>
        <v>C/USN/VIII/P1/24 92601 6210 SMOG</v>
      </c>
      <c r="AL816" s="158" t="str">
        <f t="shared" ca="1" si="1135"/>
        <v>C/USN/VIII/P1/24 92601 6210 WPF/PM</v>
      </c>
      <c r="AM816" s="159" t="str">
        <f t="shared" ca="1" si="1136"/>
        <v>C/USN/VIII/P1/24 92601 6210 SMOG WPF/PM</v>
      </c>
      <c r="AN816" s="160">
        <f t="shared" ca="1" si="1316"/>
        <v>3158839</v>
      </c>
      <c r="AO816" s="161">
        <f t="shared" ca="1" si="1317"/>
        <v>0</v>
      </c>
      <c r="AP816" s="162">
        <f t="shared" ca="1" si="1318"/>
        <v>0</v>
      </c>
      <c r="AQ816" s="163">
        <f t="shared" ca="1" si="1319"/>
        <v>3158839</v>
      </c>
      <c r="AR816" s="164">
        <f t="shared" ca="1" si="1320"/>
        <v>0</v>
      </c>
      <c r="AS816" s="164">
        <f t="shared" ca="1" si="1321"/>
        <v>0</v>
      </c>
      <c r="AT816" s="164">
        <f t="shared" ca="1" si="1322"/>
        <v>0</v>
      </c>
      <c r="AU816" s="164">
        <f t="shared" ca="1" si="1323"/>
        <v>0</v>
      </c>
      <c r="AV816" s="164">
        <f t="shared" ca="1" si="1324"/>
        <v>0</v>
      </c>
      <c r="AW816" s="164">
        <f t="shared" ca="1" si="1325"/>
        <v>0</v>
      </c>
      <c r="AX816" s="164">
        <f t="shared" ca="1" si="1326"/>
        <v>0</v>
      </c>
      <c r="AY816" s="164">
        <f t="shared" ca="1" si="1327"/>
        <v>0</v>
      </c>
      <c r="AZ816" s="164">
        <f t="shared" ca="1" si="1328"/>
        <v>0</v>
      </c>
      <c r="BA816" s="165" t="str">
        <f t="shared" ca="1" si="1329"/>
        <v>nie</v>
      </c>
      <c r="BB816" s="166" t="str">
        <f t="shared" ca="1" si="1361"/>
        <v>-</v>
      </c>
      <c r="BC816" s="165" t="str">
        <f t="shared" ca="1" si="1291"/>
        <v>nie</v>
      </c>
    </row>
    <row r="817" spans="1:55" ht="14.45" hidden="1" customHeight="1" x14ac:dyDescent="0.25">
      <c r="A817" s="493"/>
      <c r="B817" s="493"/>
      <c r="C817" s="494"/>
      <c r="D817" s="506"/>
      <c r="E817" s="497"/>
      <c r="F817" s="497"/>
      <c r="G817" s="497"/>
      <c r="H817" s="498"/>
      <c r="I817" s="499"/>
      <c r="J817" s="177" t="s">
        <v>96</v>
      </c>
      <c r="K817" s="178">
        <f>SUM(N817:O817)</f>
        <v>241161</v>
      </c>
      <c r="L817" s="184"/>
      <c r="M817" s="180">
        <v>241161</v>
      </c>
      <c r="N817" s="172">
        <f>SUM(L817:M817)</f>
        <v>241161</v>
      </c>
      <c r="O817" s="178">
        <f>SUM(P817:Y817)</f>
        <v>0</v>
      </c>
      <c r="P817" s="181"/>
      <c r="Q817" s="180"/>
      <c r="R817" s="182"/>
      <c r="S817" s="183"/>
      <c r="T817" s="180"/>
      <c r="U817" s="180"/>
      <c r="V817" s="180"/>
      <c r="W817" s="180"/>
      <c r="X817" s="180"/>
      <c r="Y817" s="182"/>
      <c r="Z817" s="149" t="str">
        <f t="shared" ca="1" si="1290"/>
        <v>nie</v>
      </c>
      <c r="AA817" s="366"/>
      <c r="AB817" s="150" t="str">
        <f t="shared" ca="1" si="1360"/>
        <v>-</v>
      </c>
      <c r="AC817" s="151" t="str">
        <f t="shared" ca="1" si="1309"/>
        <v>PRZED ZMIANĄ</v>
      </c>
      <c r="AD817" s="152" t="str">
        <f t="shared" ca="1" si="1133"/>
        <v>PRZED ZMIANĄ</v>
      </c>
      <c r="AE817" s="153" t="str">
        <f t="shared" ca="1" si="1310"/>
        <v>C/USN/VIII/P1/24</v>
      </c>
      <c r="AF817" s="154" t="str">
        <f t="shared" ca="1" si="1311"/>
        <v>Budowa instalacji fotowoltaicznych w obiektach Ursynowskiego Centrum Sportu i Rekreacji</v>
      </c>
      <c r="AG817" s="155">
        <f t="shared" ca="1" si="1312"/>
        <v>92601</v>
      </c>
      <c r="AH817" s="155" t="str">
        <f t="shared" ca="1" si="1313"/>
        <v>6210</v>
      </c>
      <c r="AI817" s="156" t="str">
        <f t="shared" ca="1" si="1314"/>
        <v>SMOG</v>
      </c>
      <c r="AJ817" s="157" t="str">
        <f t="shared" ca="1" si="1315"/>
        <v>WPF/UM</v>
      </c>
      <c r="AK817" s="158" t="str">
        <f t="shared" ca="1" si="1134"/>
        <v>C/USN/VIII/P1/24 92601 6210 SMOG</v>
      </c>
      <c r="AL817" s="158" t="str">
        <f t="shared" ca="1" si="1135"/>
        <v>C/USN/VIII/P1/24 92601 6210 WPF/UM</v>
      </c>
      <c r="AM817" s="159" t="str">
        <f t="shared" ca="1" si="1136"/>
        <v>C/USN/VIII/P1/24 92601 6210 SMOG WPF/UM</v>
      </c>
      <c r="AN817" s="160">
        <f t="shared" ca="1" si="1316"/>
        <v>241161</v>
      </c>
      <c r="AO817" s="161">
        <f t="shared" ca="1" si="1317"/>
        <v>0</v>
      </c>
      <c r="AP817" s="162">
        <f t="shared" ca="1" si="1318"/>
        <v>241161</v>
      </c>
      <c r="AQ817" s="163">
        <f t="shared" ca="1" si="1319"/>
        <v>0</v>
      </c>
      <c r="AR817" s="164">
        <f t="shared" ca="1" si="1320"/>
        <v>0</v>
      </c>
      <c r="AS817" s="164">
        <f t="shared" ca="1" si="1321"/>
        <v>0</v>
      </c>
      <c r="AT817" s="164">
        <f t="shared" ca="1" si="1322"/>
        <v>0</v>
      </c>
      <c r="AU817" s="164">
        <f t="shared" ca="1" si="1323"/>
        <v>0</v>
      </c>
      <c r="AV817" s="164">
        <f t="shared" ca="1" si="1324"/>
        <v>0</v>
      </c>
      <c r="AW817" s="164">
        <f t="shared" ca="1" si="1325"/>
        <v>0</v>
      </c>
      <c r="AX817" s="164">
        <f t="shared" ca="1" si="1326"/>
        <v>0</v>
      </c>
      <c r="AY817" s="164">
        <f t="shared" ca="1" si="1327"/>
        <v>0</v>
      </c>
      <c r="AZ817" s="164">
        <f t="shared" ca="1" si="1328"/>
        <v>0</v>
      </c>
      <c r="BA817" s="165" t="str">
        <f t="shared" ca="1" si="1329"/>
        <v>nie</v>
      </c>
      <c r="BB817" s="166" t="str">
        <f t="shared" ca="1" si="1361"/>
        <v>-</v>
      </c>
      <c r="BC817" s="165" t="str">
        <f t="shared" ca="1" si="1291"/>
        <v>nie</v>
      </c>
    </row>
    <row r="818" spans="1:55" ht="14.45" hidden="1" customHeight="1" x14ac:dyDescent="0.25">
      <c r="A818" s="185" t="s">
        <v>97</v>
      </c>
      <c r="B818" s="186"/>
      <c r="C818" s="187"/>
      <c r="D818" s="186"/>
      <c r="E818" s="186"/>
      <c r="F818" s="186"/>
      <c r="G818" s="186"/>
      <c r="H818" s="186"/>
      <c r="I818" s="186"/>
      <c r="J818" s="186"/>
      <c r="K818" s="186"/>
      <c r="L818" s="186"/>
      <c r="M818" s="186"/>
      <c r="N818" s="186"/>
      <c r="O818" s="186"/>
      <c r="P818" s="186"/>
      <c r="Q818" s="186"/>
      <c r="R818" s="188"/>
      <c r="S818" s="189"/>
      <c r="T818" s="189"/>
      <c r="U818" s="189"/>
      <c r="V818" s="189"/>
      <c r="W818" s="189"/>
      <c r="X818" s="189"/>
      <c r="Y818" s="190"/>
      <c r="Z818" s="149" t="str">
        <f t="shared" ca="1" si="1290"/>
        <v>nie</v>
      </c>
      <c r="AA818" s="366"/>
      <c r="AB818" s="150" t="str">
        <f t="shared" ca="1" si="1360"/>
        <v>-</v>
      </c>
      <c r="AC818" s="151" t="str">
        <f t="shared" ca="1" si="1309"/>
        <v>PROPONOWANA ZMIANA</v>
      </c>
      <c r="AD818" s="152" t="str">
        <f t="shared" ca="1" si="1133"/>
        <v/>
      </c>
      <c r="AE818" s="153" t="str">
        <f t="shared" ca="1" si="1310"/>
        <v/>
      </c>
      <c r="AF818" s="154" t="str">
        <f t="shared" ca="1" si="1311"/>
        <v/>
      </c>
      <c r="AG818" s="155" t="str">
        <f t="shared" ca="1" si="1312"/>
        <v/>
      </c>
      <c r="AH818" s="155" t="str">
        <f t="shared" ca="1" si="1313"/>
        <v/>
      </c>
      <c r="AI818" s="156" t="str">
        <f t="shared" ca="1" si="1314"/>
        <v/>
      </c>
      <c r="AJ818" s="157" t="str">
        <f t="shared" ca="1" si="1315"/>
        <v/>
      </c>
      <c r="AK818" s="158" t="str">
        <f t="shared" ca="1" si="1134"/>
        <v/>
      </c>
      <c r="AL818" s="158" t="str">
        <f t="shared" ca="1" si="1135"/>
        <v/>
      </c>
      <c r="AM818" s="159" t="str">
        <f t="shared" ca="1" si="1136"/>
        <v/>
      </c>
      <c r="AN818" s="160" t="str">
        <f t="shared" ca="1" si="1316"/>
        <v/>
      </c>
      <c r="AO818" s="161" t="str">
        <f t="shared" ca="1" si="1317"/>
        <v/>
      </c>
      <c r="AP818" s="162" t="str">
        <f t="shared" ca="1" si="1318"/>
        <v/>
      </c>
      <c r="AQ818" s="163" t="str">
        <f t="shared" ca="1" si="1319"/>
        <v/>
      </c>
      <c r="AR818" s="164" t="str">
        <f t="shared" ca="1" si="1320"/>
        <v/>
      </c>
      <c r="AS818" s="164" t="str">
        <f t="shared" ca="1" si="1321"/>
        <v/>
      </c>
      <c r="AT818" s="164" t="str">
        <f t="shared" ca="1" si="1322"/>
        <v/>
      </c>
      <c r="AU818" s="164" t="str">
        <f t="shared" ca="1" si="1323"/>
        <v/>
      </c>
      <c r="AV818" s="164" t="str">
        <f t="shared" ca="1" si="1324"/>
        <v/>
      </c>
      <c r="AW818" s="164" t="str">
        <f t="shared" ca="1" si="1325"/>
        <v/>
      </c>
      <c r="AX818" s="164" t="str">
        <f t="shared" ca="1" si="1326"/>
        <v/>
      </c>
      <c r="AY818" s="164" t="str">
        <f t="shared" ca="1" si="1327"/>
        <v/>
      </c>
      <c r="AZ818" s="164" t="str">
        <f t="shared" ca="1" si="1328"/>
        <v/>
      </c>
      <c r="BA818" s="165" t="str">
        <f t="shared" ca="1" si="1329"/>
        <v>nie</v>
      </c>
      <c r="BB818" s="166" t="str">
        <f t="shared" ca="1" si="1361"/>
        <v>-</v>
      </c>
      <c r="BC818" s="165" t="str">
        <f t="shared" ca="1" si="1291"/>
        <v>nie</v>
      </c>
    </row>
    <row r="819" spans="1:55" ht="14.45" hidden="1" customHeight="1" x14ac:dyDescent="0.25">
      <c r="A819" s="493" t="s">
        <v>24</v>
      </c>
      <c r="B819" s="493" t="s">
        <v>197</v>
      </c>
      <c r="C819" s="494" t="s">
        <v>198</v>
      </c>
      <c r="D819" s="505" t="s">
        <v>199</v>
      </c>
      <c r="E819" s="497">
        <v>926</v>
      </c>
      <c r="F819" s="497">
        <v>92601</v>
      </c>
      <c r="G819" s="497">
        <v>6210</v>
      </c>
      <c r="H819" s="498" t="s">
        <v>162</v>
      </c>
      <c r="I819" s="499" t="str">
        <f ca="1">IF(COUNTIF(OFFSET(I819,-1,-8),"*propon*")&gt;0,OFFSET(I819,4,0),IF(Y819&gt;0,"2033",IF(X819&gt;0,"2032",IF(W819&gt;0,"2031",IF(V819&gt;0,"2030",IF(U819&gt;0,"2029",IF(T819&gt;0,"2028",IF(S819&gt;0,"2027",IF(R819&gt;0,"2026",IF(Q819&gt;0,"2025",IF(P819&gt;0,"2024",IF(M819&gt;0,"2023",IF(L819&gt;0,"2022","")))))))))))))</f>
        <v>2024</v>
      </c>
      <c r="J819" s="168" t="s">
        <v>98</v>
      </c>
      <c r="K819" s="169">
        <f>SUM(N819:O819)</f>
        <v>0</v>
      </c>
      <c r="L819" s="170">
        <f t="shared" ref="L819:M819" si="1362">SUM(L820:L821)</f>
        <v>0</v>
      </c>
      <c r="M819" s="171">
        <f t="shared" si="1362"/>
        <v>0</v>
      </c>
      <c r="N819" s="172">
        <f>SUM(L819:M819)</f>
        <v>0</v>
      </c>
      <c r="O819" s="169">
        <f>SUM(P819:Y819)</f>
        <v>0</v>
      </c>
      <c r="P819" s="173">
        <f t="shared" ref="P819:R819" si="1363">SUM(P820:P821)</f>
        <v>0</v>
      </c>
      <c r="Q819" s="171">
        <f t="shared" si="1363"/>
        <v>0</v>
      </c>
      <c r="R819" s="174">
        <f t="shared" si="1363"/>
        <v>0</v>
      </c>
      <c r="S819" s="175">
        <f t="shared" ref="S819:Y819" si="1364">SUM(S820:S821)</f>
        <v>0</v>
      </c>
      <c r="T819" s="171">
        <f t="shared" si="1364"/>
        <v>0</v>
      </c>
      <c r="U819" s="171">
        <f t="shared" si="1364"/>
        <v>0</v>
      </c>
      <c r="V819" s="171">
        <f t="shared" si="1364"/>
        <v>0</v>
      </c>
      <c r="W819" s="171">
        <f t="shared" si="1364"/>
        <v>0</v>
      </c>
      <c r="X819" s="171">
        <f t="shared" si="1364"/>
        <v>0</v>
      </c>
      <c r="Y819" s="174">
        <f t="shared" si="1364"/>
        <v>0</v>
      </c>
      <c r="Z819" s="149" t="str">
        <f t="shared" ca="1" si="1290"/>
        <v>nie</v>
      </c>
      <c r="AA819" s="366"/>
      <c r="AB819" s="150" t="str">
        <f t="shared" ca="1" si="1360"/>
        <v>-</v>
      </c>
      <c r="AC819" s="151" t="str">
        <f t="shared" ca="1" si="1309"/>
        <v>PROPONOWANA ZMIANA</v>
      </c>
      <c r="AD819" s="152" t="str">
        <f t="shared" ca="1" si="1133"/>
        <v>PROPONOWANA ZMIANA</v>
      </c>
      <c r="AE819" s="153" t="str">
        <f t="shared" ca="1" si="1310"/>
        <v>C/USN/VIII/P1/24</v>
      </c>
      <c r="AF819" s="154" t="str">
        <f t="shared" ca="1" si="1311"/>
        <v>Budowa instalacji fotowoltaicznych w obiektach Ursynowskiego Centrum Sportu i Rekreacji</v>
      </c>
      <c r="AG819" s="155">
        <f t="shared" ca="1" si="1312"/>
        <v>92601</v>
      </c>
      <c r="AH819" s="155" t="str">
        <f t="shared" ca="1" si="1313"/>
        <v>6210</v>
      </c>
      <c r="AI819" s="156" t="str">
        <f t="shared" ca="1" si="1314"/>
        <v>SMOG</v>
      </c>
      <c r="AJ819" s="157" t="str">
        <f t="shared" ca="1" si="1315"/>
        <v>WPF, w tym</v>
      </c>
      <c r="AK819" s="158" t="str">
        <f t="shared" ca="1" si="1134"/>
        <v>C/USN/VIII/P1/24 92601 6210 SMOG</v>
      </c>
      <c r="AL819" s="158" t="str">
        <f t="shared" ca="1" si="1135"/>
        <v>C/USN/VIII/P1/24 92601 6210 WPF, w tym</v>
      </c>
      <c r="AM819" s="159" t="str">
        <f t="shared" ca="1" si="1136"/>
        <v>C/USN/VIII/P1/24 92601 6210 SMOG WPF, w tym</v>
      </c>
      <c r="AN819" s="160">
        <f t="shared" ca="1" si="1316"/>
        <v>0</v>
      </c>
      <c r="AO819" s="161">
        <f t="shared" ca="1" si="1317"/>
        <v>0</v>
      </c>
      <c r="AP819" s="162">
        <f t="shared" ca="1" si="1318"/>
        <v>0</v>
      </c>
      <c r="AQ819" s="163">
        <f t="shared" ca="1" si="1319"/>
        <v>0</v>
      </c>
      <c r="AR819" s="164">
        <f t="shared" ca="1" si="1320"/>
        <v>0</v>
      </c>
      <c r="AS819" s="164">
        <f t="shared" ca="1" si="1321"/>
        <v>0</v>
      </c>
      <c r="AT819" s="164">
        <f t="shared" ca="1" si="1322"/>
        <v>0</v>
      </c>
      <c r="AU819" s="164">
        <f t="shared" ca="1" si="1323"/>
        <v>0</v>
      </c>
      <c r="AV819" s="164">
        <f t="shared" ca="1" si="1324"/>
        <v>0</v>
      </c>
      <c r="AW819" s="164">
        <f t="shared" ca="1" si="1325"/>
        <v>0</v>
      </c>
      <c r="AX819" s="164">
        <f t="shared" ca="1" si="1326"/>
        <v>0</v>
      </c>
      <c r="AY819" s="164">
        <f t="shared" ca="1" si="1327"/>
        <v>0</v>
      </c>
      <c r="AZ819" s="164">
        <f t="shared" ca="1" si="1328"/>
        <v>0</v>
      </c>
      <c r="BA819" s="165" t="str">
        <f t="shared" ca="1" si="1329"/>
        <v>nie</v>
      </c>
      <c r="BB819" s="166" t="str">
        <f t="shared" ca="1" si="1361"/>
        <v>-</v>
      </c>
      <c r="BC819" s="165" t="str">
        <f t="shared" ca="1" si="1291"/>
        <v>nie</v>
      </c>
    </row>
    <row r="820" spans="1:55" ht="14.45" hidden="1" customHeight="1" x14ac:dyDescent="0.25">
      <c r="A820" s="493"/>
      <c r="B820" s="493"/>
      <c r="C820" s="494"/>
      <c r="D820" s="506"/>
      <c r="E820" s="497"/>
      <c r="F820" s="497"/>
      <c r="G820" s="497"/>
      <c r="H820" s="498"/>
      <c r="I820" s="499"/>
      <c r="J820" s="177" t="s">
        <v>99</v>
      </c>
      <c r="K820" s="178">
        <f>SUM(N820:O820)</f>
        <v>0</v>
      </c>
      <c r="L820" s="179">
        <f t="shared" ref="L820:M820" si="1365">L824-L816</f>
        <v>0</v>
      </c>
      <c r="M820" s="180">
        <f t="shared" si="1365"/>
        <v>0</v>
      </c>
      <c r="N820" s="172">
        <f>SUM(L820:M820)</f>
        <v>0</v>
      </c>
      <c r="O820" s="178">
        <f>SUM(P820:Y820)</f>
        <v>0</v>
      </c>
      <c r="P820" s="181">
        <f t="shared" ref="P820:R820" si="1366">P824-P816</f>
        <v>0</v>
      </c>
      <c r="Q820" s="180">
        <f t="shared" si="1366"/>
        <v>0</v>
      </c>
      <c r="R820" s="182">
        <f t="shared" si="1366"/>
        <v>0</v>
      </c>
      <c r="S820" s="183">
        <f t="shared" ref="S820:Y821" si="1367">S824-S816</f>
        <v>0</v>
      </c>
      <c r="T820" s="180">
        <f t="shared" si="1367"/>
        <v>0</v>
      </c>
      <c r="U820" s="180">
        <f t="shared" si="1367"/>
        <v>0</v>
      </c>
      <c r="V820" s="180">
        <f t="shared" si="1367"/>
        <v>0</v>
      </c>
      <c r="W820" s="180">
        <f t="shared" si="1367"/>
        <v>0</v>
      </c>
      <c r="X820" s="180">
        <f t="shared" si="1367"/>
        <v>0</v>
      </c>
      <c r="Y820" s="182">
        <f t="shared" si="1367"/>
        <v>0</v>
      </c>
      <c r="Z820" s="149" t="str">
        <f t="shared" ca="1" si="1290"/>
        <v>nie</v>
      </c>
      <c r="AA820" s="366"/>
      <c r="AB820" s="150" t="str">
        <f t="shared" ca="1" si="1360"/>
        <v>-</v>
      </c>
      <c r="AC820" s="151" t="str">
        <f t="shared" ca="1" si="1309"/>
        <v>PROPONOWANA ZMIANA</v>
      </c>
      <c r="AD820" s="152" t="str">
        <f t="shared" ca="1" si="1133"/>
        <v>PROPONOWANA ZMIANA</v>
      </c>
      <c r="AE820" s="153" t="str">
        <f t="shared" ca="1" si="1310"/>
        <v>C/USN/VIII/P1/24</v>
      </c>
      <c r="AF820" s="154" t="str">
        <f t="shared" ca="1" si="1311"/>
        <v>Budowa instalacji fotowoltaicznych w obiektach Ursynowskiego Centrum Sportu i Rekreacji</v>
      </c>
      <c r="AG820" s="155">
        <f t="shared" ca="1" si="1312"/>
        <v>92601</v>
      </c>
      <c r="AH820" s="155" t="str">
        <f t="shared" ca="1" si="1313"/>
        <v>6210</v>
      </c>
      <c r="AI820" s="156" t="str">
        <f t="shared" ca="1" si="1314"/>
        <v>SMOG</v>
      </c>
      <c r="AJ820" s="157" t="str">
        <f t="shared" ca="1" si="1315"/>
        <v>WPF/PM</v>
      </c>
      <c r="AK820" s="158" t="str">
        <f t="shared" ca="1" si="1134"/>
        <v>C/USN/VIII/P1/24 92601 6210 SMOG</v>
      </c>
      <c r="AL820" s="158" t="str">
        <f t="shared" ca="1" si="1135"/>
        <v>C/USN/VIII/P1/24 92601 6210 WPF/PM</v>
      </c>
      <c r="AM820" s="159" t="str">
        <f t="shared" ca="1" si="1136"/>
        <v>C/USN/VIII/P1/24 92601 6210 SMOG WPF/PM</v>
      </c>
      <c r="AN820" s="160">
        <f t="shared" ca="1" si="1316"/>
        <v>0</v>
      </c>
      <c r="AO820" s="161">
        <f t="shared" ca="1" si="1317"/>
        <v>0</v>
      </c>
      <c r="AP820" s="162">
        <f t="shared" ca="1" si="1318"/>
        <v>0</v>
      </c>
      <c r="AQ820" s="163">
        <f t="shared" ca="1" si="1319"/>
        <v>0</v>
      </c>
      <c r="AR820" s="164">
        <f t="shared" ca="1" si="1320"/>
        <v>0</v>
      </c>
      <c r="AS820" s="164">
        <f t="shared" ca="1" si="1321"/>
        <v>0</v>
      </c>
      <c r="AT820" s="164">
        <f t="shared" ca="1" si="1322"/>
        <v>0</v>
      </c>
      <c r="AU820" s="164">
        <f t="shared" ca="1" si="1323"/>
        <v>0</v>
      </c>
      <c r="AV820" s="164">
        <f t="shared" ca="1" si="1324"/>
        <v>0</v>
      </c>
      <c r="AW820" s="164">
        <f t="shared" ca="1" si="1325"/>
        <v>0</v>
      </c>
      <c r="AX820" s="164">
        <f t="shared" ca="1" si="1326"/>
        <v>0</v>
      </c>
      <c r="AY820" s="164">
        <f t="shared" ca="1" si="1327"/>
        <v>0</v>
      </c>
      <c r="AZ820" s="164">
        <f t="shared" ca="1" si="1328"/>
        <v>0</v>
      </c>
      <c r="BA820" s="165" t="str">
        <f t="shared" ca="1" si="1329"/>
        <v>nie</v>
      </c>
      <c r="BB820" s="166" t="str">
        <f t="shared" ca="1" si="1361"/>
        <v>-</v>
      </c>
      <c r="BC820" s="165" t="str">
        <f t="shared" ca="1" si="1291"/>
        <v>nie</v>
      </c>
    </row>
    <row r="821" spans="1:55" ht="14.45" hidden="1" customHeight="1" x14ac:dyDescent="0.25">
      <c r="A821" s="493"/>
      <c r="B821" s="493"/>
      <c r="C821" s="494"/>
      <c r="D821" s="506"/>
      <c r="E821" s="497"/>
      <c r="F821" s="497"/>
      <c r="G821" s="497"/>
      <c r="H821" s="498"/>
      <c r="I821" s="499"/>
      <c r="J821" s="177" t="s">
        <v>100</v>
      </c>
      <c r="K821" s="178">
        <f>SUM(N821:O821)</f>
        <v>0</v>
      </c>
      <c r="L821" s="179">
        <f t="shared" ref="L821:M821" si="1368">L825-L817</f>
        <v>0</v>
      </c>
      <c r="M821" s="180">
        <f t="shared" si="1368"/>
        <v>0</v>
      </c>
      <c r="N821" s="172">
        <f>SUM(L821:M821)</f>
        <v>0</v>
      </c>
      <c r="O821" s="178">
        <f>SUM(P821:Y821)</f>
        <v>0</v>
      </c>
      <c r="P821" s="181">
        <f t="shared" ref="P821:R821" si="1369">P825-P817</f>
        <v>0</v>
      </c>
      <c r="Q821" s="180">
        <f t="shared" si="1369"/>
        <v>0</v>
      </c>
      <c r="R821" s="182">
        <f t="shared" si="1369"/>
        <v>0</v>
      </c>
      <c r="S821" s="183">
        <f t="shared" si="1367"/>
        <v>0</v>
      </c>
      <c r="T821" s="180">
        <f t="shared" si="1367"/>
        <v>0</v>
      </c>
      <c r="U821" s="180">
        <f t="shared" si="1367"/>
        <v>0</v>
      </c>
      <c r="V821" s="180">
        <f t="shared" si="1367"/>
        <v>0</v>
      </c>
      <c r="W821" s="180">
        <f t="shared" si="1367"/>
        <v>0</v>
      </c>
      <c r="X821" s="180">
        <f t="shared" si="1367"/>
        <v>0</v>
      </c>
      <c r="Y821" s="182">
        <f t="shared" si="1367"/>
        <v>0</v>
      </c>
      <c r="Z821" s="149" t="str">
        <f t="shared" ca="1" si="1290"/>
        <v>nie</v>
      </c>
      <c r="AA821" s="366"/>
      <c r="AB821" s="150" t="str">
        <f t="shared" ca="1" si="1360"/>
        <v>-</v>
      </c>
      <c r="AC821" s="151" t="str">
        <f t="shared" ca="1" si="1309"/>
        <v>PROPONOWANA ZMIANA</v>
      </c>
      <c r="AD821" s="152" t="str">
        <f t="shared" ca="1" si="1133"/>
        <v>PROPONOWANA ZMIANA</v>
      </c>
      <c r="AE821" s="153" t="str">
        <f t="shared" ca="1" si="1310"/>
        <v>C/USN/VIII/P1/24</v>
      </c>
      <c r="AF821" s="154" t="str">
        <f t="shared" ca="1" si="1311"/>
        <v>Budowa instalacji fotowoltaicznych w obiektach Ursynowskiego Centrum Sportu i Rekreacji</v>
      </c>
      <c r="AG821" s="155">
        <f t="shared" ca="1" si="1312"/>
        <v>92601</v>
      </c>
      <c r="AH821" s="155" t="str">
        <f t="shared" ca="1" si="1313"/>
        <v>6210</v>
      </c>
      <c r="AI821" s="156" t="str">
        <f t="shared" ca="1" si="1314"/>
        <v>SMOG</v>
      </c>
      <c r="AJ821" s="157" t="str">
        <f t="shared" ca="1" si="1315"/>
        <v>WPF/UM</v>
      </c>
      <c r="AK821" s="158" t="str">
        <f t="shared" ca="1" si="1134"/>
        <v>C/USN/VIII/P1/24 92601 6210 SMOG</v>
      </c>
      <c r="AL821" s="158" t="str">
        <f t="shared" ca="1" si="1135"/>
        <v>C/USN/VIII/P1/24 92601 6210 WPF/UM</v>
      </c>
      <c r="AM821" s="159" t="str">
        <f t="shared" ca="1" si="1136"/>
        <v>C/USN/VIII/P1/24 92601 6210 SMOG WPF/UM</v>
      </c>
      <c r="AN821" s="160">
        <f t="shared" ca="1" si="1316"/>
        <v>0</v>
      </c>
      <c r="AO821" s="161">
        <f t="shared" ca="1" si="1317"/>
        <v>0</v>
      </c>
      <c r="AP821" s="162">
        <f t="shared" ca="1" si="1318"/>
        <v>0</v>
      </c>
      <c r="AQ821" s="163">
        <f t="shared" ca="1" si="1319"/>
        <v>0</v>
      </c>
      <c r="AR821" s="164">
        <f t="shared" ca="1" si="1320"/>
        <v>0</v>
      </c>
      <c r="AS821" s="164">
        <f t="shared" ca="1" si="1321"/>
        <v>0</v>
      </c>
      <c r="AT821" s="164">
        <f t="shared" ca="1" si="1322"/>
        <v>0</v>
      </c>
      <c r="AU821" s="164">
        <f t="shared" ca="1" si="1323"/>
        <v>0</v>
      </c>
      <c r="AV821" s="164">
        <f t="shared" ca="1" si="1324"/>
        <v>0</v>
      </c>
      <c r="AW821" s="164">
        <f t="shared" ca="1" si="1325"/>
        <v>0</v>
      </c>
      <c r="AX821" s="164">
        <f t="shared" ca="1" si="1326"/>
        <v>0</v>
      </c>
      <c r="AY821" s="164">
        <f t="shared" ca="1" si="1327"/>
        <v>0</v>
      </c>
      <c r="AZ821" s="164">
        <f t="shared" ca="1" si="1328"/>
        <v>0</v>
      </c>
      <c r="BA821" s="165" t="str">
        <f t="shared" ca="1" si="1329"/>
        <v>nie</v>
      </c>
      <c r="BB821" s="166" t="str">
        <f t="shared" ca="1" si="1361"/>
        <v>-</v>
      </c>
      <c r="BC821" s="165" t="str">
        <f t="shared" ca="1" si="1291"/>
        <v>nie</v>
      </c>
    </row>
    <row r="822" spans="1:55" ht="14.45" hidden="1" customHeight="1" x14ac:dyDescent="0.25">
      <c r="A822" s="191" t="s">
        <v>101</v>
      </c>
      <c r="B822" s="192"/>
      <c r="C822" s="193"/>
      <c r="D822" s="192"/>
      <c r="E822" s="192"/>
      <c r="F822" s="192"/>
      <c r="G822" s="192"/>
      <c r="H822" s="192"/>
      <c r="I822" s="192"/>
      <c r="J822" s="192"/>
      <c r="K822" s="192"/>
      <c r="L822" s="192"/>
      <c r="M822" s="192"/>
      <c r="N822" s="192"/>
      <c r="O822" s="192"/>
      <c r="P822" s="192"/>
      <c r="Q822" s="192"/>
      <c r="R822" s="194"/>
      <c r="S822" s="195"/>
      <c r="T822" s="195"/>
      <c r="U822" s="195"/>
      <c r="V822" s="195"/>
      <c r="W822" s="195"/>
      <c r="X822" s="195"/>
      <c r="Y822" s="196"/>
      <c r="Z822" s="149" t="str">
        <f t="shared" ca="1" si="1290"/>
        <v>nie</v>
      </c>
      <c r="AA822" s="366"/>
      <c r="AB822" s="150" t="str">
        <f t="shared" ca="1" si="1360"/>
        <v>-</v>
      </c>
      <c r="AC822" s="151" t="str">
        <f t="shared" ca="1" si="1309"/>
        <v>PO ZMIANIE</v>
      </c>
      <c r="AD822" s="152" t="str">
        <f t="shared" ca="1" si="1133"/>
        <v/>
      </c>
      <c r="AE822" s="153" t="str">
        <f t="shared" ca="1" si="1310"/>
        <v/>
      </c>
      <c r="AF822" s="154" t="str">
        <f t="shared" ca="1" si="1311"/>
        <v/>
      </c>
      <c r="AG822" s="155" t="str">
        <f t="shared" ca="1" si="1312"/>
        <v/>
      </c>
      <c r="AH822" s="155" t="str">
        <f t="shared" ca="1" si="1313"/>
        <v/>
      </c>
      <c r="AI822" s="156" t="str">
        <f t="shared" ca="1" si="1314"/>
        <v/>
      </c>
      <c r="AJ822" s="157" t="str">
        <f t="shared" ca="1" si="1315"/>
        <v/>
      </c>
      <c r="AK822" s="158" t="str">
        <f t="shared" ca="1" si="1134"/>
        <v/>
      </c>
      <c r="AL822" s="158" t="str">
        <f t="shared" ca="1" si="1135"/>
        <v/>
      </c>
      <c r="AM822" s="159" t="str">
        <f t="shared" ca="1" si="1136"/>
        <v/>
      </c>
      <c r="AN822" s="160" t="str">
        <f t="shared" ca="1" si="1316"/>
        <v/>
      </c>
      <c r="AO822" s="161" t="str">
        <f t="shared" ca="1" si="1317"/>
        <v/>
      </c>
      <c r="AP822" s="162" t="str">
        <f t="shared" ca="1" si="1318"/>
        <v/>
      </c>
      <c r="AQ822" s="163" t="str">
        <f t="shared" ca="1" si="1319"/>
        <v/>
      </c>
      <c r="AR822" s="164" t="str">
        <f t="shared" ca="1" si="1320"/>
        <v/>
      </c>
      <c r="AS822" s="164" t="str">
        <f t="shared" ca="1" si="1321"/>
        <v/>
      </c>
      <c r="AT822" s="164" t="str">
        <f t="shared" ca="1" si="1322"/>
        <v/>
      </c>
      <c r="AU822" s="164" t="str">
        <f t="shared" ca="1" si="1323"/>
        <v/>
      </c>
      <c r="AV822" s="164" t="str">
        <f t="shared" ca="1" si="1324"/>
        <v/>
      </c>
      <c r="AW822" s="164" t="str">
        <f t="shared" ca="1" si="1325"/>
        <v/>
      </c>
      <c r="AX822" s="164" t="str">
        <f t="shared" ca="1" si="1326"/>
        <v/>
      </c>
      <c r="AY822" s="164" t="str">
        <f t="shared" ca="1" si="1327"/>
        <v/>
      </c>
      <c r="AZ822" s="164" t="str">
        <f t="shared" ca="1" si="1328"/>
        <v/>
      </c>
      <c r="BA822" s="165" t="str">
        <f t="shared" ca="1" si="1329"/>
        <v>nie</v>
      </c>
      <c r="BB822" s="166" t="str">
        <f t="shared" ca="1" si="1361"/>
        <v>-</v>
      </c>
      <c r="BC822" s="165" t="str">
        <f t="shared" ca="1" si="1291"/>
        <v>nie</v>
      </c>
    </row>
    <row r="823" spans="1:55" ht="14.45" hidden="1" customHeight="1" x14ac:dyDescent="0.25">
      <c r="A823" s="493" t="s">
        <v>24</v>
      </c>
      <c r="B823" s="493" t="s">
        <v>197</v>
      </c>
      <c r="C823" s="494" t="s">
        <v>198</v>
      </c>
      <c r="D823" s="505" t="s">
        <v>199</v>
      </c>
      <c r="E823" s="497">
        <v>926</v>
      </c>
      <c r="F823" s="497">
        <v>92601</v>
      </c>
      <c r="G823" s="497">
        <v>6210</v>
      </c>
      <c r="H823" s="498" t="s">
        <v>162</v>
      </c>
      <c r="I823" s="499" t="str">
        <f ca="1">IF(COUNTIF(OFFSET(I823,-1,-8),"*propon*")&gt;0,OFFSET(I823,4,0),IF(Y823&gt;0,"2033",IF(X823&gt;0,"2032",IF(W823&gt;0,"2031",IF(V823&gt;0,"2030",IF(U823&gt;0,"2029",IF(T823&gt;0,"2028",IF(S823&gt;0,"2027",IF(R823&gt;0,"2026",IF(Q823&gt;0,"2025",IF(P823&gt;0,"2024",IF(M823&gt;0,"2023",IF(L823&gt;0,"2022","")))))))))))))</f>
        <v>2024</v>
      </c>
      <c r="J823" s="168" t="s">
        <v>102</v>
      </c>
      <c r="K823" s="169">
        <f>SUM(N823:O823)</f>
        <v>3400000</v>
      </c>
      <c r="L823" s="170">
        <f t="shared" ref="L823:M823" si="1370">SUM(L824:L825)</f>
        <v>0</v>
      </c>
      <c r="M823" s="171">
        <f t="shared" si="1370"/>
        <v>241161</v>
      </c>
      <c r="N823" s="172">
        <f>SUM(L823:M823)</f>
        <v>241161</v>
      </c>
      <c r="O823" s="169">
        <f>SUM(P823:Y823)</f>
        <v>3158839</v>
      </c>
      <c r="P823" s="173">
        <f t="shared" ref="P823:R823" si="1371">SUM(P824:P825)</f>
        <v>3158839</v>
      </c>
      <c r="Q823" s="171">
        <f t="shared" si="1371"/>
        <v>0</v>
      </c>
      <c r="R823" s="174">
        <f t="shared" si="1371"/>
        <v>0</v>
      </c>
      <c r="S823" s="175">
        <f t="shared" ref="S823:Y823" si="1372">SUM(S824:S825)</f>
        <v>0</v>
      </c>
      <c r="T823" s="171">
        <f t="shared" si="1372"/>
        <v>0</v>
      </c>
      <c r="U823" s="171">
        <f t="shared" si="1372"/>
        <v>0</v>
      </c>
      <c r="V823" s="171">
        <f t="shared" si="1372"/>
        <v>0</v>
      </c>
      <c r="W823" s="171">
        <f t="shared" si="1372"/>
        <v>0</v>
      </c>
      <c r="X823" s="171">
        <f t="shared" si="1372"/>
        <v>0</v>
      </c>
      <c r="Y823" s="174">
        <f t="shared" si="1372"/>
        <v>0</v>
      </c>
      <c r="Z823" s="149" t="str">
        <f t="shared" ca="1" si="1290"/>
        <v>nie</v>
      </c>
      <c r="AA823" s="366"/>
      <c r="AB823" s="150" t="str">
        <f t="shared" ca="1" si="1360"/>
        <v>-</v>
      </c>
      <c r="AC823" s="151" t="str">
        <f t="shared" ca="1" si="1309"/>
        <v>PO ZMIANIE</v>
      </c>
      <c r="AD823" s="152" t="str">
        <f t="shared" ca="1" si="1133"/>
        <v>PO ZMIANIE</v>
      </c>
      <c r="AE823" s="153" t="str">
        <f t="shared" ca="1" si="1310"/>
        <v>C/USN/VIII/P1/24</v>
      </c>
      <c r="AF823" s="154" t="str">
        <f t="shared" ca="1" si="1311"/>
        <v>Budowa instalacji fotowoltaicznych w obiektach Ursynowskiego Centrum Sportu i Rekreacji</v>
      </c>
      <c r="AG823" s="155">
        <f t="shared" ca="1" si="1312"/>
        <v>92601</v>
      </c>
      <c r="AH823" s="155" t="str">
        <f t="shared" ca="1" si="1313"/>
        <v>6210</v>
      </c>
      <c r="AI823" s="156" t="str">
        <f t="shared" ca="1" si="1314"/>
        <v>SMOG</v>
      </c>
      <c r="AJ823" s="157" t="str">
        <f t="shared" ca="1" si="1315"/>
        <v>WPF, w tym</v>
      </c>
      <c r="AK823" s="158" t="str">
        <f t="shared" ca="1" si="1134"/>
        <v>C/USN/VIII/P1/24 92601 6210 SMOG</v>
      </c>
      <c r="AL823" s="158" t="str">
        <f t="shared" ca="1" si="1135"/>
        <v>C/USN/VIII/P1/24 92601 6210 WPF, w tym</v>
      </c>
      <c r="AM823" s="159" t="str">
        <f t="shared" ca="1" si="1136"/>
        <v>C/USN/VIII/P1/24 92601 6210 SMOG WPF, w tym</v>
      </c>
      <c r="AN823" s="160">
        <f t="shared" ca="1" si="1316"/>
        <v>3400000</v>
      </c>
      <c r="AO823" s="161">
        <f t="shared" ca="1" si="1317"/>
        <v>0</v>
      </c>
      <c r="AP823" s="162">
        <f t="shared" ca="1" si="1318"/>
        <v>241161</v>
      </c>
      <c r="AQ823" s="163">
        <f t="shared" ca="1" si="1319"/>
        <v>3158839</v>
      </c>
      <c r="AR823" s="164">
        <f t="shared" ca="1" si="1320"/>
        <v>0</v>
      </c>
      <c r="AS823" s="164">
        <f t="shared" ca="1" si="1321"/>
        <v>0</v>
      </c>
      <c r="AT823" s="164">
        <f t="shared" ca="1" si="1322"/>
        <v>0</v>
      </c>
      <c r="AU823" s="164">
        <f t="shared" ca="1" si="1323"/>
        <v>0</v>
      </c>
      <c r="AV823" s="164">
        <f t="shared" ca="1" si="1324"/>
        <v>0</v>
      </c>
      <c r="AW823" s="164">
        <f t="shared" ca="1" si="1325"/>
        <v>0</v>
      </c>
      <c r="AX823" s="164">
        <f t="shared" ca="1" si="1326"/>
        <v>0</v>
      </c>
      <c r="AY823" s="164">
        <f t="shared" ca="1" si="1327"/>
        <v>0</v>
      </c>
      <c r="AZ823" s="164">
        <f t="shared" ca="1" si="1328"/>
        <v>0</v>
      </c>
      <c r="BA823" s="165" t="str">
        <f t="shared" ca="1" si="1329"/>
        <v>nie</v>
      </c>
      <c r="BB823" s="166" t="str">
        <f t="shared" ca="1" si="1361"/>
        <v>-</v>
      </c>
      <c r="BC823" s="165" t="str">
        <f t="shared" ca="1" si="1291"/>
        <v>nie</v>
      </c>
    </row>
    <row r="824" spans="1:55" ht="14.45" hidden="1" customHeight="1" x14ac:dyDescent="0.25">
      <c r="A824" s="493"/>
      <c r="B824" s="493"/>
      <c r="C824" s="494"/>
      <c r="D824" s="506"/>
      <c r="E824" s="497"/>
      <c r="F824" s="497"/>
      <c r="G824" s="497"/>
      <c r="H824" s="498"/>
      <c r="I824" s="499"/>
      <c r="J824" s="177" t="s">
        <v>103</v>
      </c>
      <c r="K824" s="178">
        <f>SUM(N824:O824)</f>
        <v>3158839</v>
      </c>
      <c r="L824" s="179"/>
      <c r="M824" s="180"/>
      <c r="N824" s="172">
        <f>SUM(L824:M824)</f>
        <v>0</v>
      </c>
      <c r="O824" s="178">
        <f>SUM(P824:Y824)</f>
        <v>3158839</v>
      </c>
      <c r="P824" s="181">
        <f>3144351+14488</f>
        <v>3158839</v>
      </c>
      <c r="Q824" s="180"/>
      <c r="R824" s="182"/>
      <c r="S824" s="183"/>
      <c r="T824" s="180"/>
      <c r="U824" s="180"/>
      <c r="V824" s="180"/>
      <c r="W824" s="180"/>
      <c r="X824" s="180"/>
      <c r="Y824" s="182"/>
      <c r="Z824" s="149" t="str">
        <f t="shared" ca="1" si="1290"/>
        <v>nie</v>
      </c>
      <c r="AA824" s="384"/>
      <c r="AB824" s="150" t="str">
        <f t="shared" ca="1" si="1360"/>
        <v>-</v>
      </c>
      <c r="AC824" s="151" t="str">
        <f t="shared" ca="1" si="1309"/>
        <v>PO ZMIANIE</v>
      </c>
      <c r="AD824" s="152" t="str">
        <f t="shared" ca="1" si="1133"/>
        <v>PO ZMIANIE</v>
      </c>
      <c r="AE824" s="153" t="str">
        <f t="shared" ca="1" si="1310"/>
        <v>C/USN/VIII/P1/24</v>
      </c>
      <c r="AF824" s="154" t="str">
        <f t="shared" ca="1" si="1311"/>
        <v>Budowa instalacji fotowoltaicznych w obiektach Ursynowskiego Centrum Sportu i Rekreacji</v>
      </c>
      <c r="AG824" s="155">
        <f t="shared" ca="1" si="1312"/>
        <v>92601</v>
      </c>
      <c r="AH824" s="155" t="str">
        <f t="shared" ca="1" si="1313"/>
        <v>6210</v>
      </c>
      <c r="AI824" s="156" t="str">
        <f t="shared" ca="1" si="1314"/>
        <v>SMOG</v>
      </c>
      <c r="AJ824" s="157" t="str">
        <f t="shared" ca="1" si="1315"/>
        <v>WPF/PM</v>
      </c>
      <c r="AK824" s="158" t="str">
        <f t="shared" ca="1" si="1134"/>
        <v>C/USN/VIII/P1/24 92601 6210 SMOG</v>
      </c>
      <c r="AL824" s="158" t="str">
        <f t="shared" ca="1" si="1135"/>
        <v>C/USN/VIII/P1/24 92601 6210 WPF/PM</v>
      </c>
      <c r="AM824" s="159" t="str">
        <f t="shared" ca="1" si="1136"/>
        <v>C/USN/VIII/P1/24 92601 6210 SMOG WPF/PM</v>
      </c>
      <c r="AN824" s="160">
        <f t="shared" ca="1" si="1316"/>
        <v>3158839</v>
      </c>
      <c r="AO824" s="161">
        <f t="shared" ca="1" si="1317"/>
        <v>0</v>
      </c>
      <c r="AP824" s="162">
        <f t="shared" ca="1" si="1318"/>
        <v>0</v>
      </c>
      <c r="AQ824" s="163">
        <f t="shared" ca="1" si="1319"/>
        <v>3158839</v>
      </c>
      <c r="AR824" s="164">
        <f t="shared" ca="1" si="1320"/>
        <v>0</v>
      </c>
      <c r="AS824" s="164">
        <f t="shared" ca="1" si="1321"/>
        <v>0</v>
      </c>
      <c r="AT824" s="164">
        <f t="shared" ca="1" si="1322"/>
        <v>0</v>
      </c>
      <c r="AU824" s="164">
        <f t="shared" ca="1" si="1323"/>
        <v>0</v>
      </c>
      <c r="AV824" s="164">
        <f t="shared" ca="1" si="1324"/>
        <v>0</v>
      </c>
      <c r="AW824" s="164">
        <f t="shared" ca="1" si="1325"/>
        <v>0</v>
      </c>
      <c r="AX824" s="164">
        <f t="shared" ca="1" si="1326"/>
        <v>0</v>
      </c>
      <c r="AY824" s="164">
        <f t="shared" ca="1" si="1327"/>
        <v>0</v>
      </c>
      <c r="AZ824" s="164">
        <f t="shared" ca="1" si="1328"/>
        <v>0</v>
      </c>
      <c r="BA824" s="165" t="str">
        <f t="shared" ca="1" si="1329"/>
        <v>nie</v>
      </c>
      <c r="BB824" s="166" t="str">
        <f t="shared" ca="1" si="1361"/>
        <v>-</v>
      </c>
      <c r="BC824" s="165" t="str">
        <f t="shared" ca="1" si="1291"/>
        <v>nie</v>
      </c>
    </row>
    <row r="825" spans="1:55" ht="14.45" hidden="1" customHeight="1" thickBot="1" x14ac:dyDescent="0.3">
      <c r="A825" s="500"/>
      <c r="B825" s="500"/>
      <c r="C825" s="501"/>
      <c r="D825" s="513"/>
      <c r="E825" s="503"/>
      <c r="F825" s="503"/>
      <c r="G825" s="503"/>
      <c r="H825" s="504"/>
      <c r="I825" s="499"/>
      <c r="J825" s="197" t="s">
        <v>104</v>
      </c>
      <c r="K825" s="198">
        <f>SUM(N825:O825)</f>
        <v>241161</v>
      </c>
      <c r="L825" s="199"/>
      <c r="M825" s="200">
        <f>255649-14488</f>
        <v>241161</v>
      </c>
      <c r="N825" s="371">
        <f>SUM(L825:M825)</f>
        <v>241161</v>
      </c>
      <c r="O825" s="198">
        <f>SUM(P825:Y825)</f>
        <v>0</v>
      </c>
      <c r="P825" s="201"/>
      <c r="Q825" s="200"/>
      <c r="R825" s="202"/>
      <c r="S825" s="203"/>
      <c r="T825" s="200"/>
      <c r="U825" s="200"/>
      <c r="V825" s="200"/>
      <c r="W825" s="200"/>
      <c r="X825" s="200"/>
      <c r="Y825" s="202"/>
      <c r="Z825" s="149" t="str">
        <f t="shared" ca="1" si="1290"/>
        <v>nie</v>
      </c>
      <c r="AA825" s="384"/>
      <c r="AB825" s="150" t="str">
        <f t="shared" ca="1" si="1360"/>
        <v>-</v>
      </c>
      <c r="AC825" s="151" t="str">
        <f t="shared" ca="1" si="1309"/>
        <v>PO ZMIANIE</v>
      </c>
      <c r="AD825" s="152" t="str">
        <f t="shared" ca="1" si="1133"/>
        <v>PO ZMIANIE</v>
      </c>
      <c r="AE825" s="153" t="str">
        <f t="shared" ca="1" si="1310"/>
        <v>C/USN/VIII/P1/24</v>
      </c>
      <c r="AF825" s="154" t="str">
        <f t="shared" ca="1" si="1311"/>
        <v>Budowa instalacji fotowoltaicznych w obiektach Ursynowskiego Centrum Sportu i Rekreacji</v>
      </c>
      <c r="AG825" s="155">
        <f t="shared" ca="1" si="1312"/>
        <v>92601</v>
      </c>
      <c r="AH825" s="155" t="str">
        <f t="shared" ca="1" si="1313"/>
        <v>6210</v>
      </c>
      <c r="AI825" s="156" t="str">
        <f t="shared" ca="1" si="1314"/>
        <v>SMOG</v>
      </c>
      <c r="AJ825" s="157" t="str">
        <f t="shared" ca="1" si="1315"/>
        <v>WPF/UM</v>
      </c>
      <c r="AK825" s="158" t="str">
        <f t="shared" ca="1" si="1134"/>
        <v>C/USN/VIII/P1/24 92601 6210 SMOG</v>
      </c>
      <c r="AL825" s="158" t="str">
        <f t="shared" ca="1" si="1135"/>
        <v>C/USN/VIII/P1/24 92601 6210 WPF/UM</v>
      </c>
      <c r="AM825" s="159" t="str">
        <f t="shared" ca="1" si="1136"/>
        <v>C/USN/VIII/P1/24 92601 6210 SMOG WPF/UM</v>
      </c>
      <c r="AN825" s="160">
        <f t="shared" ca="1" si="1316"/>
        <v>241161</v>
      </c>
      <c r="AO825" s="161">
        <f t="shared" ca="1" si="1317"/>
        <v>0</v>
      </c>
      <c r="AP825" s="162">
        <f t="shared" ca="1" si="1318"/>
        <v>241161</v>
      </c>
      <c r="AQ825" s="163">
        <f t="shared" ca="1" si="1319"/>
        <v>0</v>
      </c>
      <c r="AR825" s="164">
        <f t="shared" ca="1" si="1320"/>
        <v>0</v>
      </c>
      <c r="AS825" s="164">
        <f t="shared" ca="1" si="1321"/>
        <v>0</v>
      </c>
      <c r="AT825" s="164">
        <f t="shared" ca="1" si="1322"/>
        <v>0</v>
      </c>
      <c r="AU825" s="164">
        <f t="shared" ca="1" si="1323"/>
        <v>0</v>
      </c>
      <c r="AV825" s="164">
        <f t="shared" ca="1" si="1324"/>
        <v>0</v>
      </c>
      <c r="AW825" s="164">
        <f t="shared" ca="1" si="1325"/>
        <v>0</v>
      </c>
      <c r="AX825" s="164">
        <f t="shared" ca="1" si="1326"/>
        <v>0</v>
      </c>
      <c r="AY825" s="164">
        <f t="shared" ca="1" si="1327"/>
        <v>0</v>
      </c>
      <c r="AZ825" s="164">
        <f t="shared" ca="1" si="1328"/>
        <v>0</v>
      </c>
      <c r="BA825" s="165" t="str">
        <f t="shared" ca="1" si="1329"/>
        <v>nie</v>
      </c>
      <c r="BB825" s="166" t="str">
        <f t="shared" ca="1" si="1361"/>
        <v>-</v>
      </c>
      <c r="BC825" s="165" t="str">
        <f t="shared" ca="1" si="1291"/>
        <v>nie</v>
      </c>
    </row>
    <row r="826" spans="1:55" s="167" customFormat="1" ht="14.45" hidden="1" customHeight="1" x14ac:dyDescent="0.25">
      <c r="A826" s="143" t="s">
        <v>91</v>
      </c>
      <c r="B826" s="144"/>
      <c r="C826" s="145"/>
      <c r="D826" s="144"/>
      <c r="E826" s="144"/>
      <c r="F826" s="144"/>
      <c r="G826" s="144"/>
      <c r="H826" s="144"/>
      <c r="I826" s="144"/>
      <c r="J826" s="144"/>
      <c r="K826" s="144"/>
      <c r="L826" s="144"/>
      <c r="M826" s="144"/>
      <c r="N826" s="144"/>
      <c r="O826" s="144"/>
      <c r="P826" s="144"/>
      <c r="Q826" s="144"/>
      <c r="R826" s="146"/>
      <c r="S826" s="147"/>
      <c r="T826" s="147"/>
      <c r="U826" s="147"/>
      <c r="V826" s="147"/>
      <c r="W826" s="147"/>
      <c r="X826" s="147"/>
      <c r="Y826" s="148"/>
      <c r="Z826" s="149" t="str">
        <f t="shared" ca="1" si="1290"/>
        <v>nie</v>
      </c>
      <c r="AA826" s="366"/>
      <c r="AB826" s="150" t="str">
        <f t="shared" ca="1" si="1360"/>
        <v>-</v>
      </c>
      <c r="AC826" s="151" t="str">
        <f t="shared" ca="1" si="1309"/>
        <v>PRZED ZMIANĄ</v>
      </c>
      <c r="AD826" s="152" t="str">
        <f t="shared" ref="AD826:AD888" ca="1" si="1373">IF(AE826="","",AC826)</f>
        <v/>
      </c>
      <c r="AE826" s="153" t="str">
        <f t="shared" ca="1" si="1310"/>
        <v/>
      </c>
      <c r="AF826" s="154" t="str">
        <f t="shared" ca="1" si="1311"/>
        <v/>
      </c>
      <c r="AG826" s="155" t="str">
        <f t="shared" ca="1" si="1312"/>
        <v/>
      </c>
      <c r="AH826" s="155" t="str">
        <f t="shared" ca="1" si="1313"/>
        <v/>
      </c>
      <c r="AI826" s="156" t="str">
        <f t="shared" ca="1" si="1314"/>
        <v/>
      </c>
      <c r="AJ826" s="157" t="str">
        <f t="shared" ca="1" si="1315"/>
        <v/>
      </c>
      <c r="AK826" s="158" t="str">
        <f t="shared" ref="AK826:AK888" ca="1" si="1374">IF(AH826="","",AE826&amp;" "&amp;AG826&amp;" "&amp;AH826&amp;" "&amp;AI826)</f>
        <v/>
      </c>
      <c r="AL826" s="158" t="str">
        <f t="shared" ref="AL826:AL888" ca="1" si="1375">IF(AH826="","",AE826&amp;" "&amp;AG826&amp;" "&amp;AH826&amp;" "&amp;AJ826)</f>
        <v/>
      </c>
      <c r="AM826" s="159" t="str">
        <f t="shared" ref="AM826:AM888" ca="1" si="1376">IF(AH826="","",AE826&amp;" "&amp;AG826&amp;" "&amp;AH826&amp;" "&amp;AI826&amp;" "&amp;AJ826)</f>
        <v/>
      </c>
      <c r="AN826" s="160" t="str">
        <f t="shared" ca="1" si="1316"/>
        <v/>
      </c>
      <c r="AO826" s="161" t="str">
        <f t="shared" ca="1" si="1317"/>
        <v/>
      </c>
      <c r="AP826" s="162" t="str">
        <f t="shared" ca="1" si="1318"/>
        <v/>
      </c>
      <c r="AQ826" s="163" t="str">
        <f t="shared" ca="1" si="1319"/>
        <v/>
      </c>
      <c r="AR826" s="164" t="str">
        <f t="shared" ca="1" si="1320"/>
        <v/>
      </c>
      <c r="AS826" s="164" t="str">
        <f t="shared" ca="1" si="1321"/>
        <v/>
      </c>
      <c r="AT826" s="164" t="str">
        <f t="shared" ca="1" si="1322"/>
        <v/>
      </c>
      <c r="AU826" s="164" t="str">
        <f t="shared" ca="1" si="1323"/>
        <v/>
      </c>
      <c r="AV826" s="164" t="str">
        <f t="shared" ca="1" si="1324"/>
        <v/>
      </c>
      <c r="AW826" s="164" t="str">
        <f t="shared" ca="1" si="1325"/>
        <v/>
      </c>
      <c r="AX826" s="164" t="str">
        <f t="shared" ca="1" si="1326"/>
        <v/>
      </c>
      <c r="AY826" s="164" t="str">
        <f t="shared" ca="1" si="1327"/>
        <v/>
      </c>
      <c r="AZ826" s="164" t="str">
        <f t="shared" ca="1" si="1328"/>
        <v/>
      </c>
      <c r="BA826" s="165" t="str">
        <f t="shared" ca="1" si="1329"/>
        <v>nie</v>
      </c>
      <c r="BB826" s="166" t="str">
        <f t="shared" ca="1" si="1361"/>
        <v>-</v>
      </c>
      <c r="BC826" s="165" t="str">
        <f t="shared" ca="1" si="1291"/>
        <v>nie</v>
      </c>
    </row>
    <row r="827" spans="1:55" s="176" customFormat="1" ht="14.45" hidden="1" customHeight="1" x14ac:dyDescent="0.25">
      <c r="A827" s="493" t="s">
        <v>24</v>
      </c>
      <c r="B827" s="493" t="s">
        <v>26</v>
      </c>
      <c r="C827" s="494" t="s">
        <v>200</v>
      </c>
      <c r="D827" s="511" t="s">
        <v>201</v>
      </c>
      <c r="E827" s="497">
        <v>750</v>
      </c>
      <c r="F827" s="497">
        <v>75023</v>
      </c>
      <c r="G827" s="497">
        <v>6050</v>
      </c>
      <c r="H827" s="507">
        <v>2022</v>
      </c>
      <c r="I827" s="499" t="str">
        <f ca="1">IF(COUNTIF(OFFSET(I827,-1,-8),"*propon*")&gt;0,OFFSET(I827,4,0),IF(Y827&gt;0,"2033",IF(X827&gt;0,"2032",IF(W827&gt;0,"2031",IF(V827&gt;0,"2030",IF(U827&gt;0,"2029",IF(T827&gt;0,"2028",IF(S827&gt;0,"2027",IF(R827&gt;0,"2026",IF(Q827&gt;0,"2025",IF(P827&gt;0,"2024",IF(M827&gt;0,"2023",IF(L827&gt;0,"2022","")))))))))))))</f>
        <v>2024</v>
      </c>
      <c r="J827" s="168" t="s">
        <v>94</v>
      </c>
      <c r="K827" s="169">
        <f>SUM(N827:O827)</f>
        <v>1305000</v>
      </c>
      <c r="L827" s="170">
        <f t="shared" ref="L827:M827" si="1377">SUM(L828:L829)</f>
        <v>0</v>
      </c>
      <c r="M827" s="171">
        <f t="shared" si="1377"/>
        <v>44280</v>
      </c>
      <c r="N827" s="172">
        <f>SUM(L827:M827)</f>
        <v>44280</v>
      </c>
      <c r="O827" s="169">
        <f>SUM(P827:Y827)</f>
        <v>1260720</v>
      </c>
      <c r="P827" s="173">
        <f t="shared" ref="P827:R827" si="1378">SUM(P828:P829)</f>
        <v>1260720</v>
      </c>
      <c r="Q827" s="171">
        <f t="shared" si="1378"/>
        <v>0</v>
      </c>
      <c r="R827" s="174">
        <f t="shared" si="1378"/>
        <v>0</v>
      </c>
      <c r="S827" s="175">
        <f t="shared" ref="S827:Y827" si="1379">SUM(S828:S829)</f>
        <v>0</v>
      </c>
      <c r="T827" s="171">
        <f t="shared" si="1379"/>
        <v>0</v>
      </c>
      <c r="U827" s="171">
        <f t="shared" si="1379"/>
        <v>0</v>
      </c>
      <c r="V827" s="171">
        <f t="shared" si="1379"/>
        <v>0</v>
      </c>
      <c r="W827" s="171">
        <f t="shared" si="1379"/>
        <v>0</v>
      </c>
      <c r="X827" s="171">
        <f t="shared" si="1379"/>
        <v>0</v>
      </c>
      <c r="Y827" s="174">
        <f t="shared" si="1379"/>
        <v>0</v>
      </c>
      <c r="Z827" s="149" t="str">
        <f t="shared" ca="1" si="1290"/>
        <v>nie</v>
      </c>
      <c r="AA827" s="366"/>
      <c r="AB827" s="150" t="str">
        <f t="shared" ca="1" si="1360"/>
        <v>-</v>
      </c>
      <c r="AC827" s="151" t="str">
        <f t="shared" ca="1" si="1309"/>
        <v>PRZED ZMIANĄ</v>
      </c>
      <c r="AD827" s="152" t="str">
        <f t="shared" ca="1" si="1373"/>
        <v>PRZED ZMIANĄ</v>
      </c>
      <c r="AE827" s="153" t="str">
        <f t="shared" ca="1" si="1310"/>
        <v>C/USN/X/P2/7</v>
      </c>
      <c r="AF827" s="154" t="str">
        <f t="shared" ca="1" si="1311"/>
        <v>Modernizacja siedziby Urzędu Dzielnicy</v>
      </c>
      <c r="AG827" s="155">
        <f t="shared" ca="1" si="1312"/>
        <v>75023</v>
      </c>
      <c r="AH827" s="155" t="str">
        <f t="shared" ca="1" si="1313"/>
        <v>6050</v>
      </c>
      <c r="AI827" s="156" t="str">
        <f t="shared" ca="1" si="1314"/>
        <v>GMMW</v>
      </c>
      <c r="AJ827" s="157" t="str">
        <f t="shared" ca="1" si="1315"/>
        <v>WPF, w tym</v>
      </c>
      <c r="AK827" s="158" t="str">
        <f t="shared" ca="1" si="1374"/>
        <v>C/USN/X/P2/7 75023 6050 GMMW</v>
      </c>
      <c r="AL827" s="158" t="str">
        <f t="shared" ca="1" si="1375"/>
        <v>C/USN/X/P2/7 75023 6050 WPF, w tym</v>
      </c>
      <c r="AM827" s="159" t="str">
        <f t="shared" ca="1" si="1376"/>
        <v>C/USN/X/P2/7 75023 6050 GMMW WPF, w tym</v>
      </c>
      <c r="AN827" s="160">
        <f t="shared" ca="1" si="1316"/>
        <v>1305000</v>
      </c>
      <c r="AO827" s="161">
        <f t="shared" ca="1" si="1317"/>
        <v>0</v>
      </c>
      <c r="AP827" s="162">
        <f t="shared" ca="1" si="1318"/>
        <v>44280</v>
      </c>
      <c r="AQ827" s="163">
        <f t="shared" ca="1" si="1319"/>
        <v>1260720</v>
      </c>
      <c r="AR827" s="164">
        <f t="shared" ca="1" si="1320"/>
        <v>0</v>
      </c>
      <c r="AS827" s="164">
        <f t="shared" ca="1" si="1321"/>
        <v>0</v>
      </c>
      <c r="AT827" s="164">
        <f t="shared" ca="1" si="1322"/>
        <v>0</v>
      </c>
      <c r="AU827" s="164">
        <f t="shared" ca="1" si="1323"/>
        <v>0</v>
      </c>
      <c r="AV827" s="164">
        <f t="shared" ca="1" si="1324"/>
        <v>0</v>
      </c>
      <c r="AW827" s="164">
        <f t="shared" ca="1" si="1325"/>
        <v>0</v>
      </c>
      <c r="AX827" s="164">
        <f t="shared" ca="1" si="1326"/>
        <v>0</v>
      </c>
      <c r="AY827" s="164">
        <f t="shared" ca="1" si="1327"/>
        <v>0</v>
      </c>
      <c r="AZ827" s="164">
        <f t="shared" ca="1" si="1328"/>
        <v>0</v>
      </c>
      <c r="BA827" s="165" t="str">
        <f t="shared" ca="1" si="1329"/>
        <v>nie</v>
      </c>
      <c r="BB827" s="166" t="str">
        <f t="shared" ca="1" si="1361"/>
        <v>-</v>
      </c>
      <c r="BC827" s="165" t="str">
        <f t="shared" ca="1" si="1291"/>
        <v>nie</v>
      </c>
    </row>
    <row r="828" spans="1:55" s="167" customFormat="1" ht="14.45" hidden="1" customHeight="1" x14ac:dyDescent="0.25">
      <c r="A828" s="493"/>
      <c r="B828" s="493"/>
      <c r="C828" s="494"/>
      <c r="D828" s="512"/>
      <c r="E828" s="497"/>
      <c r="F828" s="497"/>
      <c r="G828" s="497"/>
      <c r="H828" s="498"/>
      <c r="I828" s="499"/>
      <c r="J828" s="177" t="s">
        <v>95</v>
      </c>
      <c r="K828" s="178">
        <f>SUM(N828:O828)</f>
        <v>1260720</v>
      </c>
      <c r="L828" s="179"/>
      <c r="M828" s="180"/>
      <c r="N828" s="172">
        <f>SUM(L828:M828)</f>
        <v>0</v>
      </c>
      <c r="O828" s="178">
        <f>SUM(P828:Y828)</f>
        <v>1260720</v>
      </c>
      <c r="P828" s="181">
        <v>1260720</v>
      </c>
      <c r="Q828" s="180"/>
      <c r="R828" s="182"/>
      <c r="S828" s="183"/>
      <c r="T828" s="180"/>
      <c r="U828" s="180"/>
      <c r="V828" s="180"/>
      <c r="W828" s="180"/>
      <c r="X828" s="180"/>
      <c r="Y828" s="182"/>
      <c r="Z828" s="149" t="str">
        <f t="shared" ca="1" si="1290"/>
        <v>nie</v>
      </c>
      <c r="AA828" s="366"/>
      <c r="AB828" s="150" t="str">
        <f t="shared" ca="1" si="1360"/>
        <v>-</v>
      </c>
      <c r="AC828" s="151" t="str">
        <f t="shared" ca="1" si="1309"/>
        <v>PRZED ZMIANĄ</v>
      </c>
      <c r="AD828" s="152" t="str">
        <f t="shared" ca="1" si="1373"/>
        <v>PRZED ZMIANĄ</v>
      </c>
      <c r="AE828" s="153" t="str">
        <f t="shared" ca="1" si="1310"/>
        <v>C/USN/X/P2/7</v>
      </c>
      <c r="AF828" s="154" t="str">
        <f t="shared" ca="1" si="1311"/>
        <v>Modernizacja siedziby Urzędu Dzielnicy</v>
      </c>
      <c r="AG828" s="155">
        <f t="shared" ca="1" si="1312"/>
        <v>75023</v>
      </c>
      <c r="AH828" s="155" t="str">
        <f t="shared" ca="1" si="1313"/>
        <v>6050</v>
      </c>
      <c r="AI828" s="156" t="str">
        <f t="shared" ca="1" si="1314"/>
        <v>GMMW</v>
      </c>
      <c r="AJ828" s="157" t="str">
        <f t="shared" ca="1" si="1315"/>
        <v>WPF/PM</v>
      </c>
      <c r="AK828" s="158" t="str">
        <f t="shared" ca="1" si="1374"/>
        <v>C/USN/X/P2/7 75023 6050 GMMW</v>
      </c>
      <c r="AL828" s="158" t="str">
        <f t="shared" ca="1" si="1375"/>
        <v>C/USN/X/P2/7 75023 6050 WPF/PM</v>
      </c>
      <c r="AM828" s="159" t="str">
        <f t="shared" ca="1" si="1376"/>
        <v>C/USN/X/P2/7 75023 6050 GMMW WPF/PM</v>
      </c>
      <c r="AN828" s="160">
        <f t="shared" ca="1" si="1316"/>
        <v>1260720</v>
      </c>
      <c r="AO828" s="161">
        <f t="shared" ca="1" si="1317"/>
        <v>0</v>
      </c>
      <c r="AP828" s="162">
        <f t="shared" ca="1" si="1318"/>
        <v>0</v>
      </c>
      <c r="AQ828" s="163">
        <f t="shared" ca="1" si="1319"/>
        <v>1260720</v>
      </c>
      <c r="AR828" s="164">
        <f t="shared" ca="1" si="1320"/>
        <v>0</v>
      </c>
      <c r="AS828" s="164">
        <f t="shared" ca="1" si="1321"/>
        <v>0</v>
      </c>
      <c r="AT828" s="164">
        <f t="shared" ca="1" si="1322"/>
        <v>0</v>
      </c>
      <c r="AU828" s="164">
        <f t="shared" ca="1" si="1323"/>
        <v>0</v>
      </c>
      <c r="AV828" s="164">
        <f t="shared" ca="1" si="1324"/>
        <v>0</v>
      </c>
      <c r="AW828" s="164">
        <f t="shared" ca="1" si="1325"/>
        <v>0</v>
      </c>
      <c r="AX828" s="164">
        <f t="shared" ca="1" si="1326"/>
        <v>0</v>
      </c>
      <c r="AY828" s="164">
        <f t="shared" ca="1" si="1327"/>
        <v>0</v>
      </c>
      <c r="AZ828" s="164">
        <f t="shared" ca="1" si="1328"/>
        <v>0</v>
      </c>
      <c r="BA828" s="165" t="str">
        <f t="shared" ca="1" si="1329"/>
        <v>nie</v>
      </c>
      <c r="BB828" s="166" t="str">
        <f t="shared" ca="1" si="1361"/>
        <v>-</v>
      </c>
      <c r="BC828" s="165" t="str">
        <f t="shared" ca="1" si="1291"/>
        <v>nie</v>
      </c>
    </row>
    <row r="829" spans="1:55" s="167" customFormat="1" ht="14.45" hidden="1" customHeight="1" x14ac:dyDescent="0.25">
      <c r="A829" s="493"/>
      <c r="B829" s="493"/>
      <c r="C829" s="494"/>
      <c r="D829" s="512"/>
      <c r="E829" s="497"/>
      <c r="F829" s="497"/>
      <c r="G829" s="497"/>
      <c r="H829" s="498"/>
      <c r="I829" s="499"/>
      <c r="J829" s="177" t="s">
        <v>96</v>
      </c>
      <c r="K829" s="178">
        <f>SUM(N829:O829)</f>
        <v>44280</v>
      </c>
      <c r="L829" s="184"/>
      <c r="M829" s="180">
        <v>44280</v>
      </c>
      <c r="N829" s="172">
        <f>SUM(L829:M829)</f>
        <v>44280</v>
      </c>
      <c r="O829" s="178">
        <f>SUM(P829:Y829)</f>
        <v>0</v>
      </c>
      <c r="P829" s="181"/>
      <c r="Q829" s="180"/>
      <c r="R829" s="182"/>
      <c r="S829" s="183"/>
      <c r="T829" s="180"/>
      <c r="U829" s="180"/>
      <c r="V829" s="180"/>
      <c r="W829" s="180"/>
      <c r="X829" s="180"/>
      <c r="Y829" s="182"/>
      <c r="Z829" s="149" t="str">
        <f t="shared" ca="1" si="1290"/>
        <v>nie</v>
      </c>
      <c r="AA829" s="366"/>
      <c r="AB829" s="150" t="str">
        <f t="shared" ca="1" si="1360"/>
        <v>-</v>
      </c>
      <c r="AC829" s="151" t="str">
        <f t="shared" ca="1" si="1309"/>
        <v>PRZED ZMIANĄ</v>
      </c>
      <c r="AD829" s="152" t="str">
        <f t="shared" ca="1" si="1373"/>
        <v>PRZED ZMIANĄ</v>
      </c>
      <c r="AE829" s="153" t="str">
        <f t="shared" ca="1" si="1310"/>
        <v>C/USN/X/P2/7</v>
      </c>
      <c r="AF829" s="154" t="str">
        <f t="shared" ca="1" si="1311"/>
        <v>Modernizacja siedziby Urzędu Dzielnicy</v>
      </c>
      <c r="AG829" s="155">
        <f t="shared" ca="1" si="1312"/>
        <v>75023</v>
      </c>
      <c r="AH829" s="155" t="str">
        <f t="shared" ca="1" si="1313"/>
        <v>6050</v>
      </c>
      <c r="AI829" s="156" t="str">
        <f t="shared" ca="1" si="1314"/>
        <v>GMMW</v>
      </c>
      <c r="AJ829" s="157" t="str">
        <f t="shared" ca="1" si="1315"/>
        <v>WPF/UM</v>
      </c>
      <c r="AK829" s="158" t="str">
        <f t="shared" ca="1" si="1374"/>
        <v>C/USN/X/P2/7 75023 6050 GMMW</v>
      </c>
      <c r="AL829" s="158" t="str">
        <f t="shared" ca="1" si="1375"/>
        <v>C/USN/X/P2/7 75023 6050 WPF/UM</v>
      </c>
      <c r="AM829" s="159" t="str">
        <f t="shared" ca="1" si="1376"/>
        <v>C/USN/X/P2/7 75023 6050 GMMW WPF/UM</v>
      </c>
      <c r="AN829" s="160">
        <f t="shared" ca="1" si="1316"/>
        <v>44280</v>
      </c>
      <c r="AO829" s="161">
        <f t="shared" ca="1" si="1317"/>
        <v>0</v>
      </c>
      <c r="AP829" s="162">
        <f t="shared" ca="1" si="1318"/>
        <v>44280</v>
      </c>
      <c r="AQ829" s="163">
        <f t="shared" ca="1" si="1319"/>
        <v>0</v>
      </c>
      <c r="AR829" s="164">
        <f t="shared" ca="1" si="1320"/>
        <v>0</v>
      </c>
      <c r="AS829" s="164">
        <f t="shared" ca="1" si="1321"/>
        <v>0</v>
      </c>
      <c r="AT829" s="164">
        <f t="shared" ca="1" si="1322"/>
        <v>0</v>
      </c>
      <c r="AU829" s="164">
        <f t="shared" ca="1" si="1323"/>
        <v>0</v>
      </c>
      <c r="AV829" s="164">
        <f t="shared" ca="1" si="1324"/>
        <v>0</v>
      </c>
      <c r="AW829" s="164">
        <f t="shared" ca="1" si="1325"/>
        <v>0</v>
      </c>
      <c r="AX829" s="164">
        <f t="shared" ca="1" si="1326"/>
        <v>0</v>
      </c>
      <c r="AY829" s="164">
        <f t="shared" ca="1" si="1327"/>
        <v>0</v>
      </c>
      <c r="AZ829" s="164">
        <f t="shared" ca="1" si="1328"/>
        <v>0</v>
      </c>
      <c r="BA829" s="165" t="str">
        <f t="shared" ca="1" si="1329"/>
        <v>nie</v>
      </c>
      <c r="BB829" s="166" t="str">
        <f t="shared" ca="1" si="1361"/>
        <v>-</v>
      </c>
      <c r="BC829" s="165" t="str">
        <f t="shared" ca="1" si="1291"/>
        <v>nie</v>
      </c>
    </row>
    <row r="830" spans="1:55" s="167" customFormat="1" ht="14.45" hidden="1" customHeight="1" x14ac:dyDescent="0.25">
      <c r="A830" s="185" t="s">
        <v>97</v>
      </c>
      <c r="B830" s="186"/>
      <c r="C830" s="187"/>
      <c r="D830" s="186"/>
      <c r="E830" s="186"/>
      <c r="F830" s="186"/>
      <c r="G830" s="186"/>
      <c r="H830" s="186"/>
      <c r="I830" s="186"/>
      <c r="J830" s="186"/>
      <c r="K830" s="186"/>
      <c r="L830" s="186"/>
      <c r="M830" s="186"/>
      <c r="N830" s="186"/>
      <c r="O830" s="186"/>
      <c r="P830" s="186"/>
      <c r="Q830" s="186"/>
      <c r="R830" s="188"/>
      <c r="S830" s="189"/>
      <c r="T830" s="189"/>
      <c r="U830" s="189"/>
      <c r="V830" s="189"/>
      <c r="W830" s="189"/>
      <c r="X830" s="189"/>
      <c r="Y830" s="190"/>
      <c r="Z830" s="149" t="str">
        <f t="shared" ca="1" si="1290"/>
        <v>nie</v>
      </c>
      <c r="AA830" s="366"/>
      <c r="AB830" s="150" t="str">
        <f t="shared" ca="1" si="1360"/>
        <v>-</v>
      </c>
      <c r="AC830" s="151" t="str">
        <f t="shared" ca="1" si="1309"/>
        <v>PROPONOWANA ZMIANA</v>
      </c>
      <c r="AD830" s="152" t="str">
        <f t="shared" ca="1" si="1373"/>
        <v/>
      </c>
      <c r="AE830" s="153" t="str">
        <f t="shared" ca="1" si="1310"/>
        <v/>
      </c>
      <c r="AF830" s="154" t="str">
        <f t="shared" ca="1" si="1311"/>
        <v/>
      </c>
      <c r="AG830" s="155" t="str">
        <f t="shared" ca="1" si="1312"/>
        <v/>
      </c>
      <c r="AH830" s="155" t="str">
        <f t="shared" ca="1" si="1313"/>
        <v/>
      </c>
      <c r="AI830" s="156" t="str">
        <f t="shared" ca="1" si="1314"/>
        <v/>
      </c>
      <c r="AJ830" s="157" t="str">
        <f t="shared" ca="1" si="1315"/>
        <v/>
      </c>
      <c r="AK830" s="158" t="str">
        <f t="shared" ca="1" si="1374"/>
        <v/>
      </c>
      <c r="AL830" s="158" t="str">
        <f t="shared" ca="1" si="1375"/>
        <v/>
      </c>
      <c r="AM830" s="159" t="str">
        <f t="shared" ca="1" si="1376"/>
        <v/>
      </c>
      <c r="AN830" s="160" t="str">
        <f t="shared" ca="1" si="1316"/>
        <v/>
      </c>
      <c r="AO830" s="161" t="str">
        <f t="shared" ca="1" si="1317"/>
        <v/>
      </c>
      <c r="AP830" s="162" t="str">
        <f t="shared" ca="1" si="1318"/>
        <v/>
      </c>
      <c r="AQ830" s="163" t="str">
        <f t="shared" ca="1" si="1319"/>
        <v/>
      </c>
      <c r="AR830" s="164" t="str">
        <f t="shared" ca="1" si="1320"/>
        <v/>
      </c>
      <c r="AS830" s="164" t="str">
        <f t="shared" ca="1" si="1321"/>
        <v/>
      </c>
      <c r="AT830" s="164" t="str">
        <f t="shared" ca="1" si="1322"/>
        <v/>
      </c>
      <c r="AU830" s="164" t="str">
        <f t="shared" ca="1" si="1323"/>
        <v/>
      </c>
      <c r="AV830" s="164" t="str">
        <f t="shared" ca="1" si="1324"/>
        <v/>
      </c>
      <c r="AW830" s="164" t="str">
        <f t="shared" ca="1" si="1325"/>
        <v/>
      </c>
      <c r="AX830" s="164" t="str">
        <f t="shared" ca="1" si="1326"/>
        <v/>
      </c>
      <c r="AY830" s="164" t="str">
        <f t="shared" ca="1" si="1327"/>
        <v/>
      </c>
      <c r="AZ830" s="164" t="str">
        <f t="shared" ca="1" si="1328"/>
        <v/>
      </c>
      <c r="BA830" s="165" t="str">
        <f t="shared" ca="1" si="1329"/>
        <v>nie</v>
      </c>
      <c r="BB830" s="166" t="str">
        <f t="shared" ca="1" si="1361"/>
        <v>-</v>
      </c>
      <c r="BC830" s="165" t="str">
        <f t="shared" ca="1" si="1291"/>
        <v>nie</v>
      </c>
    </row>
    <row r="831" spans="1:55" s="176" customFormat="1" ht="14.45" hidden="1" customHeight="1" x14ac:dyDescent="0.25">
      <c r="A831" s="493" t="s">
        <v>24</v>
      </c>
      <c r="B831" s="493" t="s">
        <v>26</v>
      </c>
      <c r="C831" s="494" t="s">
        <v>200</v>
      </c>
      <c r="D831" s="511" t="s">
        <v>201</v>
      </c>
      <c r="E831" s="497">
        <v>750</v>
      </c>
      <c r="F831" s="497">
        <v>75023</v>
      </c>
      <c r="G831" s="497">
        <v>6050</v>
      </c>
      <c r="H831" s="507">
        <v>2022</v>
      </c>
      <c r="I831" s="499" t="str">
        <f ca="1">IF(COUNTIF(OFFSET(I831,-1,-8),"*propon*")&gt;0,OFFSET(I831,4,0),IF(Y831&gt;0,"2033",IF(X831&gt;0,"2032",IF(W831&gt;0,"2031",IF(V831&gt;0,"2030",IF(U831&gt;0,"2029",IF(T831&gt;0,"2028",IF(S831&gt;0,"2027",IF(R831&gt;0,"2026",IF(Q831&gt;0,"2025",IF(P831&gt;0,"2024",IF(M831&gt;0,"2023",IF(L831&gt;0,"2022","")))))))))))))</f>
        <v>2024</v>
      </c>
      <c r="J831" s="168" t="s">
        <v>98</v>
      </c>
      <c r="K831" s="169">
        <f>SUM(N831:O831)</f>
        <v>0</v>
      </c>
      <c r="L831" s="170">
        <f t="shared" ref="L831:M831" si="1380">SUM(L832:L833)</f>
        <v>0</v>
      </c>
      <c r="M831" s="171">
        <f t="shared" si="1380"/>
        <v>0</v>
      </c>
      <c r="N831" s="172">
        <f>SUM(L831:M831)</f>
        <v>0</v>
      </c>
      <c r="O831" s="169">
        <f>SUM(P831:Y831)</f>
        <v>0</v>
      </c>
      <c r="P831" s="173">
        <f t="shared" ref="P831:R831" si="1381">SUM(P832:P833)</f>
        <v>0</v>
      </c>
      <c r="Q831" s="171">
        <f t="shared" si="1381"/>
        <v>0</v>
      </c>
      <c r="R831" s="174">
        <f t="shared" si="1381"/>
        <v>0</v>
      </c>
      <c r="S831" s="175">
        <f t="shared" ref="S831:Y831" si="1382">SUM(S832:S833)</f>
        <v>0</v>
      </c>
      <c r="T831" s="171">
        <f t="shared" si="1382"/>
        <v>0</v>
      </c>
      <c r="U831" s="171">
        <f t="shared" si="1382"/>
        <v>0</v>
      </c>
      <c r="V831" s="171">
        <f t="shared" si="1382"/>
        <v>0</v>
      </c>
      <c r="W831" s="171">
        <f t="shared" si="1382"/>
        <v>0</v>
      </c>
      <c r="X831" s="171">
        <f t="shared" si="1382"/>
        <v>0</v>
      </c>
      <c r="Y831" s="174">
        <f t="shared" si="1382"/>
        <v>0</v>
      </c>
      <c r="Z831" s="149" t="str">
        <f t="shared" ca="1" si="1290"/>
        <v>nie</v>
      </c>
      <c r="AA831" s="366"/>
      <c r="AB831" s="150" t="str">
        <f t="shared" ca="1" si="1360"/>
        <v>-</v>
      </c>
      <c r="AC831" s="151" t="str">
        <f t="shared" ca="1" si="1309"/>
        <v>PROPONOWANA ZMIANA</v>
      </c>
      <c r="AD831" s="152" t="str">
        <f t="shared" ca="1" si="1373"/>
        <v>PROPONOWANA ZMIANA</v>
      </c>
      <c r="AE831" s="153" t="str">
        <f t="shared" ca="1" si="1310"/>
        <v>C/USN/X/P2/7</v>
      </c>
      <c r="AF831" s="154" t="str">
        <f t="shared" ca="1" si="1311"/>
        <v>Modernizacja siedziby Urzędu Dzielnicy</v>
      </c>
      <c r="AG831" s="155">
        <f t="shared" ca="1" si="1312"/>
        <v>75023</v>
      </c>
      <c r="AH831" s="155" t="str">
        <f t="shared" ca="1" si="1313"/>
        <v>6050</v>
      </c>
      <c r="AI831" s="156" t="str">
        <f t="shared" ca="1" si="1314"/>
        <v>GMMW</v>
      </c>
      <c r="AJ831" s="157" t="str">
        <f t="shared" ca="1" si="1315"/>
        <v>WPF, w tym</v>
      </c>
      <c r="AK831" s="158" t="str">
        <f t="shared" ca="1" si="1374"/>
        <v>C/USN/X/P2/7 75023 6050 GMMW</v>
      </c>
      <c r="AL831" s="158" t="str">
        <f t="shared" ca="1" si="1375"/>
        <v>C/USN/X/P2/7 75023 6050 WPF, w tym</v>
      </c>
      <c r="AM831" s="159" t="str">
        <f t="shared" ca="1" si="1376"/>
        <v>C/USN/X/P2/7 75023 6050 GMMW WPF, w tym</v>
      </c>
      <c r="AN831" s="160">
        <f t="shared" ca="1" si="1316"/>
        <v>0</v>
      </c>
      <c r="AO831" s="161">
        <f t="shared" ca="1" si="1317"/>
        <v>0</v>
      </c>
      <c r="AP831" s="162">
        <f t="shared" ca="1" si="1318"/>
        <v>0</v>
      </c>
      <c r="AQ831" s="163">
        <f t="shared" ca="1" si="1319"/>
        <v>0</v>
      </c>
      <c r="AR831" s="164">
        <f t="shared" ca="1" si="1320"/>
        <v>0</v>
      </c>
      <c r="AS831" s="164">
        <f t="shared" ca="1" si="1321"/>
        <v>0</v>
      </c>
      <c r="AT831" s="164">
        <f t="shared" ca="1" si="1322"/>
        <v>0</v>
      </c>
      <c r="AU831" s="164">
        <f t="shared" ca="1" si="1323"/>
        <v>0</v>
      </c>
      <c r="AV831" s="164">
        <f t="shared" ca="1" si="1324"/>
        <v>0</v>
      </c>
      <c r="AW831" s="164">
        <f t="shared" ca="1" si="1325"/>
        <v>0</v>
      </c>
      <c r="AX831" s="164">
        <f t="shared" ca="1" si="1326"/>
        <v>0</v>
      </c>
      <c r="AY831" s="164">
        <f t="shared" ca="1" si="1327"/>
        <v>0</v>
      </c>
      <c r="AZ831" s="164">
        <f t="shared" ca="1" si="1328"/>
        <v>0</v>
      </c>
      <c r="BA831" s="165" t="str">
        <f t="shared" ca="1" si="1329"/>
        <v>nie</v>
      </c>
      <c r="BB831" s="166" t="str">
        <f t="shared" ca="1" si="1361"/>
        <v>-</v>
      </c>
      <c r="BC831" s="165" t="str">
        <f t="shared" ca="1" si="1291"/>
        <v>nie</v>
      </c>
    </row>
    <row r="832" spans="1:55" s="167" customFormat="1" ht="14.45" hidden="1" customHeight="1" x14ac:dyDescent="0.25">
      <c r="A832" s="493"/>
      <c r="B832" s="493"/>
      <c r="C832" s="494"/>
      <c r="D832" s="512"/>
      <c r="E832" s="497"/>
      <c r="F832" s="497"/>
      <c r="G832" s="497"/>
      <c r="H832" s="498"/>
      <c r="I832" s="499"/>
      <c r="J832" s="177" t="s">
        <v>99</v>
      </c>
      <c r="K832" s="178">
        <f>SUM(N832:O832)</f>
        <v>0</v>
      </c>
      <c r="L832" s="179">
        <f t="shared" ref="L832:M832" si="1383">L836-L828</f>
        <v>0</v>
      </c>
      <c r="M832" s="180">
        <f t="shared" si="1383"/>
        <v>0</v>
      </c>
      <c r="N832" s="172">
        <f>SUM(L832:M832)</f>
        <v>0</v>
      </c>
      <c r="O832" s="178">
        <f>SUM(P832:Y832)</f>
        <v>0</v>
      </c>
      <c r="P832" s="181">
        <f t="shared" ref="P832:R832" si="1384">P836-P828</f>
        <v>0</v>
      </c>
      <c r="Q832" s="180">
        <f t="shared" si="1384"/>
        <v>0</v>
      </c>
      <c r="R832" s="182">
        <f t="shared" si="1384"/>
        <v>0</v>
      </c>
      <c r="S832" s="183">
        <f t="shared" ref="S832:Y833" si="1385">S836-S828</f>
        <v>0</v>
      </c>
      <c r="T832" s="180">
        <f t="shared" si="1385"/>
        <v>0</v>
      </c>
      <c r="U832" s="180">
        <f t="shared" si="1385"/>
        <v>0</v>
      </c>
      <c r="V832" s="180">
        <f t="shared" si="1385"/>
        <v>0</v>
      </c>
      <c r="W832" s="180">
        <f t="shared" si="1385"/>
        <v>0</v>
      </c>
      <c r="X832" s="180">
        <f t="shared" si="1385"/>
        <v>0</v>
      </c>
      <c r="Y832" s="182">
        <f t="shared" si="1385"/>
        <v>0</v>
      </c>
      <c r="Z832" s="149" t="str">
        <f t="shared" ca="1" si="1290"/>
        <v>nie</v>
      </c>
      <c r="AA832" s="366"/>
      <c r="AB832" s="150" t="str">
        <f t="shared" ca="1" si="1360"/>
        <v>-</v>
      </c>
      <c r="AC832" s="151" t="str">
        <f t="shared" ca="1" si="1309"/>
        <v>PROPONOWANA ZMIANA</v>
      </c>
      <c r="AD832" s="152" t="str">
        <f t="shared" ca="1" si="1373"/>
        <v>PROPONOWANA ZMIANA</v>
      </c>
      <c r="AE832" s="153" t="str">
        <f t="shared" ca="1" si="1310"/>
        <v>C/USN/X/P2/7</v>
      </c>
      <c r="AF832" s="154" t="str">
        <f t="shared" ca="1" si="1311"/>
        <v>Modernizacja siedziby Urzędu Dzielnicy</v>
      </c>
      <c r="AG832" s="155">
        <f t="shared" ca="1" si="1312"/>
        <v>75023</v>
      </c>
      <c r="AH832" s="155" t="str">
        <f t="shared" ca="1" si="1313"/>
        <v>6050</v>
      </c>
      <c r="AI832" s="156" t="str">
        <f t="shared" ca="1" si="1314"/>
        <v>GMMW</v>
      </c>
      <c r="AJ832" s="157" t="str">
        <f t="shared" ca="1" si="1315"/>
        <v>WPF/PM</v>
      </c>
      <c r="AK832" s="158" t="str">
        <f t="shared" ca="1" si="1374"/>
        <v>C/USN/X/P2/7 75023 6050 GMMW</v>
      </c>
      <c r="AL832" s="158" t="str">
        <f t="shared" ca="1" si="1375"/>
        <v>C/USN/X/P2/7 75023 6050 WPF/PM</v>
      </c>
      <c r="AM832" s="159" t="str">
        <f t="shared" ca="1" si="1376"/>
        <v>C/USN/X/P2/7 75023 6050 GMMW WPF/PM</v>
      </c>
      <c r="AN832" s="160">
        <f t="shared" ca="1" si="1316"/>
        <v>0</v>
      </c>
      <c r="AO832" s="161">
        <f t="shared" ca="1" si="1317"/>
        <v>0</v>
      </c>
      <c r="AP832" s="162">
        <f t="shared" ca="1" si="1318"/>
        <v>0</v>
      </c>
      <c r="AQ832" s="163">
        <f t="shared" ca="1" si="1319"/>
        <v>0</v>
      </c>
      <c r="AR832" s="164">
        <f t="shared" ca="1" si="1320"/>
        <v>0</v>
      </c>
      <c r="AS832" s="164">
        <f t="shared" ca="1" si="1321"/>
        <v>0</v>
      </c>
      <c r="AT832" s="164">
        <f t="shared" ca="1" si="1322"/>
        <v>0</v>
      </c>
      <c r="AU832" s="164">
        <f t="shared" ca="1" si="1323"/>
        <v>0</v>
      </c>
      <c r="AV832" s="164">
        <f t="shared" ca="1" si="1324"/>
        <v>0</v>
      </c>
      <c r="AW832" s="164">
        <f t="shared" ca="1" si="1325"/>
        <v>0</v>
      </c>
      <c r="AX832" s="164">
        <f t="shared" ca="1" si="1326"/>
        <v>0</v>
      </c>
      <c r="AY832" s="164">
        <f t="shared" ca="1" si="1327"/>
        <v>0</v>
      </c>
      <c r="AZ832" s="164">
        <f t="shared" ca="1" si="1328"/>
        <v>0</v>
      </c>
      <c r="BA832" s="165" t="str">
        <f t="shared" ca="1" si="1329"/>
        <v>nie</v>
      </c>
      <c r="BB832" s="166" t="str">
        <f t="shared" ca="1" si="1361"/>
        <v>-</v>
      </c>
      <c r="BC832" s="165" t="str">
        <f t="shared" ca="1" si="1291"/>
        <v>nie</v>
      </c>
    </row>
    <row r="833" spans="1:55" s="167" customFormat="1" ht="14.45" hidden="1" customHeight="1" x14ac:dyDescent="0.25">
      <c r="A833" s="493"/>
      <c r="B833" s="493"/>
      <c r="C833" s="494"/>
      <c r="D833" s="512"/>
      <c r="E833" s="497"/>
      <c r="F833" s="497"/>
      <c r="G833" s="497"/>
      <c r="H833" s="498"/>
      <c r="I833" s="499"/>
      <c r="J833" s="177" t="s">
        <v>100</v>
      </c>
      <c r="K833" s="178">
        <f>SUM(N833:O833)</f>
        <v>0</v>
      </c>
      <c r="L833" s="179">
        <f t="shared" ref="L833:M833" si="1386">L837-L829</f>
        <v>0</v>
      </c>
      <c r="M833" s="180">
        <f t="shared" si="1386"/>
        <v>0</v>
      </c>
      <c r="N833" s="172">
        <f>SUM(L833:M833)</f>
        <v>0</v>
      </c>
      <c r="O833" s="178">
        <f>SUM(P833:Y833)</f>
        <v>0</v>
      </c>
      <c r="P833" s="181">
        <f t="shared" ref="P833:R833" si="1387">P837-P829</f>
        <v>0</v>
      </c>
      <c r="Q833" s="180">
        <f t="shared" si="1387"/>
        <v>0</v>
      </c>
      <c r="R833" s="182">
        <f t="shared" si="1387"/>
        <v>0</v>
      </c>
      <c r="S833" s="183">
        <f t="shared" si="1385"/>
        <v>0</v>
      </c>
      <c r="T833" s="180">
        <f t="shared" si="1385"/>
        <v>0</v>
      </c>
      <c r="U833" s="180">
        <f t="shared" si="1385"/>
        <v>0</v>
      </c>
      <c r="V833" s="180">
        <f t="shared" si="1385"/>
        <v>0</v>
      </c>
      <c r="W833" s="180">
        <f t="shared" si="1385"/>
        <v>0</v>
      </c>
      <c r="X833" s="180">
        <f t="shared" si="1385"/>
        <v>0</v>
      </c>
      <c r="Y833" s="182">
        <f t="shared" si="1385"/>
        <v>0</v>
      </c>
      <c r="Z833" s="149" t="str">
        <f t="shared" ca="1" si="1290"/>
        <v>nie</v>
      </c>
      <c r="AA833" s="366"/>
      <c r="AB833" s="150" t="str">
        <f t="shared" ca="1" si="1360"/>
        <v>-</v>
      </c>
      <c r="AC833" s="151" t="str">
        <f t="shared" ca="1" si="1309"/>
        <v>PROPONOWANA ZMIANA</v>
      </c>
      <c r="AD833" s="152" t="str">
        <f t="shared" ca="1" si="1373"/>
        <v>PROPONOWANA ZMIANA</v>
      </c>
      <c r="AE833" s="153" t="str">
        <f t="shared" ca="1" si="1310"/>
        <v>C/USN/X/P2/7</v>
      </c>
      <c r="AF833" s="154" t="str">
        <f t="shared" ca="1" si="1311"/>
        <v>Modernizacja siedziby Urzędu Dzielnicy</v>
      </c>
      <c r="AG833" s="155">
        <f t="shared" ca="1" si="1312"/>
        <v>75023</v>
      </c>
      <c r="AH833" s="155" t="str">
        <f t="shared" ca="1" si="1313"/>
        <v>6050</v>
      </c>
      <c r="AI833" s="156" t="str">
        <f t="shared" ca="1" si="1314"/>
        <v>GMMW</v>
      </c>
      <c r="AJ833" s="157" t="str">
        <f t="shared" ca="1" si="1315"/>
        <v>WPF/UM</v>
      </c>
      <c r="AK833" s="158" t="str">
        <f t="shared" ca="1" si="1374"/>
        <v>C/USN/X/P2/7 75023 6050 GMMW</v>
      </c>
      <c r="AL833" s="158" t="str">
        <f t="shared" ca="1" si="1375"/>
        <v>C/USN/X/P2/7 75023 6050 WPF/UM</v>
      </c>
      <c r="AM833" s="159" t="str">
        <f t="shared" ca="1" si="1376"/>
        <v>C/USN/X/P2/7 75023 6050 GMMW WPF/UM</v>
      </c>
      <c r="AN833" s="160">
        <f t="shared" ca="1" si="1316"/>
        <v>0</v>
      </c>
      <c r="AO833" s="161">
        <f t="shared" ca="1" si="1317"/>
        <v>0</v>
      </c>
      <c r="AP833" s="162">
        <f t="shared" ca="1" si="1318"/>
        <v>0</v>
      </c>
      <c r="AQ833" s="163">
        <f t="shared" ca="1" si="1319"/>
        <v>0</v>
      </c>
      <c r="AR833" s="164">
        <f t="shared" ca="1" si="1320"/>
        <v>0</v>
      </c>
      <c r="AS833" s="164">
        <f t="shared" ca="1" si="1321"/>
        <v>0</v>
      </c>
      <c r="AT833" s="164">
        <f t="shared" ca="1" si="1322"/>
        <v>0</v>
      </c>
      <c r="AU833" s="164">
        <f t="shared" ca="1" si="1323"/>
        <v>0</v>
      </c>
      <c r="AV833" s="164">
        <f t="shared" ca="1" si="1324"/>
        <v>0</v>
      </c>
      <c r="AW833" s="164">
        <f t="shared" ca="1" si="1325"/>
        <v>0</v>
      </c>
      <c r="AX833" s="164">
        <f t="shared" ca="1" si="1326"/>
        <v>0</v>
      </c>
      <c r="AY833" s="164">
        <f t="shared" ca="1" si="1327"/>
        <v>0</v>
      </c>
      <c r="AZ833" s="164">
        <f t="shared" ca="1" si="1328"/>
        <v>0</v>
      </c>
      <c r="BA833" s="165" t="str">
        <f t="shared" ca="1" si="1329"/>
        <v>nie</v>
      </c>
      <c r="BB833" s="166" t="str">
        <f t="shared" ca="1" si="1361"/>
        <v>-</v>
      </c>
      <c r="BC833" s="165" t="str">
        <f t="shared" ca="1" si="1291"/>
        <v>nie</v>
      </c>
    </row>
    <row r="834" spans="1:55" s="167" customFormat="1" ht="14.45" hidden="1" customHeight="1" x14ac:dyDescent="0.25">
      <c r="A834" s="191" t="s">
        <v>101</v>
      </c>
      <c r="B834" s="192"/>
      <c r="C834" s="193"/>
      <c r="D834" s="192"/>
      <c r="E834" s="192"/>
      <c r="F834" s="192"/>
      <c r="G834" s="192"/>
      <c r="H834" s="192"/>
      <c r="I834" s="192"/>
      <c r="J834" s="192"/>
      <c r="K834" s="192"/>
      <c r="L834" s="192"/>
      <c r="M834" s="192"/>
      <c r="N834" s="192"/>
      <c r="O834" s="192"/>
      <c r="P834" s="192"/>
      <c r="Q834" s="192"/>
      <c r="R834" s="194"/>
      <c r="S834" s="195"/>
      <c r="T834" s="195"/>
      <c r="U834" s="195"/>
      <c r="V834" s="195"/>
      <c r="W834" s="195"/>
      <c r="X834" s="195"/>
      <c r="Y834" s="196"/>
      <c r="Z834" s="149" t="str">
        <f t="shared" ca="1" si="1290"/>
        <v>nie</v>
      </c>
      <c r="AA834" s="366"/>
      <c r="AB834" s="150" t="str">
        <f t="shared" ca="1" si="1360"/>
        <v>-</v>
      </c>
      <c r="AC834" s="151" t="str">
        <f t="shared" ca="1" si="1309"/>
        <v>PO ZMIANIE</v>
      </c>
      <c r="AD834" s="152" t="str">
        <f t="shared" ca="1" si="1373"/>
        <v/>
      </c>
      <c r="AE834" s="153" t="str">
        <f t="shared" ca="1" si="1310"/>
        <v/>
      </c>
      <c r="AF834" s="154" t="str">
        <f t="shared" ca="1" si="1311"/>
        <v/>
      </c>
      <c r="AG834" s="155" t="str">
        <f t="shared" ca="1" si="1312"/>
        <v/>
      </c>
      <c r="AH834" s="155" t="str">
        <f t="shared" ca="1" si="1313"/>
        <v/>
      </c>
      <c r="AI834" s="156" t="str">
        <f t="shared" ca="1" si="1314"/>
        <v/>
      </c>
      <c r="AJ834" s="157" t="str">
        <f t="shared" ca="1" si="1315"/>
        <v/>
      </c>
      <c r="AK834" s="158" t="str">
        <f t="shared" ca="1" si="1374"/>
        <v/>
      </c>
      <c r="AL834" s="158" t="str">
        <f t="shared" ca="1" si="1375"/>
        <v/>
      </c>
      <c r="AM834" s="159" t="str">
        <f t="shared" ca="1" si="1376"/>
        <v/>
      </c>
      <c r="AN834" s="160" t="str">
        <f t="shared" ca="1" si="1316"/>
        <v/>
      </c>
      <c r="AO834" s="161" t="str">
        <f t="shared" ca="1" si="1317"/>
        <v/>
      </c>
      <c r="AP834" s="162" t="str">
        <f t="shared" ca="1" si="1318"/>
        <v/>
      </c>
      <c r="AQ834" s="163" t="str">
        <f t="shared" ca="1" si="1319"/>
        <v/>
      </c>
      <c r="AR834" s="164" t="str">
        <f t="shared" ca="1" si="1320"/>
        <v/>
      </c>
      <c r="AS834" s="164" t="str">
        <f t="shared" ca="1" si="1321"/>
        <v/>
      </c>
      <c r="AT834" s="164" t="str">
        <f t="shared" ca="1" si="1322"/>
        <v/>
      </c>
      <c r="AU834" s="164" t="str">
        <f t="shared" ca="1" si="1323"/>
        <v/>
      </c>
      <c r="AV834" s="164" t="str">
        <f t="shared" ca="1" si="1324"/>
        <v/>
      </c>
      <c r="AW834" s="164" t="str">
        <f t="shared" ca="1" si="1325"/>
        <v/>
      </c>
      <c r="AX834" s="164" t="str">
        <f t="shared" ca="1" si="1326"/>
        <v/>
      </c>
      <c r="AY834" s="164" t="str">
        <f t="shared" ca="1" si="1327"/>
        <v/>
      </c>
      <c r="AZ834" s="164" t="str">
        <f t="shared" ca="1" si="1328"/>
        <v/>
      </c>
      <c r="BA834" s="165" t="str">
        <f t="shared" ca="1" si="1329"/>
        <v>nie</v>
      </c>
      <c r="BB834" s="166" t="str">
        <f t="shared" ca="1" si="1361"/>
        <v>-</v>
      </c>
      <c r="BC834" s="165" t="str">
        <f t="shared" ca="1" si="1291"/>
        <v>nie</v>
      </c>
    </row>
    <row r="835" spans="1:55" s="176" customFormat="1" ht="14.45" hidden="1" customHeight="1" x14ac:dyDescent="0.25">
      <c r="A835" s="493" t="s">
        <v>24</v>
      </c>
      <c r="B835" s="493" t="s">
        <v>26</v>
      </c>
      <c r="C835" s="494" t="s">
        <v>200</v>
      </c>
      <c r="D835" s="511" t="s">
        <v>201</v>
      </c>
      <c r="E835" s="497">
        <v>750</v>
      </c>
      <c r="F835" s="497">
        <v>75023</v>
      </c>
      <c r="G835" s="497">
        <v>6050</v>
      </c>
      <c r="H835" s="507">
        <v>2022</v>
      </c>
      <c r="I835" s="499" t="str">
        <f ca="1">IF(COUNTIF(OFFSET(I835,-1,-8),"*propon*")&gt;0,OFFSET(I835,4,0),IF(Y835&gt;0,"2033",IF(X835&gt;0,"2032",IF(W835&gt;0,"2031",IF(V835&gt;0,"2030",IF(U835&gt;0,"2029",IF(T835&gt;0,"2028",IF(S835&gt;0,"2027",IF(R835&gt;0,"2026",IF(Q835&gt;0,"2025",IF(P835&gt;0,"2024",IF(M835&gt;0,"2023",IF(L835&gt;0,"2022","")))))))))))))</f>
        <v>2024</v>
      </c>
      <c r="J835" s="168" t="s">
        <v>102</v>
      </c>
      <c r="K835" s="169">
        <f>SUM(N835:O835)</f>
        <v>1305000</v>
      </c>
      <c r="L835" s="170">
        <f t="shared" ref="L835:M835" si="1388">SUM(L836:L837)</f>
        <v>0</v>
      </c>
      <c r="M835" s="171">
        <f t="shared" si="1388"/>
        <v>44280</v>
      </c>
      <c r="N835" s="172">
        <f>SUM(L835:M835)</f>
        <v>44280</v>
      </c>
      <c r="O835" s="169">
        <f>SUM(P835:Y835)</f>
        <v>1260720</v>
      </c>
      <c r="P835" s="173">
        <f t="shared" ref="P835:R835" si="1389">SUM(P836:P837)</f>
        <v>1260720</v>
      </c>
      <c r="Q835" s="171">
        <f t="shared" si="1389"/>
        <v>0</v>
      </c>
      <c r="R835" s="174">
        <f t="shared" si="1389"/>
        <v>0</v>
      </c>
      <c r="S835" s="175">
        <f t="shared" ref="S835:Y835" si="1390">SUM(S836:S837)</f>
        <v>0</v>
      </c>
      <c r="T835" s="171">
        <f t="shared" si="1390"/>
        <v>0</v>
      </c>
      <c r="U835" s="171">
        <f t="shared" si="1390"/>
        <v>0</v>
      </c>
      <c r="V835" s="171">
        <f t="shared" si="1390"/>
        <v>0</v>
      </c>
      <c r="W835" s="171">
        <f t="shared" si="1390"/>
        <v>0</v>
      </c>
      <c r="X835" s="171">
        <f t="shared" si="1390"/>
        <v>0</v>
      </c>
      <c r="Y835" s="174">
        <f t="shared" si="1390"/>
        <v>0</v>
      </c>
      <c r="Z835" s="149" t="str">
        <f t="shared" ca="1" si="1290"/>
        <v>nie</v>
      </c>
      <c r="AA835" s="366"/>
      <c r="AB835" s="150" t="str">
        <f t="shared" ca="1" si="1360"/>
        <v>-</v>
      </c>
      <c r="AC835" s="151" t="str">
        <f t="shared" ca="1" si="1309"/>
        <v>PO ZMIANIE</v>
      </c>
      <c r="AD835" s="152" t="str">
        <f t="shared" ca="1" si="1373"/>
        <v>PO ZMIANIE</v>
      </c>
      <c r="AE835" s="153" t="str">
        <f t="shared" ca="1" si="1310"/>
        <v>C/USN/X/P2/7</v>
      </c>
      <c r="AF835" s="154" t="str">
        <f t="shared" ca="1" si="1311"/>
        <v>Modernizacja siedziby Urzędu Dzielnicy</v>
      </c>
      <c r="AG835" s="155">
        <f t="shared" ca="1" si="1312"/>
        <v>75023</v>
      </c>
      <c r="AH835" s="155" t="str">
        <f t="shared" ca="1" si="1313"/>
        <v>6050</v>
      </c>
      <c r="AI835" s="156" t="str">
        <f t="shared" ca="1" si="1314"/>
        <v>GMMW</v>
      </c>
      <c r="AJ835" s="157" t="str">
        <f t="shared" ca="1" si="1315"/>
        <v>WPF, w tym</v>
      </c>
      <c r="AK835" s="158" t="str">
        <f t="shared" ca="1" si="1374"/>
        <v>C/USN/X/P2/7 75023 6050 GMMW</v>
      </c>
      <c r="AL835" s="158" t="str">
        <f t="shared" ca="1" si="1375"/>
        <v>C/USN/X/P2/7 75023 6050 WPF, w tym</v>
      </c>
      <c r="AM835" s="159" t="str">
        <f t="shared" ca="1" si="1376"/>
        <v>C/USN/X/P2/7 75023 6050 GMMW WPF, w tym</v>
      </c>
      <c r="AN835" s="160">
        <f t="shared" ca="1" si="1316"/>
        <v>1305000</v>
      </c>
      <c r="AO835" s="161">
        <f t="shared" ca="1" si="1317"/>
        <v>0</v>
      </c>
      <c r="AP835" s="162">
        <f t="shared" ca="1" si="1318"/>
        <v>44280</v>
      </c>
      <c r="AQ835" s="163">
        <f t="shared" ca="1" si="1319"/>
        <v>1260720</v>
      </c>
      <c r="AR835" s="164">
        <f t="shared" ca="1" si="1320"/>
        <v>0</v>
      </c>
      <c r="AS835" s="164">
        <f t="shared" ca="1" si="1321"/>
        <v>0</v>
      </c>
      <c r="AT835" s="164">
        <f t="shared" ca="1" si="1322"/>
        <v>0</v>
      </c>
      <c r="AU835" s="164">
        <f t="shared" ca="1" si="1323"/>
        <v>0</v>
      </c>
      <c r="AV835" s="164">
        <f t="shared" ca="1" si="1324"/>
        <v>0</v>
      </c>
      <c r="AW835" s="164">
        <f t="shared" ca="1" si="1325"/>
        <v>0</v>
      </c>
      <c r="AX835" s="164">
        <f t="shared" ca="1" si="1326"/>
        <v>0</v>
      </c>
      <c r="AY835" s="164">
        <f t="shared" ca="1" si="1327"/>
        <v>0</v>
      </c>
      <c r="AZ835" s="164">
        <f t="shared" ca="1" si="1328"/>
        <v>0</v>
      </c>
      <c r="BA835" s="165" t="str">
        <f t="shared" ca="1" si="1329"/>
        <v>nie</v>
      </c>
      <c r="BB835" s="166" t="str">
        <f t="shared" ca="1" si="1361"/>
        <v>-</v>
      </c>
      <c r="BC835" s="165" t="str">
        <f t="shared" ca="1" si="1291"/>
        <v>nie</v>
      </c>
    </row>
    <row r="836" spans="1:55" s="167" customFormat="1" ht="14.45" hidden="1" customHeight="1" x14ac:dyDescent="0.25">
      <c r="A836" s="493"/>
      <c r="B836" s="493"/>
      <c r="C836" s="494"/>
      <c r="D836" s="512"/>
      <c r="E836" s="497"/>
      <c r="F836" s="497"/>
      <c r="G836" s="497"/>
      <c r="H836" s="498"/>
      <c r="I836" s="499"/>
      <c r="J836" s="177" t="s">
        <v>103</v>
      </c>
      <c r="K836" s="178">
        <f>SUM(N836:O836)</f>
        <v>1260720</v>
      </c>
      <c r="L836" s="179"/>
      <c r="M836" s="180"/>
      <c r="N836" s="172">
        <f>SUM(L836:M836)</f>
        <v>0</v>
      </c>
      <c r="O836" s="178">
        <f>SUM(P836:Y836)</f>
        <v>1260720</v>
      </c>
      <c r="P836" s="181">
        <f>405900+854820</f>
        <v>1260720</v>
      </c>
      <c r="Q836" s="180"/>
      <c r="R836" s="182"/>
      <c r="S836" s="183"/>
      <c r="T836" s="180"/>
      <c r="U836" s="180"/>
      <c r="V836" s="180"/>
      <c r="W836" s="180"/>
      <c r="X836" s="180"/>
      <c r="Y836" s="182"/>
      <c r="Z836" s="149" t="str">
        <f t="shared" ca="1" si="1290"/>
        <v>nie</v>
      </c>
      <c r="AA836" s="384"/>
      <c r="AB836" s="150" t="str">
        <f t="shared" ca="1" si="1360"/>
        <v>-</v>
      </c>
      <c r="AC836" s="151" t="str">
        <f t="shared" ca="1" si="1309"/>
        <v>PO ZMIANIE</v>
      </c>
      <c r="AD836" s="152" t="str">
        <f t="shared" ca="1" si="1373"/>
        <v>PO ZMIANIE</v>
      </c>
      <c r="AE836" s="153" t="str">
        <f t="shared" ca="1" si="1310"/>
        <v>C/USN/X/P2/7</v>
      </c>
      <c r="AF836" s="154" t="str">
        <f t="shared" ca="1" si="1311"/>
        <v>Modernizacja siedziby Urzędu Dzielnicy</v>
      </c>
      <c r="AG836" s="155">
        <f t="shared" ca="1" si="1312"/>
        <v>75023</v>
      </c>
      <c r="AH836" s="155" t="str">
        <f t="shared" ca="1" si="1313"/>
        <v>6050</v>
      </c>
      <c r="AI836" s="156" t="str">
        <f t="shared" ca="1" si="1314"/>
        <v>GMMW</v>
      </c>
      <c r="AJ836" s="157" t="str">
        <f t="shared" ca="1" si="1315"/>
        <v>WPF/PM</v>
      </c>
      <c r="AK836" s="158" t="str">
        <f t="shared" ca="1" si="1374"/>
        <v>C/USN/X/P2/7 75023 6050 GMMW</v>
      </c>
      <c r="AL836" s="158" t="str">
        <f t="shared" ca="1" si="1375"/>
        <v>C/USN/X/P2/7 75023 6050 WPF/PM</v>
      </c>
      <c r="AM836" s="159" t="str">
        <f t="shared" ca="1" si="1376"/>
        <v>C/USN/X/P2/7 75023 6050 GMMW WPF/PM</v>
      </c>
      <c r="AN836" s="160">
        <f t="shared" ca="1" si="1316"/>
        <v>1260720</v>
      </c>
      <c r="AO836" s="161">
        <f t="shared" ca="1" si="1317"/>
        <v>0</v>
      </c>
      <c r="AP836" s="162">
        <f t="shared" ca="1" si="1318"/>
        <v>0</v>
      </c>
      <c r="AQ836" s="163">
        <f t="shared" ca="1" si="1319"/>
        <v>1260720</v>
      </c>
      <c r="AR836" s="164">
        <f t="shared" ca="1" si="1320"/>
        <v>0</v>
      </c>
      <c r="AS836" s="164">
        <f t="shared" ca="1" si="1321"/>
        <v>0</v>
      </c>
      <c r="AT836" s="164">
        <f t="shared" ca="1" si="1322"/>
        <v>0</v>
      </c>
      <c r="AU836" s="164">
        <f t="shared" ca="1" si="1323"/>
        <v>0</v>
      </c>
      <c r="AV836" s="164">
        <f t="shared" ca="1" si="1324"/>
        <v>0</v>
      </c>
      <c r="AW836" s="164">
        <f t="shared" ca="1" si="1325"/>
        <v>0</v>
      </c>
      <c r="AX836" s="164">
        <f t="shared" ca="1" si="1326"/>
        <v>0</v>
      </c>
      <c r="AY836" s="164">
        <f t="shared" ca="1" si="1327"/>
        <v>0</v>
      </c>
      <c r="AZ836" s="164">
        <f t="shared" ca="1" si="1328"/>
        <v>0</v>
      </c>
      <c r="BA836" s="165" t="str">
        <f t="shared" ca="1" si="1329"/>
        <v>nie</v>
      </c>
      <c r="BB836" s="166" t="str">
        <f t="shared" ca="1" si="1361"/>
        <v>-</v>
      </c>
      <c r="BC836" s="165" t="str">
        <f t="shared" ca="1" si="1291"/>
        <v>nie</v>
      </c>
    </row>
    <row r="837" spans="1:55" s="167" customFormat="1" ht="14.45" hidden="1" customHeight="1" thickBot="1" x14ac:dyDescent="0.3">
      <c r="A837" s="500"/>
      <c r="B837" s="500"/>
      <c r="C837" s="501"/>
      <c r="D837" s="529"/>
      <c r="E837" s="503"/>
      <c r="F837" s="503"/>
      <c r="G837" s="503"/>
      <c r="H837" s="504"/>
      <c r="I837" s="499"/>
      <c r="J837" s="197" t="s">
        <v>104</v>
      </c>
      <c r="K837" s="198">
        <f>SUM(N837:O837)</f>
        <v>44280</v>
      </c>
      <c r="L837" s="199"/>
      <c r="M837" s="200">
        <f>49100-4820</f>
        <v>44280</v>
      </c>
      <c r="N837" s="371">
        <f>SUM(L837:M837)</f>
        <v>44280</v>
      </c>
      <c r="O837" s="198">
        <f>SUM(P837:Y837)</f>
        <v>0</v>
      </c>
      <c r="P837" s="201"/>
      <c r="Q837" s="200"/>
      <c r="R837" s="202"/>
      <c r="S837" s="203"/>
      <c r="T837" s="200"/>
      <c r="U837" s="200"/>
      <c r="V837" s="200"/>
      <c r="W837" s="200"/>
      <c r="X837" s="200"/>
      <c r="Y837" s="202"/>
      <c r="Z837" s="149" t="str">
        <f t="shared" ca="1" si="1290"/>
        <v>nie</v>
      </c>
      <c r="AA837" s="384"/>
      <c r="AB837" s="150" t="str">
        <f t="shared" ca="1" si="1360"/>
        <v>-</v>
      </c>
      <c r="AC837" s="151" t="str">
        <f t="shared" ca="1" si="1309"/>
        <v>PO ZMIANIE</v>
      </c>
      <c r="AD837" s="152" t="str">
        <f t="shared" ca="1" si="1373"/>
        <v>PO ZMIANIE</v>
      </c>
      <c r="AE837" s="153" t="str">
        <f t="shared" ca="1" si="1310"/>
        <v>C/USN/X/P2/7</v>
      </c>
      <c r="AF837" s="154" t="str">
        <f t="shared" ca="1" si="1311"/>
        <v>Modernizacja siedziby Urzędu Dzielnicy</v>
      </c>
      <c r="AG837" s="155">
        <f t="shared" ca="1" si="1312"/>
        <v>75023</v>
      </c>
      <c r="AH837" s="155" t="str">
        <f t="shared" ca="1" si="1313"/>
        <v>6050</v>
      </c>
      <c r="AI837" s="156" t="str">
        <f t="shared" ca="1" si="1314"/>
        <v>GMMW</v>
      </c>
      <c r="AJ837" s="157" t="str">
        <f t="shared" ca="1" si="1315"/>
        <v>WPF/UM</v>
      </c>
      <c r="AK837" s="158" t="str">
        <f t="shared" ca="1" si="1374"/>
        <v>C/USN/X/P2/7 75023 6050 GMMW</v>
      </c>
      <c r="AL837" s="158" t="str">
        <f t="shared" ca="1" si="1375"/>
        <v>C/USN/X/P2/7 75023 6050 WPF/UM</v>
      </c>
      <c r="AM837" s="159" t="str">
        <f t="shared" ca="1" si="1376"/>
        <v>C/USN/X/P2/7 75023 6050 GMMW WPF/UM</v>
      </c>
      <c r="AN837" s="160">
        <f t="shared" ca="1" si="1316"/>
        <v>44280</v>
      </c>
      <c r="AO837" s="161">
        <f t="shared" ca="1" si="1317"/>
        <v>0</v>
      </c>
      <c r="AP837" s="162">
        <f t="shared" ca="1" si="1318"/>
        <v>44280</v>
      </c>
      <c r="AQ837" s="163">
        <f t="shared" ca="1" si="1319"/>
        <v>0</v>
      </c>
      <c r="AR837" s="164">
        <f t="shared" ca="1" si="1320"/>
        <v>0</v>
      </c>
      <c r="AS837" s="164">
        <f t="shared" ca="1" si="1321"/>
        <v>0</v>
      </c>
      <c r="AT837" s="164">
        <f t="shared" ca="1" si="1322"/>
        <v>0</v>
      </c>
      <c r="AU837" s="164">
        <f t="shared" ca="1" si="1323"/>
        <v>0</v>
      </c>
      <c r="AV837" s="164">
        <f t="shared" ca="1" si="1324"/>
        <v>0</v>
      </c>
      <c r="AW837" s="164">
        <f t="shared" ca="1" si="1325"/>
        <v>0</v>
      </c>
      <c r="AX837" s="164">
        <f t="shared" ca="1" si="1326"/>
        <v>0</v>
      </c>
      <c r="AY837" s="164">
        <f t="shared" ca="1" si="1327"/>
        <v>0</v>
      </c>
      <c r="AZ837" s="164">
        <f t="shared" ca="1" si="1328"/>
        <v>0</v>
      </c>
      <c r="BA837" s="165" t="str">
        <f t="shared" ca="1" si="1329"/>
        <v>nie</v>
      </c>
      <c r="BB837" s="166" t="str">
        <f t="shared" ca="1" si="1361"/>
        <v>-</v>
      </c>
      <c r="BC837" s="165" t="str">
        <f t="shared" ca="1" si="1291"/>
        <v>nie</v>
      </c>
    </row>
    <row r="838" spans="1:55" s="167" customFormat="1" ht="14.45" hidden="1" customHeight="1" x14ac:dyDescent="0.25">
      <c r="A838" s="143" t="s">
        <v>91</v>
      </c>
      <c r="B838" s="144"/>
      <c r="C838" s="145"/>
      <c r="D838" s="144"/>
      <c r="E838" s="144"/>
      <c r="F838" s="144"/>
      <c r="G838" s="144"/>
      <c r="H838" s="144"/>
      <c r="I838" s="144"/>
      <c r="J838" s="144"/>
      <c r="K838" s="144"/>
      <c r="L838" s="144"/>
      <c r="M838" s="144"/>
      <c r="N838" s="144"/>
      <c r="O838" s="144"/>
      <c r="P838" s="144"/>
      <c r="Q838" s="144"/>
      <c r="R838" s="146"/>
      <c r="S838" s="147"/>
      <c r="T838" s="147"/>
      <c r="U838" s="147"/>
      <c r="V838" s="147"/>
      <c r="W838" s="147"/>
      <c r="X838" s="147"/>
      <c r="Y838" s="148"/>
      <c r="Z838" s="149" t="str">
        <f t="shared" ca="1" si="1290"/>
        <v>nie</v>
      </c>
      <c r="AA838" s="366"/>
      <c r="AB838" s="150" t="str">
        <f t="shared" ca="1" si="1360"/>
        <v>-</v>
      </c>
      <c r="AC838" s="151" t="str">
        <f t="shared" ca="1" si="1309"/>
        <v>PRZED ZMIANĄ</v>
      </c>
      <c r="AD838" s="152" t="str">
        <f t="shared" ca="1" si="1373"/>
        <v/>
      </c>
      <c r="AE838" s="153" t="str">
        <f t="shared" ca="1" si="1310"/>
        <v/>
      </c>
      <c r="AF838" s="154" t="str">
        <f t="shared" ca="1" si="1311"/>
        <v/>
      </c>
      <c r="AG838" s="155" t="str">
        <f t="shared" ca="1" si="1312"/>
        <v/>
      </c>
      <c r="AH838" s="155" t="str">
        <f t="shared" ca="1" si="1313"/>
        <v/>
      </c>
      <c r="AI838" s="156" t="str">
        <f t="shared" ca="1" si="1314"/>
        <v/>
      </c>
      <c r="AJ838" s="157" t="str">
        <f t="shared" ca="1" si="1315"/>
        <v/>
      </c>
      <c r="AK838" s="158" t="str">
        <f t="shared" ca="1" si="1374"/>
        <v/>
      </c>
      <c r="AL838" s="158" t="str">
        <f t="shared" ca="1" si="1375"/>
        <v/>
      </c>
      <c r="AM838" s="159" t="str">
        <f t="shared" ca="1" si="1376"/>
        <v/>
      </c>
      <c r="AN838" s="160" t="str">
        <f t="shared" ca="1" si="1316"/>
        <v/>
      </c>
      <c r="AO838" s="161" t="str">
        <f t="shared" ca="1" si="1317"/>
        <v/>
      </c>
      <c r="AP838" s="162" t="str">
        <f t="shared" ca="1" si="1318"/>
        <v/>
      </c>
      <c r="AQ838" s="163" t="str">
        <f t="shared" ca="1" si="1319"/>
        <v/>
      </c>
      <c r="AR838" s="164" t="str">
        <f t="shared" ca="1" si="1320"/>
        <v/>
      </c>
      <c r="AS838" s="164" t="str">
        <f t="shared" ca="1" si="1321"/>
        <v/>
      </c>
      <c r="AT838" s="164" t="str">
        <f t="shared" ca="1" si="1322"/>
        <v/>
      </c>
      <c r="AU838" s="164" t="str">
        <f t="shared" ca="1" si="1323"/>
        <v/>
      </c>
      <c r="AV838" s="164" t="str">
        <f t="shared" ca="1" si="1324"/>
        <v/>
      </c>
      <c r="AW838" s="164" t="str">
        <f t="shared" ca="1" si="1325"/>
        <v/>
      </c>
      <c r="AX838" s="164" t="str">
        <f t="shared" ca="1" si="1326"/>
        <v/>
      </c>
      <c r="AY838" s="164" t="str">
        <f t="shared" ca="1" si="1327"/>
        <v/>
      </c>
      <c r="AZ838" s="164" t="str">
        <f t="shared" ca="1" si="1328"/>
        <v/>
      </c>
      <c r="BA838" s="165" t="str">
        <f t="shared" ca="1" si="1329"/>
        <v>nie</v>
      </c>
      <c r="BB838" s="166" t="str">
        <f t="shared" ca="1" si="1361"/>
        <v>-</v>
      </c>
      <c r="BC838" s="165" t="str">
        <f t="shared" ca="1" si="1291"/>
        <v>nie</v>
      </c>
    </row>
    <row r="839" spans="1:55" s="176" customFormat="1" ht="14.45" hidden="1" customHeight="1" x14ac:dyDescent="0.25">
      <c r="A839" s="493" t="s">
        <v>24</v>
      </c>
      <c r="B839" s="493" t="s">
        <v>197</v>
      </c>
      <c r="C839" s="494" t="s">
        <v>200</v>
      </c>
      <c r="D839" s="511" t="s">
        <v>201</v>
      </c>
      <c r="E839" s="497">
        <v>750</v>
      </c>
      <c r="F839" s="497">
        <v>75023</v>
      </c>
      <c r="G839" s="497">
        <v>6050</v>
      </c>
      <c r="H839" s="507">
        <v>2022</v>
      </c>
      <c r="I839" s="499" t="str">
        <f ca="1">IF(COUNTIF(OFFSET(I839,-1,-8),"*propon*")&gt;0,OFFSET(I839,4,0),IF(Y839&gt;0,"2033",IF(X839&gt;0,"2032",IF(W839&gt;0,"2031",IF(V839&gt;0,"2030",IF(U839&gt;0,"2029",IF(T839&gt;0,"2028",IF(S839&gt;0,"2027",IF(R839&gt;0,"2026",IF(Q839&gt;0,"2025",IF(P839&gt;0,"2024",IF(M839&gt;0,"2023",IF(L839&gt;0,"2022","")))))))))))))</f>
        <v>2023</v>
      </c>
      <c r="J839" s="168" t="s">
        <v>94</v>
      </c>
      <c r="K839" s="169">
        <f>SUM(N839:O839)</f>
        <v>196730</v>
      </c>
      <c r="L839" s="170">
        <f t="shared" ref="L839:M839" si="1391">SUM(L840:L841)</f>
        <v>0</v>
      </c>
      <c r="M839" s="171">
        <f t="shared" si="1391"/>
        <v>196730</v>
      </c>
      <c r="N839" s="172">
        <f>SUM(L839:M839)</f>
        <v>196730</v>
      </c>
      <c r="O839" s="169">
        <f>SUM(P839:Y839)</f>
        <v>0</v>
      </c>
      <c r="P839" s="173">
        <f t="shared" ref="P839:R839" si="1392">SUM(P840:P841)</f>
        <v>0</v>
      </c>
      <c r="Q839" s="171">
        <f t="shared" si="1392"/>
        <v>0</v>
      </c>
      <c r="R839" s="174">
        <f t="shared" si="1392"/>
        <v>0</v>
      </c>
      <c r="S839" s="175">
        <f t="shared" ref="S839:Y839" si="1393">SUM(S840:S841)</f>
        <v>0</v>
      </c>
      <c r="T839" s="171">
        <f t="shared" si="1393"/>
        <v>0</v>
      </c>
      <c r="U839" s="171">
        <f t="shared" si="1393"/>
        <v>0</v>
      </c>
      <c r="V839" s="171">
        <f t="shared" si="1393"/>
        <v>0</v>
      </c>
      <c r="W839" s="171">
        <f t="shared" si="1393"/>
        <v>0</v>
      </c>
      <c r="X839" s="171">
        <f t="shared" si="1393"/>
        <v>0</v>
      </c>
      <c r="Y839" s="174">
        <f t="shared" si="1393"/>
        <v>0</v>
      </c>
      <c r="Z839" s="149" t="str">
        <f t="shared" ca="1" si="1290"/>
        <v>nie</v>
      </c>
      <c r="AA839" s="366"/>
      <c r="AB839" s="150" t="str">
        <f t="shared" ca="1" si="1360"/>
        <v>-</v>
      </c>
      <c r="AC839" s="151" t="str">
        <f t="shared" ca="1" si="1309"/>
        <v>PRZED ZMIANĄ</v>
      </c>
      <c r="AD839" s="152" t="str">
        <f t="shared" ca="1" si="1373"/>
        <v>PRZED ZMIANĄ</v>
      </c>
      <c r="AE839" s="153" t="str">
        <f t="shared" ca="1" si="1310"/>
        <v>C/USN/X/P2/7</v>
      </c>
      <c r="AF839" s="154" t="str">
        <f t="shared" ca="1" si="1311"/>
        <v>Modernizacja siedziby Urzędu Dzielnicy</v>
      </c>
      <c r="AG839" s="155">
        <f t="shared" ca="1" si="1312"/>
        <v>75023</v>
      </c>
      <c r="AH839" s="155" t="str">
        <f t="shared" ca="1" si="1313"/>
        <v>6050</v>
      </c>
      <c r="AI839" s="156" t="str">
        <f t="shared" ca="1" si="1314"/>
        <v>SMOG</v>
      </c>
      <c r="AJ839" s="157" t="str">
        <f t="shared" ca="1" si="1315"/>
        <v>WPF, w tym</v>
      </c>
      <c r="AK839" s="158" t="str">
        <f t="shared" ca="1" si="1374"/>
        <v>C/USN/X/P2/7 75023 6050 SMOG</v>
      </c>
      <c r="AL839" s="158" t="str">
        <f t="shared" ca="1" si="1375"/>
        <v>C/USN/X/P2/7 75023 6050 WPF, w tym</v>
      </c>
      <c r="AM839" s="159" t="str">
        <f t="shared" ca="1" si="1376"/>
        <v>C/USN/X/P2/7 75023 6050 SMOG WPF, w tym</v>
      </c>
      <c r="AN839" s="160">
        <f t="shared" ca="1" si="1316"/>
        <v>196730</v>
      </c>
      <c r="AO839" s="161">
        <f t="shared" ca="1" si="1317"/>
        <v>0</v>
      </c>
      <c r="AP839" s="162">
        <f t="shared" ca="1" si="1318"/>
        <v>196730</v>
      </c>
      <c r="AQ839" s="163">
        <f t="shared" ca="1" si="1319"/>
        <v>0</v>
      </c>
      <c r="AR839" s="164">
        <f t="shared" ca="1" si="1320"/>
        <v>0</v>
      </c>
      <c r="AS839" s="164">
        <f t="shared" ca="1" si="1321"/>
        <v>0</v>
      </c>
      <c r="AT839" s="164">
        <f t="shared" ca="1" si="1322"/>
        <v>0</v>
      </c>
      <c r="AU839" s="164">
        <f t="shared" ca="1" si="1323"/>
        <v>0</v>
      </c>
      <c r="AV839" s="164">
        <f t="shared" ca="1" si="1324"/>
        <v>0</v>
      </c>
      <c r="AW839" s="164">
        <f t="shared" ca="1" si="1325"/>
        <v>0</v>
      </c>
      <c r="AX839" s="164">
        <f t="shared" ca="1" si="1326"/>
        <v>0</v>
      </c>
      <c r="AY839" s="164">
        <f t="shared" ca="1" si="1327"/>
        <v>0</v>
      </c>
      <c r="AZ839" s="164">
        <f t="shared" ca="1" si="1328"/>
        <v>0</v>
      </c>
      <c r="BA839" s="165" t="str">
        <f t="shared" ca="1" si="1329"/>
        <v>nie</v>
      </c>
      <c r="BB839" s="166" t="str">
        <f t="shared" ca="1" si="1361"/>
        <v>-</v>
      </c>
      <c r="BC839" s="165" t="str">
        <f t="shared" ca="1" si="1291"/>
        <v>nie</v>
      </c>
    </row>
    <row r="840" spans="1:55" s="167" customFormat="1" ht="14.45" hidden="1" customHeight="1" x14ac:dyDescent="0.25">
      <c r="A840" s="493"/>
      <c r="B840" s="493"/>
      <c r="C840" s="494"/>
      <c r="D840" s="512"/>
      <c r="E840" s="497"/>
      <c r="F840" s="497"/>
      <c r="G840" s="497"/>
      <c r="H840" s="498"/>
      <c r="I840" s="499"/>
      <c r="J840" s="177" t="s">
        <v>95</v>
      </c>
      <c r="K840" s="178">
        <f>SUM(N840:O840)</f>
        <v>0</v>
      </c>
      <c r="L840" s="179"/>
      <c r="M840" s="180"/>
      <c r="N840" s="172">
        <f>SUM(L840:M840)</f>
        <v>0</v>
      </c>
      <c r="O840" s="178">
        <f>SUM(P840:Y840)</f>
        <v>0</v>
      </c>
      <c r="P840" s="181"/>
      <c r="Q840" s="180"/>
      <c r="R840" s="182"/>
      <c r="S840" s="183"/>
      <c r="T840" s="180"/>
      <c r="U840" s="180"/>
      <c r="V840" s="180"/>
      <c r="W840" s="180"/>
      <c r="X840" s="180"/>
      <c r="Y840" s="182"/>
      <c r="Z840" s="149" t="str">
        <f t="shared" ca="1" si="1290"/>
        <v>nie</v>
      </c>
      <c r="AA840" s="366"/>
      <c r="AB840" s="150" t="str">
        <f t="shared" ca="1" si="1360"/>
        <v>-</v>
      </c>
      <c r="AC840" s="151" t="str">
        <f t="shared" ca="1" si="1309"/>
        <v>PRZED ZMIANĄ</v>
      </c>
      <c r="AD840" s="152" t="str">
        <f t="shared" ca="1" si="1373"/>
        <v>PRZED ZMIANĄ</v>
      </c>
      <c r="AE840" s="153" t="str">
        <f t="shared" ca="1" si="1310"/>
        <v>C/USN/X/P2/7</v>
      </c>
      <c r="AF840" s="154" t="str">
        <f t="shared" ca="1" si="1311"/>
        <v>Modernizacja siedziby Urzędu Dzielnicy</v>
      </c>
      <c r="AG840" s="155">
        <f t="shared" ca="1" si="1312"/>
        <v>75023</v>
      </c>
      <c r="AH840" s="155" t="str">
        <f t="shared" ca="1" si="1313"/>
        <v>6050</v>
      </c>
      <c r="AI840" s="156" t="str">
        <f t="shared" ca="1" si="1314"/>
        <v>SMOG</v>
      </c>
      <c r="AJ840" s="157" t="str">
        <f t="shared" ca="1" si="1315"/>
        <v>WPF/PM</v>
      </c>
      <c r="AK840" s="158" t="str">
        <f t="shared" ca="1" si="1374"/>
        <v>C/USN/X/P2/7 75023 6050 SMOG</v>
      </c>
      <c r="AL840" s="158" t="str">
        <f t="shared" ca="1" si="1375"/>
        <v>C/USN/X/P2/7 75023 6050 WPF/PM</v>
      </c>
      <c r="AM840" s="159" t="str">
        <f t="shared" ca="1" si="1376"/>
        <v>C/USN/X/P2/7 75023 6050 SMOG WPF/PM</v>
      </c>
      <c r="AN840" s="160">
        <f t="shared" ca="1" si="1316"/>
        <v>0</v>
      </c>
      <c r="AO840" s="161">
        <f t="shared" ca="1" si="1317"/>
        <v>0</v>
      </c>
      <c r="AP840" s="162">
        <f t="shared" ca="1" si="1318"/>
        <v>0</v>
      </c>
      <c r="AQ840" s="163">
        <f t="shared" ca="1" si="1319"/>
        <v>0</v>
      </c>
      <c r="AR840" s="164">
        <f t="shared" ca="1" si="1320"/>
        <v>0</v>
      </c>
      <c r="AS840" s="164">
        <f t="shared" ca="1" si="1321"/>
        <v>0</v>
      </c>
      <c r="AT840" s="164">
        <f t="shared" ca="1" si="1322"/>
        <v>0</v>
      </c>
      <c r="AU840" s="164">
        <f t="shared" ca="1" si="1323"/>
        <v>0</v>
      </c>
      <c r="AV840" s="164">
        <f t="shared" ca="1" si="1324"/>
        <v>0</v>
      </c>
      <c r="AW840" s="164">
        <f t="shared" ca="1" si="1325"/>
        <v>0</v>
      </c>
      <c r="AX840" s="164">
        <f t="shared" ca="1" si="1326"/>
        <v>0</v>
      </c>
      <c r="AY840" s="164">
        <f t="shared" ca="1" si="1327"/>
        <v>0</v>
      </c>
      <c r="AZ840" s="164">
        <f t="shared" ca="1" si="1328"/>
        <v>0</v>
      </c>
      <c r="BA840" s="165" t="str">
        <f t="shared" ca="1" si="1329"/>
        <v>nie</v>
      </c>
      <c r="BB840" s="166" t="str">
        <f t="shared" ca="1" si="1361"/>
        <v>-</v>
      </c>
      <c r="BC840" s="165" t="str">
        <f t="shared" ca="1" si="1291"/>
        <v>nie</v>
      </c>
    </row>
    <row r="841" spans="1:55" s="167" customFormat="1" ht="14.45" hidden="1" customHeight="1" x14ac:dyDescent="0.25">
      <c r="A841" s="493"/>
      <c r="B841" s="493"/>
      <c r="C841" s="494"/>
      <c r="D841" s="512"/>
      <c r="E841" s="497"/>
      <c r="F841" s="497"/>
      <c r="G841" s="497"/>
      <c r="H841" s="498"/>
      <c r="I841" s="499"/>
      <c r="J841" s="177" t="s">
        <v>96</v>
      </c>
      <c r="K841" s="178">
        <f>SUM(N841:O841)</f>
        <v>196730</v>
      </c>
      <c r="L841" s="184"/>
      <c r="M841" s="180">
        <v>196730</v>
      </c>
      <c r="N841" s="172">
        <f>SUM(L841:M841)</f>
        <v>196730</v>
      </c>
      <c r="O841" s="178">
        <f>SUM(P841:Y841)</f>
        <v>0</v>
      </c>
      <c r="P841" s="181"/>
      <c r="Q841" s="180"/>
      <c r="R841" s="182"/>
      <c r="S841" s="183"/>
      <c r="T841" s="180"/>
      <c r="U841" s="180"/>
      <c r="V841" s="180"/>
      <c r="W841" s="180"/>
      <c r="X841" s="180"/>
      <c r="Y841" s="182"/>
      <c r="Z841" s="149" t="str">
        <f t="shared" ca="1" si="1290"/>
        <v>nie</v>
      </c>
      <c r="AA841" s="366"/>
      <c r="AB841" s="150" t="str">
        <f t="shared" ca="1" si="1360"/>
        <v>-</v>
      </c>
      <c r="AC841" s="151" t="str">
        <f t="shared" ca="1" si="1309"/>
        <v>PRZED ZMIANĄ</v>
      </c>
      <c r="AD841" s="152" t="str">
        <f t="shared" ca="1" si="1373"/>
        <v>PRZED ZMIANĄ</v>
      </c>
      <c r="AE841" s="153" t="str">
        <f t="shared" ca="1" si="1310"/>
        <v>C/USN/X/P2/7</v>
      </c>
      <c r="AF841" s="154" t="str">
        <f t="shared" ca="1" si="1311"/>
        <v>Modernizacja siedziby Urzędu Dzielnicy</v>
      </c>
      <c r="AG841" s="155">
        <f t="shared" ca="1" si="1312"/>
        <v>75023</v>
      </c>
      <c r="AH841" s="155" t="str">
        <f t="shared" ca="1" si="1313"/>
        <v>6050</v>
      </c>
      <c r="AI841" s="156" t="str">
        <f t="shared" ca="1" si="1314"/>
        <v>SMOG</v>
      </c>
      <c r="AJ841" s="157" t="str">
        <f t="shared" ca="1" si="1315"/>
        <v>WPF/UM</v>
      </c>
      <c r="AK841" s="158" t="str">
        <f t="shared" ca="1" si="1374"/>
        <v>C/USN/X/P2/7 75023 6050 SMOG</v>
      </c>
      <c r="AL841" s="158" t="str">
        <f t="shared" ca="1" si="1375"/>
        <v>C/USN/X/P2/7 75023 6050 WPF/UM</v>
      </c>
      <c r="AM841" s="159" t="str">
        <f t="shared" ca="1" si="1376"/>
        <v>C/USN/X/P2/7 75023 6050 SMOG WPF/UM</v>
      </c>
      <c r="AN841" s="160">
        <f t="shared" ca="1" si="1316"/>
        <v>196730</v>
      </c>
      <c r="AO841" s="161">
        <f t="shared" ca="1" si="1317"/>
        <v>0</v>
      </c>
      <c r="AP841" s="162">
        <f t="shared" ca="1" si="1318"/>
        <v>196730</v>
      </c>
      <c r="AQ841" s="163">
        <f t="shared" ca="1" si="1319"/>
        <v>0</v>
      </c>
      <c r="AR841" s="164">
        <f t="shared" ca="1" si="1320"/>
        <v>0</v>
      </c>
      <c r="AS841" s="164">
        <f t="shared" ca="1" si="1321"/>
        <v>0</v>
      </c>
      <c r="AT841" s="164">
        <f t="shared" ca="1" si="1322"/>
        <v>0</v>
      </c>
      <c r="AU841" s="164">
        <f t="shared" ca="1" si="1323"/>
        <v>0</v>
      </c>
      <c r="AV841" s="164">
        <f t="shared" ca="1" si="1324"/>
        <v>0</v>
      </c>
      <c r="AW841" s="164">
        <f t="shared" ca="1" si="1325"/>
        <v>0</v>
      </c>
      <c r="AX841" s="164">
        <f t="shared" ca="1" si="1326"/>
        <v>0</v>
      </c>
      <c r="AY841" s="164">
        <f t="shared" ca="1" si="1327"/>
        <v>0</v>
      </c>
      <c r="AZ841" s="164">
        <f t="shared" ca="1" si="1328"/>
        <v>0</v>
      </c>
      <c r="BA841" s="165" t="str">
        <f t="shared" ca="1" si="1329"/>
        <v>nie</v>
      </c>
      <c r="BB841" s="166" t="str">
        <f t="shared" ca="1" si="1361"/>
        <v>-</v>
      </c>
      <c r="BC841" s="165" t="str">
        <f t="shared" ca="1" si="1291"/>
        <v>nie</v>
      </c>
    </row>
    <row r="842" spans="1:55" s="167" customFormat="1" ht="14.45" hidden="1" customHeight="1" x14ac:dyDescent="0.25">
      <c r="A842" s="185" t="s">
        <v>97</v>
      </c>
      <c r="B842" s="186"/>
      <c r="C842" s="187"/>
      <c r="D842" s="186"/>
      <c r="E842" s="186"/>
      <c r="F842" s="186"/>
      <c r="G842" s="186"/>
      <c r="H842" s="186"/>
      <c r="I842" s="186"/>
      <c r="J842" s="186"/>
      <c r="K842" s="186"/>
      <c r="L842" s="186"/>
      <c r="M842" s="186"/>
      <c r="N842" s="186"/>
      <c r="O842" s="186"/>
      <c r="P842" s="186"/>
      <c r="Q842" s="186"/>
      <c r="R842" s="188"/>
      <c r="S842" s="189"/>
      <c r="T842" s="189"/>
      <c r="U842" s="189"/>
      <c r="V842" s="189"/>
      <c r="W842" s="189"/>
      <c r="X842" s="189"/>
      <c r="Y842" s="190"/>
      <c r="Z842" s="149" t="str">
        <f t="shared" ref="Z842:Z888" ca="1" si="1394">IF(COUNTIF(A842,"*zmia*")&gt;0,OFFSET(Z842,1,0),IF(COUNTIF($AB$10:$AB$888,AE842)&gt;0,"tak","nie"))</f>
        <v>nie</v>
      </c>
      <c r="AA842" s="366"/>
      <c r="AB842" s="150" t="str">
        <f t="shared" ca="1" si="1360"/>
        <v>-</v>
      </c>
      <c r="AC842" s="151" t="str">
        <f t="shared" ca="1" si="1309"/>
        <v>PROPONOWANA ZMIANA</v>
      </c>
      <c r="AD842" s="152" t="str">
        <f t="shared" ca="1" si="1373"/>
        <v/>
      </c>
      <c r="AE842" s="153" t="str">
        <f t="shared" ca="1" si="1310"/>
        <v/>
      </c>
      <c r="AF842" s="154" t="str">
        <f t="shared" ca="1" si="1311"/>
        <v/>
      </c>
      <c r="AG842" s="155" t="str">
        <f t="shared" ca="1" si="1312"/>
        <v/>
      </c>
      <c r="AH842" s="155" t="str">
        <f t="shared" ca="1" si="1313"/>
        <v/>
      </c>
      <c r="AI842" s="156" t="str">
        <f t="shared" ca="1" si="1314"/>
        <v/>
      </c>
      <c r="AJ842" s="157" t="str">
        <f t="shared" ca="1" si="1315"/>
        <v/>
      </c>
      <c r="AK842" s="158" t="str">
        <f t="shared" ca="1" si="1374"/>
        <v/>
      </c>
      <c r="AL842" s="158" t="str">
        <f t="shared" ca="1" si="1375"/>
        <v/>
      </c>
      <c r="AM842" s="159" t="str">
        <f t="shared" ca="1" si="1376"/>
        <v/>
      </c>
      <c r="AN842" s="160" t="str">
        <f t="shared" ca="1" si="1316"/>
        <v/>
      </c>
      <c r="AO842" s="161" t="str">
        <f t="shared" ca="1" si="1317"/>
        <v/>
      </c>
      <c r="AP842" s="162" t="str">
        <f t="shared" ca="1" si="1318"/>
        <v/>
      </c>
      <c r="AQ842" s="163" t="str">
        <f t="shared" ca="1" si="1319"/>
        <v/>
      </c>
      <c r="AR842" s="164" t="str">
        <f t="shared" ca="1" si="1320"/>
        <v/>
      </c>
      <c r="AS842" s="164" t="str">
        <f t="shared" ca="1" si="1321"/>
        <v/>
      </c>
      <c r="AT842" s="164" t="str">
        <f t="shared" ca="1" si="1322"/>
        <v/>
      </c>
      <c r="AU842" s="164" t="str">
        <f t="shared" ca="1" si="1323"/>
        <v/>
      </c>
      <c r="AV842" s="164" t="str">
        <f t="shared" ca="1" si="1324"/>
        <v/>
      </c>
      <c r="AW842" s="164" t="str">
        <f t="shared" ca="1" si="1325"/>
        <v/>
      </c>
      <c r="AX842" s="164" t="str">
        <f t="shared" ca="1" si="1326"/>
        <v/>
      </c>
      <c r="AY842" s="164" t="str">
        <f t="shared" ca="1" si="1327"/>
        <v/>
      </c>
      <c r="AZ842" s="164" t="str">
        <f t="shared" ca="1" si="1328"/>
        <v/>
      </c>
      <c r="BA842" s="165" t="str">
        <f t="shared" ca="1" si="1329"/>
        <v>nie</v>
      </c>
      <c r="BB842" s="166" t="str">
        <f t="shared" ca="1" si="1361"/>
        <v>-</v>
      </c>
      <c r="BC842" s="165" t="str">
        <f t="shared" ref="BC842:BC888" ca="1" si="1395">IF(AND(COUNTIF(AD842,"*zmi*")&gt;0,COUNTIF($BB$10:$BB$888,AK842)&gt;0),"tak","nie")</f>
        <v>nie</v>
      </c>
    </row>
    <row r="843" spans="1:55" s="176" customFormat="1" ht="14.45" hidden="1" customHeight="1" x14ac:dyDescent="0.25">
      <c r="A843" s="493" t="s">
        <v>24</v>
      </c>
      <c r="B843" s="493" t="s">
        <v>197</v>
      </c>
      <c r="C843" s="494" t="s">
        <v>200</v>
      </c>
      <c r="D843" s="511" t="s">
        <v>201</v>
      </c>
      <c r="E843" s="497">
        <v>750</v>
      </c>
      <c r="F843" s="497">
        <v>75023</v>
      </c>
      <c r="G843" s="497">
        <v>6050</v>
      </c>
      <c r="H843" s="507">
        <v>2022</v>
      </c>
      <c r="I843" s="499" t="str">
        <f ca="1">IF(COUNTIF(OFFSET(I843,-1,-8),"*propon*")&gt;0,OFFSET(I843,4,0),IF(Y843&gt;0,"2033",IF(X843&gt;0,"2032",IF(W843&gt;0,"2031",IF(V843&gt;0,"2030",IF(U843&gt;0,"2029",IF(T843&gt;0,"2028",IF(S843&gt;0,"2027",IF(R843&gt;0,"2026",IF(Q843&gt;0,"2025",IF(P843&gt;0,"2024",IF(M843&gt;0,"2023",IF(L843&gt;0,"2022","")))))))))))))</f>
        <v>2023</v>
      </c>
      <c r="J843" s="168" t="s">
        <v>98</v>
      </c>
      <c r="K843" s="169">
        <f>SUM(N843:O843)</f>
        <v>0</v>
      </c>
      <c r="L843" s="170">
        <f t="shared" ref="L843:M843" si="1396">SUM(L844:L845)</f>
        <v>0</v>
      </c>
      <c r="M843" s="171">
        <f t="shared" si="1396"/>
        <v>0</v>
      </c>
      <c r="N843" s="172">
        <f>SUM(L843:M843)</f>
        <v>0</v>
      </c>
      <c r="O843" s="169">
        <f>SUM(P843:Y843)</f>
        <v>0</v>
      </c>
      <c r="P843" s="173">
        <f t="shared" ref="P843:R843" si="1397">SUM(P844:P845)</f>
        <v>0</v>
      </c>
      <c r="Q843" s="171">
        <f t="shared" si="1397"/>
        <v>0</v>
      </c>
      <c r="R843" s="174">
        <f t="shared" si="1397"/>
        <v>0</v>
      </c>
      <c r="S843" s="175">
        <f t="shared" ref="S843:Y843" si="1398">SUM(S844:S845)</f>
        <v>0</v>
      </c>
      <c r="T843" s="171">
        <f t="shared" si="1398"/>
        <v>0</v>
      </c>
      <c r="U843" s="171">
        <f t="shared" si="1398"/>
        <v>0</v>
      </c>
      <c r="V843" s="171">
        <f t="shared" si="1398"/>
        <v>0</v>
      </c>
      <c r="W843" s="171">
        <f t="shared" si="1398"/>
        <v>0</v>
      </c>
      <c r="X843" s="171">
        <f t="shared" si="1398"/>
        <v>0</v>
      </c>
      <c r="Y843" s="174">
        <f t="shared" si="1398"/>
        <v>0</v>
      </c>
      <c r="Z843" s="149" t="str">
        <f t="shared" ca="1" si="1394"/>
        <v>nie</v>
      </c>
      <c r="AA843" s="366"/>
      <c r="AB843" s="150" t="str">
        <f t="shared" ca="1" si="1360"/>
        <v>-</v>
      </c>
      <c r="AC843" s="151" t="str">
        <f t="shared" ca="1" si="1309"/>
        <v>PROPONOWANA ZMIANA</v>
      </c>
      <c r="AD843" s="152" t="str">
        <f t="shared" ca="1" si="1373"/>
        <v>PROPONOWANA ZMIANA</v>
      </c>
      <c r="AE843" s="153" t="str">
        <f t="shared" ca="1" si="1310"/>
        <v>C/USN/X/P2/7</v>
      </c>
      <c r="AF843" s="154" t="str">
        <f t="shared" ca="1" si="1311"/>
        <v>Modernizacja siedziby Urzędu Dzielnicy</v>
      </c>
      <c r="AG843" s="155">
        <f t="shared" ca="1" si="1312"/>
        <v>75023</v>
      </c>
      <c r="AH843" s="155" t="str">
        <f t="shared" ca="1" si="1313"/>
        <v>6050</v>
      </c>
      <c r="AI843" s="156" t="str">
        <f t="shared" ca="1" si="1314"/>
        <v>SMOG</v>
      </c>
      <c r="AJ843" s="157" t="str">
        <f t="shared" ca="1" si="1315"/>
        <v>WPF, w tym</v>
      </c>
      <c r="AK843" s="158" t="str">
        <f t="shared" ca="1" si="1374"/>
        <v>C/USN/X/P2/7 75023 6050 SMOG</v>
      </c>
      <c r="AL843" s="158" t="str">
        <f t="shared" ca="1" si="1375"/>
        <v>C/USN/X/P2/7 75023 6050 WPF, w tym</v>
      </c>
      <c r="AM843" s="159" t="str">
        <f t="shared" ca="1" si="1376"/>
        <v>C/USN/X/P2/7 75023 6050 SMOG WPF, w tym</v>
      </c>
      <c r="AN843" s="160">
        <f t="shared" ca="1" si="1316"/>
        <v>0</v>
      </c>
      <c r="AO843" s="161">
        <f t="shared" ca="1" si="1317"/>
        <v>0</v>
      </c>
      <c r="AP843" s="162">
        <f t="shared" ca="1" si="1318"/>
        <v>0</v>
      </c>
      <c r="AQ843" s="163">
        <f t="shared" ca="1" si="1319"/>
        <v>0</v>
      </c>
      <c r="AR843" s="164">
        <f t="shared" ca="1" si="1320"/>
        <v>0</v>
      </c>
      <c r="AS843" s="164">
        <f t="shared" ca="1" si="1321"/>
        <v>0</v>
      </c>
      <c r="AT843" s="164">
        <f t="shared" ca="1" si="1322"/>
        <v>0</v>
      </c>
      <c r="AU843" s="164">
        <f t="shared" ca="1" si="1323"/>
        <v>0</v>
      </c>
      <c r="AV843" s="164">
        <f t="shared" ca="1" si="1324"/>
        <v>0</v>
      </c>
      <c r="AW843" s="164">
        <f t="shared" ca="1" si="1325"/>
        <v>0</v>
      </c>
      <c r="AX843" s="164">
        <f t="shared" ca="1" si="1326"/>
        <v>0</v>
      </c>
      <c r="AY843" s="164">
        <f t="shared" ca="1" si="1327"/>
        <v>0</v>
      </c>
      <c r="AZ843" s="164">
        <f t="shared" ca="1" si="1328"/>
        <v>0</v>
      </c>
      <c r="BA843" s="165" t="str">
        <f t="shared" ca="1" si="1329"/>
        <v>nie</v>
      </c>
      <c r="BB843" s="166" t="str">
        <f t="shared" ca="1" si="1361"/>
        <v>-</v>
      </c>
      <c r="BC843" s="165" t="str">
        <f t="shared" ca="1" si="1395"/>
        <v>nie</v>
      </c>
    </row>
    <row r="844" spans="1:55" s="167" customFormat="1" ht="14.45" hidden="1" customHeight="1" x14ac:dyDescent="0.25">
      <c r="A844" s="493"/>
      <c r="B844" s="493"/>
      <c r="C844" s="494"/>
      <c r="D844" s="512"/>
      <c r="E844" s="497"/>
      <c r="F844" s="497"/>
      <c r="G844" s="497"/>
      <c r="H844" s="498"/>
      <c r="I844" s="499"/>
      <c r="J844" s="177" t="s">
        <v>99</v>
      </c>
      <c r="K844" s="178">
        <f>SUM(N844:O844)</f>
        <v>0</v>
      </c>
      <c r="L844" s="179">
        <f t="shared" ref="L844:M844" si="1399">L848-L840</f>
        <v>0</v>
      </c>
      <c r="M844" s="180">
        <f t="shared" si="1399"/>
        <v>0</v>
      </c>
      <c r="N844" s="172">
        <f>SUM(L844:M844)</f>
        <v>0</v>
      </c>
      <c r="O844" s="178">
        <f>SUM(P844:Y844)</f>
        <v>0</v>
      </c>
      <c r="P844" s="181">
        <f t="shared" ref="P844:R844" si="1400">P848-P840</f>
        <v>0</v>
      </c>
      <c r="Q844" s="180">
        <f t="shared" si="1400"/>
        <v>0</v>
      </c>
      <c r="R844" s="182">
        <f t="shared" si="1400"/>
        <v>0</v>
      </c>
      <c r="S844" s="183">
        <f t="shared" ref="S844:Y845" si="1401">S848-S840</f>
        <v>0</v>
      </c>
      <c r="T844" s="180">
        <f t="shared" si="1401"/>
        <v>0</v>
      </c>
      <c r="U844" s="180">
        <f t="shared" si="1401"/>
        <v>0</v>
      </c>
      <c r="V844" s="180">
        <f t="shared" si="1401"/>
        <v>0</v>
      </c>
      <c r="W844" s="180">
        <f t="shared" si="1401"/>
        <v>0</v>
      </c>
      <c r="X844" s="180">
        <f t="shared" si="1401"/>
        <v>0</v>
      </c>
      <c r="Y844" s="182">
        <f t="shared" si="1401"/>
        <v>0</v>
      </c>
      <c r="Z844" s="149" t="str">
        <f t="shared" ca="1" si="1394"/>
        <v>nie</v>
      </c>
      <c r="AA844" s="366"/>
      <c r="AB844" s="150" t="str">
        <f t="shared" ca="1" si="1360"/>
        <v>-</v>
      </c>
      <c r="AC844" s="151" t="str">
        <f t="shared" ca="1" si="1309"/>
        <v>PROPONOWANA ZMIANA</v>
      </c>
      <c r="AD844" s="152" t="str">
        <f t="shared" ca="1" si="1373"/>
        <v>PROPONOWANA ZMIANA</v>
      </c>
      <c r="AE844" s="153" t="str">
        <f t="shared" ca="1" si="1310"/>
        <v>C/USN/X/P2/7</v>
      </c>
      <c r="AF844" s="154" t="str">
        <f t="shared" ca="1" si="1311"/>
        <v>Modernizacja siedziby Urzędu Dzielnicy</v>
      </c>
      <c r="AG844" s="155">
        <f t="shared" ca="1" si="1312"/>
        <v>75023</v>
      </c>
      <c r="AH844" s="155" t="str">
        <f t="shared" ca="1" si="1313"/>
        <v>6050</v>
      </c>
      <c r="AI844" s="156" t="str">
        <f t="shared" ca="1" si="1314"/>
        <v>SMOG</v>
      </c>
      <c r="AJ844" s="157" t="str">
        <f t="shared" ca="1" si="1315"/>
        <v>WPF/PM</v>
      </c>
      <c r="AK844" s="158" t="str">
        <f t="shared" ca="1" si="1374"/>
        <v>C/USN/X/P2/7 75023 6050 SMOG</v>
      </c>
      <c r="AL844" s="158" t="str">
        <f t="shared" ca="1" si="1375"/>
        <v>C/USN/X/P2/7 75023 6050 WPF/PM</v>
      </c>
      <c r="AM844" s="159" t="str">
        <f t="shared" ca="1" si="1376"/>
        <v>C/USN/X/P2/7 75023 6050 SMOG WPF/PM</v>
      </c>
      <c r="AN844" s="160">
        <f t="shared" ca="1" si="1316"/>
        <v>0</v>
      </c>
      <c r="AO844" s="161">
        <f t="shared" ca="1" si="1317"/>
        <v>0</v>
      </c>
      <c r="AP844" s="162">
        <f t="shared" ca="1" si="1318"/>
        <v>0</v>
      </c>
      <c r="AQ844" s="163">
        <f t="shared" ca="1" si="1319"/>
        <v>0</v>
      </c>
      <c r="AR844" s="164">
        <f t="shared" ca="1" si="1320"/>
        <v>0</v>
      </c>
      <c r="AS844" s="164">
        <f t="shared" ca="1" si="1321"/>
        <v>0</v>
      </c>
      <c r="AT844" s="164">
        <f t="shared" ca="1" si="1322"/>
        <v>0</v>
      </c>
      <c r="AU844" s="164">
        <f t="shared" ca="1" si="1323"/>
        <v>0</v>
      </c>
      <c r="AV844" s="164">
        <f t="shared" ca="1" si="1324"/>
        <v>0</v>
      </c>
      <c r="AW844" s="164">
        <f t="shared" ca="1" si="1325"/>
        <v>0</v>
      </c>
      <c r="AX844" s="164">
        <f t="shared" ca="1" si="1326"/>
        <v>0</v>
      </c>
      <c r="AY844" s="164">
        <f t="shared" ca="1" si="1327"/>
        <v>0</v>
      </c>
      <c r="AZ844" s="164">
        <f t="shared" ca="1" si="1328"/>
        <v>0</v>
      </c>
      <c r="BA844" s="165" t="str">
        <f t="shared" ca="1" si="1329"/>
        <v>nie</v>
      </c>
      <c r="BB844" s="166" t="str">
        <f t="shared" ca="1" si="1361"/>
        <v>-</v>
      </c>
      <c r="BC844" s="165" t="str">
        <f t="shared" ca="1" si="1395"/>
        <v>nie</v>
      </c>
    </row>
    <row r="845" spans="1:55" s="167" customFormat="1" ht="14.45" hidden="1" customHeight="1" x14ac:dyDescent="0.25">
      <c r="A845" s="493"/>
      <c r="B845" s="493"/>
      <c r="C845" s="494"/>
      <c r="D845" s="512"/>
      <c r="E845" s="497"/>
      <c r="F845" s="497"/>
      <c r="G845" s="497"/>
      <c r="H845" s="498"/>
      <c r="I845" s="499"/>
      <c r="J845" s="177" t="s">
        <v>100</v>
      </c>
      <c r="K845" s="178">
        <f>SUM(N845:O845)</f>
        <v>0</v>
      </c>
      <c r="L845" s="179">
        <f t="shared" ref="L845:M845" si="1402">L849-L841</f>
        <v>0</v>
      </c>
      <c r="M845" s="180">
        <f t="shared" si="1402"/>
        <v>0</v>
      </c>
      <c r="N845" s="172">
        <f>SUM(L845:M845)</f>
        <v>0</v>
      </c>
      <c r="O845" s="178">
        <f>SUM(P845:Y845)</f>
        <v>0</v>
      </c>
      <c r="P845" s="181">
        <f t="shared" ref="P845:R845" si="1403">P849-P841</f>
        <v>0</v>
      </c>
      <c r="Q845" s="180">
        <f t="shared" si="1403"/>
        <v>0</v>
      </c>
      <c r="R845" s="182">
        <f t="shared" si="1403"/>
        <v>0</v>
      </c>
      <c r="S845" s="183">
        <f t="shared" si="1401"/>
        <v>0</v>
      </c>
      <c r="T845" s="180">
        <f t="shared" si="1401"/>
        <v>0</v>
      </c>
      <c r="U845" s="180">
        <f t="shared" si="1401"/>
        <v>0</v>
      </c>
      <c r="V845" s="180">
        <f t="shared" si="1401"/>
        <v>0</v>
      </c>
      <c r="W845" s="180">
        <f t="shared" si="1401"/>
        <v>0</v>
      </c>
      <c r="X845" s="180">
        <f t="shared" si="1401"/>
        <v>0</v>
      </c>
      <c r="Y845" s="182">
        <f t="shared" si="1401"/>
        <v>0</v>
      </c>
      <c r="Z845" s="149" t="str">
        <f t="shared" ca="1" si="1394"/>
        <v>nie</v>
      </c>
      <c r="AA845" s="366"/>
      <c r="AB845" s="150" t="str">
        <f t="shared" ca="1" si="1360"/>
        <v>-</v>
      </c>
      <c r="AC845" s="151" t="str">
        <f t="shared" ca="1" si="1309"/>
        <v>PROPONOWANA ZMIANA</v>
      </c>
      <c r="AD845" s="152" t="str">
        <f t="shared" ca="1" si="1373"/>
        <v>PROPONOWANA ZMIANA</v>
      </c>
      <c r="AE845" s="153" t="str">
        <f t="shared" ca="1" si="1310"/>
        <v>C/USN/X/P2/7</v>
      </c>
      <c r="AF845" s="154" t="str">
        <f t="shared" ca="1" si="1311"/>
        <v>Modernizacja siedziby Urzędu Dzielnicy</v>
      </c>
      <c r="AG845" s="155">
        <f t="shared" ca="1" si="1312"/>
        <v>75023</v>
      </c>
      <c r="AH845" s="155" t="str">
        <f t="shared" ca="1" si="1313"/>
        <v>6050</v>
      </c>
      <c r="AI845" s="156" t="str">
        <f t="shared" ca="1" si="1314"/>
        <v>SMOG</v>
      </c>
      <c r="AJ845" s="157" t="str">
        <f t="shared" ca="1" si="1315"/>
        <v>WPF/UM</v>
      </c>
      <c r="AK845" s="158" t="str">
        <f t="shared" ca="1" si="1374"/>
        <v>C/USN/X/P2/7 75023 6050 SMOG</v>
      </c>
      <c r="AL845" s="158" t="str">
        <f t="shared" ca="1" si="1375"/>
        <v>C/USN/X/P2/7 75023 6050 WPF/UM</v>
      </c>
      <c r="AM845" s="159" t="str">
        <f t="shared" ca="1" si="1376"/>
        <v>C/USN/X/P2/7 75023 6050 SMOG WPF/UM</v>
      </c>
      <c r="AN845" s="160">
        <f t="shared" ca="1" si="1316"/>
        <v>0</v>
      </c>
      <c r="AO845" s="161">
        <f t="shared" ca="1" si="1317"/>
        <v>0</v>
      </c>
      <c r="AP845" s="162">
        <f t="shared" ca="1" si="1318"/>
        <v>0</v>
      </c>
      <c r="AQ845" s="163">
        <f t="shared" ca="1" si="1319"/>
        <v>0</v>
      </c>
      <c r="AR845" s="164">
        <f t="shared" ca="1" si="1320"/>
        <v>0</v>
      </c>
      <c r="AS845" s="164">
        <f t="shared" ca="1" si="1321"/>
        <v>0</v>
      </c>
      <c r="AT845" s="164">
        <f t="shared" ca="1" si="1322"/>
        <v>0</v>
      </c>
      <c r="AU845" s="164">
        <f t="shared" ca="1" si="1323"/>
        <v>0</v>
      </c>
      <c r="AV845" s="164">
        <f t="shared" ca="1" si="1324"/>
        <v>0</v>
      </c>
      <c r="AW845" s="164">
        <f t="shared" ca="1" si="1325"/>
        <v>0</v>
      </c>
      <c r="AX845" s="164">
        <f t="shared" ca="1" si="1326"/>
        <v>0</v>
      </c>
      <c r="AY845" s="164">
        <f t="shared" ca="1" si="1327"/>
        <v>0</v>
      </c>
      <c r="AZ845" s="164">
        <f t="shared" ca="1" si="1328"/>
        <v>0</v>
      </c>
      <c r="BA845" s="165" t="str">
        <f t="shared" ca="1" si="1329"/>
        <v>nie</v>
      </c>
      <c r="BB845" s="166" t="str">
        <f t="shared" ca="1" si="1361"/>
        <v>-</v>
      </c>
      <c r="BC845" s="165" t="str">
        <f t="shared" ca="1" si="1395"/>
        <v>nie</v>
      </c>
    </row>
    <row r="846" spans="1:55" s="167" customFormat="1" ht="14.45" hidden="1" customHeight="1" x14ac:dyDescent="0.25">
      <c r="A846" s="191" t="s">
        <v>101</v>
      </c>
      <c r="B846" s="192"/>
      <c r="C846" s="193"/>
      <c r="D846" s="192"/>
      <c r="E846" s="192"/>
      <c r="F846" s="192"/>
      <c r="G846" s="192"/>
      <c r="H846" s="192"/>
      <c r="I846" s="192"/>
      <c r="J846" s="192"/>
      <c r="K846" s="192"/>
      <c r="L846" s="192"/>
      <c r="M846" s="192"/>
      <c r="N846" s="192"/>
      <c r="O846" s="192"/>
      <c r="P846" s="192"/>
      <c r="Q846" s="192"/>
      <c r="R846" s="194"/>
      <c r="S846" s="195"/>
      <c r="T846" s="195"/>
      <c r="U846" s="195"/>
      <c r="V846" s="195"/>
      <c r="W846" s="195"/>
      <c r="X846" s="195"/>
      <c r="Y846" s="196"/>
      <c r="Z846" s="149" t="str">
        <f t="shared" ca="1" si="1394"/>
        <v>nie</v>
      </c>
      <c r="AA846" s="366"/>
      <c r="AB846" s="150" t="str">
        <f t="shared" ca="1" si="1360"/>
        <v>-</v>
      </c>
      <c r="AC846" s="151" t="str">
        <f t="shared" ref="AC846:AC888" ca="1" si="1404">IF(OR(A846="",COUNTIF(A846,"*12.000*")&gt;0),OFFSET(AC846,-1,0),A846)</f>
        <v>PO ZMIANIE</v>
      </c>
      <c r="AD846" s="152" t="str">
        <f t="shared" ca="1" si="1373"/>
        <v/>
      </c>
      <c r="AE846" s="153" t="str">
        <f t="shared" ref="AE846:AE888" ca="1" si="1405">IF(COUNTIF(A846,"*bilans*")&gt;0,"Bilans zmian",IF(COUNTIF(A846,"*zmi*")&gt;0,"",IF(COUNTIF(A846:C846,"")=0,C846,IF(AND(COUNTIF(C846,"")=1,COUNTIF(OFFSET(A846,-1,0),"*przed*")=1,COUNTIF(OFFSET(AE846,4,0),"")=0),OFFSET(AE846,4,0),IF(AND(COUNTIF(A846:B846,"")=0,COUNTIF(OFFSET(A846,-1,0),"*zmi*")=1),"nowe:"&amp;" "&amp;AF846,OFFSET(AE846,-1,0))))))</f>
        <v/>
      </c>
      <c r="AF846" s="154" t="str">
        <f t="shared" ref="AF846:AF888" ca="1" si="1406">IF(COUNTIF(A846,"*zmi*")&gt;0,"",IF(COUNTIF(A846:C846,"")=0,D846,IF(AND(COUNTIF(C846,"")=1,COUNTIF(OFFSET(A846,-1,0),"*przed*")=1),OFFSET(AF846,4,0),IF(AND(COUNTIF(A846:B846,"")=0,COUNTIF(OFFSET(A846,-1,0),"*zmi*")=1),D846,OFFSET(AF846,-1,0)))))</f>
        <v/>
      </c>
      <c r="AG846" s="155" t="str">
        <f t="shared" ref="AG846:AG888" ca="1" si="1407">IF(COUNTIF($A846,"*zmi*")&gt;0,"",IF(COUNTIF($A846:$C846,"")=0,F846,IF(AND(COUNTIF($C846,"")=1,COUNTIF(OFFSET($A846,-1,0),"*przed*")=1),OFFSET(AG846,4,0),IF(AND(COUNTIF($A846:$B846,"")=0,COUNTIF(OFFSET($A846,-1,0),"*zmi*")=1),F846,OFFSET(AG846,-1,0)))))</f>
        <v/>
      </c>
      <c r="AH846" s="155" t="str">
        <f t="shared" ref="AH846:AH888" ca="1" si="1408">IF(COUNTIF($A846,"*zmi*")&gt;0,"",IF(COUNTIF($A846:$C846,"")=0,LEFT(G846,4),IF(AND(COUNTIF($C846,"")=1,COUNTIF(OFFSET($A846,-1,0),"*przed*")=1),OFFSET(AH846,4,0),IF(AND(COUNTIF($A846:$B846,"")=0,COUNTIF(OFFSET($A846,-1,0),"*zmi*")=1),LEFT(G846,4),OFFSET(AH846,-1,0)))))</f>
        <v/>
      </c>
      <c r="AI846" s="156" t="str">
        <f t="shared" ref="AI846:AI888" ca="1" si="1409">IF(COUNTIF($A846,"*zmi*")&gt;0,"",IF(COUNTIF($A846:$C846,"")=0,B846,IF(AND(COUNTIF($C846,"")=1,COUNTIF(OFFSET($A846,-1,0),"*przed*")=1),OFFSET(AI846,4,0),IF(AND(COUNTIF($A846:$B846,"")=0,COUNTIF(OFFSET($A846,-1,0),"*zmi*")=1),B846,OFFSET(AI846,-1,0)))))</f>
        <v/>
      </c>
      <c r="AJ846" s="157" t="str">
        <f t="shared" ref="AJ846:AJ888" ca="1" si="1410">IF(AH846="","",IF(COUNTIF(A846,"*zmi*")&gt;0,"",SUBSTITUTE(SUBSTITUTE(J846,";",""),":","")))</f>
        <v/>
      </c>
      <c r="AK846" s="158" t="str">
        <f t="shared" ca="1" si="1374"/>
        <v/>
      </c>
      <c r="AL846" s="158" t="str">
        <f t="shared" ca="1" si="1375"/>
        <v/>
      </c>
      <c r="AM846" s="159" t="str">
        <f t="shared" ca="1" si="1376"/>
        <v/>
      </c>
      <c r="AN846" s="160" t="str">
        <f t="shared" ref="AN846:AN888" ca="1" si="1411">IF(COUNTIF($AE846,"*bilans*")&gt;0,K846,IF(OR(COUNTIF($A846,"*zmi*")&gt;0,$AI846=""),"",K846))</f>
        <v/>
      </c>
      <c r="AO846" s="161" t="str">
        <f t="shared" ref="AO846:AO888" ca="1" si="1412">IF(COUNTIF($AE846,"*bilans*")&gt;0,L846,IF(OR(COUNTIF($A846,"*zmi*")&gt;0,$AI846=""),"",L846))</f>
        <v/>
      </c>
      <c r="AP846" s="162" t="str">
        <f t="shared" ref="AP846:AP888" ca="1" si="1413">IF(COUNTIF($AE846,"*bilans*")&gt;0,M846,IF(OR(COUNTIF($A846,"*zmi*")&gt;0,$AI846=""),"",M846))</f>
        <v/>
      </c>
      <c r="AQ846" s="163" t="str">
        <f t="shared" ref="AQ846:AQ888" ca="1" si="1414">IF(COUNTIF($AE846,"*bilans*")&gt;0,P846,IF(OR(COUNTIF($A846,"*zmi*")&gt;0,$AI846=""),"",P846))</f>
        <v/>
      </c>
      <c r="AR846" s="164" t="str">
        <f t="shared" ref="AR846:AR888" ca="1" si="1415">IF(COUNTIF($AE846,"*bilans*")&gt;0,Q846,IF(OR(COUNTIF($A846,"*zmi*")&gt;0,$AI846=""),"",Q846))</f>
        <v/>
      </c>
      <c r="AS846" s="164" t="str">
        <f t="shared" ref="AS846:AS888" ca="1" si="1416">IF(COUNTIF($AE846,"*bilans*")&gt;0,R846,IF(OR(COUNTIF($A846,"*zmi*")&gt;0,$AI846=""),"",R846))</f>
        <v/>
      </c>
      <c r="AT846" s="164" t="str">
        <f t="shared" ref="AT846:AT888" ca="1" si="1417">IF(COUNTIF($AE846,"*bilans*")&gt;0,S846,IF(OR(COUNTIF($A846,"*zmi*")&gt;0,$AI846=""),"",S846))</f>
        <v/>
      </c>
      <c r="AU846" s="164" t="str">
        <f t="shared" ref="AU846:AU888" ca="1" si="1418">IF(COUNTIF($AE846,"*bilans*")&gt;0,T846,IF(OR(COUNTIF($A846,"*zmi*")&gt;0,$AI846=""),"",T846))</f>
        <v/>
      </c>
      <c r="AV846" s="164" t="str">
        <f t="shared" ref="AV846:AV888" ca="1" si="1419">IF(COUNTIF($AE846,"*bilans*")&gt;0,U846,IF(OR(COUNTIF($A846,"*zmi*")&gt;0,$AI846=""),"",U846))</f>
        <v/>
      </c>
      <c r="AW846" s="164" t="str">
        <f t="shared" ref="AW846:AW888" ca="1" si="1420">IF(COUNTIF($AE846,"*bilans*")&gt;0,V846,IF(OR(COUNTIF($A846,"*zmi*")&gt;0,$AI846=""),"",V846))</f>
        <v/>
      </c>
      <c r="AX846" s="164" t="str">
        <f t="shared" ref="AX846:AX888" ca="1" si="1421">IF(COUNTIF($AE846,"*bilans*")&gt;0,W846,IF(OR(COUNTIF($A846,"*zmi*")&gt;0,$AI846=""),"",W846))</f>
        <v/>
      </c>
      <c r="AY846" s="164" t="str">
        <f t="shared" ref="AY846:AY888" ca="1" si="1422">IF(COUNTIF($AE846,"*bilans*")&gt;0,X846,IF(OR(COUNTIF($A846,"*zmi*")&gt;0,$AI846=""),"",X846))</f>
        <v/>
      </c>
      <c r="AZ846" s="164" t="str">
        <f t="shared" ref="AZ846:AZ888" ca="1" si="1423">IF(COUNTIF($AE846,"*bilans*")&gt;0,Y846,IF(OR(COUNTIF($A846,"*zmi*")&gt;0,$AI846=""),"",Y846))</f>
        <v/>
      </c>
      <c r="BA846" s="165" t="str">
        <f t="shared" ref="BA846:BA873" ca="1" si="1424">Z846</f>
        <v>nie</v>
      </c>
      <c r="BB846" s="166" t="str">
        <f t="shared" ca="1" si="1361"/>
        <v>-</v>
      </c>
      <c r="BC846" s="165" t="str">
        <f t="shared" ca="1" si="1395"/>
        <v>nie</v>
      </c>
    </row>
    <row r="847" spans="1:55" s="176" customFormat="1" ht="14.45" hidden="1" customHeight="1" x14ac:dyDescent="0.25">
      <c r="A847" s="493" t="s">
        <v>24</v>
      </c>
      <c r="B847" s="493" t="s">
        <v>197</v>
      </c>
      <c r="C847" s="494" t="s">
        <v>200</v>
      </c>
      <c r="D847" s="511" t="s">
        <v>201</v>
      </c>
      <c r="E847" s="497">
        <v>750</v>
      </c>
      <c r="F847" s="497">
        <v>75023</v>
      </c>
      <c r="G847" s="497">
        <v>6050</v>
      </c>
      <c r="H847" s="507">
        <v>2022</v>
      </c>
      <c r="I847" s="499" t="str">
        <f ca="1">IF(COUNTIF(OFFSET(I847,-1,-8),"*propon*")&gt;0,OFFSET(I847,4,0),IF(Y847&gt;0,"2033",IF(X847&gt;0,"2032",IF(W847&gt;0,"2031",IF(V847&gt;0,"2030",IF(U847&gt;0,"2029",IF(T847&gt;0,"2028",IF(S847&gt;0,"2027",IF(R847&gt;0,"2026",IF(Q847&gt;0,"2025",IF(P847&gt;0,"2024",IF(M847&gt;0,"2023",IF(L847&gt;0,"2022","")))))))))))))</f>
        <v>2023</v>
      </c>
      <c r="J847" s="168" t="s">
        <v>102</v>
      </c>
      <c r="K847" s="169">
        <f>SUM(N847:O847)</f>
        <v>196730</v>
      </c>
      <c r="L847" s="170">
        <f t="shared" ref="L847:M847" si="1425">SUM(L848:L849)</f>
        <v>0</v>
      </c>
      <c r="M847" s="171">
        <f t="shared" si="1425"/>
        <v>196730</v>
      </c>
      <c r="N847" s="172">
        <f>SUM(L847:M847)</f>
        <v>196730</v>
      </c>
      <c r="O847" s="169">
        <f>SUM(P847:Y847)</f>
        <v>0</v>
      </c>
      <c r="P847" s="173">
        <f t="shared" ref="P847:R847" si="1426">SUM(P848:P849)</f>
        <v>0</v>
      </c>
      <c r="Q847" s="171">
        <f t="shared" si="1426"/>
        <v>0</v>
      </c>
      <c r="R847" s="174">
        <f t="shared" si="1426"/>
        <v>0</v>
      </c>
      <c r="S847" s="175">
        <f t="shared" ref="S847:Y847" si="1427">SUM(S848:S849)</f>
        <v>0</v>
      </c>
      <c r="T847" s="171">
        <f t="shared" si="1427"/>
        <v>0</v>
      </c>
      <c r="U847" s="171">
        <f t="shared" si="1427"/>
        <v>0</v>
      </c>
      <c r="V847" s="171">
        <f t="shared" si="1427"/>
        <v>0</v>
      </c>
      <c r="W847" s="171">
        <f t="shared" si="1427"/>
        <v>0</v>
      </c>
      <c r="X847" s="171">
        <f t="shared" si="1427"/>
        <v>0</v>
      </c>
      <c r="Y847" s="174">
        <f t="shared" si="1427"/>
        <v>0</v>
      </c>
      <c r="Z847" s="149" t="str">
        <f t="shared" ca="1" si="1394"/>
        <v>nie</v>
      </c>
      <c r="AA847" s="366"/>
      <c r="AB847" s="150" t="str">
        <f t="shared" ca="1" si="1360"/>
        <v>-</v>
      </c>
      <c r="AC847" s="151" t="str">
        <f t="shared" ca="1" si="1404"/>
        <v>PO ZMIANIE</v>
      </c>
      <c r="AD847" s="152" t="str">
        <f t="shared" ca="1" si="1373"/>
        <v>PO ZMIANIE</v>
      </c>
      <c r="AE847" s="153" t="str">
        <f t="shared" ca="1" si="1405"/>
        <v>C/USN/X/P2/7</v>
      </c>
      <c r="AF847" s="154" t="str">
        <f t="shared" ca="1" si="1406"/>
        <v>Modernizacja siedziby Urzędu Dzielnicy</v>
      </c>
      <c r="AG847" s="155">
        <f t="shared" ca="1" si="1407"/>
        <v>75023</v>
      </c>
      <c r="AH847" s="155" t="str">
        <f t="shared" ca="1" si="1408"/>
        <v>6050</v>
      </c>
      <c r="AI847" s="156" t="str">
        <f t="shared" ca="1" si="1409"/>
        <v>SMOG</v>
      </c>
      <c r="AJ847" s="157" t="str">
        <f t="shared" ca="1" si="1410"/>
        <v>WPF, w tym</v>
      </c>
      <c r="AK847" s="158" t="str">
        <f t="shared" ca="1" si="1374"/>
        <v>C/USN/X/P2/7 75023 6050 SMOG</v>
      </c>
      <c r="AL847" s="158" t="str">
        <f t="shared" ca="1" si="1375"/>
        <v>C/USN/X/P2/7 75023 6050 WPF, w tym</v>
      </c>
      <c r="AM847" s="159" t="str">
        <f t="shared" ca="1" si="1376"/>
        <v>C/USN/X/P2/7 75023 6050 SMOG WPF, w tym</v>
      </c>
      <c r="AN847" s="160">
        <f t="shared" ca="1" si="1411"/>
        <v>196730</v>
      </c>
      <c r="AO847" s="161">
        <f t="shared" ca="1" si="1412"/>
        <v>0</v>
      </c>
      <c r="AP847" s="162">
        <f t="shared" ca="1" si="1413"/>
        <v>196730</v>
      </c>
      <c r="AQ847" s="163">
        <f t="shared" ca="1" si="1414"/>
        <v>0</v>
      </c>
      <c r="AR847" s="164">
        <f t="shared" ca="1" si="1415"/>
        <v>0</v>
      </c>
      <c r="AS847" s="164">
        <f t="shared" ca="1" si="1416"/>
        <v>0</v>
      </c>
      <c r="AT847" s="164">
        <f t="shared" ca="1" si="1417"/>
        <v>0</v>
      </c>
      <c r="AU847" s="164">
        <f t="shared" ca="1" si="1418"/>
        <v>0</v>
      </c>
      <c r="AV847" s="164">
        <f t="shared" ca="1" si="1419"/>
        <v>0</v>
      </c>
      <c r="AW847" s="164">
        <f t="shared" ca="1" si="1420"/>
        <v>0</v>
      </c>
      <c r="AX847" s="164">
        <f t="shared" ca="1" si="1421"/>
        <v>0</v>
      </c>
      <c r="AY847" s="164">
        <f t="shared" ca="1" si="1422"/>
        <v>0</v>
      </c>
      <c r="AZ847" s="164">
        <f t="shared" ca="1" si="1423"/>
        <v>0</v>
      </c>
      <c r="BA847" s="165" t="str">
        <f t="shared" ca="1" si="1424"/>
        <v>nie</v>
      </c>
      <c r="BB847" s="166" t="str">
        <f t="shared" ca="1" si="1361"/>
        <v>-</v>
      </c>
      <c r="BC847" s="165" t="str">
        <f t="shared" ca="1" si="1395"/>
        <v>nie</v>
      </c>
    </row>
    <row r="848" spans="1:55" s="167" customFormat="1" ht="14.45" hidden="1" customHeight="1" x14ac:dyDescent="0.25">
      <c r="A848" s="493"/>
      <c r="B848" s="493"/>
      <c r="C848" s="494"/>
      <c r="D848" s="512"/>
      <c r="E848" s="497"/>
      <c r="F848" s="497"/>
      <c r="G848" s="497"/>
      <c r="H848" s="498"/>
      <c r="I848" s="499"/>
      <c r="J848" s="177" t="s">
        <v>103</v>
      </c>
      <c r="K848" s="178">
        <f>SUM(N848:O848)</f>
        <v>0</v>
      </c>
      <c r="L848" s="179"/>
      <c r="M848" s="180"/>
      <c r="N848" s="172">
        <f>SUM(L848:M848)</f>
        <v>0</v>
      </c>
      <c r="O848" s="178">
        <f>SUM(P848:Y848)</f>
        <v>0</v>
      </c>
      <c r="P848" s="181"/>
      <c r="Q848" s="180"/>
      <c r="R848" s="182"/>
      <c r="S848" s="183"/>
      <c r="T848" s="180"/>
      <c r="U848" s="180"/>
      <c r="V848" s="180"/>
      <c r="W848" s="180"/>
      <c r="X848" s="180"/>
      <c r="Y848" s="182"/>
      <c r="Z848" s="149" t="str">
        <f t="shared" ca="1" si="1394"/>
        <v>nie</v>
      </c>
      <c r="AA848" s="384"/>
      <c r="AB848" s="150" t="str">
        <f t="shared" ca="1" si="1360"/>
        <v>-</v>
      </c>
      <c r="AC848" s="151" t="str">
        <f t="shared" ca="1" si="1404"/>
        <v>PO ZMIANIE</v>
      </c>
      <c r="AD848" s="152" t="str">
        <f t="shared" ca="1" si="1373"/>
        <v>PO ZMIANIE</v>
      </c>
      <c r="AE848" s="153" t="str">
        <f t="shared" ca="1" si="1405"/>
        <v>C/USN/X/P2/7</v>
      </c>
      <c r="AF848" s="154" t="str">
        <f t="shared" ca="1" si="1406"/>
        <v>Modernizacja siedziby Urzędu Dzielnicy</v>
      </c>
      <c r="AG848" s="155">
        <f t="shared" ca="1" si="1407"/>
        <v>75023</v>
      </c>
      <c r="AH848" s="155" t="str">
        <f t="shared" ca="1" si="1408"/>
        <v>6050</v>
      </c>
      <c r="AI848" s="156" t="str">
        <f t="shared" ca="1" si="1409"/>
        <v>SMOG</v>
      </c>
      <c r="AJ848" s="157" t="str">
        <f t="shared" ca="1" si="1410"/>
        <v>WPF/PM</v>
      </c>
      <c r="AK848" s="158" t="str">
        <f t="shared" ca="1" si="1374"/>
        <v>C/USN/X/P2/7 75023 6050 SMOG</v>
      </c>
      <c r="AL848" s="158" t="str">
        <f t="shared" ca="1" si="1375"/>
        <v>C/USN/X/P2/7 75023 6050 WPF/PM</v>
      </c>
      <c r="AM848" s="159" t="str">
        <f t="shared" ca="1" si="1376"/>
        <v>C/USN/X/P2/7 75023 6050 SMOG WPF/PM</v>
      </c>
      <c r="AN848" s="160">
        <f t="shared" ca="1" si="1411"/>
        <v>0</v>
      </c>
      <c r="AO848" s="161">
        <f t="shared" ca="1" si="1412"/>
        <v>0</v>
      </c>
      <c r="AP848" s="162">
        <f t="shared" ca="1" si="1413"/>
        <v>0</v>
      </c>
      <c r="AQ848" s="163">
        <f t="shared" ca="1" si="1414"/>
        <v>0</v>
      </c>
      <c r="AR848" s="164">
        <f t="shared" ca="1" si="1415"/>
        <v>0</v>
      </c>
      <c r="AS848" s="164">
        <f t="shared" ca="1" si="1416"/>
        <v>0</v>
      </c>
      <c r="AT848" s="164">
        <f t="shared" ca="1" si="1417"/>
        <v>0</v>
      </c>
      <c r="AU848" s="164">
        <f t="shared" ca="1" si="1418"/>
        <v>0</v>
      </c>
      <c r="AV848" s="164">
        <f t="shared" ca="1" si="1419"/>
        <v>0</v>
      </c>
      <c r="AW848" s="164">
        <f t="shared" ca="1" si="1420"/>
        <v>0</v>
      </c>
      <c r="AX848" s="164">
        <f t="shared" ca="1" si="1421"/>
        <v>0</v>
      </c>
      <c r="AY848" s="164">
        <f t="shared" ca="1" si="1422"/>
        <v>0</v>
      </c>
      <c r="AZ848" s="164">
        <f t="shared" ca="1" si="1423"/>
        <v>0</v>
      </c>
      <c r="BA848" s="165" t="str">
        <f t="shared" ca="1" si="1424"/>
        <v>nie</v>
      </c>
      <c r="BB848" s="166" t="str">
        <f t="shared" ca="1" si="1361"/>
        <v>-</v>
      </c>
      <c r="BC848" s="165" t="str">
        <f t="shared" ca="1" si="1395"/>
        <v>nie</v>
      </c>
    </row>
    <row r="849" spans="1:55" s="167" customFormat="1" ht="14.45" hidden="1" customHeight="1" thickBot="1" x14ac:dyDescent="0.3">
      <c r="A849" s="500"/>
      <c r="B849" s="500"/>
      <c r="C849" s="501"/>
      <c r="D849" s="529"/>
      <c r="E849" s="503"/>
      <c r="F849" s="503"/>
      <c r="G849" s="503"/>
      <c r="H849" s="504"/>
      <c r="I849" s="499"/>
      <c r="J849" s="197" t="s">
        <v>104</v>
      </c>
      <c r="K849" s="198">
        <f>SUM(N849:O849)</f>
        <v>196730</v>
      </c>
      <c r="L849" s="199"/>
      <c r="M849" s="200">
        <f>250000-53270</f>
        <v>196730</v>
      </c>
      <c r="N849" s="371">
        <f>SUM(L849:M849)</f>
        <v>196730</v>
      </c>
      <c r="O849" s="198">
        <f>SUM(P849:Y849)</f>
        <v>0</v>
      </c>
      <c r="P849" s="201"/>
      <c r="Q849" s="200"/>
      <c r="R849" s="202"/>
      <c r="S849" s="203"/>
      <c r="T849" s="200"/>
      <c r="U849" s="200"/>
      <c r="V849" s="200"/>
      <c r="W849" s="200"/>
      <c r="X849" s="200"/>
      <c r="Y849" s="202"/>
      <c r="Z849" s="149" t="str">
        <f t="shared" ca="1" si="1394"/>
        <v>nie</v>
      </c>
      <c r="AA849" s="384"/>
      <c r="AB849" s="150" t="str">
        <f t="shared" ca="1" si="1360"/>
        <v>-</v>
      </c>
      <c r="AC849" s="151" t="str">
        <f t="shared" ca="1" si="1404"/>
        <v>PO ZMIANIE</v>
      </c>
      <c r="AD849" s="152" t="str">
        <f t="shared" ca="1" si="1373"/>
        <v>PO ZMIANIE</v>
      </c>
      <c r="AE849" s="153" t="str">
        <f t="shared" ca="1" si="1405"/>
        <v>C/USN/X/P2/7</v>
      </c>
      <c r="AF849" s="154" t="str">
        <f t="shared" ca="1" si="1406"/>
        <v>Modernizacja siedziby Urzędu Dzielnicy</v>
      </c>
      <c r="AG849" s="155">
        <f t="shared" ca="1" si="1407"/>
        <v>75023</v>
      </c>
      <c r="AH849" s="155" t="str">
        <f t="shared" ca="1" si="1408"/>
        <v>6050</v>
      </c>
      <c r="AI849" s="156" t="str">
        <f t="shared" ca="1" si="1409"/>
        <v>SMOG</v>
      </c>
      <c r="AJ849" s="157" t="str">
        <f t="shared" ca="1" si="1410"/>
        <v>WPF/UM</v>
      </c>
      <c r="AK849" s="158" t="str">
        <f t="shared" ca="1" si="1374"/>
        <v>C/USN/X/P2/7 75023 6050 SMOG</v>
      </c>
      <c r="AL849" s="158" t="str">
        <f t="shared" ca="1" si="1375"/>
        <v>C/USN/X/P2/7 75023 6050 WPF/UM</v>
      </c>
      <c r="AM849" s="159" t="str">
        <f t="shared" ca="1" si="1376"/>
        <v>C/USN/X/P2/7 75023 6050 SMOG WPF/UM</v>
      </c>
      <c r="AN849" s="160">
        <f t="shared" ca="1" si="1411"/>
        <v>196730</v>
      </c>
      <c r="AO849" s="161">
        <f t="shared" ca="1" si="1412"/>
        <v>0</v>
      </c>
      <c r="AP849" s="162">
        <f t="shared" ca="1" si="1413"/>
        <v>196730</v>
      </c>
      <c r="AQ849" s="163">
        <f t="shared" ca="1" si="1414"/>
        <v>0</v>
      </c>
      <c r="AR849" s="164">
        <f t="shared" ca="1" si="1415"/>
        <v>0</v>
      </c>
      <c r="AS849" s="164">
        <f t="shared" ca="1" si="1416"/>
        <v>0</v>
      </c>
      <c r="AT849" s="164">
        <f t="shared" ca="1" si="1417"/>
        <v>0</v>
      </c>
      <c r="AU849" s="164">
        <f t="shared" ca="1" si="1418"/>
        <v>0</v>
      </c>
      <c r="AV849" s="164">
        <f t="shared" ca="1" si="1419"/>
        <v>0</v>
      </c>
      <c r="AW849" s="164">
        <f t="shared" ca="1" si="1420"/>
        <v>0</v>
      </c>
      <c r="AX849" s="164">
        <f t="shared" ca="1" si="1421"/>
        <v>0</v>
      </c>
      <c r="AY849" s="164">
        <f t="shared" ca="1" si="1422"/>
        <v>0</v>
      </c>
      <c r="AZ849" s="164">
        <f t="shared" ca="1" si="1423"/>
        <v>0</v>
      </c>
      <c r="BA849" s="165" t="str">
        <f t="shared" ca="1" si="1424"/>
        <v>nie</v>
      </c>
      <c r="BB849" s="166" t="str">
        <f t="shared" ca="1" si="1361"/>
        <v>-</v>
      </c>
      <c r="BC849" s="165" t="str">
        <f t="shared" ca="1" si="1395"/>
        <v>nie</v>
      </c>
    </row>
    <row r="850" spans="1:55" ht="14.45" hidden="1" customHeight="1" x14ac:dyDescent="0.25">
      <c r="A850" s="143" t="s">
        <v>91</v>
      </c>
      <c r="B850" s="144"/>
      <c r="C850" s="145"/>
      <c r="D850" s="144"/>
      <c r="E850" s="144"/>
      <c r="F850" s="144"/>
      <c r="G850" s="144"/>
      <c r="H850" s="144"/>
      <c r="I850" s="144"/>
      <c r="J850" s="144"/>
      <c r="K850" s="144"/>
      <c r="L850" s="144"/>
      <c r="M850" s="144"/>
      <c r="N850" s="144"/>
      <c r="O850" s="144"/>
      <c r="P850" s="144"/>
      <c r="Q850" s="144"/>
      <c r="R850" s="146"/>
      <c r="S850" s="147"/>
      <c r="T850" s="147"/>
      <c r="U850" s="147"/>
      <c r="V850" s="147"/>
      <c r="W850" s="147"/>
      <c r="X850" s="147"/>
      <c r="Y850" s="148"/>
      <c r="Z850" s="149" t="str">
        <f t="shared" ca="1" si="1394"/>
        <v>nie</v>
      </c>
      <c r="AA850" s="366"/>
      <c r="AB850" s="150" t="str">
        <f t="shared" ca="1" si="1360"/>
        <v>-</v>
      </c>
      <c r="AC850" s="151" t="str">
        <f t="shared" ca="1" si="1404"/>
        <v>PRZED ZMIANĄ</v>
      </c>
      <c r="AD850" s="152" t="str">
        <f t="shared" ca="1" si="1373"/>
        <v/>
      </c>
      <c r="AE850" s="153" t="str">
        <f t="shared" ca="1" si="1405"/>
        <v/>
      </c>
      <c r="AF850" s="154" t="str">
        <f t="shared" ca="1" si="1406"/>
        <v/>
      </c>
      <c r="AG850" s="155" t="str">
        <f t="shared" ca="1" si="1407"/>
        <v/>
      </c>
      <c r="AH850" s="155" t="str">
        <f t="shared" ca="1" si="1408"/>
        <v/>
      </c>
      <c r="AI850" s="156" t="str">
        <f t="shared" ca="1" si="1409"/>
        <v/>
      </c>
      <c r="AJ850" s="157" t="str">
        <f t="shared" ca="1" si="1410"/>
        <v/>
      </c>
      <c r="AK850" s="158" t="str">
        <f t="shared" ca="1" si="1374"/>
        <v/>
      </c>
      <c r="AL850" s="158" t="str">
        <f t="shared" ca="1" si="1375"/>
        <v/>
      </c>
      <c r="AM850" s="159" t="str">
        <f t="shared" ca="1" si="1376"/>
        <v/>
      </c>
      <c r="AN850" s="160" t="str">
        <f t="shared" ca="1" si="1411"/>
        <v/>
      </c>
      <c r="AO850" s="161" t="str">
        <f t="shared" ca="1" si="1412"/>
        <v/>
      </c>
      <c r="AP850" s="162" t="str">
        <f t="shared" ca="1" si="1413"/>
        <v/>
      </c>
      <c r="AQ850" s="163" t="str">
        <f t="shared" ca="1" si="1414"/>
        <v/>
      </c>
      <c r="AR850" s="164" t="str">
        <f t="shared" ca="1" si="1415"/>
        <v/>
      </c>
      <c r="AS850" s="164" t="str">
        <f t="shared" ca="1" si="1416"/>
        <v/>
      </c>
      <c r="AT850" s="164" t="str">
        <f t="shared" ca="1" si="1417"/>
        <v/>
      </c>
      <c r="AU850" s="164" t="str">
        <f t="shared" ca="1" si="1418"/>
        <v/>
      </c>
      <c r="AV850" s="164" t="str">
        <f t="shared" ca="1" si="1419"/>
        <v/>
      </c>
      <c r="AW850" s="164" t="str">
        <f t="shared" ca="1" si="1420"/>
        <v/>
      </c>
      <c r="AX850" s="164" t="str">
        <f t="shared" ca="1" si="1421"/>
        <v/>
      </c>
      <c r="AY850" s="164" t="str">
        <f t="shared" ca="1" si="1422"/>
        <v/>
      </c>
      <c r="AZ850" s="164" t="str">
        <f t="shared" ca="1" si="1423"/>
        <v/>
      </c>
      <c r="BA850" s="165" t="str">
        <f t="shared" ca="1" si="1424"/>
        <v>nie</v>
      </c>
      <c r="BB850" s="166" t="str">
        <f t="shared" ca="1" si="1361"/>
        <v>-</v>
      </c>
      <c r="BC850" s="165" t="str">
        <f t="shared" ca="1" si="1395"/>
        <v>nie</v>
      </c>
    </row>
    <row r="851" spans="1:55" ht="14.45" hidden="1" customHeight="1" x14ac:dyDescent="0.25">
      <c r="A851" s="493"/>
      <c r="B851" s="493"/>
      <c r="C851" s="494"/>
      <c r="D851" s="505"/>
      <c r="E851" s="497"/>
      <c r="F851" s="497"/>
      <c r="G851" s="497"/>
      <c r="H851" s="498"/>
      <c r="I851" s="499" t="str">
        <f ca="1">IF(COUNTIF(OFFSET(I851,-1,-8),"*propon*")&gt;0,OFFSET(I851,4,0),IF(Y851&gt;0,"2033",IF(X851&gt;0,"2032",IF(W851&gt;0,"2031",IF(V851&gt;0,"2030",IF(U851&gt;0,"2029",IF(T851&gt;0,"2028",IF(S851&gt;0,"2027",IF(R851&gt;0,"2026",IF(Q851&gt;0,"2025",IF(P851&gt;0,"2024",IF(M851&gt;0,"2023",IF(L851&gt;0,"2022","")))))))))))))</f>
        <v/>
      </c>
      <c r="J851" s="168" t="s">
        <v>94</v>
      </c>
      <c r="K851" s="169">
        <f>SUM(N851:O851)</f>
        <v>0</v>
      </c>
      <c r="L851" s="170">
        <f t="shared" ref="L851:M851" si="1428">SUM(L852:L853)</f>
        <v>0</v>
      </c>
      <c r="M851" s="171">
        <f t="shared" si="1428"/>
        <v>0</v>
      </c>
      <c r="N851" s="172">
        <f>SUM(L851:M851)</f>
        <v>0</v>
      </c>
      <c r="O851" s="169">
        <f>SUM(P851:Y851)</f>
        <v>0</v>
      </c>
      <c r="P851" s="173">
        <f t="shared" ref="P851:R851" si="1429">SUM(P852:P853)</f>
        <v>0</v>
      </c>
      <c r="Q851" s="171">
        <f t="shared" si="1429"/>
        <v>0</v>
      </c>
      <c r="R851" s="174">
        <f t="shared" si="1429"/>
        <v>0</v>
      </c>
      <c r="S851" s="175">
        <f t="shared" ref="S851:Y851" si="1430">SUM(S852:S853)</f>
        <v>0</v>
      </c>
      <c r="T851" s="171">
        <f t="shared" si="1430"/>
        <v>0</v>
      </c>
      <c r="U851" s="171">
        <f t="shared" si="1430"/>
        <v>0</v>
      </c>
      <c r="V851" s="171">
        <f t="shared" si="1430"/>
        <v>0</v>
      </c>
      <c r="W851" s="171">
        <f t="shared" si="1430"/>
        <v>0</v>
      </c>
      <c r="X851" s="171">
        <f t="shared" si="1430"/>
        <v>0</v>
      </c>
      <c r="Y851" s="174">
        <f t="shared" si="1430"/>
        <v>0</v>
      </c>
      <c r="Z851" s="149" t="str">
        <f t="shared" ca="1" si="1394"/>
        <v>nie</v>
      </c>
      <c r="AA851" s="366"/>
      <c r="AB851" s="150" t="str">
        <f t="shared" ca="1" si="1360"/>
        <v>-</v>
      </c>
      <c r="AC851" s="151" t="str">
        <f t="shared" ca="1" si="1404"/>
        <v>PRZED ZMIANĄ</v>
      </c>
      <c r="AD851" s="152" t="str">
        <f t="shared" ca="1" si="1373"/>
        <v/>
      </c>
      <c r="AE851" s="153" t="str">
        <f t="shared" ca="1" si="1405"/>
        <v/>
      </c>
      <c r="AF851" s="154" t="str">
        <f t="shared" ca="1" si="1406"/>
        <v/>
      </c>
      <c r="AG851" s="155" t="str">
        <f t="shared" ca="1" si="1407"/>
        <v/>
      </c>
      <c r="AH851" s="155" t="str">
        <f t="shared" ca="1" si="1408"/>
        <v/>
      </c>
      <c r="AI851" s="156" t="str">
        <f t="shared" ca="1" si="1409"/>
        <v/>
      </c>
      <c r="AJ851" s="157" t="str">
        <f t="shared" ca="1" si="1410"/>
        <v/>
      </c>
      <c r="AK851" s="158" t="str">
        <f t="shared" ca="1" si="1374"/>
        <v/>
      </c>
      <c r="AL851" s="158" t="str">
        <f t="shared" ca="1" si="1375"/>
        <v/>
      </c>
      <c r="AM851" s="159" t="str">
        <f t="shared" ca="1" si="1376"/>
        <v/>
      </c>
      <c r="AN851" s="160" t="str">
        <f t="shared" ca="1" si="1411"/>
        <v/>
      </c>
      <c r="AO851" s="161" t="str">
        <f t="shared" ca="1" si="1412"/>
        <v/>
      </c>
      <c r="AP851" s="162" t="str">
        <f t="shared" ca="1" si="1413"/>
        <v/>
      </c>
      <c r="AQ851" s="163" t="str">
        <f t="shared" ca="1" si="1414"/>
        <v/>
      </c>
      <c r="AR851" s="164" t="str">
        <f t="shared" ca="1" si="1415"/>
        <v/>
      </c>
      <c r="AS851" s="164" t="str">
        <f t="shared" ca="1" si="1416"/>
        <v/>
      </c>
      <c r="AT851" s="164" t="str">
        <f t="shared" ca="1" si="1417"/>
        <v/>
      </c>
      <c r="AU851" s="164" t="str">
        <f t="shared" ca="1" si="1418"/>
        <v/>
      </c>
      <c r="AV851" s="164" t="str">
        <f t="shared" ca="1" si="1419"/>
        <v/>
      </c>
      <c r="AW851" s="164" t="str">
        <f t="shared" ca="1" si="1420"/>
        <v/>
      </c>
      <c r="AX851" s="164" t="str">
        <f t="shared" ca="1" si="1421"/>
        <v/>
      </c>
      <c r="AY851" s="164" t="str">
        <f t="shared" ca="1" si="1422"/>
        <v/>
      </c>
      <c r="AZ851" s="164" t="str">
        <f t="shared" ca="1" si="1423"/>
        <v/>
      </c>
      <c r="BA851" s="165" t="str">
        <f t="shared" ca="1" si="1424"/>
        <v>nie</v>
      </c>
      <c r="BB851" s="166" t="str">
        <f t="shared" ca="1" si="1361"/>
        <v>-</v>
      </c>
      <c r="BC851" s="165" t="str">
        <f t="shared" ca="1" si="1395"/>
        <v>nie</v>
      </c>
    </row>
    <row r="852" spans="1:55" ht="14.45" hidden="1" customHeight="1" x14ac:dyDescent="0.25">
      <c r="A852" s="493"/>
      <c r="B852" s="493"/>
      <c r="C852" s="494"/>
      <c r="D852" s="506"/>
      <c r="E852" s="497"/>
      <c r="F852" s="497"/>
      <c r="G852" s="497"/>
      <c r="H852" s="498"/>
      <c r="I852" s="499"/>
      <c r="J852" s="177" t="s">
        <v>95</v>
      </c>
      <c r="K852" s="178">
        <f>SUM(N852:O852)</f>
        <v>0</v>
      </c>
      <c r="L852" s="179"/>
      <c r="M852" s="180"/>
      <c r="N852" s="172">
        <f>SUM(L852:M852)</f>
        <v>0</v>
      </c>
      <c r="O852" s="178">
        <f>SUM(P852:Y852)</f>
        <v>0</v>
      </c>
      <c r="P852" s="181"/>
      <c r="Q852" s="180"/>
      <c r="R852" s="182"/>
      <c r="S852" s="183"/>
      <c r="T852" s="180"/>
      <c r="U852" s="180"/>
      <c r="V852" s="180"/>
      <c r="W852" s="180"/>
      <c r="X852" s="180"/>
      <c r="Y852" s="182"/>
      <c r="Z852" s="149" t="str">
        <f t="shared" ca="1" si="1394"/>
        <v>nie</v>
      </c>
      <c r="AA852" s="366"/>
      <c r="AB852" s="150" t="str">
        <f t="shared" ca="1" si="1360"/>
        <v>-</v>
      </c>
      <c r="AC852" s="151" t="str">
        <f t="shared" ca="1" si="1404"/>
        <v>PRZED ZMIANĄ</v>
      </c>
      <c r="AD852" s="152" t="str">
        <f t="shared" ca="1" si="1373"/>
        <v/>
      </c>
      <c r="AE852" s="153" t="str">
        <f t="shared" ca="1" si="1405"/>
        <v/>
      </c>
      <c r="AF852" s="154" t="str">
        <f t="shared" ca="1" si="1406"/>
        <v/>
      </c>
      <c r="AG852" s="155" t="str">
        <f t="shared" ca="1" si="1407"/>
        <v/>
      </c>
      <c r="AH852" s="155" t="str">
        <f t="shared" ca="1" si="1408"/>
        <v/>
      </c>
      <c r="AI852" s="156" t="str">
        <f t="shared" ca="1" si="1409"/>
        <v/>
      </c>
      <c r="AJ852" s="157" t="str">
        <f t="shared" ca="1" si="1410"/>
        <v/>
      </c>
      <c r="AK852" s="158" t="str">
        <f t="shared" ca="1" si="1374"/>
        <v/>
      </c>
      <c r="AL852" s="158" t="str">
        <f t="shared" ca="1" si="1375"/>
        <v/>
      </c>
      <c r="AM852" s="159" t="str">
        <f t="shared" ca="1" si="1376"/>
        <v/>
      </c>
      <c r="AN852" s="160" t="str">
        <f t="shared" ca="1" si="1411"/>
        <v/>
      </c>
      <c r="AO852" s="161" t="str">
        <f t="shared" ca="1" si="1412"/>
        <v/>
      </c>
      <c r="AP852" s="162" t="str">
        <f t="shared" ca="1" si="1413"/>
        <v/>
      </c>
      <c r="AQ852" s="163" t="str">
        <f t="shared" ca="1" si="1414"/>
        <v/>
      </c>
      <c r="AR852" s="164" t="str">
        <f t="shared" ca="1" si="1415"/>
        <v/>
      </c>
      <c r="AS852" s="164" t="str">
        <f t="shared" ca="1" si="1416"/>
        <v/>
      </c>
      <c r="AT852" s="164" t="str">
        <f t="shared" ca="1" si="1417"/>
        <v/>
      </c>
      <c r="AU852" s="164" t="str">
        <f t="shared" ca="1" si="1418"/>
        <v/>
      </c>
      <c r="AV852" s="164" t="str">
        <f t="shared" ca="1" si="1419"/>
        <v/>
      </c>
      <c r="AW852" s="164" t="str">
        <f t="shared" ca="1" si="1420"/>
        <v/>
      </c>
      <c r="AX852" s="164" t="str">
        <f t="shared" ca="1" si="1421"/>
        <v/>
      </c>
      <c r="AY852" s="164" t="str">
        <f t="shared" ca="1" si="1422"/>
        <v/>
      </c>
      <c r="AZ852" s="164" t="str">
        <f t="shared" ca="1" si="1423"/>
        <v/>
      </c>
      <c r="BA852" s="165" t="str">
        <f t="shared" ca="1" si="1424"/>
        <v>nie</v>
      </c>
      <c r="BB852" s="166" t="str">
        <f t="shared" ca="1" si="1361"/>
        <v>-</v>
      </c>
      <c r="BC852" s="165" t="str">
        <f t="shared" ca="1" si="1395"/>
        <v>nie</v>
      </c>
    </row>
    <row r="853" spans="1:55" ht="14.45" hidden="1" customHeight="1" x14ac:dyDescent="0.25">
      <c r="A853" s="493"/>
      <c r="B853" s="493"/>
      <c r="C853" s="494"/>
      <c r="D853" s="506"/>
      <c r="E853" s="497"/>
      <c r="F853" s="497"/>
      <c r="G853" s="497"/>
      <c r="H853" s="498"/>
      <c r="I853" s="499"/>
      <c r="J853" s="177" t="s">
        <v>96</v>
      </c>
      <c r="K853" s="178">
        <f>SUM(N853:O853)</f>
        <v>0</v>
      </c>
      <c r="L853" s="184"/>
      <c r="M853" s="180"/>
      <c r="N853" s="172">
        <f>SUM(L853:M853)</f>
        <v>0</v>
      </c>
      <c r="O853" s="178">
        <f>SUM(P853:Y853)</f>
        <v>0</v>
      </c>
      <c r="P853" s="181"/>
      <c r="Q853" s="180"/>
      <c r="R853" s="182"/>
      <c r="S853" s="183"/>
      <c r="T853" s="180"/>
      <c r="U853" s="180"/>
      <c r="V853" s="180"/>
      <c r="W853" s="180"/>
      <c r="X853" s="180"/>
      <c r="Y853" s="182"/>
      <c r="Z853" s="149" t="str">
        <f t="shared" ca="1" si="1394"/>
        <v>nie</v>
      </c>
      <c r="AA853" s="366"/>
      <c r="AB853" s="150" t="str">
        <f t="shared" ca="1" si="1360"/>
        <v>-</v>
      </c>
      <c r="AC853" s="151" t="str">
        <f t="shared" ca="1" si="1404"/>
        <v>PRZED ZMIANĄ</v>
      </c>
      <c r="AD853" s="152" t="str">
        <f t="shared" ca="1" si="1373"/>
        <v/>
      </c>
      <c r="AE853" s="153" t="str">
        <f t="shared" ca="1" si="1405"/>
        <v/>
      </c>
      <c r="AF853" s="154" t="str">
        <f t="shared" ca="1" si="1406"/>
        <v/>
      </c>
      <c r="AG853" s="155" t="str">
        <f t="shared" ca="1" si="1407"/>
        <v/>
      </c>
      <c r="AH853" s="155" t="str">
        <f t="shared" ca="1" si="1408"/>
        <v/>
      </c>
      <c r="AI853" s="156" t="str">
        <f t="shared" ca="1" si="1409"/>
        <v/>
      </c>
      <c r="AJ853" s="157" t="str">
        <f t="shared" ca="1" si="1410"/>
        <v/>
      </c>
      <c r="AK853" s="158" t="str">
        <f t="shared" ca="1" si="1374"/>
        <v/>
      </c>
      <c r="AL853" s="158" t="str">
        <f t="shared" ca="1" si="1375"/>
        <v/>
      </c>
      <c r="AM853" s="159" t="str">
        <f t="shared" ca="1" si="1376"/>
        <v/>
      </c>
      <c r="AN853" s="160" t="str">
        <f t="shared" ca="1" si="1411"/>
        <v/>
      </c>
      <c r="AO853" s="161" t="str">
        <f t="shared" ca="1" si="1412"/>
        <v/>
      </c>
      <c r="AP853" s="162" t="str">
        <f t="shared" ca="1" si="1413"/>
        <v/>
      </c>
      <c r="AQ853" s="163" t="str">
        <f t="shared" ca="1" si="1414"/>
        <v/>
      </c>
      <c r="AR853" s="164" t="str">
        <f t="shared" ca="1" si="1415"/>
        <v/>
      </c>
      <c r="AS853" s="164" t="str">
        <f t="shared" ca="1" si="1416"/>
        <v/>
      </c>
      <c r="AT853" s="164" t="str">
        <f t="shared" ca="1" si="1417"/>
        <v/>
      </c>
      <c r="AU853" s="164" t="str">
        <f t="shared" ca="1" si="1418"/>
        <v/>
      </c>
      <c r="AV853" s="164" t="str">
        <f t="shared" ca="1" si="1419"/>
        <v/>
      </c>
      <c r="AW853" s="164" t="str">
        <f t="shared" ca="1" si="1420"/>
        <v/>
      </c>
      <c r="AX853" s="164" t="str">
        <f t="shared" ca="1" si="1421"/>
        <v/>
      </c>
      <c r="AY853" s="164" t="str">
        <f t="shared" ca="1" si="1422"/>
        <v/>
      </c>
      <c r="AZ853" s="164" t="str">
        <f t="shared" ca="1" si="1423"/>
        <v/>
      </c>
      <c r="BA853" s="165" t="str">
        <f t="shared" ca="1" si="1424"/>
        <v>nie</v>
      </c>
      <c r="BB853" s="166" t="str">
        <f t="shared" ca="1" si="1361"/>
        <v>-</v>
      </c>
      <c r="BC853" s="165" t="str">
        <f t="shared" ca="1" si="1395"/>
        <v>nie</v>
      </c>
    </row>
    <row r="854" spans="1:55" ht="14.45" hidden="1" customHeight="1" x14ac:dyDescent="0.25">
      <c r="A854" s="185" t="s">
        <v>97</v>
      </c>
      <c r="B854" s="186"/>
      <c r="C854" s="187"/>
      <c r="D854" s="186"/>
      <c r="E854" s="186"/>
      <c r="F854" s="186"/>
      <c r="G854" s="186"/>
      <c r="H854" s="186"/>
      <c r="I854" s="186"/>
      <c r="J854" s="186"/>
      <c r="K854" s="186"/>
      <c r="L854" s="186"/>
      <c r="M854" s="186"/>
      <c r="N854" s="186"/>
      <c r="O854" s="186"/>
      <c r="P854" s="186"/>
      <c r="Q854" s="186"/>
      <c r="R854" s="188"/>
      <c r="S854" s="189"/>
      <c r="T854" s="189"/>
      <c r="U854" s="189"/>
      <c r="V854" s="189"/>
      <c r="W854" s="189"/>
      <c r="X854" s="189"/>
      <c r="Y854" s="190"/>
      <c r="Z854" s="149" t="str">
        <f t="shared" ca="1" si="1394"/>
        <v>nie</v>
      </c>
      <c r="AA854" s="366"/>
      <c r="AB854" s="150" t="str">
        <f t="shared" ca="1" si="1360"/>
        <v>-</v>
      </c>
      <c r="AC854" s="151" t="str">
        <f t="shared" ca="1" si="1404"/>
        <v>PROPONOWANA ZMIANA</v>
      </c>
      <c r="AD854" s="152" t="str">
        <f t="shared" ca="1" si="1373"/>
        <v/>
      </c>
      <c r="AE854" s="153" t="str">
        <f t="shared" ca="1" si="1405"/>
        <v/>
      </c>
      <c r="AF854" s="154" t="str">
        <f t="shared" ca="1" si="1406"/>
        <v/>
      </c>
      <c r="AG854" s="155" t="str">
        <f t="shared" ca="1" si="1407"/>
        <v/>
      </c>
      <c r="AH854" s="155" t="str">
        <f t="shared" ca="1" si="1408"/>
        <v/>
      </c>
      <c r="AI854" s="156" t="str">
        <f t="shared" ca="1" si="1409"/>
        <v/>
      </c>
      <c r="AJ854" s="157" t="str">
        <f t="shared" ca="1" si="1410"/>
        <v/>
      </c>
      <c r="AK854" s="158" t="str">
        <f t="shared" ca="1" si="1374"/>
        <v/>
      </c>
      <c r="AL854" s="158" t="str">
        <f t="shared" ca="1" si="1375"/>
        <v/>
      </c>
      <c r="AM854" s="159" t="str">
        <f t="shared" ca="1" si="1376"/>
        <v/>
      </c>
      <c r="AN854" s="160" t="str">
        <f t="shared" ca="1" si="1411"/>
        <v/>
      </c>
      <c r="AO854" s="161" t="str">
        <f t="shared" ca="1" si="1412"/>
        <v/>
      </c>
      <c r="AP854" s="162" t="str">
        <f t="shared" ca="1" si="1413"/>
        <v/>
      </c>
      <c r="AQ854" s="163" t="str">
        <f t="shared" ca="1" si="1414"/>
        <v/>
      </c>
      <c r="AR854" s="164" t="str">
        <f t="shared" ca="1" si="1415"/>
        <v/>
      </c>
      <c r="AS854" s="164" t="str">
        <f t="shared" ca="1" si="1416"/>
        <v/>
      </c>
      <c r="AT854" s="164" t="str">
        <f t="shared" ca="1" si="1417"/>
        <v/>
      </c>
      <c r="AU854" s="164" t="str">
        <f t="shared" ca="1" si="1418"/>
        <v/>
      </c>
      <c r="AV854" s="164" t="str">
        <f t="shared" ca="1" si="1419"/>
        <v/>
      </c>
      <c r="AW854" s="164" t="str">
        <f t="shared" ca="1" si="1420"/>
        <v/>
      </c>
      <c r="AX854" s="164" t="str">
        <f t="shared" ca="1" si="1421"/>
        <v/>
      </c>
      <c r="AY854" s="164" t="str">
        <f t="shared" ca="1" si="1422"/>
        <v/>
      </c>
      <c r="AZ854" s="164" t="str">
        <f t="shared" ca="1" si="1423"/>
        <v/>
      </c>
      <c r="BA854" s="165" t="str">
        <f t="shared" ca="1" si="1424"/>
        <v>nie</v>
      </c>
      <c r="BB854" s="166" t="str">
        <f t="shared" ca="1" si="1361"/>
        <v>-</v>
      </c>
      <c r="BC854" s="165" t="str">
        <f t="shared" ca="1" si="1395"/>
        <v>nie</v>
      </c>
    </row>
    <row r="855" spans="1:55" ht="14.45" hidden="1" customHeight="1" x14ac:dyDescent="0.25">
      <c r="A855" s="493"/>
      <c r="B855" s="493"/>
      <c r="C855" s="494"/>
      <c r="D855" s="505"/>
      <c r="E855" s="497"/>
      <c r="F855" s="497"/>
      <c r="G855" s="497"/>
      <c r="H855" s="498"/>
      <c r="I855" s="499" t="str">
        <f ca="1">IF(COUNTIF(OFFSET(I855,-1,-8),"*propon*")&gt;0,OFFSET(I855,4,0),IF(Y855&gt;0,"2033",IF(X855&gt;0,"2032",IF(W855&gt;0,"2031",IF(V855&gt;0,"2030",IF(U855&gt;0,"2029",IF(T855&gt;0,"2028",IF(S855&gt;0,"2027",IF(R855&gt;0,"2026",IF(Q855&gt;0,"2025",IF(P855&gt;0,"2024",IF(M855&gt;0,"2023",IF(L855&gt;0,"2022","")))))))))))))</f>
        <v/>
      </c>
      <c r="J855" s="168" t="s">
        <v>98</v>
      </c>
      <c r="K855" s="169">
        <f>SUM(N855:O855)</f>
        <v>0</v>
      </c>
      <c r="L855" s="170">
        <f t="shared" ref="L855:M855" si="1431">SUM(L856:L857)</f>
        <v>0</v>
      </c>
      <c r="M855" s="171">
        <f t="shared" si="1431"/>
        <v>0</v>
      </c>
      <c r="N855" s="172">
        <f>SUM(L855:M855)</f>
        <v>0</v>
      </c>
      <c r="O855" s="169">
        <f>SUM(P855:Y855)</f>
        <v>0</v>
      </c>
      <c r="P855" s="173">
        <f t="shared" ref="P855:R855" si="1432">SUM(P856:P857)</f>
        <v>0</v>
      </c>
      <c r="Q855" s="171">
        <f t="shared" si="1432"/>
        <v>0</v>
      </c>
      <c r="R855" s="174">
        <f t="shared" si="1432"/>
        <v>0</v>
      </c>
      <c r="S855" s="175">
        <f t="shared" ref="S855:Y855" si="1433">SUM(S856:S857)</f>
        <v>0</v>
      </c>
      <c r="T855" s="171">
        <f t="shared" si="1433"/>
        <v>0</v>
      </c>
      <c r="U855" s="171">
        <f t="shared" si="1433"/>
        <v>0</v>
      </c>
      <c r="V855" s="171">
        <f t="shared" si="1433"/>
        <v>0</v>
      </c>
      <c r="W855" s="171">
        <f t="shared" si="1433"/>
        <v>0</v>
      </c>
      <c r="X855" s="171">
        <f t="shared" si="1433"/>
        <v>0</v>
      </c>
      <c r="Y855" s="174">
        <f t="shared" si="1433"/>
        <v>0</v>
      </c>
      <c r="Z855" s="149" t="str">
        <f t="shared" ca="1" si="1394"/>
        <v>nie</v>
      </c>
      <c r="AA855" s="366"/>
      <c r="AB855" s="150" t="str">
        <f t="shared" ca="1" si="1360"/>
        <v>-</v>
      </c>
      <c r="AC855" s="151" t="str">
        <f t="shared" ca="1" si="1404"/>
        <v>PROPONOWANA ZMIANA</v>
      </c>
      <c r="AD855" s="152" t="str">
        <f t="shared" ca="1" si="1373"/>
        <v/>
      </c>
      <c r="AE855" s="153" t="str">
        <f t="shared" ca="1" si="1405"/>
        <v/>
      </c>
      <c r="AF855" s="154" t="str">
        <f t="shared" ca="1" si="1406"/>
        <v/>
      </c>
      <c r="AG855" s="155" t="str">
        <f t="shared" ca="1" si="1407"/>
        <v/>
      </c>
      <c r="AH855" s="155" t="str">
        <f t="shared" ca="1" si="1408"/>
        <v/>
      </c>
      <c r="AI855" s="156" t="str">
        <f t="shared" ca="1" si="1409"/>
        <v/>
      </c>
      <c r="AJ855" s="157" t="str">
        <f t="shared" ca="1" si="1410"/>
        <v/>
      </c>
      <c r="AK855" s="158" t="str">
        <f t="shared" ca="1" si="1374"/>
        <v/>
      </c>
      <c r="AL855" s="158" t="str">
        <f t="shared" ca="1" si="1375"/>
        <v/>
      </c>
      <c r="AM855" s="159" t="str">
        <f t="shared" ca="1" si="1376"/>
        <v/>
      </c>
      <c r="AN855" s="160" t="str">
        <f t="shared" ca="1" si="1411"/>
        <v/>
      </c>
      <c r="AO855" s="161" t="str">
        <f t="shared" ca="1" si="1412"/>
        <v/>
      </c>
      <c r="AP855" s="162" t="str">
        <f t="shared" ca="1" si="1413"/>
        <v/>
      </c>
      <c r="AQ855" s="163" t="str">
        <f t="shared" ca="1" si="1414"/>
        <v/>
      </c>
      <c r="AR855" s="164" t="str">
        <f t="shared" ca="1" si="1415"/>
        <v/>
      </c>
      <c r="AS855" s="164" t="str">
        <f t="shared" ca="1" si="1416"/>
        <v/>
      </c>
      <c r="AT855" s="164" t="str">
        <f t="shared" ca="1" si="1417"/>
        <v/>
      </c>
      <c r="AU855" s="164" t="str">
        <f t="shared" ca="1" si="1418"/>
        <v/>
      </c>
      <c r="AV855" s="164" t="str">
        <f t="shared" ca="1" si="1419"/>
        <v/>
      </c>
      <c r="AW855" s="164" t="str">
        <f t="shared" ca="1" si="1420"/>
        <v/>
      </c>
      <c r="AX855" s="164" t="str">
        <f t="shared" ca="1" si="1421"/>
        <v/>
      </c>
      <c r="AY855" s="164" t="str">
        <f t="shared" ca="1" si="1422"/>
        <v/>
      </c>
      <c r="AZ855" s="164" t="str">
        <f t="shared" ca="1" si="1423"/>
        <v/>
      </c>
      <c r="BA855" s="165" t="str">
        <f t="shared" ca="1" si="1424"/>
        <v>nie</v>
      </c>
      <c r="BB855" s="166" t="str">
        <f t="shared" ca="1" si="1361"/>
        <v>-</v>
      </c>
      <c r="BC855" s="165" t="str">
        <f t="shared" ca="1" si="1395"/>
        <v>nie</v>
      </c>
    </row>
    <row r="856" spans="1:55" ht="14.45" hidden="1" customHeight="1" x14ac:dyDescent="0.25">
      <c r="A856" s="493"/>
      <c r="B856" s="493"/>
      <c r="C856" s="494"/>
      <c r="D856" s="506"/>
      <c r="E856" s="497"/>
      <c r="F856" s="497"/>
      <c r="G856" s="497"/>
      <c r="H856" s="498"/>
      <c r="I856" s="499"/>
      <c r="J856" s="177" t="s">
        <v>99</v>
      </c>
      <c r="K856" s="178">
        <f>SUM(N856:O856)</f>
        <v>0</v>
      </c>
      <c r="L856" s="179">
        <f t="shared" ref="L856:M856" si="1434">L860-L852</f>
        <v>0</v>
      </c>
      <c r="M856" s="180">
        <f t="shared" si="1434"/>
        <v>0</v>
      </c>
      <c r="N856" s="172">
        <f>SUM(L856:M856)</f>
        <v>0</v>
      </c>
      <c r="O856" s="178">
        <f>SUM(P856:Y856)</f>
        <v>0</v>
      </c>
      <c r="P856" s="181">
        <f t="shared" ref="P856:R856" si="1435">P860-P852</f>
        <v>0</v>
      </c>
      <c r="Q856" s="180">
        <f t="shared" si="1435"/>
        <v>0</v>
      </c>
      <c r="R856" s="182">
        <f t="shared" si="1435"/>
        <v>0</v>
      </c>
      <c r="S856" s="183">
        <f t="shared" ref="S856:Y857" si="1436">S860-S852</f>
        <v>0</v>
      </c>
      <c r="T856" s="180">
        <f t="shared" si="1436"/>
        <v>0</v>
      </c>
      <c r="U856" s="180">
        <f t="shared" si="1436"/>
        <v>0</v>
      </c>
      <c r="V856" s="180">
        <f t="shared" si="1436"/>
        <v>0</v>
      </c>
      <c r="W856" s="180">
        <f t="shared" si="1436"/>
        <v>0</v>
      </c>
      <c r="X856" s="180">
        <f t="shared" si="1436"/>
        <v>0</v>
      </c>
      <c r="Y856" s="182">
        <f t="shared" si="1436"/>
        <v>0</v>
      </c>
      <c r="Z856" s="149" t="str">
        <f t="shared" ca="1" si="1394"/>
        <v>nie</v>
      </c>
      <c r="AA856" s="366"/>
      <c r="AB856" s="150" t="str">
        <f t="shared" ca="1" si="1360"/>
        <v>-</v>
      </c>
      <c r="AC856" s="151" t="str">
        <f t="shared" ca="1" si="1404"/>
        <v>PROPONOWANA ZMIANA</v>
      </c>
      <c r="AD856" s="152" t="str">
        <f t="shared" ca="1" si="1373"/>
        <v/>
      </c>
      <c r="AE856" s="153" t="str">
        <f t="shared" ca="1" si="1405"/>
        <v/>
      </c>
      <c r="AF856" s="154" t="str">
        <f t="shared" ca="1" si="1406"/>
        <v/>
      </c>
      <c r="AG856" s="155" t="str">
        <f t="shared" ca="1" si="1407"/>
        <v/>
      </c>
      <c r="AH856" s="155" t="str">
        <f t="shared" ca="1" si="1408"/>
        <v/>
      </c>
      <c r="AI856" s="156" t="str">
        <f t="shared" ca="1" si="1409"/>
        <v/>
      </c>
      <c r="AJ856" s="157" t="str">
        <f t="shared" ca="1" si="1410"/>
        <v/>
      </c>
      <c r="AK856" s="158" t="str">
        <f t="shared" ca="1" si="1374"/>
        <v/>
      </c>
      <c r="AL856" s="158" t="str">
        <f t="shared" ca="1" si="1375"/>
        <v/>
      </c>
      <c r="AM856" s="159" t="str">
        <f t="shared" ca="1" si="1376"/>
        <v/>
      </c>
      <c r="AN856" s="160" t="str">
        <f t="shared" ca="1" si="1411"/>
        <v/>
      </c>
      <c r="AO856" s="161" t="str">
        <f t="shared" ca="1" si="1412"/>
        <v/>
      </c>
      <c r="AP856" s="162" t="str">
        <f t="shared" ca="1" si="1413"/>
        <v/>
      </c>
      <c r="AQ856" s="163" t="str">
        <f t="shared" ca="1" si="1414"/>
        <v/>
      </c>
      <c r="AR856" s="164" t="str">
        <f t="shared" ca="1" si="1415"/>
        <v/>
      </c>
      <c r="AS856" s="164" t="str">
        <f t="shared" ca="1" si="1416"/>
        <v/>
      </c>
      <c r="AT856" s="164" t="str">
        <f t="shared" ca="1" si="1417"/>
        <v/>
      </c>
      <c r="AU856" s="164" t="str">
        <f t="shared" ca="1" si="1418"/>
        <v/>
      </c>
      <c r="AV856" s="164" t="str">
        <f t="shared" ca="1" si="1419"/>
        <v/>
      </c>
      <c r="AW856" s="164" t="str">
        <f t="shared" ca="1" si="1420"/>
        <v/>
      </c>
      <c r="AX856" s="164" t="str">
        <f t="shared" ca="1" si="1421"/>
        <v/>
      </c>
      <c r="AY856" s="164" t="str">
        <f t="shared" ca="1" si="1422"/>
        <v/>
      </c>
      <c r="AZ856" s="164" t="str">
        <f t="shared" ca="1" si="1423"/>
        <v/>
      </c>
      <c r="BA856" s="165" t="str">
        <f t="shared" ca="1" si="1424"/>
        <v>nie</v>
      </c>
      <c r="BB856" s="166" t="str">
        <f t="shared" ca="1" si="1361"/>
        <v>-</v>
      </c>
      <c r="BC856" s="165" t="str">
        <f t="shared" ca="1" si="1395"/>
        <v>nie</v>
      </c>
    </row>
    <row r="857" spans="1:55" ht="14.45" hidden="1" customHeight="1" x14ac:dyDescent="0.25">
      <c r="A857" s="493"/>
      <c r="B857" s="493"/>
      <c r="C857" s="494"/>
      <c r="D857" s="506"/>
      <c r="E857" s="497"/>
      <c r="F857" s="497"/>
      <c r="G857" s="497"/>
      <c r="H857" s="498"/>
      <c r="I857" s="499"/>
      <c r="J857" s="177" t="s">
        <v>100</v>
      </c>
      <c r="K857" s="178">
        <f>SUM(N857:O857)</f>
        <v>0</v>
      </c>
      <c r="L857" s="184">
        <f t="shared" ref="L857:M857" si="1437">L861-L853</f>
        <v>0</v>
      </c>
      <c r="M857" s="180">
        <f t="shared" si="1437"/>
        <v>0</v>
      </c>
      <c r="N857" s="172">
        <f>SUM(L857:M857)</f>
        <v>0</v>
      </c>
      <c r="O857" s="178">
        <f>SUM(P857:Y857)</f>
        <v>0</v>
      </c>
      <c r="P857" s="181">
        <f t="shared" ref="P857:R857" si="1438">P861-P853</f>
        <v>0</v>
      </c>
      <c r="Q857" s="180">
        <f t="shared" si="1438"/>
        <v>0</v>
      </c>
      <c r="R857" s="182">
        <f t="shared" si="1438"/>
        <v>0</v>
      </c>
      <c r="S857" s="183">
        <f t="shared" si="1436"/>
        <v>0</v>
      </c>
      <c r="T857" s="180">
        <f t="shared" si="1436"/>
        <v>0</v>
      </c>
      <c r="U857" s="180">
        <f t="shared" si="1436"/>
        <v>0</v>
      </c>
      <c r="V857" s="180">
        <f t="shared" si="1436"/>
        <v>0</v>
      </c>
      <c r="W857" s="180">
        <f t="shared" si="1436"/>
        <v>0</v>
      </c>
      <c r="X857" s="180">
        <f t="shared" si="1436"/>
        <v>0</v>
      </c>
      <c r="Y857" s="182">
        <f t="shared" si="1436"/>
        <v>0</v>
      </c>
      <c r="Z857" s="149" t="str">
        <f t="shared" ca="1" si="1394"/>
        <v>nie</v>
      </c>
      <c r="AA857" s="366"/>
      <c r="AB857" s="150" t="str">
        <f t="shared" ca="1" si="1360"/>
        <v>-</v>
      </c>
      <c r="AC857" s="151" t="str">
        <f t="shared" ca="1" si="1404"/>
        <v>PROPONOWANA ZMIANA</v>
      </c>
      <c r="AD857" s="152" t="str">
        <f t="shared" ca="1" si="1373"/>
        <v/>
      </c>
      <c r="AE857" s="153" t="str">
        <f t="shared" ca="1" si="1405"/>
        <v/>
      </c>
      <c r="AF857" s="154" t="str">
        <f t="shared" ca="1" si="1406"/>
        <v/>
      </c>
      <c r="AG857" s="155" t="str">
        <f t="shared" ca="1" si="1407"/>
        <v/>
      </c>
      <c r="AH857" s="155" t="str">
        <f t="shared" ca="1" si="1408"/>
        <v/>
      </c>
      <c r="AI857" s="156" t="str">
        <f t="shared" ca="1" si="1409"/>
        <v/>
      </c>
      <c r="AJ857" s="157" t="str">
        <f t="shared" ca="1" si="1410"/>
        <v/>
      </c>
      <c r="AK857" s="158" t="str">
        <f t="shared" ca="1" si="1374"/>
        <v/>
      </c>
      <c r="AL857" s="158" t="str">
        <f t="shared" ca="1" si="1375"/>
        <v/>
      </c>
      <c r="AM857" s="159" t="str">
        <f t="shared" ca="1" si="1376"/>
        <v/>
      </c>
      <c r="AN857" s="160" t="str">
        <f t="shared" ca="1" si="1411"/>
        <v/>
      </c>
      <c r="AO857" s="161" t="str">
        <f t="shared" ca="1" si="1412"/>
        <v/>
      </c>
      <c r="AP857" s="162" t="str">
        <f t="shared" ca="1" si="1413"/>
        <v/>
      </c>
      <c r="AQ857" s="163" t="str">
        <f t="shared" ca="1" si="1414"/>
        <v/>
      </c>
      <c r="AR857" s="164" t="str">
        <f t="shared" ca="1" si="1415"/>
        <v/>
      </c>
      <c r="AS857" s="164" t="str">
        <f t="shared" ca="1" si="1416"/>
        <v/>
      </c>
      <c r="AT857" s="164" t="str">
        <f t="shared" ca="1" si="1417"/>
        <v/>
      </c>
      <c r="AU857" s="164" t="str">
        <f t="shared" ca="1" si="1418"/>
        <v/>
      </c>
      <c r="AV857" s="164" t="str">
        <f t="shared" ca="1" si="1419"/>
        <v/>
      </c>
      <c r="AW857" s="164" t="str">
        <f t="shared" ca="1" si="1420"/>
        <v/>
      </c>
      <c r="AX857" s="164" t="str">
        <f t="shared" ca="1" si="1421"/>
        <v/>
      </c>
      <c r="AY857" s="164" t="str">
        <f t="shared" ca="1" si="1422"/>
        <v/>
      </c>
      <c r="AZ857" s="164" t="str">
        <f t="shared" ca="1" si="1423"/>
        <v/>
      </c>
      <c r="BA857" s="165" t="str">
        <f t="shared" ca="1" si="1424"/>
        <v>nie</v>
      </c>
      <c r="BB857" s="166" t="str">
        <f t="shared" ca="1" si="1361"/>
        <v>-</v>
      </c>
      <c r="BC857" s="165" t="str">
        <f t="shared" ca="1" si="1395"/>
        <v>nie</v>
      </c>
    </row>
    <row r="858" spans="1:55" ht="14.45" hidden="1" customHeight="1" x14ac:dyDescent="0.25">
      <c r="A858" s="191" t="s">
        <v>101</v>
      </c>
      <c r="B858" s="192"/>
      <c r="C858" s="193"/>
      <c r="D858" s="192"/>
      <c r="E858" s="192"/>
      <c r="F858" s="192"/>
      <c r="G858" s="192"/>
      <c r="H858" s="192"/>
      <c r="I858" s="192"/>
      <c r="J858" s="192"/>
      <c r="K858" s="192"/>
      <c r="L858" s="192"/>
      <c r="M858" s="192"/>
      <c r="N858" s="192"/>
      <c r="O858" s="192"/>
      <c r="P858" s="192"/>
      <c r="Q858" s="192"/>
      <c r="R858" s="194"/>
      <c r="S858" s="195"/>
      <c r="T858" s="195"/>
      <c r="U858" s="195"/>
      <c r="V858" s="195"/>
      <c r="W858" s="195"/>
      <c r="X858" s="195"/>
      <c r="Y858" s="196"/>
      <c r="Z858" s="149" t="str">
        <f t="shared" ca="1" si="1394"/>
        <v>nie</v>
      </c>
      <c r="AA858" s="366"/>
      <c r="AB858" s="150" t="str">
        <f t="shared" ca="1" si="1360"/>
        <v>-</v>
      </c>
      <c r="AC858" s="151" t="str">
        <f t="shared" ca="1" si="1404"/>
        <v>PO ZMIANIE</v>
      </c>
      <c r="AD858" s="152" t="str">
        <f t="shared" ca="1" si="1373"/>
        <v/>
      </c>
      <c r="AE858" s="153" t="str">
        <f t="shared" ca="1" si="1405"/>
        <v/>
      </c>
      <c r="AF858" s="154" t="str">
        <f t="shared" ca="1" si="1406"/>
        <v/>
      </c>
      <c r="AG858" s="155" t="str">
        <f t="shared" ca="1" si="1407"/>
        <v/>
      </c>
      <c r="AH858" s="155" t="str">
        <f t="shared" ca="1" si="1408"/>
        <v/>
      </c>
      <c r="AI858" s="156" t="str">
        <f t="shared" ca="1" si="1409"/>
        <v/>
      </c>
      <c r="AJ858" s="157" t="str">
        <f t="shared" ca="1" si="1410"/>
        <v/>
      </c>
      <c r="AK858" s="158" t="str">
        <f t="shared" ca="1" si="1374"/>
        <v/>
      </c>
      <c r="AL858" s="158" t="str">
        <f t="shared" ca="1" si="1375"/>
        <v/>
      </c>
      <c r="AM858" s="159" t="str">
        <f t="shared" ca="1" si="1376"/>
        <v/>
      </c>
      <c r="AN858" s="160" t="str">
        <f t="shared" ca="1" si="1411"/>
        <v/>
      </c>
      <c r="AO858" s="161" t="str">
        <f t="shared" ca="1" si="1412"/>
        <v/>
      </c>
      <c r="AP858" s="162" t="str">
        <f t="shared" ca="1" si="1413"/>
        <v/>
      </c>
      <c r="AQ858" s="163" t="str">
        <f t="shared" ca="1" si="1414"/>
        <v/>
      </c>
      <c r="AR858" s="164" t="str">
        <f t="shared" ca="1" si="1415"/>
        <v/>
      </c>
      <c r="AS858" s="164" t="str">
        <f t="shared" ca="1" si="1416"/>
        <v/>
      </c>
      <c r="AT858" s="164" t="str">
        <f t="shared" ca="1" si="1417"/>
        <v/>
      </c>
      <c r="AU858" s="164" t="str">
        <f t="shared" ca="1" si="1418"/>
        <v/>
      </c>
      <c r="AV858" s="164" t="str">
        <f t="shared" ca="1" si="1419"/>
        <v/>
      </c>
      <c r="AW858" s="164" t="str">
        <f t="shared" ca="1" si="1420"/>
        <v/>
      </c>
      <c r="AX858" s="164" t="str">
        <f t="shared" ca="1" si="1421"/>
        <v/>
      </c>
      <c r="AY858" s="164" t="str">
        <f t="shared" ca="1" si="1422"/>
        <v/>
      </c>
      <c r="AZ858" s="164" t="str">
        <f t="shared" ca="1" si="1423"/>
        <v/>
      </c>
      <c r="BA858" s="165" t="str">
        <f t="shared" ca="1" si="1424"/>
        <v>nie</v>
      </c>
      <c r="BB858" s="166" t="str">
        <f t="shared" ca="1" si="1361"/>
        <v>-</v>
      </c>
      <c r="BC858" s="165" t="str">
        <f t="shared" ca="1" si="1395"/>
        <v>nie</v>
      </c>
    </row>
    <row r="859" spans="1:55" ht="14.45" hidden="1" customHeight="1" x14ac:dyDescent="0.25">
      <c r="A859" s="493"/>
      <c r="B859" s="493"/>
      <c r="C859" s="494"/>
      <c r="D859" s="505"/>
      <c r="E859" s="497"/>
      <c r="F859" s="497"/>
      <c r="G859" s="497"/>
      <c r="H859" s="498"/>
      <c r="I859" s="499" t="str">
        <f ca="1">IF(COUNTIF(OFFSET(I859,-1,-8),"*propon*")&gt;0,OFFSET(I859,4,0),IF(Y859&gt;0,"2033",IF(X859&gt;0,"2032",IF(W859&gt;0,"2031",IF(V859&gt;0,"2030",IF(U859&gt;0,"2029",IF(T859&gt;0,"2028",IF(S859&gt;0,"2027",IF(R859&gt;0,"2026",IF(Q859&gt;0,"2025",IF(P859&gt;0,"2024",IF(M859&gt;0,"2023",IF(L859&gt;0,"2022","")))))))))))))</f>
        <v/>
      </c>
      <c r="J859" s="168" t="s">
        <v>102</v>
      </c>
      <c r="K859" s="169">
        <f>SUM(N859:O859)</f>
        <v>0</v>
      </c>
      <c r="L859" s="170">
        <f t="shared" ref="L859:M859" si="1439">SUM(L860:L861)</f>
        <v>0</v>
      </c>
      <c r="M859" s="171">
        <f t="shared" si="1439"/>
        <v>0</v>
      </c>
      <c r="N859" s="172">
        <f>SUM(L859:M859)</f>
        <v>0</v>
      </c>
      <c r="O859" s="169">
        <f>SUM(P859:Y859)</f>
        <v>0</v>
      </c>
      <c r="P859" s="173">
        <f t="shared" ref="P859:R859" si="1440">SUM(P860:P861)</f>
        <v>0</v>
      </c>
      <c r="Q859" s="171">
        <f t="shared" si="1440"/>
        <v>0</v>
      </c>
      <c r="R859" s="174">
        <f t="shared" si="1440"/>
        <v>0</v>
      </c>
      <c r="S859" s="175">
        <f t="shared" ref="S859:Y859" si="1441">SUM(S860:S861)</f>
        <v>0</v>
      </c>
      <c r="T859" s="171">
        <f t="shared" si="1441"/>
        <v>0</v>
      </c>
      <c r="U859" s="171">
        <f t="shared" si="1441"/>
        <v>0</v>
      </c>
      <c r="V859" s="171">
        <f t="shared" si="1441"/>
        <v>0</v>
      </c>
      <c r="W859" s="171">
        <f t="shared" si="1441"/>
        <v>0</v>
      </c>
      <c r="X859" s="171">
        <f t="shared" si="1441"/>
        <v>0</v>
      </c>
      <c r="Y859" s="174">
        <f t="shared" si="1441"/>
        <v>0</v>
      </c>
      <c r="Z859" s="149" t="str">
        <f t="shared" ca="1" si="1394"/>
        <v>nie</v>
      </c>
      <c r="AA859" s="366"/>
      <c r="AB859" s="150" t="str">
        <f t="shared" ca="1" si="1360"/>
        <v>-</v>
      </c>
      <c r="AC859" s="151" t="str">
        <f t="shared" ca="1" si="1404"/>
        <v>PO ZMIANIE</v>
      </c>
      <c r="AD859" s="152" t="str">
        <f t="shared" ca="1" si="1373"/>
        <v/>
      </c>
      <c r="AE859" s="153" t="str">
        <f t="shared" ca="1" si="1405"/>
        <v/>
      </c>
      <c r="AF859" s="154" t="str">
        <f t="shared" ca="1" si="1406"/>
        <v/>
      </c>
      <c r="AG859" s="155" t="str">
        <f t="shared" ca="1" si="1407"/>
        <v/>
      </c>
      <c r="AH859" s="155" t="str">
        <f t="shared" ca="1" si="1408"/>
        <v/>
      </c>
      <c r="AI859" s="156" t="str">
        <f t="shared" ca="1" si="1409"/>
        <v/>
      </c>
      <c r="AJ859" s="157" t="str">
        <f t="shared" ca="1" si="1410"/>
        <v/>
      </c>
      <c r="AK859" s="158" t="str">
        <f t="shared" ca="1" si="1374"/>
        <v/>
      </c>
      <c r="AL859" s="158" t="str">
        <f t="shared" ca="1" si="1375"/>
        <v/>
      </c>
      <c r="AM859" s="159" t="str">
        <f t="shared" ca="1" si="1376"/>
        <v/>
      </c>
      <c r="AN859" s="160" t="str">
        <f t="shared" ca="1" si="1411"/>
        <v/>
      </c>
      <c r="AO859" s="161" t="str">
        <f t="shared" ca="1" si="1412"/>
        <v/>
      </c>
      <c r="AP859" s="162" t="str">
        <f t="shared" ca="1" si="1413"/>
        <v/>
      </c>
      <c r="AQ859" s="163" t="str">
        <f t="shared" ca="1" si="1414"/>
        <v/>
      </c>
      <c r="AR859" s="164" t="str">
        <f t="shared" ca="1" si="1415"/>
        <v/>
      </c>
      <c r="AS859" s="164" t="str">
        <f t="shared" ca="1" si="1416"/>
        <v/>
      </c>
      <c r="AT859" s="164" t="str">
        <f t="shared" ca="1" si="1417"/>
        <v/>
      </c>
      <c r="AU859" s="164" t="str">
        <f t="shared" ca="1" si="1418"/>
        <v/>
      </c>
      <c r="AV859" s="164" t="str">
        <f t="shared" ca="1" si="1419"/>
        <v/>
      </c>
      <c r="AW859" s="164" t="str">
        <f t="shared" ca="1" si="1420"/>
        <v/>
      </c>
      <c r="AX859" s="164" t="str">
        <f t="shared" ca="1" si="1421"/>
        <v/>
      </c>
      <c r="AY859" s="164" t="str">
        <f t="shared" ca="1" si="1422"/>
        <v/>
      </c>
      <c r="AZ859" s="164" t="str">
        <f t="shared" ca="1" si="1423"/>
        <v/>
      </c>
      <c r="BA859" s="165" t="str">
        <f t="shared" ca="1" si="1424"/>
        <v>nie</v>
      </c>
      <c r="BB859" s="166" t="str">
        <f t="shared" ca="1" si="1361"/>
        <v>-</v>
      </c>
      <c r="BC859" s="165" t="str">
        <f t="shared" ca="1" si="1395"/>
        <v>nie</v>
      </c>
    </row>
    <row r="860" spans="1:55" ht="14.45" hidden="1" customHeight="1" x14ac:dyDescent="0.25">
      <c r="A860" s="493"/>
      <c r="B860" s="493"/>
      <c r="C860" s="494"/>
      <c r="D860" s="506"/>
      <c r="E860" s="497"/>
      <c r="F860" s="497"/>
      <c r="G860" s="497"/>
      <c r="H860" s="498"/>
      <c r="I860" s="499"/>
      <c r="J860" s="177" t="s">
        <v>103</v>
      </c>
      <c r="K860" s="178">
        <f>SUM(N860:O860)</f>
        <v>0</v>
      </c>
      <c r="L860" s="179"/>
      <c r="M860" s="180"/>
      <c r="N860" s="172">
        <f>SUM(L860:M860)</f>
        <v>0</v>
      </c>
      <c r="O860" s="178">
        <f>SUM(P860:Y860)</f>
        <v>0</v>
      </c>
      <c r="P860" s="181"/>
      <c r="Q860" s="180"/>
      <c r="R860" s="182"/>
      <c r="S860" s="183"/>
      <c r="T860" s="180"/>
      <c r="U860" s="180"/>
      <c r="V860" s="180"/>
      <c r="W860" s="180"/>
      <c r="X860" s="180"/>
      <c r="Y860" s="182"/>
      <c r="Z860" s="149" t="str">
        <f t="shared" ca="1" si="1394"/>
        <v>nie</v>
      </c>
      <c r="AA860" s="366"/>
      <c r="AB860" s="150" t="str">
        <f t="shared" ca="1" si="1360"/>
        <v>-</v>
      </c>
      <c r="AC860" s="151" t="str">
        <f t="shared" ca="1" si="1404"/>
        <v>PO ZMIANIE</v>
      </c>
      <c r="AD860" s="152" t="str">
        <f t="shared" ca="1" si="1373"/>
        <v/>
      </c>
      <c r="AE860" s="153" t="str">
        <f t="shared" ca="1" si="1405"/>
        <v/>
      </c>
      <c r="AF860" s="154" t="str">
        <f t="shared" ca="1" si="1406"/>
        <v/>
      </c>
      <c r="AG860" s="155" t="str">
        <f t="shared" ca="1" si="1407"/>
        <v/>
      </c>
      <c r="AH860" s="155" t="str">
        <f t="shared" ca="1" si="1408"/>
        <v/>
      </c>
      <c r="AI860" s="156" t="str">
        <f t="shared" ca="1" si="1409"/>
        <v/>
      </c>
      <c r="AJ860" s="157" t="str">
        <f t="shared" ca="1" si="1410"/>
        <v/>
      </c>
      <c r="AK860" s="158" t="str">
        <f t="shared" ca="1" si="1374"/>
        <v/>
      </c>
      <c r="AL860" s="158" t="str">
        <f t="shared" ca="1" si="1375"/>
        <v/>
      </c>
      <c r="AM860" s="159" t="str">
        <f t="shared" ca="1" si="1376"/>
        <v/>
      </c>
      <c r="AN860" s="160" t="str">
        <f t="shared" ca="1" si="1411"/>
        <v/>
      </c>
      <c r="AO860" s="161" t="str">
        <f t="shared" ca="1" si="1412"/>
        <v/>
      </c>
      <c r="AP860" s="162" t="str">
        <f t="shared" ca="1" si="1413"/>
        <v/>
      </c>
      <c r="AQ860" s="163" t="str">
        <f t="shared" ca="1" si="1414"/>
        <v/>
      </c>
      <c r="AR860" s="164" t="str">
        <f t="shared" ca="1" si="1415"/>
        <v/>
      </c>
      <c r="AS860" s="164" t="str">
        <f t="shared" ca="1" si="1416"/>
        <v/>
      </c>
      <c r="AT860" s="164" t="str">
        <f t="shared" ca="1" si="1417"/>
        <v/>
      </c>
      <c r="AU860" s="164" t="str">
        <f t="shared" ca="1" si="1418"/>
        <v/>
      </c>
      <c r="AV860" s="164" t="str">
        <f t="shared" ca="1" si="1419"/>
        <v/>
      </c>
      <c r="AW860" s="164" t="str">
        <f t="shared" ca="1" si="1420"/>
        <v/>
      </c>
      <c r="AX860" s="164" t="str">
        <f t="shared" ca="1" si="1421"/>
        <v/>
      </c>
      <c r="AY860" s="164" t="str">
        <f t="shared" ca="1" si="1422"/>
        <v/>
      </c>
      <c r="AZ860" s="164" t="str">
        <f t="shared" ca="1" si="1423"/>
        <v/>
      </c>
      <c r="BA860" s="165" t="str">
        <f t="shared" ca="1" si="1424"/>
        <v>nie</v>
      </c>
      <c r="BB860" s="166" t="str">
        <f t="shared" ca="1" si="1361"/>
        <v>-</v>
      </c>
      <c r="BC860" s="165" t="str">
        <f t="shared" ca="1" si="1395"/>
        <v>nie</v>
      </c>
    </row>
    <row r="861" spans="1:55" ht="14.45" hidden="1" customHeight="1" thickBot="1" x14ac:dyDescent="0.3">
      <c r="A861" s="500"/>
      <c r="B861" s="500"/>
      <c r="C861" s="501"/>
      <c r="D861" s="513"/>
      <c r="E861" s="503"/>
      <c r="F861" s="503"/>
      <c r="G861" s="503"/>
      <c r="H861" s="504"/>
      <c r="I861" s="499"/>
      <c r="J861" s="197" t="s">
        <v>104</v>
      </c>
      <c r="K861" s="198">
        <f>SUM(N861:O861)</f>
        <v>0</v>
      </c>
      <c r="L861" s="199"/>
      <c r="M861" s="200"/>
      <c r="N861" s="371">
        <f>SUM(L861:M861)</f>
        <v>0</v>
      </c>
      <c r="O861" s="198">
        <f>SUM(P861:Y861)</f>
        <v>0</v>
      </c>
      <c r="P861" s="201"/>
      <c r="Q861" s="200"/>
      <c r="R861" s="202"/>
      <c r="S861" s="203"/>
      <c r="T861" s="200"/>
      <c r="U861" s="200"/>
      <c r="V861" s="200"/>
      <c r="W861" s="200"/>
      <c r="X861" s="200"/>
      <c r="Y861" s="202"/>
      <c r="Z861" s="149" t="str">
        <f t="shared" ca="1" si="1394"/>
        <v>nie</v>
      </c>
      <c r="AA861" s="366"/>
      <c r="AB861" s="150" t="str">
        <f t="shared" ca="1" si="1360"/>
        <v>-</v>
      </c>
      <c r="AC861" s="151" t="str">
        <f t="shared" ca="1" si="1404"/>
        <v>PO ZMIANIE</v>
      </c>
      <c r="AD861" s="152" t="str">
        <f t="shared" ca="1" si="1373"/>
        <v/>
      </c>
      <c r="AE861" s="153" t="str">
        <f t="shared" ca="1" si="1405"/>
        <v/>
      </c>
      <c r="AF861" s="154" t="str">
        <f t="shared" ca="1" si="1406"/>
        <v/>
      </c>
      <c r="AG861" s="155" t="str">
        <f t="shared" ca="1" si="1407"/>
        <v/>
      </c>
      <c r="AH861" s="155" t="str">
        <f t="shared" ca="1" si="1408"/>
        <v/>
      </c>
      <c r="AI861" s="156" t="str">
        <f t="shared" ca="1" si="1409"/>
        <v/>
      </c>
      <c r="AJ861" s="157" t="str">
        <f t="shared" ca="1" si="1410"/>
        <v/>
      </c>
      <c r="AK861" s="158" t="str">
        <f t="shared" ca="1" si="1374"/>
        <v/>
      </c>
      <c r="AL861" s="158" t="str">
        <f t="shared" ca="1" si="1375"/>
        <v/>
      </c>
      <c r="AM861" s="159" t="str">
        <f t="shared" ca="1" si="1376"/>
        <v/>
      </c>
      <c r="AN861" s="160" t="str">
        <f t="shared" ca="1" si="1411"/>
        <v/>
      </c>
      <c r="AO861" s="161" t="str">
        <f t="shared" ca="1" si="1412"/>
        <v/>
      </c>
      <c r="AP861" s="162" t="str">
        <f t="shared" ca="1" si="1413"/>
        <v/>
      </c>
      <c r="AQ861" s="163" t="str">
        <f t="shared" ca="1" si="1414"/>
        <v/>
      </c>
      <c r="AR861" s="164" t="str">
        <f t="shared" ca="1" si="1415"/>
        <v/>
      </c>
      <c r="AS861" s="164" t="str">
        <f t="shared" ca="1" si="1416"/>
        <v/>
      </c>
      <c r="AT861" s="164" t="str">
        <f t="shared" ca="1" si="1417"/>
        <v/>
      </c>
      <c r="AU861" s="164" t="str">
        <f t="shared" ca="1" si="1418"/>
        <v/>
      </c>
      <c r="AV861" s="164" t="str">
        <f t="shared" ca="1" si="1419"/>
        <v/>
      </c>
      <c r="AW861" s="164" t="str">
        <f t="shared" ca="1" si="1420"/>
        <v/>
      </c>
      <c r="AX861" s="164" t="str">
        <f t="shared" ca="1" si="1421"/>
        <v/>
      </c>
      <c r="AY861" s="164" t="str">
        <f t="shared" ca="1" si="1422"/>
        <v/>
      </c>
      <c r="AZ861" s="164" t="str">
        <f t="shared" ca="1" si="1423"/>
        <v/>
      </c>
      <c r="BA861" s="165" t="str">
        <f t="shared" ca="1" si="1424"/>
        <v>nie</v>
      </c>
      <c r="BB861" s="166" t="str">
        <f t="shared" ca="1" si="1361"/>
        <v>-</v>
      </c>
      <c r="BC861" s="165" t="str">
        <f t="shared" ca="1" si="1395"/>
        <v>nie</v>
      </c>
    </row>
    <row r="862" spans="1:55" ht="14.45" hidden="1" customHeight="1" x14ac:dyDescent="0.25">
      <c r="A862" s="143" t="s">
        <v>91</v>
      </c>
      <c r="B862" s="144"/>
      <c r="C862" s="145"/>
      <c r="D862" s="144"/>
      <c r="E862" s="144"/>
      <c r="F862" s="144"/>
      <c r="G862" s="144"/>
      <c r="H862" s="144"/>
      <c r="I862" s="144"/>
      <c r="J862" s="144"/>
      <c r="K862" s="144"/>
      <c r="L862" s="144"/>
      <c r="M862" s="144"/>
      <c r="N862" s="144"/>
      <c r="O862" s="144"/>
      <c r="P862" s="144"/>
      <c r="Q862" s="144"/>
      <c r="R862" s="146"/>
      <c r="S862" s="147"/>
      <c r="T862" s="147"/>
      <c r="U862" s="147"/>
      <c r="V862" s="147"/>
      <c r="W862" s="147"/>
      <c r="X862" s="147"/>
      <c r="Y862" s="148"/>
      <c r="Z862" s="149" t="str">
        <f t="shared" ca="1" si="1394"/>
        <v>nie</v>
      </c>
      <c r="AA862" s="366"/>
      <c r="AB862" s="150" t="str">
        <f t="shared" ca="1" si="1360"/>
        <v>-</v>
      </c>
      <c r="AC862" s="151" t="str">
        <f t="shared" ca="1" si="1404"/>
        <v>PRZED ZMIANĄ</v>
      </c>
      <c r="AD862" s="152" t="str">
        <f t="shared" ca="1" si="1373"/>
        <v/>
      </c>
      <c r="AE862" s="153" t="str">
        <f t="shared" ca="1" si="1405"/>
        <v/>
      </c>
      <c r="AF862" s="154" t="str">
        <f t="shared" ca="1" si="1406"/>
        <v/>
      </c>
      <c r="AG862" s="155" t="str">
        <f t="shared" ca="1" si="1407"/>
        <v/>
      </c>
      <c r="AH862" s="155" t="str">
        <f t="shared" ca="1" si="1408"/>
        <v/>
      </c>
      <c r="AI862" s="156" t="str">
        <f t="shared" ca="1" si="1409"/>
        <v/>
      </c>
      <c r="AJ862" s="157" t="str">
        <f t="shared" ca="1" si="1410"/>
        <v/>
      </c>
      <c r="AK862" s="158" t="str">
        <f t="shared" ca="1" si="1374"/>
        <v/>
      </c>
      <c r="AL862" s="158" t="str">
        <f t="shared" ca="1" si="1375"/>
        <v/>
      </c>
      <c r="AM862" s="159" t="str">
        <f t="shared" ca="1" si="1376"/>
        <v/>
      </c>
      <c r="AN862" s="160" t="str">
        <f t="shared" ca="1" si="1411"/>
        <v/>
      </c>
      <c r="AO862" s="161" t="str">
        <f t="shared" ca="1" si="1412"/>
        <v/>
      </c>
      <c r="AP862" s="162" t="str">
        <f t="shared" ca="1" si="1413"/>
        <v/>
      </c>
      <c r="AQ862" s="163" t="str">
        <f t="shared" ca="1" si="1414"/>
        <v/>
      </c>
      <c r="AR862" s="164" t="str">
        <f t="shared" ca="1" si="1415"/>
        <v/>
      </c>
      <c r="AS862" s="164" t="str">
        <f t="shared" ca="1" si="1416"/>
        <v/>
      </c>
      <c r="AT862" s="164" t="str">
        <f t="shared" ca="1" si="1417"/>
        <v/>
      </c>
      <c r="AU862" s="164" t="str">
        <f t="shared" ca="1" si="1418"/>
        <v/>
      </c>
      <c r="AV862" s="164" t="str">
        <f t="shared" ca="1" si="1419"/>
        <v/>
      </c>
      <c r="AW862" s="164" t="str">
        <f t="shared" ca="1" si="1420"/>
        <v/>
      </c>
      <c r="AX862" s="164" t="str">
        <f t="shared" ca="1" si="1421"/>
        <v/>
      </c>
      <c r="AY862" s="164" t="str">
        <f t="shared" ca="1" si="1422"/>
        <v/>
      </c>
      <c r="AZ862" s="164" t="str">
        <f t="shared" ca="1" si="1423"/>
        <v/>
      </c>
      <c r="BA862" s="165" t="str">
        <f t="shared" ca="1" si="1424"/>
        <v>nie</v>
      </c>
      <c r="BB862" s="166" t="str">
        <f t="shared" ca="1" si="1361"/>
        <v>-</v>
      </c>
      <c r="BC862" s="165" t="str">
        <f t="shared" ca="1" si="1395"/>
        <v>nie</v>
      </c>
    </row>
    <row r="863" spans="1:55" ht="14.45" hidden="1" customHeight="1" x14ac:dyDescent="0.25">
      <c r="A863" s="493"/>
      <c r="B863" s="493"/>
      <c r="C863" s="494"/>
      <c r="D863" s="505"/>
      <c r="E863" s="497"/>
      <c r="F863" s="497"/>
      <c r="G863" s="497"/>
      <c r="H863" s="498"/>
      <c r="I863" s="499" t="str">
        <f ca="1">IF(COUNTIF(OFFSET(I863,-1,-8),"*propon*")&gt;0,OFFSET(I863,4,0),IF(Y863&gt;0,"2033",IF(X863&gt;0,"2032",IF(W863&gt;0,"2031",IF(V863&gt;0,"2030",IF(U863&gt;0,"2029",IF(T863&gt;0,"2028",IF(S863&gt;0,"2027",IF(R863&gt;0,"2026",IF(Q863&gt;0,"2025",IF(P863&gt;0,"2024",IF(M863&gt;0,"2023",IF(L863&gt;0,"2022","")))))))))))))</f>
        <v/>
      </c>
      <c r="J863" s="168" t="s">
        <v>94</v>
      </c>
      <c r="K863" s="169">
        <f>SUM(N863:O863)</f>
        <v>0</v>
      </c>
      <c r="L863" s="170">
        <f t="shared" ref="L863:M863" si="1442">SUM(L864:L865)</f>
        <v>0</v>
      </c>
      <c r="M863" s="171">
        <f t="shared" si="1442"/>
        <v>0</v>
      </c>
      <c r="N863" s="172">
        <f>SUM(L863:M863)</f>
        <v>0</v>
      </c>
      <c r="O863" s="169">
        <f>SUM(P863:Y863)</f>
        <v>0</v>
      </c>
      <c r="P863" s="173">
        <f t="shared" ref="P863:R863" si="1443">SUM(P864:P865)</f>
        <v>0</v>
      </c>
      <c r="Q863" s="171">
        <f t="shared" si="1443"/>
        <v>0</v>
      </c>
      <c r="R863" s="174">
        <f t="shared" si="1443"/>
        <v>0</v>
      </c>
      <c r="S863" s="175">
        <f t="shared" ref="S863:Y863" si="1444">SUM(S864:S865)</f>
        <v>0</v>
      </c>
      <c r="T863" s="171">
        <f t="shared" si="1444"/>
        <v>0</v>
      </c>
      <c r="U863" s="171">
        <f t="shared" si="1444"/>
        <v>0</v>
      </c>
      <c r="V863" s="171">
        <f t="shared" si="1444"/>
        <v>0</v>
      </c>
      <c r="W863" s="171">
        <f t="shared" si="1444"/>
        <v>0</v>
      </c>
      <c r="X863" s="171">
        <f t="shared" si="1444"/>
        <v>0</v>
      </c>
      <c r="Y863" s="174">
        <f t="shared" si="1444"/>
        <v>0</v>
      </c>
      <c r="Z863" s="149" t="str">
        <f t="shared" ca="1" si="1394"/>
        <v>nie</v>
      </c>
      <c r="AA863" s="366"/>
      <c r="AB863" s="150" t="str">
        <f t="shared" ca="1" si="1360"/>
        <v>-</v>
      </c>
      <c r="AC863" s="151" t="str">
        <f t="shared" ca="1" si="1404"/>
        <v>PRZED ZMIANĄ</v>
      </c>
      <c r="AD863" s="152" t="str">
        <f t="shared" ca="1" si="1373"/>
        <v/>
      </c>
      <c r="AE863" s="153" t="str">
        <f t="shared" ca="1" si="1405"/>
        <v/>
      </c>
      <c r="AF863" s="154" t="str">
        <f t="shared" ca="1" si="1406"/>
        <v/>
      </c>
      <c r="AG863" s="155" t="str">
        <f t="shared" ca="1" si="1407"/>
        <v/>
      </c>
      <c r="AH863" s="155" t="str">
        <f t="shared" ca="1" si="1408"/>
        <v/>
      </c>
      <c r="AI863" s="156" t="str">
        <f t="shared" ca="1" si="1409"/>
        <v/>
      </c>
      <c r="AJ863" s="157" t="str">
        <f t="shared" ca="1" si="1410"/>
        <v/>
      </c>
      <c r="AK863" s="158" t="str">
        <f t="shared" ca="1" si="1374"/>
        <v/>
      </c>
      <c r="AL863" s="158" t="str">
        <f t="shared" ca="1" si="1375"/>
        <v/>
      </c>
      <c r="AM863" s="159" t="str">
        <f t="shared" ca="1" si="1376"/>
        <v/>
      </c>
      <c r="AN863" s="160" t="str">
        <f t="shared" ca="1" si="1411"/>
        <v/>
      </c>
      <c r="AO863" s="161" t="str">
        <f t="shared" ca="1" si="1412"/>
        <v/>
      </c>
      <c r="AP863" s="162" t="str">
        <f t="shared" ca="1" si="1413"/>
        <v/>
      </c>
      <c r="AQ863" s="163" t="str">
        <f t="shared" ca="1" si="1414"/>
        <v/>
      </c>
      <c r="AR863" s="164" t="str">
        <f t="shared" ca="1" si="1415"/>
        <v/>
      </c>
      <c r="AS863" s="164" t="str">
        <f t="shared" ca="1" si="1416"/>
        <v/>
      </c>
      <c r="AT863" s="164" t="str">
        <f t="shared" ca="1" si="1417"/>
        <v/>
      </c>
      <c r="AU863" s="164" t="str">
        <f t="shared" ca="1" si="1418"/>
        <v/>
      </c>
      <c r="AV863" s="164" t="str">
        <f t="shared" ca="1" si="1419"/>
        <v/>
      </c>
      <c r="AW863" s="164" t="str">
        <f t="shared" ca="1" si="1420"/>
        <v/>
      </c>
      <c r="AX863" s="164" t="str">
        <f t="shared" ca="1" si="1421"/>
        <v/>
      </c>
      <c r="AY863" s="164" t="str">
        <f t="shared" ca="1" si="1422"/>
        <v/>
      </c>
      <c r="AZ863" s="164" t="str">
        <f t="shared" ca="1" si="1423"/>
        <v/>
      </c>
      <c r="BA863" s="165" t="str">
        <f t="shared" ca="1" si="1424"/>
        <v>nie</v>
      </c>
      <c r="BB863" s="166" t="str">
        <f t="shared" ca="1" si="1361"/>
        <v>-</v>
      </c>
      <c r="BC863" s="165" t="str">
        <f t="shared" ca="1" si="1395"/>
        <v>nie</v>
      </c>
    </row>
    <row r="864" spans="1:55" ht="14.45" hidden="1" customHeight="1" x14ac:dyDescent="0.25">
      <c r="A864" s="493"/>
      <c r="B864" s="493"/>
      <c r="C864" s="494"/>
      <c r="D864" s="506"/>
      <c r="E864" s="497"/>
      <c r="F864" s="497"/>
      <c r="G864" s="497"/>
      <c r="H864" s="498"/>
      <c r="I864" s="499"/>
      <c r="J864" s="177" t="s">
        <v>95</v>
      </c>
      <c r="K864" s="178">
        <f>SUM(N864:O864)</f>
        <v>0</v>
      </c>
      <c r="L864" s="179"/>
      <c r="M864" s="180"/>
      <c r="N864" s="172">
        <f>SUM(L864:M864)</f>
        <v>0</v>
      </c>
      <c r="O864" s="178">
        <f>SUM(P864:Y864)</f>
        <v>0</v>
      </c>
      <c r="P864" s="181"/>
      <c r="Q864" s="180"/>
      <c r="R864" s="182"/>
      <c r="S864" s="183"/>
      <c r="T864" s="180"/>
      <c r="U864" s="180"/>
      <c r="V864" s="180"/>
      <c r="W864" s="180"/>
      <c r="X864" s="180"/>
      <c r="Y864" s="182"/>
      <c r="Z864" s="149" t="str">
        <f t="shared" ca="1" si="1394"/>
        <v>nie</v>
      </c>
      <c r="AA864" s="366"/>
      <c r="AB864" s="150" t="str">
        <f t="shared" ca="1" si="1360"/>
        <v>-</v>
      </c>
      <c r="AC864" s="151" t="str">
        <f t="shared" ca="1" si="1404"/>
        <v>PRZED ZMIANĄ</v>
      </c>
      <c r="AD864" s="152" t="str">
        <f t="shared" ca="1" si="1373"/>
        <v/>
      </c>
      <c r="AE864" s="153" t="str">
        <f t="shared" ca="1" si="1405"/>
        <v/>
      </c>
      <c r="AF864" s="154" t="str">
        <f t="shared" ca="1" si="1406"/>
        <v/>
      </c>
      <c r="AG864" s="155" t="str">
        <f t="shared" ca="1" si="1407"/>
        <v/>
      </c>
      <c r="AH864" s="155" t="str">
        <f t="shared" ca="1" si="1408"/>
        <v/>
      </c>
      <c r="AI864" s="156" t="str">
        <f t="shared" ca="1" si="1409"/>
        <v/>
      </c>
      <c r="AJ864" s="157" t="str">
        <f t="shared" ca="1" si="1410"/>
        <v/>
      </c>
      <c r="AK864" s="158" t="str">
        <f t="shared" ca="1" si="1374"/>
        <v/>
      </c>
      <c r="AL864" s="158" t="str">
        <f t="shared" ca="1" si="1375"/>
        <v/>
      </c>
      <c r="AM864" s="159" t="str">
        <f t="shared" ca="1" si="1376"/>
        <v/>
      </c>
      <c r="AN864" s="160" t="str">
        <f t="shared" ca="1" si="1411"/>
        <v/>
      </c>
      <c r="AO864" s="161" t="str">
        <f t="shared" ca="1" si="1412"/>
        <v/>
      </c>
      <c r="AP864" s="162" t="str">
        <f t="shared" ca="1" si="1413"/>
        <v/>
      </c>
      <c r="AQ864" s="163" t="str">
        <f t="shared" ca="1" si="1414"/>
        <v/>
      </c>
      <c r="AR864" s="164" t="str">
        <f t="shared" ca="1" si="1415"/>
        <v/>
      </c>
      <c r="AS864" s="164" t="str">
        <f t="shared" ca="1" si="1416"/>
        <v/>
      </c>
      <c r="AT864" s="164" t="str">
        <f t="shared" ca="1" si="1417"/>
        <v/>
      </c>
      <c r="AU864" s="164" t="str">
        <f t="shared" ca="1" si="1418"/>
        <v/>
      </c>
      <c r="AV864" s="164" t="str">
        <f t="shared" ca="1" si="1419"/>
        <v/>
      </c>
      <c r="AW864" s="164" t="str">
        <f t="shared" ca="1" si="1420"/>
        <v/>
      </c>
      <c r="AX864" s="164" t="str">
        <f t="shared" ca="1" si="1421"/>
        <v/>
      </c>
      <c r="AY864" s="164" t="str">
        <f t="shared" ca="1" si="1422"/>
        <v/>
      </c>
      <c r="AZ864" s="164" t="str">
        <f t="shared" ca="1" si="1423"/>
        <v/>
      </c>
      <c r="BA864" s="165" t="str">
        <f t="shared" ca="1" si="1424"/>
        <v>nie</v>
      </c>
      <c r="BB864" s="166" t="str">
        <f t="shared" ca="1" si="1361"/>
        <v>-</v>
      </c>
      <c r="BC864" s="165" t="str">
        <f t="shared" ca="1" si="1395"/>
        <v>nie</v>
      </c>
    </row>
    <row r="865" spans="1:55" ht="14.45" hidden="1" customHeight="1" x14ac:dyDescent="0.25">
      <c r="A865" s="493"/>
      <c r="B865" s="493"/>
      <c r="C865" s="494"/>
      <c r="D865" s="506"/>
      <c r="E865" s="497"/>
      <c r="F865" s="497"/>
      <c r="G865" s="497"/>
      <c r="H865" s="498"/>
      <c r="I865" s="499"/>
      <c r="J865" s="177" t="s">
        <v>96</v>
      </c>
      <c r="K865" s="178">
        <f>SUM(N865:O865)</f>
        <v>0</v>
      </c>
      <c r="L865" s="184"/>
      <c r="M865" s="180"/>
      <c r="N865" s="172">
        <f>SUM(L865:M865)</f>
        <v>0</v>
      </c>
      <c r="O865" s="178">
        <f>SUM(P865:Y865)</f>
        <v>0</v>
      </c>
      <c r="P865" s="181"/>
      <c r="Q865" s="180"/>
      <c r="R865" s="182"/>
      <c r="S865" s="183"/>
      <c r="T865" s="180"/>
      <c r="U865" s="180"/>
      <c r="V865" s="180"/>
      <c r="W865" s="180"/>
      <c r="X865" s="180"/>
      <c r="Y865" s="182"/>
      <c r="Z865" s="149" t="str">
        <f t="shared" ca="1" si="1394"/>
        <v>nie</v>
      </c>
      <c r="AA865" s="366"/>
      <c r="AB865" s="150" t="str">
        <f t="shared" ca="1" si="1360"/>
        <v>-</v>
      </c>
      <c r="AC865" s="151" t="str">
        <f t="shared" ca="1" si="1404"/>
        <v>PRZED ZMIANĄ</v>
      </c>
      <c r="AD865" s="152" t="str">
        <f t="shared" ca="1" si="1373"/>
        <v/>
      </c>
      <c r="AE865" s="153" t="str">
        <f t="shared" ca="1" si="1405"/>
        <v/>
      </c>
      <c r="AF865" s="154" t="str">
        <f t="shared" ca="1" si="1406"/>
        <v/>
      </c>
      <c r="AG865" s="155" t="str">
        <f t="shared" ca="1" si="1407"/>
        <v/>
      </c>
      <c r="AH865" s="155" t="str">
        <f t="shared" ca="1" si="1408"/>
        <v/>
      </c>
      <c r="AI865" s="156" t="str">
        <f t="shared" ca="1" si="1409"/>
        <v/>
      </c>
      <c r="AJ865" s="157" t="str">
        <f t="shared" ca="1" si="1410"/>
        <v/>
      </c>
      <c r="AK865" s="158" t="str">
        <f t="shared" ca="1" si="1374"/>
        <v/>
      </c>
      <c r="AL865" s="158" t="str">
        <f t="shared" ca="1" si="1375"/>
        <v/>
      </c>
      <c r="AM865" s="159" t="str">
        <f t="shared" ca="1" si="1376"/>
        <v/>
      </c>
      <c r="AN865" s="160" t="str">
        <f t="shared" ca="1" si="1411"/>
        <v/>
      </c>
      <c r="AO865" s="161" t="str">
        <f t="shared" ca="1" si="1412"/>
        <v/>
      </c>
      <c r="AP865" s="162" t="str">
        <f t="shared" ca="1" si="1413"/>
        <v/>
      </c>
      <c r="AQ865" s="163" t="str">
        <f t="shared" ca="1" si="1414"/>
        <v/>
      </c>
      <c r="AR865" s="164" t="str">
        <f t="shared" ca="1" si="1415"/>
        <v/>
      </c>
      <c r="AS865" s="164" t="str">
        <f t="shared" ca="1" si="1416"/>
        <v/>
      </c>
      <c r="AT865" s="164" t="str">
        <f t="shared" ca="1" si="1417"/>
        <v/>
      </c>
      <c r="AU865" s="164" t="str">
        <f t="shared" ca="1" si="1418"/>
        <v/>
      </c>
      <c r="AV865" s="164" t="str">
        <f t="shared" ca="1" si="1419"/>
        <v/>
      </c>
      <c r="AW865" s="164" t="str">
        <f t="shared" ca="1" si="1420"/>
        <v/>
      </c>
      <c r="AX865" s="164" t="str">
        <f t="shared" ca="1" si="1421"/>
        <v/>
      </c>
      <c r="AY865" s="164" t="str">
        <f t="shared" ca="1" si="1422"/>
        <v/>
      </c>
      <c r="AZ865" s="164" t="str">
        <f t="shared" ca="1" si="1423"/>
        <v/>
      </c>
      <c r="BA865" s="165" t="str">
        <f t="shared" ca="1" si="1424"/>
        <v>nie</v>
      </c>
      <c r="BB865" s="166" t="str">
        <f t="shared" ca="1" si="1361"/>
        <v>-</v>
      </c>
      <c r="BC865" s="165" t="str">
        <f t="shared" ca="1" si="1395"/>
        <v>nie</v>
      </c>
    </row>
    <row r="866" spans="1:55" ht="14.45" hidden="1" customHeight="1" x14ac:dyDescent="0.25">
      <c r="A866" s="185" t="s">
        <v>97</v>
      </c>
      <c r="B866" s="186"/>
      <c r="C866" s="187"/>
      <c r="D866" s="186"/>
      <c r="E866" s="186"/>
      <c r="F866" s="186"/>
      <c r="G866" s="186"/>
      <c r="H866" s="186"/>
      <c r="I866" s="186"/>
      <c r="J866" s="186"/>
      <c r="K866" s="186"/>
      <c r="L866" s="186"/>
      <c r="M866" s="186"/>
      <c r="N866" s="186"/>
      <c r="O866" s="186"/>
      <c r="P866" s="186"/>
      <c r="Q866" s="186"/>
      <c r="R866" s="188"/>
      <c r="S866" s="189"/>
      <c r="T866" s="189"/>
      <c r="U866" s="189"/>
      <c r="V866" s="189"/>
      <c r="W866" s="189"/>
      <c r="X866" s="189"/>
      <c r="Y866" s="190"/>
      <c r="Z866" s="149" t="str">
        <f t="shared" ca="1" si="1394"/>
        <v>nie</v>
      </c>
      <c r="AA866" s="366"/>
      <c r="AB866" s="150" t="str">
        <f t="shared" ca="1" si="1360"/>
        <v>-</v>
      </c>
      <c r="AC866" s="151" t="str">
        <f t="shared" ca="1" si="1404"/>
        <v>PROPONOWANA ZMIANA</v>
      </c>
      <c r="AD866" s="152" t="str">
        <f t="shared" ca="1" si="1373"/>
        <v/>
      </c>
      <c r="AE866" s="153" t="str">
        <f t="shared" ca="1" si="1405"/>
        <v/>
      </c>
      <c r="AF866" s="154" t="str">
        <f t="shared" ca="1" si="1406"/>
        <v/>
      </c>
      <c r="AG866" s="155" t="str">
        <f t="shared" ca="1" si="1407"/>
        <v/>
      </c>
      <c r="AH866" s="155" t="str">
        <f t="shared" ca="1" si="1408"/>
        <v/>
      </c>
      <c r="AI866" s="156" t="str">
        <f t="shared" ca="1" si="1409"/>
        <v/>
      </c>
      <c r="AJ866" s="157" t="str">
        <f t="shared" ca="1" si="1410"/>
        <v/>
      </c>
      <c r="AK866" s="158" t="str">
        <f t="shared" ca="1" si="1374"/>
        <v/>
      </c>
      <c r="AL866" s="158" t="str">
        <f t="shared" ca="1" si="1375"/>
        <v/>
      </c>
      <c r="AM866" s="159" t="str">
        <f t="shared" ca="1" si="1376"/>
        <v/>
      </c>
      <c r="AN866" s="160" t="str">
        <f t="shared" ca="1" si="1411"/>
        <v/>
      </c>
      <c r="AO866" s="161" t="str">
        <f t="shared" ca="1" si="1412"/>
        <v/>
      </c>
      <c r="AP866" s="162" t="str">
        <f t="shared" ca="1" si="1413"/>
        <v/>
      </c>
      <c r="AQ866" s="163" t="str">
        <f t="shared" ca="1" si="1414"/>
        <v/>
      </c>
      <c r="AR866" s="164" t="str">
        <f t="shared" ca="1" si="1415"/>
        <v/>
      </c>
      <c r="AS866" s="164" t="str">
        <f t="shared" ca="1" si="1416"/>
        <v/>
      </c>
      <c r="AT866" s="164" t="str">
        <f t="shared" ca="1" si="1417"/>
        <v/>
      </c>
      <c r="AU866" s="164" t="str">
        <f t="shared" ca="1" si="1418"/>
        <v/>
      </c>
      <c r="AV866" s="164" t="str">
        <f t="shared" ca="1" si="1419"/>
        <v/>
      </c>
      <c r="AW866" s="164" t="str">
        <f t="shared" ca="1" si="1420"/>
        <v/>
      </c>
      <c r="AX866" s="164" t="str">
        <f t="shared" ca="1" si="1421"/>
        <v/>
      </c>
      <c r="AY866" s="164" t="str">
        <f t="shared" ca="1" si="1422"/>
        <v/>
      </c>
      <c r="AZ866" s="164" t="str">
        <f t="shared" ca="1" si="1423"/>
        <v/>
      </c>
      <c r="BA866" s="165" t="str">
        <f t="shared" ca="1" si="1424"/>
        <v>nie</v>
      </c>
      <c r="BB866" s="166" t="str">
        <f t="shared" ca="1" si="1361"/>
        <v>-</v>
      </c>
      <c r="BC866" s="165" t="str">
        <f t="shared" ca="1" si="1395"/>
        <v>nie</v>
      </c>
    </row>
    <row r="867" spans="1:55" ht="14.45" hidden="1" customHeight="1" x14ac:dyDescent="0.25">
      <c r="A867" s="493"/>
      <c r="B867" s="493"/>
      <c r="C867" s="494"/>
      <c r="D867" s="505"/>
      <c r="E867" s="497"/>
      <c r="F867" s="497"/>
      <c r="G867" s="497"/>
      <c r="H867" s="498"/>
      <c r="I867" s="499" t="str">
        <f ca="1">IF(COUNTIF(OFFSET(I867,-1,-8),"*propon*")&gt;0,OFFSET(I867,4,0),IF(Y867&gt;0,"2033",IF(X867&gt;0,"2032",IF(W867&gt;0,"2031",IF(V867&gt;0,"2030",IF(U867&gt;0,"2029",IF(T867&gt;0,"2028",IF(S867&gt;0,"2027",IF(R867&gt;0,"2026",IF(Q867&gt;0,"2025",IF(P867&gt;0,"2024",IF(M867&gt;0,"2023",IF(L867&gt;0,"2022","")))))))))))))</f>
        <v/>
      </c>
      <c r="J867" s="168" t="s">
        <v>98</v>
      </c>
      <c r="K867" s="169">
        <f>SUM(N867:O867)</f>
        <v>0</v>
      </c>
      <c r="L867" s="170">
        <f t="shared" ref="L867:M867" si="1445">SUM(L868:L869)</f>
        <v>0</v>
      </c>
      <c r="M867" s="171">
        <f t="shared" si="1445"/>
        <v>0</v>
      </c>
      <c r="N867" s="172">
        <f>SUM(L867:M867)</f>
        <v>0</v>
      </c>
      <c r="O867" s="169">
        <f>SUM(P867:Y867)</f>
        <v>0</v>
      </c>
      <c r="P867" s="173">
        <f t="shared" ref="P867:R867" si="1446">SUM(P868:P869)</f>
        <v>0</v>
      </c>
      <c r="Q867" s="171">
        <f t="shared" si="1446"/>
        <v>0</v>
      </c>
      <c r="R867" s="174">
        <f t="shared" si="1446"/>
        <v>0</v>
      </c>
      <c r="S867" s="175">
        <f t="shared" ref="S867:Y867" si="1447">SUM(S868:S869)</f>
        <v>0</v>
      </c>
      <c r="T867" s="171">
        <f t="shared" si="1447"/>
        <v>0</v>
      </c>
      <c r="U867" s="171">
        <f t="shared" si="1447"/>
        <v>0</v>
      </c>
      <c r="V867" s="171">
        <f t="shared" si="1447"/>
        <v>0</v>
      </c>
      <c r="W867" s="171">
        <f t="shared" si="1447"/>
        <v>0</v>
      </c>
      <c r="X867" s="171">
        <f t="shared" si="1447"/>
        <v>0</v>
      </c>
      <c r="Y867" s="174">
        <f t="shared" si="1447"/>
        <v>0</v>
      </c>
      <c r="Z867" s="149" t="str">
        <f t="shared" ca="1" si="1394"/>
        <v>nie</v>
      </c>
      <c r="AA867" s="366"/>
      <c r="AB867" s="150" t="str">
        <f t="shared" ref="AB867:AB888" ca="1" si="1448">IF(IF(OR(COUNTIF(AD867,"*bilans*")&gt;0,COUNTIF(AD867,"*prop*")&gt;0),COUNTIF(AO867:AZ867,"")+COUNTIF(AO867:AZ867,"0"),"")&lt;12,AE867,"-")</f>
        <v>-</v>
      </c>
      <c r="AC867" s="151" t="str">
        <f t="shared" ca="1" si="1404"/>
        <v>PROPONOWANA ZMIANA</v>
      </c>
      <c r="AD867" s="152" t="str">
        <f t="shared" ca="1" si="1373"/>
        <v/>
      </c>
      <c r="AE867" s="153" t="str">
        <f t="shared" ca="1" si="1405"/>
        <v/>
      </c>
      <c r="AF867" s="154" t="str">
        <f t="shared" ca="1" si="1406"/>
        <v/>
      </c>
      <c r="AG867" s="155" t="str">
        <f t="shared" ca="1" si="1407"/>
        <v/>
      </c>
      <c r="AH867" s="155" t="str">
        <f t="shared" ca="1" si="1408"/>
        <v/>
      </c>
      <c r="AI867" s="156" t="str">
        <f t="shared" ca="1" si="1409"/>
        <v/>
      </c>
      <c r="AJ867" s="157" t="str">
        <f t="shared" ca="1" si="1410"/>
        <v/>
      </c>
      <c r="AK867" s="158" t="str">
        <f t="shared" ca="1" si="1374"/>
        <v/>
      </c>
      <c r="AL867" s="158" t="str">
        <f t="shared" ca="1" si="1375"/>
        <v/>
      </c>
      <c r="AM867" s="159" t="str">
        <f t="shared" ca="1" si="1376"/>
        <v/>
      </c>
      <c r="AN867" s="160" t="str">
        <f t="shared" ca="1" si="1411"/>
        <v/>
      </c>
      <c r="AO867" s="161" t="str">
        <f t="shared" ca="1" si="1412"/>
        <v/>
      </c>
      <c r="AP867" s="162" t="str">
        <f t="shared" ca="1" si="1413"/>
        <v/>
      </c>
      <c r="AQ867" s="163" t="str">
        <f t="shared" ca="1" si="1414"/>
        <v/>
      </c>
      <c r="AR867" s="164" t="str">
        <f t="shared" ca="1" si="1415"/>
        <v/>
      </c>
      <c r="AS867" s="164" t="str">
        <f t="shared" ca="1" si="1416"/>
        <v/>
      </c>
      <c r="AT867" s="164" t="str">
        <f t="shared" ca="1" si="1417"/>
        <v/>
      </c>
      <c r="AU867" s="164" t="str">
        <f t="shared" ca="1" si="1418"/>
        <v/>
      </c>
      <c r="AV867" s="164" t="str">
        <f t="shared" ca="1" si="1419"/>
        <v/>
      </c>
      <c r="AW867" s="164" t="str">
        <f t="shared" ca="1" si="1420"/>
        <v/>
      </c>
      <c r="AX867" s="164" t="str">
        <f t="shared" ca="1" si="1421"/>
        <v/>
      </c>
      <c r="AY867" s="164" t="str">
        <f t="shared" ca="1" si="1422"/>
        <v/>
      </c>
      <c r="AZ867" s="164" t="str">
        <f t="shared" ca="1" si="1423"/>
        <v/>
      </c>
      <c r="BA867" s="165" t="str">
        <f t="shared" ca="1" si="1424"/>
        <v>nie</v>
      </c>
      <c r="BB867" s="166" t="str">
        <f t="shared" ref="BB867:BB888" ca="1" si="1449">IF(COUNTIF(AD867,"*bilans*")&gt;0,"-",IF(IF(COUNTIF(AD867,"*prop*")&gt;0,COUNTIF(AO867:AZ867,"")+COUNTIF(AO867:AZ867,"0"),"")&lt;12,AK867,"-"))</f>
        <v>-</v>
      </c>
      <c r="BC867" s="165" t="str">
        <f t="shared" ca="1" si="1395"/>
        <v>nie</v>
      </c>
    </row>
    <row r="868" spans="1:55" ht="14.45" hidden="1" customHeight="1" x14ac:dyDescent="0.25">
      <c r="A868" s="493"/>
      <c r="B868" s="493"/>
      <c r="C868" s="494"/>
      <c r="D868" s="506"/>
      <c r="E868" s="497"/>
      <c r="F868" s="497"/>
      <c r="G868" s="497"/>
      <c r="H868" s="498"/>
      <c r="I868" s="499"/>
      <c r="J868" s="177" t="s">
        <v>99</v>
      </c>
      <c r="K868" s="178">
        <f>SUM(N868:O868)</f>
        <v>0</v>
      </c>
      <c r="L868" s="179">
        <f t="shared" ref="L868:M868" si="1450">L872-L864</f>
        <v>0</v>
      </c>
      <c r="M868" s="180">
        <f t="shared" si="1450"/>
        <v>0</v>
      </c>
      <c r="N868" s="172">
        <f>SUM(L868:M868)</f>
        <v>0</v>
      </c>
      <c r="O868" s="178">
        <f>SUM(P868:Y868)</f>
        <v>0</v>
      </c>
      <c r="P868" s="181">
        <f t="shared" ref="P868:R868" si="1451">P872-P864</f>
        <v>0</v>
      </c>
      <c r="Q868" s="180">
        <f t="shared" si="1451"/>
        <v>0</v>
      </c>
      <c r="R868" s="182">
        <f t="shared" si="1451"/>
        <v>0</v>
      </c>
      <c r="S868" s="183">
        <f t="shared" ref="S868:Y869" si="1452">S872-S864</f>
        <v>0</v>
      </c>
      <c r="T868" s="180">
        <f t="shared" si="1452"/>
        <v>0</v>
      </c>
      <c r="U868" s="180">
        <f t="shared" si="1452"/>
        <v>0</v>
      </c>
      <c r="V868" s="180">
        <f t="shared" si="1452"/>
        <v>0</v>
      </c>
      <c r="W868" s="180">
        <f t="shared" si="1452"/>
        <v>0</v>
      </c>
      <c r="X868" s="180">
        <f t="shared" si="1452"/>
        <v>0</v>
      </c>
      <c r="Y868" s="182">
        <f t="shared" si="1452"/>
        <v>0</v>
      </c>
      <c r="Z868" s="149" t="str">
        <f t="shared" ca="1" si="1394"/>
        <v>nie</v>
      </c>
      <c r="AA868" s="366"/>
      <c r="AB868" s="150" t="str">
        <f t="shared" ca="1" si="1448"/>
        <v>-</v>
      </c>
      <c r="AC868" s="151" t="str">
        <f t="shared" ca="1" si="1404"/>
        <v>PROPONOWANA ZMIANA</v>
      </c>
      <c r="AD868" s="152" t="str">
        <f t="shared" ca="1" si="1373"/>
        <v/>
      </c>
      <c r="AE868" s="153" t="str">
        <f t="shared" ca="1" si="1405"/>
        <v/>
      </c>
      <c r="AF868" s="154" t="str">
        <f t="shared" ca="1" si="1406"/>
        <v/>
      </c>
      <c r="AG868" s="155" t="str">
        <f t="shared" ca="1" si="1407"/>
        <v/>
      </c>
      <c r="AH868" s="155" t="str">
        <f t="shared" ca="1" si="1408"/>
        <v/>
      </c>
      <c r="AI868" s="156" t="str">
        <f t="shared" ca="1" si="1409"/>
        <v/>
      </c>
      <c r="AJ868" s="157" t="str">
        <f t="shared" ca="1" si="1410"/>
        <v/>
      </c>
      <c r="AK868" s="158" t="str">
        <f t="shared" ca="1" si="1374"/>
        <v/>
      </c>
      <c r="AL868" s="158" t="str">
        <f t="shared" ca="1" si="1375"/>
        <v/>
      </c>
      <c r="AM868" s="159" t="str">
        <f t="shared" ca="1" si="1376"/>
        <v/>
      </c>
      <c r="AN868" s="160" t="str">
        <f t="shared" ca="1" si="1411"/>
        <v/>
      </c>
      <c r="AO868" s="161" t="str">
        <f t="shared" ca="1" si="1412"/>
        <v/>
      </c>
      <c r="AP868" s="162" t="str">
        <f t="shared" ca="1" si="1413"/>
        <v/>
      </c>
      <c r="AQ868" s="163" t="str">
        <f t="shared" ca="1" si="1414"/>
        <v/>
      </c>
      <c r="AR868" s="164" t="str">
        <f t="shared" ca="1" si="1415"/>
        <v/>
      </c>
      <c r="AS868" s="164" t="str">
        <f t="shared" ca="1" si="1416"/>
        <v/>
      </c>
      <c r="AT868" s="164" t="str">
        <f t="shared" ca="1" si="1417"/>
        <v/>
      </c>
      <c r="AU868" s="164" t="str">
        <f t="shared" ca="1" si="1418"/>
        <v/>
      </c>
      <c r="AV868" s="164" t="str">
        <f t="shared" ca="1" si="1419"/>
        <v/>
      </c>
      <c r="AW868" s="164" t="str">
        <f t="shared" ca="1" si="1420"/>
        <v/>
      </c>
      <c r="AX868" s="164" t="str">
        <f t="shared" ca="1" si="1421"/>
        <v/>
      </c>
      <c r="AY868" s="164" t="str">
        <f t="shared" ca="1" si="1422"/>
        <v/>
      </c>
      <c r="AZ868" s="164" t="str">
        <f t="shared" ca="1" si="1423"/>
        <v/>
      </c>
      <c r="BA868" s="165" t="str">
        <f t="shared" ca="1" si="1424"/>
        <v>nie</v>
      </c>
      <c r="BB868" s="166" t="str">
        <f t="shared" ca="1" si="1449"/>
        <v>-</v>
      </c>
      <c r="BC868" s="165" t="str">
        <f t="shared" ca="1" si="1395"/>
        <v>nie</v>
      </c>
    </row>
    <row r="869" spans="1:55" ht="14.45" hidden="1" customHeight="1" x14ac:dyDescent="0.25">
      <c r="A869" s="493"/>
      <c r="B869" s="493"/>
      <c r="C869" s="494"/>
      <c r="D869" s="506"/>
      <c r="E869" s="497"/>
      <c r="F869" s="497"/>
      <c r="G869" s="497"/>
      <c r="H869" s="498"/>
      <c r="I869" s="499"/>
      <c r="J869" s="177" t="s">
        <v>100</v>
      </c>
      <c r="K869" s="178">
        <f>SUM(N869:O869)</f>
        <v>0</v>
      </c>
      <c r="L869" s="184">
        <f t="shared" ref="L869:M869" si="1453">L873-L865</f>
        <v>0</v>
      </c>
      <c r="M869" s="180">
        <f t="shared" si="1453"/>
        <v>0</v>
      </c>
      <c r="N869" s="172">
        <f>SUM(L869:M869)</f>
        <v>0</v>
      </c>
      <c r="O869" s="178">
        <f>SUM(P869:Y869)</f>
        <v>0</v>
      </c>
      <c r="P869" s="181">
        <f t="shared" ref="P869:R869" si="1454">P873-P865</f>
        <v>0</v>
      </c>
      <c r="Q869" s="180">
        <f t="shared" si="1454"/>
        <v>0</v>
      </c>
      <c r="R869" s="182">
        <f t="shared" si="1454"/>
        <v>0</v>
      </c>
      <c r="S869" s="183">
        <f t="shared" si="1452"/>
        <v>0</v>
      </c>
      <c r="T869" s="180">
        <f t="shared" si="1452"/>
        <v>0</v>
      </c>
      <c r="U869" s="180">
        <f t="shared" si="1452"/>
        <v>0</v>
      </c>
      <c r="V869" s="180">
        <f t="shared" si="1452"/>
        <v>0</v>
      </c>
      <c r="W869" s="180">
        <f t="shared" si="1452"/>
        <v>0</v>
      </c>
      <c r="X869" s="180">
        <f t="shared" si="1452"/>
        <v>0</v>
      </c>
      <c r="Y869" s="182">
        <f t="shared" si="1452"/>
        <v>0</v>
      </c>
      <c r="Z869" s="149" t="str">
        <f t="shared" ca="1" si="1394"/>
        <v>nie</v>
      </c>
      <c r="AA869" s="366"/>
      <c r="AB869" s="150" t="str">
        <f t="shared" ca="1" si="1448"/>
        <v>-</v>
      </c>
      <c r="AC869" s="151" t="str">
        <f t="shared" ca="1" si="1404"/>
        <v>PROPONOWANA ZMIANA</v>
      </c>
      <c r="AD869" s="152" t="str">
        <f t="shared" ca="1" si="1373"/>
        <v/>
      </c>
      <c r="AE869" s="153" t="str">
        <f t="shared" ca="1" si="1405"/>
        <v/>
      </c>
      <c r="AF869" s="154" t="str">
        <f t="shared" ca="1" si="1406"/>
        <v/>
      </c>
      <c r="AG869" s="155" t="str">
        <f t="shared" ca="1" si="1407"/>
        <v/>
      </c>
      <c r="AH869" s="155" t="str">
        <f t="shared" ca="1" si="1408"/>
        <v/>
      </c>
      <c r="AI869" s="156" t="str">
        <f t="shared" ca="1" si="1409"/>
        <v/>
      </c>
      <c r="AJ869" s="157" t="str">
        <f t="shared" ca="1" si="1410"/>
        <v/>
      </c>
      <c r="AK869" s="158" t="str">
        <f t="shared" ca="1" si="1374"/>
        <v/>
      </c>
      <c r="AL869" s="158" t="str">
        <f t="shared" ca="1" si="1375"/>
        <v/>
      </c>
      <c r="AM869" s="159" t="str">
        <f t="shared" ca="1" si="1376"/>
        <v/>
      </c>
      <c r="AN869" s="160" t="str">
        <f t="shared" ca="1" si="1411"/>
        <v/>
      </c>
      <c r="AO869" s="161" t="str">
        <f t="shared" ca="1" si="1412"/>
        <v/>
      </c>
      <c r="AP869" s="162" t="str">
        <f t="shared" ca="1" si="1413"/>
        <v/>
      </c>
      <c r="AQ869" s="163" t="str">
        <f t="shared" ca="1" si="1414"/>
        <v/>
      </c>
      <c r="AR869" s="164" t="str">
        <f t="shared" ca="1" si="1415"/>
        <v/>
      </c>
      <c r="AS869" s="164" t="str">
        <f t="shared" ca="1" si="1416"/>
        <v/>
      </c>
      <c r="AT869" s="164" t="str">
        <f t="shared" ca="1" si="1417"/>
        <v/>
      </c>
      <c r="AU869" s="164" t="str">
        <f t="shared" ca="1" si="1418"/>
        <v/>
      </c>
      <c r="AV869" s="164" t="str">
        <f t="shared" ca="1" si="1419"/>
        <v/>
      </c>
      <c r="AW869" s="164" t="str">
        <f t="shared" ca="1" si="1420"/>
        <v/>
      </c>
      <c r="AX869" s="164" t="str">
        <f t="shared" ca="1" si="1421"/>
        <v/>
      </c>
      <c r="AY869" s="164" t="str">
        <f t="shared" ca="1" si="1422"/>
        <v/>
      </c>
      <c r="AZ869" s="164" t="str">
        <f t="shared" ca="1" si="1423"/>
        <v/>
      </c>
      <c r="BA869" s="165" t="str">
        <f t="shared" ca="1" si="1424"/>
        <v>nie</v>
      </c>
      <c r="BB869" s="166" t="str">
        <f t="shared" ca="1" si="1449"/>
        <v>-</v>
      </c>
      <c r="BC869" s="165" t="str">
        <f t="shared" ca="1" si="1395"/>
        <v>nie</v>
      </c>
    </row>
    <row r="870" spans="1:55" ht="14.45" hidden="1" customHeight="1" x14ac:dyDescent="0.25">
      <c r="A870" s="191" t="s">
        <v>101</v>
      </c>
      <c r="B870" s="192"/>
      <c r="C870" s="193"/>
      <c r="D870" s="192"/>
      <c r="E870" s="192"/>
      <c r="F870" s="192"/>
      <c r="G870" s="192"/>
      <c r="H870" s="192"/>
      <c r="I870" s="192"/>
      <c r="J870" s="192"/>
      <c r="K870" s="192"/>
      <c r="L870" s="192"/>
      <c r="M870" s="192"/>
      <c r="N870" s="192"/>
      <c r="O870" s="192"/>
      <c r="P870" s="192"/>
      <c r="Q870" s="192"/>
      <c r="R870" s="194"/>
      <c r="S870" s="195"/>
      <c r="T870" s="195"/>
      <c r="U870" s="195"/>
      <c r="V870" s="195"/>
      <c r="W870" s="195"/>
      <c r="X870" s="195"/>
      <c r="Y870" s="196"/>
      <c r="Z870" s="149" t="str">
        <f t="shared" ca="1" si="1394"/>
        <v>nie</v>
      </c>
      <c r="AA870" s="366"/>
      <c r="AB870" s="150" t="str">
        <f t="shared" ca="1" si="1448"/>
        <v>-</v>
      </c>
      <c r="AC870" s="151" t="str">
        <f t="shared" ca="1" si="1404"/>
        <v>PO ZMIANIE</v>
      </c>
      <c r="AD870" s="152" t="str">
        <f t="shared" ca="1" si="1373"/>
        <v/>
      </c>
      <c r="AE870" s="153" t="str">
        <f t="shared" ca="1" si="1405"/>
        <v/>
      </c>
      <c r="AF870" s="154" t="str">
        <f t="shared" ca="1" si="1406"/>
        <v/>
      </c>
      <c r="AG870" s="155" t="str">
        <f t="shared" ca="1" si="1407"/>
        <v/>
      </c>
      <c r="AH870" s="155" t="str">
        <f t="shared" ca="1" si="1408"/>
        <v/>
      </c>
      <c r="AI870" s="156" t="str">
        <f t="shared" ca="1" si="1409"/>
        <v/>
      </c>
      <c r="AJ870" s="157" t="str">
        <f t="shared" ca="1" si="1410"/>
        <v/>
      </c>
      <c r="AK870" s="158" t="str">
        <f t="shared" ca="1" si="1374"/>
        <v/>
      </c>
      <c r="AL870" s="158" t="str">
        <f t="shared" ca="1" si="1375"/>
        <v/>
      </c>
      <c r="AM870" s="159" t="str">
        <f t="shared" ca="1" si="1376"/>
        <v/>
      </c>
      <c r="AN870" s="160" t="str">
        <f t="shared" ca="1" si="1411"/>
        <v/>
      </c>
      <c r="AO870" s="161" t="str">
        <f t="shared" ca="1" si="1412"/>
        <v/>
      </c>
      <c r="AP870" s="162" t="str">
        <f t="shared" ca="1" si="1413"/>
        <v/>
      </c>
      <c r="AQ870" s="163" t="str">
        <f t="shared" ca="1" si="1414"/>
        <v/>
      </c>
      <c r="AR870" s="164" t="str">
        <f t="shared" ca="1" si="1415"/>
        <v/>
      </c>
      <c r="AS870" s="164" t="str">
        <f t="shared" ca="1" si="1416"/>
        <v/>
      </c>
      <c r="AT870" s="164" t="str">
        <f t="shared" ca="1" si="1417"/>
        <v/>
      </c>
      <c r="AU870" s="164" t="str">
        <f t="shared" ca="1" si="1418"/>
        <v/>
      </c>
      <c r="AV870" s="164" t="str">
        <f t="shared" ca="1" si="1419"/>
        <v/>
      </c>
      <c r="AW870" s="164" t="str">
        <f t="shared" ca="1" si="1420"/>
        <v/>
      </c>
      <c r="AX870" s="164" t="str">
        <f t="shared" ca="1" si="1421"/>
        <v/>
      </c>
      <c r="AY870" s="164" t="str">
        <f t="shared" ca="1" si="1422"/>
        <v/>
      </c>
      <c r="AZ870" s="164" t="str">
        <f t="shared" ca="1" si="1423"/>
        <v/>
      </c>
      <c r="BA870" s="165" t="str">
        <f t="shared" ca="1" si="1424"/>
        <v>nie</v>
      </c>
      <c r="BB870" s="166" t="str">
        <f t="shared" ca="1" si="1449"/>
        <v>-</v>
      </c>
      <c r="BC870" s="165" t="str">
        <f t="shared" ca="1" si="1395"/>
        <v>nie</v>
      </c>
    </row>
    <row r="871" spans="1:55" ht="14.45" hidden="1" customHeight="1" x14ac:dyDescent="0.25">
      <c r="A871" s="493"/>
      <c r="B871" s="493"/>
      <c r="C871" s="494"/>
      <c r="D871" s="505"/>
      <c r="E871" s="497"/>
      <c r="F871" s="497"/>
      <c r="G871" s="497"/>
      <c r="H871" s="498"/>
      <c r="I871" s="499" t="str">
        <f ca="1">IF(COUNTIF(OFFSET(I871,-1,-8),"*propon*")&gt;0,OFFSET(I871,4,0),IF(Y871&gt;0,"2033",IF(X871&gt;0,"2032",IF(W871&gt;0,"2031",IF(V871&gt;0,"2030",IF(U871&gt;0,"2029",IF(T871&gt;0,"2028",IF(S871&gt;0,"2027",IF(R871&gt;0,"2026",IF(Q871&gt;0,"2025",IF(P871&gt;0,"2024",IF(M871&gt;0,"2023",IF(L871&gt;0,"2022","")))))))))))))</f>
        <v/>
      </c>
      <c r="J871" s="168" t="s">
        <v>102</v>
      </c>
      <c r="K871" s="169">
        <f>SUM(N871:O871)</f>
        <v>0</v>
      </c>
      <c r="L871" s="170">
        <f t="shared" ref="L871:M871" si="1455">SUM(L872:L873)</f>
        <v>0</v>
      </c>
      <c r="M871" s="171">
        <f t="shared" si="1455"/>
        <v>0</v>
      </c>
      <c r="N871" s="172">
        <f>SUM(L871:M871)</f>
        <v>0</v>
      </c>
      <c r="O871" s="169">
        <f>SUM(P871:Y871)</f>
        <v>0</v>
      </c>
      <c r="P871" s="173">
        <f t="shared" ref="P871:R871" si="1456">SUM(P872:P873)</f>
        <v>0</v>
      </c>
      <c r="Q871" s="171">
        <f t="shared" si="1456"/>
        <v>0</v>
      </c>
      <c r="R871" s="174">
        <f t="shared" si="1456"/>
        <v>0</v>
      </c>
      <c r="S871" s="175">
        <f t="shared" ref="S871:Y871" si="1457">SUM(S872:S873)</f>
        <v>0</v>
      </c>
      <c r="T871" s="171">
        <f t="shared" si="1457"/>
        <v>0</v>
      </c>
      <c r="U871" s="171">
        <f t="shared" si="1457"/>
        <v>0</v>
      </c>
      <c r="V871" s="171">
        <f t="shared" si="1457"/>
        <v>0</v>
      </c>
      <c r="W871" s="171">
        <f t="shared" si="1457"/>
        <v>0</v>
      </c>
      <c r="X871" s="171">
        <f t="shared" si="1457"/>
        <v>0</v>
      </c>
      <c r="Y871" s="174">
        <f t="shared" si="1457"/>
        <v>0</v>
      </c>
      <c r="Z871" s="149" t="str">
        <f t="shared" ca="1" si="1394"/>
        <v>nie</v>
      </c>
      <c r="AA871" s="366"/>
      <c r="AB871" s="150" t="str">
        <f t="shared" ca="1" si="1448"/>
        <v>-</v>
      </c>
      <c r="AC871" s="151" t="str">
        <f t="shared" ca="1" si="1404"/>
        <v>PO ZMIANIE</v>
      </c>
      <c r="AD871" s="152" t="str">
        <f t="shared" ca="1" si="1373"/>
        <v/>
      </c>
      <c r="AE871" s="153" t="str">
        <f t="shared" ca="1" si="1405"/>
        <v/>
      </c>
      <c r="AF871" s="154" t="str">
        <f t="shared" ca="1" si="1406"/>
        <v/>
      </c>
      <c r="AG871" s="155" t="str">
        <f t="shared" ca="1" si="1407"/>
        <v/>
      </c>
      <c r="AH871" s="155" t="str">
        <f t="shared" ca="1" si="1408"/>
        <v/>
      </c>
      <c r="AI871" s="156" t="str">
        <f t="shared" ca="1" si="1409"/>
        <v/>
      </c>
      <c r="AJ871" s="157" t="str">
        <f t="shared" ca="1" si="1410"/>
        <v/>
      </c>
      <c r="AK871" s="158" t="str">
        <f t="shared" ca="1" si="1374"/>
        <v/>
      </c>
      <c r="AL871" s="158" t="str">
        <f t="shared" ca="1" si="1375"/>
        <v/>
      </c>
      <c r="AM871" s="159" t="str">
        <f t="shared" ca="1" si="1376"/>
        <v/>
      </c>
      <c r="AN871" s="160" t="str">
        <f t="shared" ca="1" si="1411"/>
        <v/>
      </c>
      <c r="AO871" s="161" t="str">
        <f t="shared" ca="1" si="1412"/>
        <v/>
      </c>
      <c r="AP871" s="162" t="str">
        <f t="shared" ca="1" si="1413"/>
        <v/>
      </c>
      <c r="AQ871" s="163" t="str">
        <f t="shared" ca="1" si="1414"/>
        <v/>
      </c>
      <c r="AR871" s="164" t="str">
        <f t="shared" ca="1" si="1415"/>
        <v/>
      </c>
      <c r="AS871" s="164" t="str">
        <f t="shared" ca="1" si="1416"/>
        <v/>
      </c>
      <c r="AT871" s="164" t="str">
        <f t="shared" ca="1" si="1417"/>
        <v/>
      </c>
      <c r="AU871" s="164" t="str">
        <f t="shared" ca="1" si="1418"/>
        <v/>
      </c>
      <c r="AV871" s="164" t="str">
        <f t="shared" ca="1" si="1419"/>
        <v/>
      </c>
      <c r="AW871" s="164" t="str">
        <f t="shared" ca="1" si="1420"/>
        <v/>
      </c>
      <c r="AX871" s="164" t="str">
        <f t="shared" ca="1" si="1421"/>
        <v/>
      </c>
      <c r="AY871" s="164" t="str">
        <f t="shared" ca="1" si="1422"/>
        <v/>
      </c>
      <c r="AZ871" s="164" t="str">
        <f t="shared" ca="1" si="1423"/>
        <v/>
      </c>
      <c r="BA871" s="165" t="str">
        <f t="shared" ca="1" si="1424"/>
        <v>nie</v>
      </c>
      <c r="BB871" s="166" t="str">
        <f t="shared" ca="1" si="1449"/>
        <v>-</v>
      </c>
      <c r="BC871" s="165" t="str">
        <f t="shared" ca="1" si="1395"/>
        <v>nie</v>
      </c>
    </row>
    <row r="872" spans="1:55" ht="14.45" hidden="1" customHeight="1" x14ac:dyDescent="0.25">
      <c r="A872" s="493"/>
      <c r="B872" s="493"/>
      <c r="C872" s="494"/>
      <c r="D872" s="506"/>
      <c r="E872" s="497"/>
      <c r="F872" s="497"/>
      <c r="G872" s="497"/>
      <c r="H872" s="498"/>
      <c r="I872" s="499"/>
      <c r="J872" s="177" t="s">
        <v>103</v>
      </c>
      <c r="K872" s="178">
        <f>SUM(N872:O872)</f>
        <v>0</v>
      </c>
      <c r="L872" s="179"/>
      <c r="M872" s="180"/>
      <c r="N872" s="172">
        <f>SUM(L872:M872)</f>
        <v>0</v>
      </c>
      <c r="O872" s="178">
        <f>SUM(P872:Y872)</f>
        <v>0</v>
      </c>
      <c r="P872" s="181"/>
      <c r="Q872" s="180"/>
      <c r="R872" s="182"/>
      <c r="S872" s="183"/>
      <c r="T872" s="180"/>
      <c r="U872" s="180"/>
      <c r="V872" s="180"/>
      <c r="W872" s="180"/>
      <c r="X872" s="180"/>
      <c r="Y872" s="182"/>
      <c r="Z872" s="149" t="str">
        <f t="shared" ca="1" si="1394"/>
        <v>nie</v>
      </c>
      <c r="AA872" s="366"/>
      <c r="AB872" s="150" t="str">
        <f t="shared" ca="1" si="1448"/>
        <v>-</v>
      </c>
      <c r="AC872" s="151" t="str">
        <f t="shared" ca="1" si="1404"/>
        <v>PO ZMIANIE</v>
      </c>
      <c r="AD872" s="152" t="str">
        <f t="shared" ca="1" si="1373"/>
        <v/>
      </c>
      <c r="AE872" s="153" t="str">
        <f t="shared" ca="1" si="1405"/>
        <v/>
      </c>
      <c r="AF872" s="154" t="str">
        <f t="shared" ca="1" si="1406"/>
        <v/>
      </c>
      <c r="AG872" s="155" t="str">
        <f t="shared" ca="1" si="1407"/>
        <v/>
      </c>
      <c r="AH872" s="155" t="str">
        <f t="shared" ca="1" si="1408"/>
        <v/>
      </c>
      <c r="AI872" s="156" t="str">
        <f t="shared" ca="1" si="1409"/>
        <v/>
      </c>
      <c r="AJ872" s="157" t="str">
        <f t="shared" ca="1" si="1410"/>
        <v/>
      </c>
      <c r="AK872" s="158" t="str">
        <f t="shared" ca="1" si="1374"/>
        <v/>
      </c>
      <c r="AL872" s="158" t="str">
        <f t="shared" ca="1" si="1375"/>
        <v/>
      </c>
      <c r="AM872" s="159" t="str">
        <f t="shared" ca="1" si="1376"/>
        <v/>
      </c>
      <c r="AN872" s="160" t="str">
        <f t="shared" ca="1" si="1411"/>
        <v/>
      </c>
      <c r="AO872" s="161" t="str">
        <f t="shared" ca="1" si="1412"/>
        <v/>
      </c>
      <c r="AP872" s="162" t="str">
        <f t="shared" ca="1" si="1413"/>
        <v/>
      </c>
      <c r="AQ872" s="163" t="str">
        <f t="shared" ca="1" si="1414"/>
        <v/>
      </c>
      <c r="AR872" s="164" t="str">
        <f t="shared" ca="1" si="1415"/>
        <v/>
      </c>
      <c r="AS872" s="164" t="str">
        <f t="shared" ca="1" si="1416"/>
        <v/>
      </c>
      <c r="AT872" s="164" t="str">
        <f t="shared" ca="1" si="1417"/>
        <v/>
      </c>
      <c r="AU872" s="164" t="str">
        <f t="shared" ca="1" si="1418"/>
        <v/>
      </c>
      <c r="AV872" s="164" t="str">
        <f t="shared" ca="1" si="1419"/>
        <v/>
      </c>
      <c r="AW872" s="164" t="str">
        <f t="shared" ca="1" si="1420"/>
        <v/>
      </c>
      <c r="AX872" s="164" t="str">
        <f t="shared" ca="1" si="1421"/>
        <v/>
      </c>
      <c r="AY872" s="164" t="str">
        <f t="shared" ca="1" si="1422"/>
        <v/>
      </c>
      <c r="AZ872" s="164" t="str">
        <f t="shared" ca="1" si="1423"/>
        <v/>
      </c>
      <c r="BA872" s="165" t="str">
        <f t="shared" ca="1" si="1424"/>
        <v>nie</v>
      </c>
      <c r="BB872" s="166" t="str">
        <f t="shared" ca="1" si="1449"/>
        <v>-</v>
      </c>
      <c r="BC872" s="165" t="str">
        <f t="shared" ca="1" si="1395"/>
        <v>nie</v>
      </c>
    </row>
    <row r="873" spans="1:55" ht="14.45" hidden="1" customHeight="1" thickBot="1" x14ac:dyDescent="0.3">
      <c r="A873" s="500"/>
      <c r="B873" s="500"/>
      <c r="C873" s="501"/>
      <c r="D873" s="513"/>
      <c r="E873" s="503"/>
      <c r="F873" s="503"/>
      <c r="G873" s="503"/>
      <c r="H873" s="504"/>
      <c r="I873" s="499"/>
      <c r="J873" s="197" t="s">
        <v>104</v>
      </c>
      <c r="K873" s="198">
        <f>SUM(N873:O873)</f>
        <v>0</v>
      </c>
      <c r="L873" s="199"/>
      <c r="M873" s="200"/>
      <c r="N873" s="371">
        <f>SUM(L873:M873)</f>
        <v>0</v>
      </c>
      <c r="O873" s="198">
        <f>SUM(P873:Y873)</f>
        <v>0</v>
      </c>
      <c r="P873" s="201"/>
      <c r="Q873" s="200"/>
      <c r="R873" s="202"/>
      <c r="S873" s="203"/>
      <c r="T873" s="200"/>
      <c r="U873" s="200"/>
      <c r="V873" s="200"/>
      <c r="W873" s="200"/>
      <c r="X873" s="200"/>
      <c r="Y873" s="202"/>
      <c r="Z873" s="149" t="str">
        <f t="shared" ca="1" si="1394"/>
        <v>nie</v>
      </c>
      <c r="AA873" s="366"/>
      <c r="AB873" s="150" t="str">
        <f t="shared" ca="1" si="1448"/>
        <v>-</v>
      </c>
      <c r="AC873" s="151" t="str">
        <f t="shared" ca="1" si="1404"/>
        <v>PO ZMIANIE</v>
      </c>
      <c r="AD873" s="152" t="str">
        <f t="shared" ca="1" si="1373"/>
        <v/>
      </c>
      <c r="AE873" s="153" t="str">
        <f t="shared" ca="1" si="1405"/>
        <v/>
      </c>
      <c r="AF873" s="154" t="str">
        <f t="shared" ca="1" si="1406"/>
        <v/>
      </c>
      <c r="AG873" s="155" t="str">
        <f t="shared" ca="1" si="1407"/>
        <v/>
      </c>
      <c r="AH873" s="155" t="str">
        <f t="shared" ca="1" si="1408"/>
        <v/>
      </c>
      <c r="AI873" s="156" t="str">
        <f t="shared" ca="1" si="1409"/>
        <v/>
      </c>
      <c r="AJ873" s="157" t="str">
        <f t="shared" ca="1" si="1410"/>
        <v/>
      </c>
      <c r="AK873" s="158" t="str">
        <f t="shared" ca="1" si="1374"/>
        <v/>
      </c>
      <c r="AL873" s="158" t="str">
        <f t="shared" ca="1" si="1375"/>
        <v/>
      </c>
      <c r="AM873" s="159" t="str">
        <f t="shared" ca="1" si="1376"/>
        <v/>
      </c>
      <c r="AN873" s="160" t="str">
        <f t="shared" ca="1" si="1411"/>
        <v/>
      </c>
      <c r="AO873" s="161" t="str">
        <f t="shared" ca="1" si="1412"/>
        <v/>
      </c>
      <c r="AP873" s="162" t="str">
        <f t="shared" ca="1" si="1413"/>
        <v/>
      </c>
      <c r="AQ873" s="163" t="str">
        <f t="shared" ca="1" si="1414"/>
        <v/>
      </c>
      <c r="AR873" s="164" t="str">
        <f t="shared" ca="1" si="1415"/>
        <v/>
      </c>
      <c r="AS873" s="164" t="str">
        <f t="shared" ca="1" si="1416"/>
        <v/>
      </c>
      <c r="AT873" s="164" t="str">
        <f t="shared" ca="1" si="1417"/>
        <v/>
      </c>
      <c r="AU873" s="164" t="str">
        <f t="shared" ca="1" si="1418"/>
        <v/>
      </c>
      <c r="AV873" s="164" t="str">
        <f t="shared" ca="1" si="1419"/>
        <v/>
      </c>
      <c r="AW873" s="164" t="str">
        <f t="shared" ca="1" si="1420"/>
        <v/>
      </c>
      <c r="AX873" s="164" t="str">
        <f t="shared" ca="1" si="1421"/>
        <v/>
      </c>
      <c r="AY873" s="164" t="str">
        <f t="shared" ca="1" si="1422"/>
        <v/>
      </c>
      <c r="AZ873" s="164" t="str">
        <f t="shared" ca="1" si="1423"/>
        <v/>
      </c>
      <c r="BA873" s="165" t="str">
        <f t="shared" ca="1" si="1424"/>
        <v>nie</v>
      </c>
      <c r="BB873" s="166" t="str">
        <f t="shared" ca="1" si="1449"/>
        <v>-</v>
      </c>
      <c r="BC873" s="165" t="str">
        <f t="shared" ca="1" si="1395"/>
        <v>nie</v>
      </c>
    </row>
    <row r="874" spans="1:55" ht="14.45" hidden="1" customHeight="1" x14ac:dyDescent="0.25">
      <c r="A874" s="143" t="s">
        <v>91</v>
      </c>
      <c r="B874" s="144"/>
      <c r="C874" s="145"/>
      <c r="D874" s="144"/>
      <c r="E874" s="144"/>
      <c r="F874" s="144"/>
      <c r="G874" s="144"/>
      <c r="H874" s="144"/>
      <c r="I874" s="144"/>
      <c r="J874" s="144"/>
      <c r="K874" s="144"/>
      <c r="L874" s="144"/>
      <c r="M874" s="144"/>
      <c r="N874" s="144"/>
      <c r="O874" s="144"/>
      <c r="P874" s="144"/>
      <c r="Q874" s="144"/>
      <c r="R874" s="146"/>
      <c r="S874" s="147"/>
      <c r="T874" s="147"/>
      <c r="U874" s="147"/>
      <c r="V874" s="147"/>
      <c r="W874" s="147"/>
      <c r="X874" s="147"/>
      <c r="Y874" s="148"/>
      <c r="Z874" s="149" t="str">
        <f t="shared" ca="1" si="1394"/>
        <v>nie</v>
      </c>
      <c r="AA874" s="366"/>
      <c r="AB874" s="150" t="str">
        <f t="shared" ca="1" si="1448"/>
        <v>-</v>
      </c>
      <c r="AC874" s="151" t="str">
        <f t="shared" ca="1" si="1404"/>
        <v>PRZED ZMIANĄ</v>
      </c>
      <c r="AD874" s="152" t="str">
        <f t="shared" ca="1" si="1373"/>
        <v/>
      </c>
      <c r="AE874" s="153" t="str">
        <f t="shared" ca="1" si="1405"/>
        <v/>
      </c>
      <c r="AF874" s="154" t="str">
        <f t="shared" ca="1" si="1406"/>
        <v/>
      </c>
      <c r="AG874" s="155" t="str">
        <f t="shared" ca="1" si="1407"/>
        <v/>
      </c>
      <c r="AH874" s="155" t="str">
        <f t="shared" ca="1" si="1408"/>
        <v/>
      </c>
      <c r="AI874" s="156" t="str">
        <f t="shared" ca="1" si="1409"/>
        <v/>
      </c>
      <c r="AJ874" s="157" t="str">
        <f t="shared" ca="1" si="1410"/>
        <v/>
      </c>
      <c r="AK874" s="158" t="str">
        <f t="shared" ca="1" si="1374"/>
        <v/>
      </c>
      <c r="AL874" s="158" t="str">
        <f t="shared" ca="1" si="1375"/>
        <v/>
      </c>
      <c r="AM874" s="159" t="str">
        <f t="shared" ca="1" si="1376"/>
        <v/>
      </c>
      <c r="AN874" s="160" t="str">
        <f t="shared" ca="1" si="1411"/>
        <v/>
      </c>
      <c r="AO874" s="161" t="str">
        <f t="shared" ca="1" si="1412"/>
        <v/>
      </c>
      <c r="AP874" s="162" t="str">
        <f t="shared" ca="1" si="1413"/>
        <v/>
      </c>
      <c r="AQ874" s="163" t="str">
        <f t="shared" ca="1" si="1414"/>
        <v/>
      </c>
      <c r="AR874" s="164" t="str">
        <f t="shared" ca="1" si="1415"/>
        <v/>
      </c>
      <c r="AS874" s="164" t="str">
        <f t="shared" ca="1" si="1416"/>
        <v/>
      </c>
      <c r="AT874" s="164" t="str">
        <f t="shared" ca="1" si="1417"/>
        <v/>
      </c>
      <c r="AU874" s="164" t="str">
        <f t="shared" ca="1" si="1418"/>
        <v/>
      </c>
      <c r="AV874" s="164" t="str">
        <f t="shared" ca="1" si="1419"/>
        <v/>
      </c>
      <c r="AW874" s="164" t="str">
        <f t="shared" ca="1" si="1420"/>
        <v/>
      </c>
      <c r="AX874" s="164" t="str">
        <f t="shared" ca="1" si="1421"/>
        <v/>
      </c>
      <c r="AY874" s="164" t="str">
        <f t="shared" ca="1" si="1422"/>
        <v/>
      </c>
      <c r="AZ874" s="164" t="str">
        <f t="shared" ca="1" si="1423"/>
        <v/>
      </c>
      <c r="BA874" s="165" t="str">
        <f t="shared" ref="BA874:BA888" ca="1" si="1458">Z874</f>
        <v>nie</v>
      </c>
      <c r="BB874" s="166" t="str">
        <f t="shared" ca="1" si="1449"/>
        <v>-</v>
      </c>
      <c r="BC874" s="165" t="str">
        <f t="shared" ca="1" si="1395"/>
        <v>nie</v>
      </c>
    </row>
    <row r="875" spans="1:55" ht="14.45" hidden="1" customHeight="1" x14ac:dyDescent="0.25">
      <c r="A875" s="493"/>
      <c r="B875" s="493"/>
      <c r="C875" s="494"/>
      <c r="D875" s="505"/>
      <c r="E875" s="497"/>
      <c r="F875" s="497"/>
      <c r="G875" s="497"/>
      <c r="H875" s="498"/>
      <c r="I875" s="499" t="str">
        <f ca="1">IF(COUNTIF(OFFSET(I875,-1,-8),"*propon*")&gt;0,OFFSET(I875,4,0),IF(Y875&gt;0,"2033",IF(X875&gt;0,"2032",IF(W875&gt;0,"2031",IF(V875&gt;0,"2030",IF(U875&gt;0,"2029",IF(T875&gt;0,"2028",IF(S875&gt;0,"2027",IF(R875&gt;0,"2026",IF(Q875&gt;0,"2025",IF(P875&gt;0,"2024",IF(M875&gt;0,"2023",IF(L875&gt;0,"2022","")))))))))))))</f>
        <v/>
      </c>
      <c r="J875" s="168" t="s">
        <v>94</v>
      </c>
      <c r="K875" s="169">
        <f>SUM(N875:O875)</f>
        <v>0</v>
      </c>
      <c r="L875" s="170">
        <f t="shared" ref="L875:M875" si="1459">SUM(L876:L877)</f>
        <v>0</v>
      </c>
      <c r="M875" s="171">
        <f t="shared" si="1459"/>
        <v>0</v>
      </c>
      <c r="N875" s="172">
        <f>SUM(L875:M875)</f>
        <v>0</v>
      </c>
      <c r="O875" s="169">
        <f>SUM(P875:Y875)</f>
        <v>0</v>
      </c>
      <c r="P875" s="173">
        <f t="shared" ref="P875:R875" si="1460">SUM(P876:P877)</f>
        <v>0</v>
      </c>
      <c r="Q875" s="171">
        <f t="shared" si="1460"/>
        <v>0</v>
      </c>
      <c r="R875" s="174">
        <f t="shared" si="1460"/>
        <v>0</v>
      </c>
      <c r="S875" s="175">
        <f t="shared" ref="S875:Y875" si="1461">SUM(S876:S877)</f>
        <v>0</v>
      </c>
      <c r="T875" s="171">
        <f t="shared" si="1461"/>
        <v>0</v>
      </c>
      <c r="U875" s="171">
        <f t="shared" si="1461"/>
        <v>0</v>
      </c>
      <c r="V875" s="171">
        <f t="shared" si="1461"/>
        <v>0</v>
      </c>
      <c r="W875" s="171">
        <f t="shared" si="1461"/>
        <v>0</v>
      </c>
      <c r="X875" s="171">
        <f t="shared" si="1461"/>
        <v>0</v>
      </c>
      <c r="Y875" s="174">
        <f t="shared" si="1461"/>
        <v>0</v>
      </c>
      <c r="Z875" s="149" t="str">
        <f t="shared" ca="1" si="1394"/>
        <v>nie</v>
      </c>
      <c r="AA875" s="366"/>
      <c r="AB875" s="150" t="str">
        <f t="shared" ca="1" si="1448"/>
        <v>-</v>
      </c>
      <c r="AC875" s="151" t="str">
        <f t="shared" ca="1" si="1404"/>
        <v>PRZED ZMIANĄ</v>
      </c>
      <c r="AD875" s="152" t="str">
        <f t="shared" ca="1" si="1373"/>
        <v/>
      </c>
      <c r="AE875" s="153" t="str">
        <f t="shared" ca="1" si="1405"/>
        <v/>
      </c>
      <c r="AF875" s="154" t="str">
        <f t="shared" ca="1" si="1406"/>
        <v/>
      </c>
      <c r="AG875" s="155" t="str">
        <f t="shared" ca="1" si="1407"/>
        <v/>
      </c>
      <c r="AH875" s="155" t="str">
        <f t="shared" ca="1" si="1408"/>
        <v/>
      </c>
      <c r="AI875" s="156" t="str">
        <f t="shared" ca="1" si="1409"/>
        <v/>
      </c>
      <c r="AJ875" s="157" t="str">
        <f t="shared" ca="1" si="1410"/>
        <v/>
      </c>
      <c r="AK875" s="158" t="str">
        <f t="shared" ca="1" si="1374"/>
        <v/>
      </c>
      <c r="AL875" s="158" t="str">
        <f t="shared" ca="1" si="1375"/>
        <v/>
      </c>
      <c r="AM875" s="159" t="str">
        <f t="shared" ca="1" si="1376"/>
        <v/>
      </c>
      <c r="AN875" s="160" t="str">
        <f t="shared" ca="1" si="1411"/>
        <v/>
      </c>
      <c r="AO875" s="161" t="str">
        <f t="shared" ca="1" si="1412"/>
        <v/>
      </c>
      <c r="AP875" s="162" t="str">
        <f t="shared" ca="1" si="1413"/>
        <v/>
      </c>
      <c r="AQ875" s="163" t="str">
        <f t="shared" ca="1" si="1414"/>
        <v/>
      </c>
      <c r="AR875" s="164" t="str">
        <f t="shared" ca="1" si="1415"/>
        <v/>
      </c>
      <c r="AS875" s="164" t="str">
        <f t="shared" ca="1" si="1416"/>
        <v/>
      </c>
      <c r="AT875" s="164" t="str">
        <f t="shared" ca="1" si="1417"/>
        <v/>
      </c>
      <c r="AU875" s="164" t="str">
        <f t="shared" ca="1" si="1418"/>
        <v/>
      </c>
      <c r="AV875" s="164" t="str">
        <f t="shared" ca="1" si="1419"/>
        <v/>
      </c>
      <c r="AW875" s="164" t="str">
        <f t="shared" ca="1" si="1420"/>
        <v/>
      </c>
      <c r="AX875" s="164" t="str">
        <f t="shared" ca="1" si="1421"/>
        <v/>
      </c>
      <c r="AY875" s="164" t="str">
        <f t="shared" ca="1" si="1422"/>
        <v/>
      </c>
      <c r="AZ875" s="164" t="str">
        <f t="shared" ca="1" si="1423"/>
        <v/>
      </c>
      <c r="BA875" s="165" t="str">
        <f t="shared" ca="1" si="1458"/>
        <v>nie</v>
      </c>
      <c r="BB875" s="166" t="str">
        <f t="shared" ca="1" si="1449"/>
        <v>-</v>
      </c>
      <c r="BC875" s="165" t="str">
        <f t="shared" ca="1" si="1395"/>
        <v>nie</v>
      </c>
    </row>
    <row r="876" spans="1:55" ht="14.45" hidden="1" customHeight="1" x14ac:dyDescent="0.25">
      <c r="A876" s="493"/>
      <c r="B876" s="493"/>
      <c r="C876" s="494"/>
      <c r="D876" s="512"/>
      <c r="E876" s="497"/>
      <c r="F876" s="497"/>
      <c r="G876" s="497"/>
      <c r="H876" s="498"/>
      <c r="I876" s="499"/>
      <c r="J876" s="177" t="s">
        <v>95</v>
      </c>
      <c r="K876" s="178">
        <f>SUM(N876:O876)</f>
        <v>0</v>
      </c>
      <c r="L876" s="179"/>
      <c r="M876" s="180"/>
      <c r="N876" s="172">
        <v>0</v>
      </c>
      <c r="O876" s="178"/>
      <c r="P876" s="181"/>
      <c r="Q876" s="180"/>
      <c r="R876" s="182"/>
      <c r="S876" s="183"/>
      <c r="T876" s="180"/>
      <c r="U876" s="180"/>
      <c r="V876" s="180"/>
      <c r="W876" s="180"/>
      <c r="X876" s="180"/>
      <c r="Y876" s="182"/>
      <c r="Z876" s="149" t="str">
        <f t="shared" ca="1" si="1394"/>
        <v>nie</v>
      </c>
      <c r="AA876" s="366"/>
      <c r="AB876" s="150" t="str">
        <f t="shared" ca="1" si="1448"/>
        <v>-</v>
      </c>
      <c r="AC876" s="151" t="str">
        <f t="shared" ca="1" si="1404"/>
        <v>PRZED ZMIANĄ</v>
      </c>
      <c r="AD876" s="152" t="str">
        <f t="shared" ca="1" si="1373"/>
        <v/>
      </c>
      <c r="AE876" s="153" t="str">
        <f t="shared" ca="1" si="1405"/>
        <v/>
      </c>
      <c r="AF876" s="154" t="str">
        <f t="shared" ca="1" si="1406"/>
        <v/>
      </c>
      <c r="AG876" s="155" t="str">
        <f t="shared" ca="1" si="1407"/>
        <v/>
      </c>
      <c r="AH876" s="155" t="str">
        <f t="shared" ca="1" si="1408"/>
        <v/>
      </c>
      <c r="AI876" s="156" t="str">
        <f t="shared" ca="1" si="1409"/>
        <v/>
      </c>
      <c r="AJ876" s="157" t="str">
        <f t="shared" ca="1" si="1410"/>
        <v/>
      </c>
      <c r="AK876" s="158" t="str">
        <f t="shared" ca="1" si="1374"/>
        <v/>
      </c>
      <c r="AL876" s="158" t="str">
        <f t="shared" ca="1" si="1375"/>
        <v/>
      </c>
      <c r="AM876" s="159" t="str">
        <f t="shared" ca="1" si="1376"/>
        <v/>
      </c>
      <c r="AN876" s="160" t="str">
        <f t="shared" ca="1" si="1411"/>
        <v/>
      </c>
      <c r="AO876" s="161" t="str">
        <f t="shared" ca="1" si="1412"/>
        <v/>
      </c>
      <c r="AP876" s="162" t="str">
        <f t="shared" ca="1" si="1413"/>
        <v/>
      </c>
      <c r="AQ876" s="163" t="str">
        <f t="shared" ca="1" si="1414"/>
        <v/>
      </c>
      <c r="AR876" s="164" t="str">
        <f t="shared" ca="1" si="1415"/>
        <v/>
      </c>
      <c r="AS876" s="164" t="str">
        <f t="shared" ca="1" si="1416"/>
        <v/>
      </c>
      <c r="AT876" s="164" t="str">
        <f t="shared" ca="1" si="1417"/>
        <v/>
      </c>
      <c r="AU876" s="164" t="str">
        <f t="shared" ca="1" si="1418"/>
        <v/>
      </c>
      <c r="AV876" s="164" t="str">
        <f t="shared" ca="1" si="1419"/>
        <v/>
      </c>
      <c r="AW876" s="164" t="str">
        <f t="shared" ca="1" si="1420"/>
        <v/>
      </c>
      <c r="AX876" s="164" t="str">
        <f t="shared" ca="1" si="1421"/>
        <v/>
      </c>
      <c r="AY876" s="164" t="str">
        <f t="shared" ca="1" si="1422"/>
        <v/>
      </c>
      <c r="AZ876" s="164" t="str">
        <f t="shared" ca="1" si="1423"/>
        <v/>
      </c>
      <c r="BA876" s="165" t="str">
        <f t="shared" ca="1" si="1458"/>
        <v>nie</v>
      </c>
      <c r="BB876" s="166" t="str">
        <f t="shared" ca="1" si="1449"/>
        <v>-</v>
      </c>
      <c r="BC876" s="165" t="str">
        <f t="shared" ca="1" si="1395"/>
        <v>nie</v>
      </c>
    </row>
    <row r="877" spans="1:55" ht="14.45" hidden="1" customHeight="1" x14ac:dyDescent="0.25">
      <c r="A877" s="493"/>
      <c r="B877" s="493"/>
      <c r="C877" s="494"/>
      <c r="D877" s="512"/>
      <c r="E877" s="497"/>
      <c r="F877" s="497"/>
      <c r="G877" s="497"/>
      <c r="H877" s="498"/>
      <c r="I877" s="499"/>
      <c r="J877" s="177" t="s">
        <v>96</v>
      </c>
      <c r="K877" s="178">
        <f>SUM(N877:O877)</f>
        <v>0</v>
      </c>
      <c r="L877" s="184"/>
      <c r="M877" s="180"/>
      <c r="N877" s="172">
        <f>SUM(L877:M877)</f>
        <v>0</v>
      </c>
      <c r="O877" s="178">
        <f>SUM(P877:Y877)</f>
        <v>0</v>
      </c>
      <c r="P877" s="181"/>
      <c r="Q877" s="180"/>
      <c r="R877" s="182"/>
      <c r="S877" s="183"/>
      <c r="T877" s="180"/>
      <c r="U877" s="180"/>
      <c r="V877" s="180"/>
      <c r="W877" s="180"/>
      <c r="X877" s="180"/>
      <c r="Y877" s="182"/>
      <c r="Z877" s="149" t="str">
        <f t="shared" ca="1" si="1394"/>
        <v>nie</v>
      </c>
      <c r="AA877" s="366"/>
      <c r="AB877" s="150" t="str">
        <f t="shared" ca="1" si="1448"/>
        <v>-</v>
      </c>
      <c r="AC877" s="151" t="str">
        <f t="shared" ca="1" si="1404"/>
        <v>PRZED ZMIANĄ</v>
      </c>
      <c r="AD877" s="152" t="str">
        <f t="shared" ca="1" si="1373"/>
        <v/>
      </c>
      <c r="AE877" s="153" t="str">
        <f t="shared" ca="1" si="1405"/>
        <v/>
      </c>
      <c r="AF877" s="154" t="str">
        <f t="shared" ca="1" si="1406"/>
        <v/>
      </c>
      <c r="AG877" s="155" t="str">
        <f t="shared" ca="1" si="1407"/>
        <v/>
      </c>
      <c r="AH877" s="155" t="str">
        <f t="shared" ca="1" si="1408"/>
        <v/>
      </c>
      <c r="AI877" s="156" t="str">
        <f t="shared" ca="1" si="1409"/>
        <v/>
      </c>
      <c r="AJ877" s="157" t="str">
        <f t="shared" ca="1" si="1410"/>
        <v/>
      </c>
      <c r="AK877" s="158" t="str">
        <f t="shared" ca="1" si="1374"/>
        <v/>
      </c>
      <c r="AL877" s="158" t="str">
        <f t="shared" ca="1" si="1375"/>
        <v/>
      </c>
      <c r="AM877" s="159" t="str">
        <f t="shared" ca="1" si="1376"/>
        <v/>
      </c>
      <c r="AN877" s="160" t="str">
        <f t="shared" ca="1" si="1411"/>
        <v/>
      </c>
      <c r="AO877" s="161" t="str">
        <f t="shared" ca="1" si="1412"/>
        <v/>
      </c>
      <c r="AP877" s="162" t="str">
        <f t="shared" ca="1" si="1413"/>
        <v/>
      </c>
      <c r="AQ877" s="163" t="str">
        <f t="shared" ca="1" si="1414"/>
        <v/>
      </c>
      <c r="AR877" s="164" t="str">
        <f t="shared" ca="1" si="1415"/>
        <v/>
      </c>
      <c r="AS877" s="164" t="str">
        <f t="shared" ca="1" si="1416"/>
        <v/>
      </c>
      <c r="AT877" s="164" t="str">
        <f t="shared" ca="1" si="1417"/>
        <v/>
      </c>
      <c r="AU877" s="164" t="str">
        <f t="shared" ca="1" si="1418"/>
        <v/>
      </c>
      <c r="AV877" s="164" t="str">
        <f t="shared" ca="1" si="1419"/>
        <v/>
      </c>
      <c r="AW877" s="164" t="str">
        <f t="shared" ca="1" si="1420"/>
        <v/>
      </c>
      <c r="AX877" s="164" t="str">
        <f t="shared" ca="1" si="1421"/>
        <v/>
      </c>
      <c r="AY877" s="164" t="str">
        <f t="shared" ca="1" si="1422"/>
        <v/>
      </c>
      <c r="AZ877" s="164" t="str">
        <f t="shared" ca="1" si="1423"/>
        <v/>
      </c>
      <c r="BA877" s="165" t="str">
        <f t="shared" ca="1" si="1458"/>
        <v>nie</v>
      </c>
      <c r="BB877" s="166" t="str">
        <f t="shared" ca="1" si="1449"/>
        <v>-</v>
      </c>
      <c r="BC877" s="165" t="str">
        <f t="shared" ca="1" si="1395"/>
        <v>nie</v>
      </c>
    </row>
    <row r="878" spans="1:55" ht="14.45" hidden="1" customHeight="1" x14ac:dyDescent="0.25">
      <c r="A878" s="185" t="s">
        <v>97</v>
      </c>
      <c r="B878" s="186"/>
      <c r="C878" s="187"/>
      <c r="D878" s="186"/>
      <c r="E878" s="186"/>
      <c r="F878" s="186"/>
      <c r="G878" s="186"/>
      <c r="H878" s="186"/>
      <c r="I878" s="186"/>
      <c r="J878" s="186"/>
      <c r="K878" s="186"/>
      <c r="L878" s="186"/>
      <c r="M878" s="186"/>
      <c r="N878" s="186"/>
      <c r="O878" s="186"/>
      <c r="P878" s="186"/>
      <c r="Q878" s="186"/>
      <c r="R878" s="188"/>
      <c r="S878" s="189"/>
      <c r="T878" s="189"/>
      <c r="U878" s="189"/>
      <c r="V878" s="189"/>
      <c r="W878" s="189"/>
      <c r="X878" s="189"/>
      <c r="Y878" s="190"/>
      <c r="Z878" s="149" t="str">
        <f t="shared" ca="1" si="1394"/>
        <v>nie</v>
      </c>
      <c r="AA878" s="366"/>
      <c r="AB878" s="150" t="str">
        <f t="shared" ca="1" si="1448"/>
        <v>-</v>
      </c>
      <c r="AC878" s="151" t="str">
        <f t="shared" ca="1" si="1404"/>
        <v>PROPONOWANA ZMIANA</v>
      </c>
      <c r="AD878" s="152" t="str">
        <f t="shared" ca="1" si="1373"/>
        <v/>
      </c>
      <c r="AE878" s="153" t="str">
        <f t="shared" ca="1" si="1405"/>
        <v/>
      </c>
      <c r="AF878" s="154" t="str">
        <f t="shared" ca="1" si="1406"/>
        <v/>
      </c>
      <c r="AG878" s="155" t="str">
        <f t="shared" ca="1" si="1407"/>
        <v/>
      </c>
      <c r="AH878" s="155" t="str">
        <f t="shared" ca="1" si="1408"/>
        <v/>
      </c>
      <c r="AI878" s="156" t="str">
        <f t="shared" ca="1" si="1409"/>
        <v/>
      </c>
      <c r="AJ878" s="157" t="str">
        <f t="shared" ca="1" si="1410"/>
        <v/>
      </c>
      <c r="AK878" s="158" t="str">
        <f t="shared" ca="1" si="1374"/>
        <v/>
      </c>
      <c r="AL878" s="158" t="str">
        <f t="shared" ca="1" si="1375"/>
        <v/>
      </c>
      <c r="AM878" s="159" t="str">
        <f t="shared" ca="1" si="1376"/>
        <v/>
      </c>
      <c r="AN878" s="160" t="str">
        <f t="shared" ca="1" si="1411"/>
        <v/>
      </c>
      <c r="AO878" s="161" t="str">
        <f t="shared" ca="1" si="1412"/>
        <v/>
      </c>
      <c r="AP878" s="162" t="str">
        <f t="shared" ca="1" si="1413"/>
        <v/>
      </c>
      <c r="AQ878" s="163" t="str">
        <f t="shared" ca="1" si="1414"/>
        <v/>
      </c>
      <c r="AR878" s="164" t="str">
        <f t="shared" ca="1" si="1415"/>
        <v/>
      </c>
      <c r="AS878" s="164" t="str">
        <f t="shared" ca="1" si="1416"/>
        <v/>
      </c>
      <c r="AT878" s="164" t="str">
        <f t="shared" ca="1" si="1417"/>
        <v/>
      </c>
      <c r="AU878" s="164" t="str">
        <f t="shared" ca="1" si="1418"/>
        <v/>
      </c>
      <c r="AV878" s="164" t="str">
        <f t="shared" ca="1" si="1419"/>
        <v/>
      </c>
      <c r="AW878" s="164" t="str">
        <f t="shared" ca="1" si="1420"/>
        <v/>
      </c>
      <c r="AX878" s="164" t="str">
        <f t="shared" ca="1" si="1421"/>
        <v/>
      </c>
      <c r="AY878" s="164" t="str">
        <f t="shared" ca="1" si="1422"/>
        <v/>
      </c>
      <c r="AZ878" s="164" t="str">
        <f t="shared" ca="1" si="1423"/>
        <v/>
      </c>
      <c r="BA878" s="165" t="str">
        <f t="shared" ca="1" si="1458"/>
        <v>nie</v>
      </c>
      <c r="BB878" s="166" t="str">
        <f t="shared" ca="1" si="1449"/>
        <v>-</v>
      </c>
      <c r="BC878" s="165" t="str">
        <f t="shared" ca="1" si="1395"/>
        <v>nie</v>
      </c>
    </row>
    <row r="879" spans="1:55" ht="14.45" hidden="1" customHeight="1" x14ac:dyDescent="0.25">
      <c r="A879" s="493"/>
      <c r="B879" s="493"/>
      <c r="C879" s="494"/>
      <c r="D879" s="505"/>
      <c r="E879" s="497"/>
      <c r="F879" s="497"/>
      <c r="G879" s="497"/>
      <c r="H879" s="498"/>
      <c r="I879" s="499" t="str">
        <f ca="1">IF(COUNTIF(OFFSET(I879,-1,-8),"*propon*")&gt;0,OFFSET(I879,4,0),IF(Y879&gt;0,"2033",IF(X879&gt;0,"2032",IF(W879&gt;0,"2031",IF(V879&gt;0,"2030",IF(U879&gt;0,"2029",IF(T879&gt;0,"2028",IF(S879&gt;0,"2027",IF(R879&gt;0,"2026",IF(Q879&gt;0,"2025",IF(P879&gt;0,"2024",IF(M879&gt;0,"2023",IF(L879&gt;0,"2022","")))))))))))))</f>
        <v/>
      </c>
      <c r="J879" s="168" t="s">
        <v>98</v>
      </c>
      <c r="K879" s="169">
        <f>SUM(N879:O879)</f>
        <v>0</v>
      </c>
      <c r="L879" s="170">
        <f t="shared" ref="L879:M879" si="1462">SUM(L880:L881)</f>
        <v>0</v>
      </c>
      <c r="M879" s="171">
        <f t="shared" si="1462"/>
        <v>0</v>
      </c>
      <c r="N879" s="172">
        <f>SUM(L879:M879)</f>
        <v>0</v>
      </c>
      <c r="O879" s="169">
        <f>SUM(P879:Y879)</f>
        <v>0</v>
      </c>
      <c r="P879" s="173">
        <f t="shared" ref="P879:R879" si="1463">SUM(P880:P881)</f>
        <v>0</v>
      </c>
      <c r="Q879" s="171">
        <f t="shared" si="1463"/>
        <v>0</v>
      </c>
      <c r="R879" s="174">
        <f t="shared" si="1463"/>
        <v>0</v>
      </c>
      <c r="S879" s="175">
        <f t="shared" ref="S879:Y879" si="1464">SUM(S880:S881)</f>
        <v>0</v>
      </c>
      <c r="T879" s="171">
        <f t="shared" si="1464"/>
        <v>0</v>
      </c>
      <c r="U879" s="171">
        <f t="shared" si="1464"/>
        <v>0</v>
      </c>
      <c r="V879" s="171">
        <f t="shared" si="1464"/>
        <v>0</v>
      </c>
      <c r="W879" s="171">
        <f t="shared" si="1464"/>
        <v>0</v>
      </c>
      <c r="X879" s="171">
        <f t="shared" si="1464"/>
        <v>0</v>
      </c>
      <c r="Y879" s="174">
        <f t="shared" si="1464"/>
        <v>0</v>
      </c>
      <c r="Z879" s="149" t="str">
        <f t="shared" ca="1" si="1394"/>
        <v>nie</v>
      </c>
      <c r="AA879" s="366"/>
      <c r="AB879" s="150" t="str">
        <f t="shared" ca="1" si="1448"/>
        <v>-</v>
      </c>
      <c r="AC879" s="151" t="str">
        <f t="shared" ca="1" si="1404"/>
        <v>PROPONOWANA ZMIANA</v>
      </c>
      <c r="AD879" s="152" t="str">
        <f t="shared" ca="1" si="1373"/>
        <v/>
      </c>
      <c r="AE879" s="153" t="str">
        <f t="shared" ca="1" si="1405"/>
        <v/>
      </c>
      <c r="AF879" s="154" t="str">
        <f t="shared" ca="1" si="1406"/>
        <v/>
      </c>
      <c r="AG879" s="155" t="str">
        <f t="shared" ca="1" si="1407"/>
        <v/>
      </c>
      <c r="AH879" s="155" t="str">
        <f t="shared" ca="1" si="1408"/>
        <v/>
      </c>
      <c r="AI879" s="156" t="str">
        <f t="shared" ca="1" si="1409"/>
        <v/>
      </c>
      <c r="AJ879" s="157" t="str">
        <f t="shared" ca="1" si="1410"/>
        <v/>
      </c>
      <c r="AK879" s="158" t="str">
        <f t="shared" ca="1" si="1374"/>
        <v/>
      </c>
      <c r="AL879" s="158" t="str">
        <f t="shared" ca="1" si="1375"/>
        <v/>
      </c>
      <c r="AM879" s="159" t="str">
        <f t="shared" ca="1" si="1376"/>
        <v/>
      </c>
      <c r="AN879" s="160" t="str">
        <f t="shared" ca="1" si="1411"/>
        <v/>
      </c>
      <c r="AO879" s="161" t="str">
        <f t="shared" ca="1" si="1412"/>
        <v/>
      </c>
      <c r="AP879" s="162" t="str">
        <f t="shared" ca="1" si="1413"/>
        <v/>
      </c>
      <c r="AQ879" s="163" t="str">
        <f t="shared" ca="1" si="1414"/>
        <v/>
      </c>
      <c r="AR879" s="164" t="str">
        <f t="shared" ca="1" si="1415"/>
        <v/>
      </c>
      <c r="AS879" s="164" t="str">
        <f t="shared" ca="1" si="1416"/>
        <v/>
      </c>
      <c r="AT879" s="164" t="str">
        <f t="shared" ca="1" si="1417"/>
        <v/>
      </c>
      <c r="AU879" s="164" t="str">
        <f t="shared" ca="1" si="1418"/>
        <v/>
      </c>
      <c r="AV879" s="164" t="str">
        <f t="shared" ca="1" si="1419"/>
        <v/>
      </c>
      <c r="AW879" s="164" t="str">
        <f t="shared" ca="1" si="1420"/>
        <v/>
      </c>
      <c r="AX879" s="164" t="str">
        <f t="shared" ca="1" si="1421"/>
        <v/>
      </c>
      <c r="AY879" s="164" t="str">
        <f t="shared" ca="1" si="1422"/>
        <v/>
      </c>
      <c r="AZ879" s="164" t="str">
        <f t="shared" ca="1" si="1423"/>
        <v/>
      </c>
      <c r="BA879" s="165" t="str">
        <f t="shared" ca="1" si="1458"/>
        <v>nie</v>
      </c>
      <c r="BB879" s="166" t="str">
        <f t="shared" ca="1" si="1449"/>
        <v>-</v>
      </c>
      <c r="BC879" s="165" t="str">
        <f t="shared" ca="1" si="1395"/>
        <v>nie</v>
      </c>
    </row>
    <row r="880" spans="1:55" ht="14.45" hidden="1" customHeight="1" x14ac:dyDescent="0.25">
      <c r="A880" s="493"/>
      <c r="B880" s="493"/>
      <c r="C880" s="494"/>
      <c r="D880" s="512"/>
      <c r="E880" s="497"/>
      <c r="F880" s="497"/>
      <c r="G880" s="497"/>
      <c r="H880" s="498"/>
      <c r="I880" s="499"/>
      <c r="J880" s="177" t="s">
        <v>99</v>
      </c>
      <c r="K880" s="178">
        <f>SUM(N880:O880)</f>
        <v>0</v>
      </c>
      <c r="L880" s="179">
        <f t="shared" ref="L880:M880" si="1465">L884-L876</f>
        <v>0</v>
      </c>
      <c r="M880" s="180">
        <f t="shared" si="1465"/>
        <v>0</v>
      </c>
      <c r="N880" s="172">
        <f>SUM(L880:M880)</f>
        <v>0</v>
      </c>
      <c r="O880" s="178">
        <f>SUM(P880:Y880)</f>
        <v>0</v>
      </c>
      <c r="P880" s="181">
        <f t="shared" ref="P880:R880" si="1466">P884-P876</f>
        <v>0</v>
      </c>
      <c r="Q880" s="180">
        <f t="shared" si="1466"/>
        <v>0</v>
      </c>
      <c r="R880" s="182">
        <f t="shared" si="1466"/>
        <v>0</v>
      </c>
      <c r="S880" s="183">
        <f t="shared" ref="S880:Y881" si="1467">S884-S876</f>
        <v>0</v>
      </c>
      <c r="T880" s="180">
        <f t="shared" si="1467"/>
        <v>0</v>
      </c>
      <c r="U880" s="180">
        <f t="shared" si="1467"/>
        <v>0</v>
      </c>
      <c r="V880" s="180">
        <f t="shared" si="1467"/>
        <v>0</v>
      </c>
      <c r="W880" s="180">
        <f t="shared" si="1467"/>
        <v>0</v>
      </c>
      <c r="X880" s="180">
        <f t="shared" si="1467"/>
        <v>0</v>
      </c>
      <c r="Y880" s="182">
        <f t="shared" si="1467"/>
        <v>0</v>
      </c>
      <c r="Z880" s="149" t="str">
        <f t="shared" ca="1" si="1394"/>
        <v>nie</v>
      </c>
      <c r="AA880" s="366"/>
      <c r="AB880" s="150" t="str">
        <f t="shared" ca="1" si="1448"/>
        <v>-</v>
      </c>
      <c r="AC880" s="151" t="str">
        <f t="shared" ca="1" si="1404"/>
        <v>PROPONOWANA ZMIANA</v>
      </c>
      <c r="AD880" s="152" t="str">
        <f t="shared" ca="1" si="1373"/>
        <v/>
      </c>
      <c r="AE880" s="153" t="str">
        <f t="shared" ca="1" si="1405"/>
        <v/>
      </c>
      <c r="AF880" s="154" t="str">
        <f t="shared" ca="1" si="1406"/>
        <v/>
      </c>
      <c r="AG880" s="155" t="str">
        <f t="shared" ca="1" si="1407"/>
        <v/>
      </c>
      <c r="AH880" s="155" t="str">
        <f t="shared" ca="1" si="1408"/>
        <v/>
      </c>
      <c r="AI880" s="156" t="str">
        <f t="shared" ca="1" si="1409"/>
        <v/>
      </c>
      <c r="AJ880" s="157" t="str">
        <f t="shared" ca="1" si="1410"/>
        <v/>
      </c>
      <c r="AK880" s="158" t="str">
        <f t="shared" ca="1" si="1374"/>
        <v/>
      </c>
      <c r="AL880" s="158" t="str">
        <f t="shared" ca="1" si="1375"/>
        <v/>
      </c>
      <c r="AM880" s="159" t="str">
        <f t="shared" ca="1" si="1376"/>
        <v/>
      </c>
      <c r="AN880" s="160" t="str">
        <f t="shared" ca="1" si="1411"/>
        <v/>
      </c>
      <c r="AO880" s="161" t="str">
        <f t="shared" ca="1" si="1412"/>
        <v/>
      </c>
      <c r="AP880" s="162" t="str">
        <f t="shared" ca="1" si="1413"/>
        <v/>
      </c>
      <c r="AQ880" s="163" t="str">
        <f t="shared" ca="1" si="1414"/>
        <v/>
      </c>
      <c r="AR880" s="164" t="str">
        <f t="shared" ca="1" si="1415"/>
        <v/>
      </c>
      <c r="AS880" s="164" t="str">
        <f t="shared" ca="1" si="1416"/>
        <v/>
      </c>
      <c r="AT880" s="164" t="str">
        <f t="shared" ca="1" si="1417"/>
        <v/>
      </c>
      <c r="AU880" s="164" t="str">
        <f t="shared" ca="1" si="1418"/>
        <v/>
      </c>
      <c r="AV880" s="164" t="str">
        <f t="shared" ca="1" si="1419"/>
        <v/>
      </c>
      <c r="AW880" s="164" t="str">
        <f t="shared" ca="1" si="1420"/>
        <v/>
      </c>
      <c r="AX880" s="164" t="str">
        <f t="shared" ca="1" si="1421"/>
        <v/>
      </c>
      <c r="AY880" s="164" t="str">
        <f t="shared" ca="1" si="1422"/>
        <v/>
      </c>
      <c r="AZ880" s="164" t="str">
        <f t="shared" ca="1" si="1423"/>
        <v/>
      </c>
      <c r="BA880" s="165" t="str">
        <f t="shared" ca="1" si="1458"/>
        <v>nie</v>
      </c>
      <c r="BB880" s="166" t="str">
        <f t="shared" ca="1" si="1449"/>
        <v>-</v>
      </c>
      <c r="BC880" s="165" t="str">
        <f t="shared" ca="1" si="1395"/>
        <v>nie</v>
      </c>
    </row>
    <row r="881" spans="1:55" ht="14.45" hidden="1" customHeight="1" x14ac:dyDescent="0.25">
      <c r="A881" s="493"/>
      <c r="B881" s="493"/>
      <c r="C881" s="494"/>
      <c r="D881" s="512"/>
      <c r="E881" s="497"/>
      <c r="F881" s="497"/>
      <c r="G881" s="497"/>
      <c r="H881" s="498"/>
      <c r="I881" s="499"/>
      <c r="J881" s="177" t="s">
        <v>100</v>
      </c>
      <c r="K881" s="178">
        <f>SUM(N881:O881)</f>
        <v>0</v>
      </c>
      <c r="L881" s="184">
        <f t="shared" ref="L881:M881" si="1468">L885-L877</f>
        <v>0</v>
      </c>
      <c r="M881" s="180">
        <f t="shared" si="1468"/>
        <v>0</v>
      </c>
      <c r="N881" s="172">
        <f>SUM(L881:M881)</f>
        <v>0</v>
      </c>
      <c r="O881" s="178">
        <f>SUM(P881:Y881)</f>
        <v>0</v>
      </c>
      <c r="P881" s="181">
        <f t="shared" ref="P881:R881" si="1469">P885-P877</f>
        <v>0</v>
      </c>
      <c r="Q881" s="180">
        <f t="shared" si="1469"/>
        <v>0</v>
      </c>
      <c r="R881" s="182">
        <f t="shared" si="1469"/>
        <v>0</v>
      </c>
      <c r="S881" s="183">
        <f t="shared" si="1467"/>
        <v>0</v>
      </c>
      <c r="T881" s="180">
        <f t="shared" si="1467"/>
        <v>0</v>
      </c>
      <c r="U881" s="180">
        <f t="shared" si="1467"/>
        <v>0</v>
      </c>
      <c r="V881" s="180">
        <f t="shared" si="1467"/>
        <v>0</v>
      </c>
      <c r="W881" s="180">
        <f t="shared" si="1467"/>
        <v>0</v>
      </c>
      <c r="X881" s="180">
        <f t="shared" si="1467"/>
        <v>0</v>
      </c>
      <c r="Y881" s="182">
        <f t="shared" si="1467"/>
        <v>0</v>
      </c>
      <c r="Z881" s="149" t="str">
        <f t="shared" ca="1" si="1394"/>
        <v>nie</v>
      </c>
      <c r="AA881" s="366"/>
      <c r="AB881" s="150" t="str">
        <f t="shared" ca="1" si="1448"/>
        <v>-</v>
      </c>
      <c r="AC881" s="151" t="str">
        <f t="shared" ca="1" si="1404"/>
        <v>PROPONOWANA ZMIANA</v>
      </c>
      <c r="AD881" s="152" t="str">
        <f t="shared" ca="1" si="1373"/>
        <v/>
      </c>
      <c r="AE881" s="153" t="str">
        <f t="shared" ca="1" si="1405"/>
        <v/>
      </c>
      <c r="AF881" s="154" t="str">
        <f t="shared" ca="1" si="1406"/>
        <v/>
      </c>
      <c r="AG881" s="155" t="str">
        <f t="shared" ca="1" si="1407"/>
        <v/>
      </c>
      <c r="AH881" s="155" t="str">
        <f t="shared" ca="1" si="1408"/>
        <v/>
      </c>
      <c r="AI881" s="156" t="str">
        <f t="shared" ca="1" si="1409"/>
        <v/>
      </c>
      <c r="AJ881" s="157" t="str">
        <f t="shared" ca="1" si="1410"/>
        <v/>
      </c>
      <c r="AK881" s="158" t="str">
        <f t="shared" ca="1" si="1374"/>
        <v/>
      </c>
      <c r="AL881" s="158" t="str">
        <f t="shared" ca="1" si="1375"/>
        <v/>
      </c>
      <c r="AM881" s="159" t="str">
        <f t="shared" ca="1" si="1376"/>
        <v/>
      </c>
      <c r="AN881" s="160" t="str">
        <f t="shared" ca="1" si="1411"/>
        <v/>
      </c>
      <c r="AO881" s="161" t="str">
        <f t="shared" ca="1" si="1412"/>
        <v/>
      </c>
      <c r="AP881" s="162" t="str">
        <f t="shared" ca="1" si="1413"/>
        <v/>
      </c>
      <c r="AQ881" s="163" t="str">
        <f t="shared" ca="1" si="1414"/>
        <v/>
      </c>
      <c r="AR881" s="164" t="str">
        <f t="shared" ca="1" si="1415"/>
        <v/>
      </c>
      <c r="AS881" s="164" t="str">
        <f t="shared" ca="1" si="1416"/>
        <v/>
      </c>
      <c r="AT881" s="164" t="str">
        <f t="shared" ca="1" si="1417"/>
        <v/>
      </c>
      <c r="AU881" s="164" t="str">
        <f t="shared" ca="1" si="1418"/>
        <v/>
      </c>
      <c r="AV881" s="164" t="str">
        <f t="shared" ca="1" si="1419"/>
        <v/>
      </c>
      <c r="AW881" s="164" t="str">
        <f t="shared" ca="1" si="1420"/>
        <v/>
      </c>
      <c r="AX881" s="164" t="str">
        <f t="shared" ca="1" si="1421"/>
        <v/>
      </c>
      <c r="AY881" s="164" t="str">
        <f t="shared" ca="1" si="1422"/>
        <v/>
      </c>
      <c r="AZ881" s="164" t="str">
        <f t="shared" ca="1" si="1423"/>
        <v/>
      </c>
      <c r="BA881" s="165" t="str">
        <f t="shared" ca="1" si="1458"/>
        <v>nie</v>
      </c>
      <c r="BB881" s="166" t="str">
        <f t="shared" ca="1" si="1449"/>
        <v>-</v>
      </c>
      <c r="BC881" s="165" t="str">
        <f t="shared" ca="1" si="1395"/>
        <v>nie</v>
      </c>
    </row>
    <row r="882" spans="1:55" ht="14.45" hidden="1" customHeight="1" x14ac:dyDescent="0.25">
      <c r="A882" s="191" t="s">
        <v>101</v>
      </c>
      <c r="B882" s="192"/>
      <c r="C882" s="193"/>
      <c r="D882" s="192"/>
      <c r="E882" s="192"/>
      <c r="F882" s="192"/>
      <c r="G882" s="192"/>
      <c r="H882" s="192"/>
      <c r="I882" s="192"/>
      <c r="J882" s="192"/>
      <c r="K882" s="192"/>
      <c r="L882" s="192"/>
      <c r="M882" s="192"/>
      <c r="N882" s="192"/>
      <c r="O882" s="192"/>
      <c r="P882" s="192"/>
      <c r="Q882" s="192"/>
      <c r="R882" s="194"/>
      <c r="S882" s="195"/>
      <c r="T882" s="195"/>
      <c r="U882" s="195"/>
      <c r="V882" s="195"/>
      <c r="W882" s="195"/>
      <c r="X882" s="195"/>
      <c r="Y882" s="196"/>
      <c r="Z882" s="149" t="str">
        <f t="shared" ca="1" si="1394"/>
        <v>nie</v>
      </c>
      <c r="AA882" s="366"/>
      <c r="AB882" s="150" t="str">
        <f t="shared" ca="1" si="1448"/>
        <v>-</v>
      </c>
      <c r="AC882" s="151" t="str">
        <f t="shared" ca="1" si="1404"/>
        <v>PO ZMIANIE</v>
      </c>
      <c r="AD882" s="152" t="str">
        <f t="shared" ca="1" si="1373"/>
        <v/>
      </c>
      <c r="AE882" s="153" t="str">
        <f t="shared" ca="1" si="1405"/>
        <v/>
      </c>
      <c r="AF882" s="154" t="str">
        <f t="shared" ca="1" si="1406"/>
        <v/>
      </c>
      <c r="AG882" s="155" t="str">
        <f t="shared" ca="1" si="1407"/>
        <v/>
      </c>
      <c r="AH882" s="155" t="str">
        <f t="shared" ca="1" si="1408"/>
        <v/>
      </c>
      <c r="AI882" s="156" t="str">
        <f t="shared" ca="1" si="1409"/>
        <v/>
      </c>
      <c r="AJ882" s="157" t="str">
        <f t="shared" ca="1" si="1410"/>
        <v/>
      </c>
      <c r="AK882" s="158" t="str">
        <f t="shared" ca="1" si="1374"/>
        <v/>
      </c>
      <c r="AL882" s="158" t="str">
        <f t="shared" ca="1" si="1375"/>
        <v/>
      </c>
      <c r="AM882" s="159" t="str">
        <f t="shared" ca="1" si="1376"/>
        <v/>
      </c>
      <c r="AN882" s="160" t="str">
        <f t="shared" ca="1" si="1411"/>
        <v/>
      </c>
      <c r="AO882" s="161" t="str">
        <f t="shared" ca="1" si="1412"/>
        <v/>
      </c>
      <c r="AP882" s="162" t="str">
        <f t="shared" ca="1" si="1413"/>
        <v/>
      </c>
      <c r="AQ882" s="163" t="str">
        <f t="shared" ca="1" si="1414"/>
        <v/>
      </c>
      <c r="AR882" s="164" t="str">
        <f t="shared" ca="1" si="1415"/>
        <v/>
      </c>
      <c r="AS882" s="164" t="str">
        <f t="shared" ca="1" si="1416"/>
        <v/>
      </c>
      <c r="AT882" s="164" t="str">
        <f t="shared" ca="1" si="1417"/>
        <v/>
      </c>
      <c r="AU882" s="164" t="str">
        <f t="shared" ca="1" si="1418"/>
        <v/>
      </c>
      <c r="AV882" s="164" t="str">
        <f t="shared" ca="1" si="1419"/>
        <v/>
      </c>
      <c r="AW882" s="164" t="str">
        <f t="shared" ca="1" si="1420"/>
        <v/>
      </c>
      <c r="AX882" s="164" t="str">
        <f t="shared" ca="1" si="1421"/>
        <v/>
      </c>
      <c r="AY882" s="164" t="str">
        <f t="shared" ca="1" si="1422"/>
        <v/>
      </c>
      <c r="AZ882" s="164" t="str">
        <f t="shared" ca="1" si="1423"/>
        <v/>
      </c>
      <c r="BA882" s="165" t="str">
        <f t="shared" ca="1" si="1458"/>
        <v>nie</v>
      </c>
      <c r="BB882" s="166" t="str">
        <f t="shared" ca="1" si="1449"/>
        <v>-</v>
      </c>
      <c r="BC882" s="165" t="str">
        <f t="shared" ca="1" si="1395"/>
        <v>nie</v>
      </c>
    </row>
    <row r="883" spans="1:55" ht="14.45" hidden="1" customHeight="1" x14ac:dyDescent="0.25">
      <c r="A883" s="493"/>
      <c r="B883" s="493"/>
      <c r="C883" s="494"/>
      <c r="D883" s="505"/>
      <c r="E883" s="497"/>
      <c r="F883" s="497"/>
      <c r="G883" s="497"/>
      <c r="H883" s="498"/>
      <c r="I883" s="499" t="str">
        <f ca="1">IF(COUNTIF(OFFSET(I883,-1,-8),"*propon*")&gt;0,OFFSET(I883,4,0),IF(Y883&gt;0,"2033",IF(X883&gt;0,"2032",IF(W883&gt;0,"2031",IF(V883&gt;0,"2030",IF(U883&gt;0,"2029",IF(T883&gt;0,"2028",IF(S883&gt;0,"2027",IF(R883&gt;0,"2026",IF(Q883&gt;0,"2025",IF(P883&gt;0,"2024",IF(M883&gt;0,"2023",IF(L883&gt;0,"2022","")))))))))))))</f>
        <v/>
      </c>
      <c r="J883" s="168" t="s">
        <v>102</v>
      </c>
      <c r="K883" s="169">
        <f>SUM(N883:O883)</f>
        <v>0</v>
      </c>
      <c r="L883" s="170">
        <f t="shared" ref="L883:M883" si="1470">SUM(L884:L885)</f>
        <v>0</v>
      </c>
      <c r="M883" s="171">
        <f t="shared" si="1470"/>
        <v>0</v>
      </c>
      <c r="N883" s="172">
        <f>SUM(L883:M883)</f>
        <v>0</v>
      </c>
      <c r="O883" s="169">
        <f>SUM(P883:Y883)</f>
        <v>0</v>
      </c>
      <c r="P883" s="173">
        <f t="shared" ref="P883:R883" si="1471">SUM(P884:P885)</f>
        <v>0</v>
      </c>
      <c r="Q883" s="171">
        <f t="shared" si="1471"/>
        <v>0</v>
      </c>
      <c r="R883" s="174">
        <f t="shared" si="1471"/>
        <v>0</v>
      </c>
      <c r="S883" s="175">
        <f t="shared" ref="S883:Y883" si="1472">SUM(S884:S885)</f>
        <v>0</v>
      </c>
      <c r="T883" s="171">
        <f t="shared" si="1472"/>
        <v>0</v>
      </c>
      <c r="U883" s="171">
        <f t="shared" si="1472"/>
        <v>0</v>
      </c>
      <c r="V883" s="171">
        <f t="shared" si="1472"/>
        <v>0</v>
      </c>
      <c r="W883" s="171">
        <f t="shared" si="1472"/>
        <v>0</v>
      </c>
      <c r="X883" s="171">
        <f t="shared" si="1472"/>
        <v>0</v>
      </c>
      <c r="Y883" s="174">
        <f t="shared" si="1472"/>
        <v>0</v>
      </c>
      <c r="Z883" s="149" t="str">
        <f t="shared" ca="1" si="1394"/>
        <v>nie</v>
      </c>
      <c r="AA883" s="366"/>
      <c r="AB883" s="150" t="str">
        <f t="shared" ca="1" si="1448"/>
        <v>-</v>
      </c>
      <c r="AC883" s="151" t="str">
        <f t="shared" ca="1" si="1404"/>
        <v>PO ZMIANIE</v>
      </c>
      <c r="AD883" s="152" t="str">
        <f t="shared" ca="1" si="1373"/>
        <v/>
      </c>
      <c r="AE883" s="153" t="str">
        <f t="shared" ca="1" si="1405"/>
        <v/>
      </c>
      <c r="AF883" s="154" t="str">
        <f t="shared" ca="1" si="1406"/>
        <v/>
      </c>
      <c r="AG883" s="155" t="str">
        <f t="shared" ca="1" si="1407"/>
        <v/>
      </c>
      <c r="AH883" s="155" t="str">
        <f t="shared" ca="1" si="1408"/>
        <v/>
      </c>
      <c r="AI883" s="156" t="str">
        <f t="shared" ca="1" si="1409"/>
        <v/>
      </c>
      <c r="AJ883" s="157" t="str">
        <f t="shared" ca="1" si="1410"/>
        <v/>
      </c>
      <c r="AK883" s="158" t="str">
        <f t="shared" ca="1" si="1374"/>
        <v/>
      </c>
      <c r="AL883" s="158" t="str">
        <f t="shared" ca="1" si="1375"/>
        <v/>
      </c>
      <c r="AM883" s="159" t="str">
        <f t="shared" ca="1" si="1376"/>
        <v/>
      </c>
      <c r="AN883" s="160" t="str">
        <f t="shared" ca="1" si="1411"/>
        <v/>
      </c>
      <c r="AO883" s="161" t="str">
        <f t="shared" ca="1" si="1412"/>
        <v/>
      </c>
      <c r="AP883" s="162" t="str">
        <f t="shared" ca="1" si="1413"/>
        <v/>
      </c>
      <c r="AQ883" s="163" t="str">
        <f t="shared" ca="1" si="1414"/>
        <v/>
      </c>
      <c r="AR883" s="164" t="str">
        <f t="shared" ca="1" si="1415"/>
        <v/>
      </c>
      <c r="AS883" s="164" t="str">
        <f t="shared" ca="1" si="1416"/>
        <v/>
      </c>
      <c r="AT883" s="164" t="str">
        <f t="shared" ca="1" si="1417"/>
        <v/>
      </c>
      <c r="AU883" s="164" t="str">
        <f t="shared" ca="1" si="1418"/>
        <v/>
      </c>
      <c r="AV883" s="164" t="str">
        <f t="shared" ca="1" si="1419"/>
        <v/>
      </c>
      <c r="AW883" s="164" t="str">
        <f t="shared" ca="1" si="1420"/>
        <v/>
      </c>
      <c r="AX883" s="164" t="str">
        <f t="shared" ca="1" si="1421"/>
        <v/>
      </c>
      <c r="AY883" s="164" t="str">
        <f t="shared" ca="1" si="1422"/>
        <v/>
      </c>
      <c r="AZ883" s="164" t="str">
        <f t="shared" ca="1" si="1423"/>
        <v/>
      </c>
      <c r="BA883" s="165" t="str">
        <f t="shared" ca="1" si="1458"/>
        <v>nie</v>
      </c>
      <c r="BB883" s="166" t="str">
        <f t="shared" ca="1" si="1449"/>
        <v>-</v>
      </c>
      <c r="BC883" s="165" t="str">
        <f t="shared" ca="1" si="1395"/>
        <v>nie</v>
      </c>
    </row>
    <row r="884" spans="1:55" ht="14.45" hidden="1" customHeight="1" x14ac:dyDescent="0.25">
      <c r="A884" s="493"/>
      <c r="B884" s="493"/>
      <c r="C884" s="494"/>
      <c r="D884" s="512"/>
      <c r="E884" s="497"/>
      <c r="F884" s="497"/>
      <c r="G884" s="497"/>
      <c r="H884" s="498"/>
      <c r="I884" s="499"/>
      <c r="J884" s="177" t="s">
        <v>103</v>
      </c>
      <c r="K884" s="178">
        <f>SUM(N884:O884)</f>
        <v>0</v>
      </c>
      <c r="L884" s="179"/>
      <c r="M884" s="180"/>
      <c r="N884" s="172">
        <f>SUM(L884:M884)</f>
        <v>0</v>
      </c>
      <c r="O884" s="178">
        <f>SUM(P884:Y884)</f>
        <v>0</v>
      </c>
      <c r="P884" s="181"/>
      <c r="Q884" s="180"/>
      <c r="R884" s="182"/>
      <c r="S884" s="183"/>
      <c r="T884" s="180"/>
      <c r="U884" s="180"/>
      <c r="V884" s="180"/>
      <c r="W884" s="180"/>
      <c r="X884" s="180"/>
      <c r="Y884" s="182"/>
      <c r="Z884" s="149" t="str">
        <f t="shared" ca="1" si="1394"/>
        <v>nie</v>
      </c>
      <c r="AA884" s="366"/>
      <c r="AB884" s="150" t="str">
        <f t="shared" ca="1" si="1448"/>
        <v>-</v>
      </c>
      <c r="AC884" s="151" t="str">
        <f t="shared" ca="1" si="1404"/>
        <v>PO ZMIANIE</v>
      </c>
      <c r="AD884" s="152" t="str">
        <f t="shared" ca="1" si="1373"/>
        <v/>
      </c>
      <c r="AE884" s="153" t="str">
        <f t="shared" ca="1" si="1405"/>
        <v/>
      </c>
      <c r="AF884" s="154" t="str">
        <f t="shared" ca="1" si="1406"/>
        <v/>
      </c>
      <c r="AG884" s="155" t="str">
        <f t="shared" ca="1" si="1407"/>
        <v/>
      </c>
      <c r="AH884" s="155" t="str">
        <f t="shared" ca="1" si="1408"/>
        <v/>
      </c>
      <c r="AI884" s="156" t="str">
        <f t="shared" ca="1" si="1409"/>
        <v/>
      </c>
      <c r="AJ884" s="157" t="str">
        <f t="shared" ca="1" si="1410"/>
        <v/>
      </c>
      <c r="AK884" s="158" t="str">
        <f t="shared" ca="1" si="1374"/>
        <v/>
      </c>
      <c r="AL884" s="158" t="str">
        <f t="shared" ca="1" si="1375"/>
        <v/>
      </c>
      <c r="AM884" s="159" t="str">
        <f t="shared" ca="1" si="1376"/>
        <v/>
      </c>
      <c r="AN884" s="160" t="str">
        <f t="shared" ca="1" si="1411"/>
        <v/>
      </c>
      <c r="AO884" s="161" t="str">
        <f t="shared" ca="1" si="1412"/>
        <v/>
      </c>
      <c r="AP884" s="162" t="str">
        <f t="shared" ca="1" si="1413"/>
        <v/>
      </c>
      <c r="AQ884" s="163" t="str">
        <f t="shared" ca="1" si="1414"/>
        <v/>
      </c>
      <c r="AR884" s="164" t="str">
        <f t="shared" ca="1" si="1415"/>
        <v/>
      </c>
      <c r="AS884" s="164" t="str">
        <f t="shared" ca="1" si="1416"/>
        <v/>
      </c>
      <c r="AT884" s="164" t="str">
        <f t="shared" ca="1" si="1417"/>
        <v/>
      </c>
      <c r="AU884" s="164" t="str">
        <f t="shared" ca="1" si="1418"/>
        <v/>
      </c>
      <c r="AV884" s="164" t="str">
        <f t="shared" ca="1" si="1419"/>
        <v/>
      </c>
      <c r="AW884" s="164" t="str">
        <f t="shared" ca="1" si="1420"/>
        <v/>
      </c>
      <c r="AX884" s="164" t="str">
        <f t="shared" ca="1" si="1421"/>
        <v/>
      </c>
      <c r="AY884" s="164" t="str">
        <f t="shared" ca="1" si="1422"/>
        <v/>
      </c>
      <c r="AZ884" s="164" t="str">
        <f t="shared" ca="1" si="1423"/>
        <v/>
      </c>
      <c r="BA884" s="165" t="str">
        <f t="shared" ca="1" si="1458"/>
        <v>nie</v>
      </c>
      <c r="BB884" s="166" t="str">
        <f t="shared" ca="1" si="1449"/>
        <v>-</v>
      </c>
      <c r="BC884" s="165" t="str">
        <f t="shared" ca="1" si="1395"/>
        <v>nie</v>
      </c>
    </row>
    <row r="885" spans="1:55" ht="14.45" hidden="1" customHeight="1" thickBot="1" x14ac:dyDescent="0.3">
      <c r="A885" s="500"/>
      <c r="B885" s="500"/>
      <c r="C885" s="501"/>
      <c r="D885" s="529"/>
      <c r="E885" s="503"/>
      <c r="F885" s="503"/>
      <c r="G885" s="503"/>
      <c r="H885" s="504"/>
      <c r="I885" s="499"/>
      <c r="J885" s="197" t="s">
        <v>104</v>
      </c>
      <c r="K885" s="198">
        <f>SUM(N885:O885)</f>
        <v>0</v>
      </c>
      <c r="L885" s="204"/>
      <c r="M885" s="200"/>
      <c r="N885" s="371">
        <f>SUM(L885:M885)</f>
        <v>0</v>
      </c>
      <c r="O885" s="198">
        <f>SUM(P885:Y885)</f>
        <v>0</v>
      </c>
      <c r="P885" s="201"/>
      <c r="Q885" s="200"/>
      <c r="R885" s="202"/>
      <c r="S885" s="203"/>
      <c r="T885" s="200"/>
      <c r="U885" s="200"/>
      <c r="V885" s="200"/>
      <c r="W885" s="200"/>
      <c r="X885" s="200"/>
      <c r="Y885" s="202"/>
      <c r="Z885" s="149" t="str">
        <f t="shared" ca="1" si="1394"/>
        <v>nie</v>
      </c>
      <c r="AA885" s="366"/>
      <c r="AB885" s="150" t="str">
        <f t="shared" ca="1" si="1448"/>
        <v>-</v>
      </c>
      <c r="AC885" s="151" t="str">
        <f t="shared" ca="1" si="1404"/>
        <v>PO ZMIANIE</v>
      </c>
      <c r="AD885" s="152" t="str">
        <f t="shared" ca="1" si="1373"/>
        <v/>
      </c>
      <c r="AE885" s="153" t="str">
        <f t="shared" ca="1" si="1405"/>
        <v/>
      </c>
      <c r="AF885" s="154" t="str">
        <f t="shared" ca="1" si="1406"/>
        <v/>
      </c>
      <c r="AG885" s="155" t="str">
        <f t="shared" ca="1" si="1407"/>
        <v/>
      </c>
      <c r="AH885" s="155" t="str">
        <f t="shared" ca="1" si="1408"/>
        <v/>
      </c>
      <c r="AI885" s="156" t="str">
        <f t="shared" ca="1" si="1409"/>
        <v/>
      </c>
      <c r="AJ885" s="157" t="str">
        <f t="shared" ca="1" si="1410"/>
        <v/>
      </c>
      <c r="AK885" s="158" t="str">
        <f t="shared" ca="1" si="1374"/>
        <v/>
      </c>
      <c r="AL885" s="158" t="str">
        <f t="shared" ca="1" si="1375"/>
        <v/>
      </c>
      <c r="AM885" s="159" t="str">
        <f t="shared" ca="1" si="1376"/>
        <v/>
      </c>
      <c r="AN885" s="160" t="str">
        <f t="shared" ca="1" si="1411"/>
        <v/>
      </c>
      <c r="AO885" s="161" t="str">
        <f t="shared" ca="1" si="1412"/>
        <v/>
      </c>
      <c r="AP885" s="162" t="str">
        <f t="shared" ca="1" si="1413"/>
        <v/>
      </c>
      <c r="AQ885" s="163" t="str">
        <f t="shared" ca="1" si="1414"/>
        <v/>
      </c>
      <c r="AR885" s="164" t="str">
        <f t="shared" ca="1" si="1415"/>
        <v/>
      </c>
      <c r="AS885" s="164" t="str">
        <f t="shared" ca="1" si="1416"/>
        <v/>
      </c>
      <c r="AT885" s="164" t="str">
        <f t="shared" ca="1" si="1417"/>
        <v/>
      </c>
      <c r="AU885" s="164" t="str">
        <f t="shared" ca="1" si="1418"/>
        <v/>
      </c>
      <c r="AV885" s="164" t="str">
        <f t="shared" ca="1" si="1419"/>
        <v/>
      </c>
      <c r="AW885" s="164" t="str">
        <f t="shared" ca="1" si="1420"/>
        <v/>
      </c>
      <c r="AX885" s="164" t="str">
        <f t="shared" ca="1" si="1421"/>
        <v/>
      </c>
      <c r="AY885" s="164" t="str">
        <f t="shared" ca="1" si="1422"/>
        <v/>
      </c>
      <c r="AZ885" s="164" t="str">
        <f t="shared" ca="1" si="1423"/>
        <v/>
      </c>
      <c r="BA885" s="165" t="str">
        <f t="shared" ca="1" si="1458"/>
        <v>nie</v>
      </c>
      <c r="BB885" s="166" t="str">
        <f t="shared" ca="1" si="1449"/>
        <v>-</v>
      </c>
      <c r="BC885" s="165" t="str">
        <f t="shared" ca="1" si="1395"/>
        <v>nie</v>
      </c>
    </row>
    <row r="886" spans="1:55" ht="14.45" customHeight="1" x14ac:dyDescent="0.25">
      <c r="A886" s="558" t="s">
        <v>202</v>
      </c>
      <c r="B886" s="559"/>
      <c r="C886" s="559"/>
      <c r="D886" s="559"/>
      <c r="E886" s="559"/>
      <c r="F886" s="559"/>
      <c r="G886" s="559"/>
      <c r="H886" s="559"/>
      <c r="I886" s="559"/>
      <c r="J886" s="215" t="s">
        <v>203</v>
      </c>
      <c r="K886" s="216">
        <f t="shared" ref="K886:Y886" si="1473">SUMIF($J:$J,"WPF, w tym:",K:K)</f>
        <v>10255144</v>
      </c>
      <c r="L886" s="217">
        <f t="shared" si="1473"/>
        <v>0</v>
      </c>
      <c r="M886" s="218">
        <f t="shared" si="1473"/>
        <v>0</v>
      </c>
      <c r="N886" s="219">
        <f t="shared" si="1473"/>
        <v>0</v>
      </c>
      <c r="O886" s="216">
        <f t="shared" si="1473"/>
        <v>10255144</v>
      </c>
      <c r="P886" s="220">
        <f t="shared" si="1473"/>
        <v>200000</v>
      </c>
      <c r="Q886" s="218">
        <f t="shared" si="1473"/>
        <v>9855144</v>
      </c>
      <c r="R886" s="221">
        <f t="shared" si="1473"/>
        <v>200000</v>
      </c>
      <c r="S886" s="222">
        <f t="shared" si="1473"/>
        <v>0</v>
      </c>
      <c r="T886" s="218">
        <f t="shared" si="1473"/>
        <v>0</v>
      </c>
      <c r="U886" s="218">
        <f t="shared" si="1473"/>
        <v>0</v>
      </c>
      <c r="V886" s="218">
        <f t="shared" si="1473"/>
        <v>0</v>
      </c>
      <c r="W886" s="218">
        <f t="shared" si="1473"/>
        <v>0</v>
      </c>
      <c r="X886" s="218">
        <f t="shared" si="1473"/>
        <v>0</v>
      </c>
      <c r="Y886" s="221">
        <f t="shared" si="1473"/>
        <v>0</v>
      </c>
      <c r="Z886" s="149" t="str">
        <f t="shared" ca="1" si="1394"/>
        <v>tak</v>
      </c>
      <c r="AA886" s="366"/>
      <c r="AB886" s="150" t="str">
        <f t="shared" ca="1" si="1448"/>
        <v>Bilans zmian</v>
      </c>
      <c r="AC886" s="151" t="str">
        <f t="shared" ca="1" si="1404"/>
        <v>Bilans zmian</v>
      </c>
      <c r="AD886" s="152" t="str">
        <f t="shared" ca="1" si="1373"/>
        <v>Bilans zmian</v>
      </c>
      <c r="AE886" s="153" t="str">
        <f t="shared" ca="1" si="1405"/>
        <v>Bilans zmian</v>
      </c>
      <c r="AF886" s="154" t="str">
        <f t="shared" ca="1" si="1406"/>
        <v/>
      </c>
      <c r="AG886" s="155" t="str">
        <f t="shared" ca="1" si="1407"/>
        <v/>
      </c>
      <c r="AH886" s="155" t="str">
        <f t="shared" ca="1" si="1408"/>
        <v/>
      </c>
      <c r="AI886" s="156" t="str">
        <f t="shared" ca="1" si="1409"/>
        <v/>
      </c>
      <c r="AJ886" s="157" t="str">
        <f t="shared" ca="1" si="1410"/>
        <v/>
      </c>
      <c r="AK886" s="158" t="str">
        <f t="shared" ca="1" si="1374"/>
        <v/>
      </c>
      <c r="AL886" s="158" t="str">
        <f t="shared" ca="1" si="1375"/>
        <v/>
      </c>
      <c r="AM886" s="159" t="str">
        <f t="shared" ca="1" si="1376"/>
        <v/>
      </c>
      <c r="AN886" s="160">
        <f t="shared" ca="1" si="1411"/>
        <v>10255144</v>
      </c>
      <c r="AO886" s="161">
        <f t="shared" ca="1" si="1412"/>
        <v>0</v>
      </c>
      <c r="AP886" s="162">
        <f t="shared" ca="1" si="1413"/>
        <v>0</v>
      </c>
      <c r="AQ886" s="163">
        <f t="shared" ca="1" si="1414"/>
        <v>200000</v>
      </c>
      <c r="AR886" s="164">
        <f t="shared" ca="1" si="1415"/>
        <v>9855144</v>
      </c>
      <c r="AS886" s="164">
        <f t="shared" ca="1" si="1416"/>
        <v>200000</v>
      </c>
      <c r="AT886" s="164">
        <f t="shared" ca="1" si="1417"/>
        <v>0</v>
      </c>
      <c r="AU886" s="164">
        <f t="shared" ca="1" si="1418"/>
        <v>0</v>
      </c>
      <c r="AV886" s="164">
        <f t="shared" ca="1" si="1419"/>
        <v>0</v>
      </c>
      <c r="AW886" s="164">
        <f t="shared" ca="1" si="1420"/>
        <v>0</v>
      </c>
      <c r="AX886" s="164">
        <f t="shared" ca="1" si="1421"/>
        <v>0</v>
      </c>
      <c r="AY886" s="164">
        <f t="shared" ca="1" si="1422"/>
        <v>0</v>
      </c>
      <c r="AZ886" s="164">
        <f t="shared" ca="1" si="1423"/>
        <v>0</v>
      </c>
      <c r="BA886" s="165" t="str">
        <f t="shared" ca="1" si="1458"/>
        <v>tak</v>
      </c>
      <c r="BB886" s="166" t="str">
        <f t="shared" ca="1" si="1449"/>
        <v>-</v>
      </c>
      <c r="BC886" s="165" t="str">
        <f t="shared" ca="1" si="1395"/>
        <v>nie</v>
      </c>
    </row>
    <row r="887" spans="1:55" ht="14.45" customHeight="1" x14ac:dyDescent="0.25">
      <c r="A887" s="560"/>
      <c r="B887" s="561"/>
      <c r="C887" s="561"/>
      <c r="D887" s="561"/>
      <c r="E887" s="561"/>
      <c r="F887" s="561"/>
      <c r="G887" s="561"/>
      <c r="H887" s="561"/>
      <c r="I887" s="561"/>
      <c r="J887" s="223" t="s">
        <v>204</v>
      </c>
      <c r="K887" s="224">
        <f t="shared" ref="K887:Y887" si="1474">SUMIF($J:$J,"WPF/PM:",K:K)</f>
        <v>10255144</v>
      </c>
      <c r="L887" s="225">
        <f t="shared" si="1474"/>
        <v>0</v>
      </c>
      <c r="M887" s="226">
        <f t="shared" si="1474"/>
        <v>0</v>
      </c>
      <c r="N887" s="372">
        <f t="shared" si="1474"/>
        <v>0</v>
      </c>
      <c r="O887" s="224">
        <f t="shared" si="1474"/>
        <v>10255144</v>
      </c>
      <c r="P887" s="227">
        <f t="shared" si="1474"/>
        <v>200000</v>
      </c>
      <c r="Q887" s="226">
        <f t="shared" si="1474"/>
        <v>9855144</v>
      </c>
      <c r="R887" s="228">
        <f t="shared" si="1474"/>
        <v>200000</v>
      </c>
      <c r="S887" s="229">
        <f t="shared" si="1474"/>
        <v>0</v>
      </c>
      <c r="T887" s="226">
        <f t="shared" si="1474"/>
        <v>0</v>
      </c>
      <c r="U887" s="226">
        <f t="shared" si="1474"/>
        <v>0</v>
      </c>
      <c r="V887" s="226">
        <f t="shared" si="1474"/>
        <v>0</v>
      </c>
      <c r="W887" s="226">
        <f t="shared" si="1474"/>
        <v>0</v>
      </c>
      <c r="X887" s="226">
        <f t="shared" si="1474"/>
        <v>0</v>
      </c>
      <c r="Y887" s="228">
        <f t="shared" si="1474"/>
        <v>0</v>
      </c>
      <c r="Z887" s="149" t="str">
        <f t="shared" ca="1" si="1394"/>
        <v>tak</v>
      </c>
      <c r="AA887" s="366"/>
      <c r="AB887" s="150" t="str">
        <f t="shared" ca="1" si="1448"/>
        <v>Bilans zmian</v>
      </c>
      <c r="AC887" s="151" t="str">
        <f t="shared" ca="1" si="1404"/>
        <v>Bilans zmian</v>
      </c>
      <c r="AD887" s="152" t="str">
        <f t="shared" ca="1" si="1373"/>
        <v>Bilans zmian</v>
      </c>
      <c r="AE887" s="153" t="str">
        <f t="shared" ca="1" si="1405"/>
        <v>Bilans zmian</v>
      </c>
      <c r="AF887" s="154" t="str">
        <f t="shared" ca="1" si="1406"/>
        <v/>
      </c>
      <c r="AG887" s="155" t="str">
        <f t="shared" ca="1" si="1407"/>
        <v/>
      </c>
      <c r="AH887" s="155" t="str">
        <f t="shared" ca="1" si="1408"/>
        <v/>
      </c>
      <c r="AI887" s="156" t="str">
        <f t="shared" ca="1" si="1409"/>
        <v/>
      </c>
      <c r="AJ887" s="157" t="str">
        <f t="shared" ca="1" si="1410"/>
        <v/>
      </c>
      <c r="AK887" s="158" t="str">
        <f t="shared" ca="1" si="1374"/>
        <v/>
      </c>
      <c r="AL887" s="158" t="str">
        <f t="shared" ca="1" si="1375"/>
        <v/>
      </c>
      <c r="AM887" s="159" t="str">
        <f t="shared" ca="1" si="1376"/>
        <v/>
      </c>
      <c r="AN887" s="160">
        <f t="shared" ca="1" si="1411"/>
        <v>10255144</v>
      </c>
      <c r="AO887" s="161">
        <f t="shared" ca="1" si="1412"/>
        <v>0</v>
      </c>
      <c r="AP887" s="162">
        <f t="shared" ca="1" si="1413"/>
        <v>0</v>
      </c>
      <c r="AQ887" s="163">
        <f t="shared" ca="1" si="1414"/>
        <v>200000</v>
      </c>
      <c r="AR887" s="164">
        <f t="shared" ca="1" si="1415"/>
        <v>9855144</v>
      </c>
      <c r="AS887" s="164">
        <f t="shared" ca="1" si="1416"/>
        <v>200000</v>
      </c>
      <c r="AT887" s="164">
        <f t="shared" ca="1" si="1417"/>
        <v>0</v>
      </c>
      <c r="AU887" s="164">
        <f t="shared" ca="1" si="1418"/>
        <v>0</v>
      </c>
      <c r="AV887" s="164">
        <f t="shared" ca="1" si="1419"/>
        <v>0</v>
      </c>
      <c r="AW887" s="164">
        <f t="shared" ca="1" si="1420"/>
        <v>0</v>
      </c>
      <c r="AX887" s="164">
        <f t="shared" ca="1" si="1421"/>
        <v>0</v>
      </c>
      <c r="AY887" s="164">
        <f t="shared" ca="1" si="1422"/>
        <v>0</v>
      </c>
      <c r="AZ887" s="164">
        <f t="shared" ca="1" si="1423"/>
        <v>0</v>
      </c>
      <c r="BA887" s="165" t="str">
        <f t="shared" ca="1" si="1458"/>
        <v>tak</v>
      </c>
      <c r="BB887" s="166" t="str">
        <f t="shared" ca="1" si="1449"/>
        <v>-</v>
      </c>
      <c r="BC887" s="165" t="str">
        <f t="shared" ca="1" si="1395"/>
        <v>nie</v>
      </c>
    </row>
    <row r="888" spans="1:55" ht="14.45" customHeight="1" thickBot="1" x14ac:dyDescent="0.3">
      <c r="A888" s="562"/>
      <c r="B888" s="563"/>
      <c r="C888" s="563"/>
      <c r="D888" s="563"/>
      <c r="E888" s="563"/>
      <c r="F888" s="563"/>
      <c r="G888" s="563"/>
      <c r="H888" s="563"/>
      <c r="I888" s="563"/>
      <c r="J888" s="230" t="s">
        <v>205</v>
      </c>
      <c r="K888" s="231">
        <f t="shared" ref="K888:Y888" si="1475">SUMIF($J:$J,"WPF/UM:",K:K)</f>
        <v>0</v>
      </c>
      <c r="L888" s="232">
        <f t="shared" si="1475"/>
        <v>0</v>
      </c>
      <c r="M888" s="233">
        <f t="shared" si="1475"/>
        <v>0</v>
      </c>
      <c r="N888" s="373">
        <f t="shared" si="1475"/>
        <v>0</v>
      </c>
      <c r="O888" s="231">
        <f t="shared" si="1475"/>
        <v>0</v>
      </c>
      <c r="P888" s="234">
        <f t="shared" si="1475"/>
        <v>0</v>
      </c>
      <c r="Q888" s="233">
        <f t="shared" si="1475"/>
        <v>0</v>
      </c>
      <c r="R888" s="235">
        <f t="shared" si="1475"/>
        <v>0</v>
      </c>
      <c r="S888" s="236">
        <f t="shared" si="1475"/>
        <v>0</v>
      </c>
      <c r="T888" s="233">
        <f t="shared" si="1475"/>
        <v>0</v>
      </c>
      <c r="U888" s="233">
        <f t="shared" si="1475"/>
        <v>0</v>
      </c>
      <c r="V888" s="233">
        <f t="shared" si="1475"/>
        <v>0</v>
      </c>
      <c r="W888" s="233">
        <f t="shared" si="1475"/>
        <v>0</v>
      </c>
      <c r="X888" s="233">
        <f t="shared" si="1475"/>
        <v>0</v>
      </c>
      <c r="Y888" s="235">
        <f t="shared" si="1475"/>
        <v>0</v>
      </c>
      <c r="Z888" s="149" t="str">
        <f t="shared" ca="1" si="1394"/>
        <v>tak</v>
      </c>
      <c r="AA888" s="366"/>
      <c r="AB888" s="150" t="str">
        <f t="shared" ca="1" si="1448"/>
        <v>-</v>
      </c>
      <c r="AC888" s="151" t="str">
        <f t="shared" ca="1" si="1404"/>
        <v>Bilans zmian</v>
      </c>
      <c r="AD888" s="152" t="str">
        <f t="shared" ca="1" si="1373"/>
        <v>Bilans zmian</v>
      </c>
      <c r="AE888" s="153" t="str">
        <f t="shared" ca="1" si="1405"/>
        <v>Bilans zmian</v>
      </c>
      <c r="AF888" s="154" t="str">
        <f t="shared" ca="1" si="1406"/>
        <v/>
      </c>
      <c r="AG888" s="155" t="str">
        <f t="shared" ca="1" si="1407"/>
        <v/>
      </c>
      <c r="AH888" s="155" t="str">
        <f t="shared" ca="1" si="1408"/>
        <v/>
      </c>
      <c r="AI888" s="156" t="str">
        <f t="shared" ca="1" si="1409"/>
        <v/>
      </c>
      <c r="AJ888" s="157" t="str">
        <f t="shared" ca="1" si="1410"/>
        <v/>
      </c>
      <c r="AK888" s="158" t="str">
        <f t="shared" ca="1" si="1374"/>
        <v/>
      </c>
      <c r="AL888" s="158" t="str">
        <f t="shared" ca="1" si="1375"/>
        <v/>
      </c>
      <c r="AM888" s="159" t="str">
        <f t="shared" ca="1" si="1376"/>
        <v/>
      </c>
      <c r="AN888" s="160">
        <f t="shared" ca="1" si="1411"/>
        <v>0</v>
      </c>
      <c r="AO888" s="161">
        <f t="shared" ca="1" si="1412"/>
        <v>0</v>
      </c>
      <c r="AP888" s="162">
        <f t="shared" ca="1" si="1413"/>
        <v>0</v>
      </c>
      <c r="AQ888" s="163">
        <f t="shared" ca="1" si="1414"/>
        <v>0</v>
      </c>
      <c r="AR888" s="164">
        <f t="shared" ca="1" si="1415"/>
        <v>0</v>
      </c>
      <c r="AS888" s="164">
        <f t="shared" ca="1" si="1416"/>
        <v>0</v>
      </c>
      <c r="AT888" s="164">
        <f t="shared" ca="1" si="1417"/>
        <v>0</v>
      </c>
      <c r="AU888" s="164">
        <f t="shared" ca="1" si="1418"/>
        <v>0</v>
      </c>
      <c r="AV888" s="164">
        <f t="shared" ca="1" si="1419"/>
        <v>0</v>
      </c>
      <c r="AW888" s="164">
        <f t="shared" ca="1" si="1420"/>
        <v>0</v>
      </c>
      <c r="AX888" s="164">
        <f t="shared" ca="1" si="1421"/>
        <v>0</v>
      </c>
      <c r="AY888" s="164">
        <f t="shared" ca="1" si="1422"/>
        <v>0</v>
      </c>
      <c r="AZ888" s="164">
        <f t="shared" ca="1" si="1423"/>
        <v>0</v>
      </c>
      <c r="BA888" s="165" t="str">
        <f t="shared" ca="1" si="1458"/>
        <v>tak</v>
      </c>
      <c r="BB888" s="166" t="str">
        <f t="shared" ca="1" si="1449"/>
        <v>-</v>
      </c>
      <c r="BC888" s="165" t="str">
        <f t="shared" ca="1" si="1395"/>
        <v>nie</v>
      </c>
    </row>
    <row r="889" spans="1:55" s="66" customFormat="1" ht="105" customHeight="1" x14ac:dyDescent="0.25">
      <c r="A889" s="97"/>
      <c r="B889" s="27"/>
      <c r="C889" s="28"/>
      <c r="D889" s="97"/>
      <c r="E889" s="97"/>
      <c r="F889" s="97"/>
      <c r="G889" s="97"/>
      <c r="H889" s="97"/>
      <c r="I889" s="97"/>
      <c r="J889" s="97"/>
      <c r="K889" s="237"/>
      <c r="L889" s="238"/>
      <c r="M889" s="238"/>
      <c r="N889" s="237"/>
      <c r="O889" s="239"/>
      <c r="P889" s="238"/>
      <c r="Q889" s="238"/>
      <c r="R889" s="238"/>
      <c r="S889" s="97"/>
      <c r="T889" s="238">
        <f>+P887+Q887+R887</f>
        <v>10255144</v>
      </c>
      <c r="U889" s="97"/>
      <c r="V889" s="97"/>
      <c r="W889" s="97"/>
      <c r="X889" s="97"/>
      <c r="Y889" s="97"/>
      <c r="Z889" s="37"/>
      <c r="AA889" s="380"/>
      <c r="AB889" s="56"/>
      <c r="AC889" s="240"/>
      <c r="AD889" s="240"/>
      <c r="AE889" s="58"/>
      <c r="AI889" s="240"/>
      <c r="BB889" s="65"/>
      <c r="BC889" s="65"/>
    </row>
    <row r="890" spans="1:55" ht="15.95" customHeight="1" x14ac:dyDescent="0.25">
      <c r="A890" s="97"/>
      <c r="D890" s="241" t="s">
        <v>39</v>
      </c>
      <c r="E890" s="241"/>
      <c r="F890" s="241"/>
      <c r="G890" s="241"/>
      <c r="H890" s="97"/>
      <c r="I890" s="53"/>
      <c r="J890" s="242"/>
      <c r="K890" s="243"/>
      <c r="L890" s="238"/>
      <c r="M890" s="238"/>
      <c r="N890" s="237"/>
      <c r="O890" s="237"/>
      <c r="P890" s="244"/>
      <c r="Q890" s="238"/>
      <c r="R890" s="238"/>
      <c r="S890" s="238"/>
      <c r="T890" s="238"/>
      <c r="U890" s="238"/>
      <c r="V890" s="238"/>
      <c r="W890" s="97"/>
      <c r="X890" s="97"/>
      <c r="Y890" s="97"/>
      <c r="Z890" s="245"/>
      <c r="AA890" s="384"/>
      <c r="AC890" s="246"/>
      <c r="AD890" s="246"/>
      <c r="AE890" s="247"/>
      <c r="AF890" s="176"/>
      <c r="AG890" s="176"/>
      <c r="AH890" s="176"/>
      <c r="AI890" s="24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  <c r="AZ890" s="176"/>
      <c r="BA890" s="176"/>
    </row>
    <row r="891" spans="1:55" s="66" customFormat="1" ht="15.95" customHeight="1" x14ac:dyDescent="0.25">
      <c r="A891" s="97"/>
      <c r="B891" s="27"/>
      <c r="C891" s="28"/>
      <c r="D891" s="97"/>
      <c r="E891" s="97"/>
      <c r="F891" s="97"/>
      <c r="G891" s="97"/>
      <c r="H891" s="97"/>
      <c r="I891" s="97"/>
      <c r="J891" s="97"/>
      <c r="K891" s="237"/>
      <c r="L891" s="238"/>
      <c r="M891" s="238"/>
      <c r="N891" s="237"/>
      <c r="O891" s="237"/>
      <c r="P891" s="238"/>
      <c r="Q891" s="238"/>
      <c r="R891" s="238"/>
      <c r="S891" s="97"/>
      <c r="T891" s="97"/>
      <c r="U891" s="97"/>
      <c r="V891" s="97"/>
      <c r="W891" s="97"/>
      <c r="X891" s="97"/>
      <c r="Y891" s="97"/>
      <c r="Z891" s="37"/>
      <c r="AA891" s="380"/>
      <c r="AB891" s="56"/>
      <c r="AC891" s="240"/>
      <c r="AD891" s="240"/>
      <c r="AE891" s="58"/>
      <c r="AI891" s="240"/>
      <c r="BB891" s="65"/>
      <c r="BC891" s="65"/>
    </row>
    <row r="892" spans="1:55" s="66" customFormat="1" ht="15.95" customHeight="1" x14ac:dyDescent="0.25">
      <c r="A892" s="557" t="s">
        <v>206</v>
      </c>
      <c r="B892" s="557"/>
      <c r="C892" s="557"/>
      <c r="D892" s="557"/>
      <c r="E892" s="557"/>
      <c r="F892" s="557"/>
      <c r="G892" s="557"/>
      <c r="H892" s="557"/>
      <c r="I892" s="557"/>
      <c r="J892" s="248" t="s">
        <v>203</v>
      </c>
      <c r="K892" s="249">
        <f t="shared" ref="K892:Y892" si="1476">SUMIF($J:$J,"WPF, w tym;",K:K)</f>
        <v>213864077</v>
      </c>
      <c r="L892" s="249">
        <f t="shared" si="1476"/>
        <v>57305405</v>
      </c>
      <c r="M892" s="249">
        <f t="shared" si="1476"/>
        <v>44435549</v>
      </c>
      <c r="N892" s="249">
        <f t="shared" si="1476"/>
        <v>101740954</v>
      </c>
      <c r="O892" s="250">
        <f t="shared" si="1476"/>
        <v>112123123</v>
      </c>
      <c r="P892" s="251">
        <f t="shared" si="1476"/>
        <v>56727923</v>
      </c>
      <c r="Q892" s="249">
        <f t="shared" si="1476"/>
        <v>39935815</v>
      </c>
      <c r="R892" s="249">
        <f t="shared" si="1476"/>
        <v>15459385</v>
      </c>
      <c r="S892" s="249">
        <f t="shared" si="1476"/>
        <v>0</v>
      </c>
      <c r="T892" s="249">
        <f t="shared" si="1476"/>
        <v>0</v>
      </c>
      <c r="U892" s="249">
        <f t="shared" si="1476"/>
        <v>0</v>
      </c>
      <c r="V892" s="249">
        <f t="shared" si="1476"/>
        <v>0</v>
      </c>
      <c r="W892" s="249">
        <f t="shared" si="1476"/>
        <v>0</v>
      </c>
      <c r="X892" s="249">
        <f t="shared" si="1476"/>
        <v>0</v>
      </c>
      <c r="Y892" s="249">
        <f t="shared" si="1476"/>
        <v>0</v>
      </c>
      <c r="Z892" s="37"/>
      <c r="AA892" s="380"/>
      <c r="AB892" s="56"/>
      <c r="AC892" s="240"/>
      <c r="AD892" s="240"/>
      <c r="AE892" s="58"/>
      <c r="AI892" s="240"/>
      <c r="BB892" s="65"/>
      <c r="BC892" s="65"/>
    </row>
    <row r="893" spans="1:55" s="66" customFormat="1" ht="15.95" customHeight="1" x14ac:dyDescent="0.25">
      <c r="A893" s="557"/>
      <c r="B893" s="557"/>
      <c r="C893" s="557"/>
      <c r="D893" s="557"/>
      <c r="E893" s="557"/>
      <c r="F893" s="557"/>
      <c r="G893" s="557"/>
      <c r="H893" s="557"/>
      <c r="I893" s="557"/>
      <c r="J893" s="248" t="s">
        <v>204</v>
      </c>
      <c r="K893" s="249">
        <f t="shared" ref="K893:Y893" si="1477">SUMIF($J:$J,"WPF/PM;",K:K)</f>
        <v>108395766</v>
      </c>
      <c r="L893" s="249">
        <f t="shared" si="1477"/>
        <v>0</v>
      </c>
      <c r="M893" s="249">
        <f t="shared" si="1477"/>
        <v>0</v>
      </c>
      <c r="N893" s="249">
        <f t="shared" si="1477"/>
        <v>0</v>
      </c>
      <c r="O893" s="250">
        <f t="shared" si="1477"/>
        <v>108395766</v>
      </c>
      <c r="P893" s="251">
        <f t="shared" si="1477"/>
        <v>53023136</v>
      </c>
      <c r="Q893" s="249">
        <f t="shared" si="1477"/>
        <v>39913245</v>
      </c>
      <c r="R893" s="249">
        <f t="shared" si="1477"/>
        <v>15459385</v>
      </c>
      <c r="S893" s="249">
        <f t="shared" si="1477"/>
        <v>0</v>
      </c>
      <c r="T893" s="249">
        <f t="shared" si="1477"/>
        <v>0</v>
      </c>
      <c r="U893" s="249">
        <f t="shared" si="1477"/>
        <v>0</v>
      </c>
      <c r="V893" s="249">
        <f t="shared" si="1477"/>
        <v>0</v>
      </c>
      <c r="W893" s="249">
        <f t="shared" si="1477"/>
        <v>0</v>
      </c>
      <c r="X893" s="249">
        <f t="shared" si="1477"/>
        <v>0</v>
      </c>
      <c r="Y893" s="249">
        <f t="shared" si="1477"/>
        <v>0</v>
      </c>
      <c r="Z893" s="37"/>
      <c r="AA893" s="380"/>
      <c r="AB893" s="56"/>
      <c r="AC893" s="240"/>
      <c r="AD893" s="240"/>
      <c r="AE893" s="58"/>
      <c r="AI893" s="240"/>
      <c r="BB893" s="65"/>
      <c r="BC893" s="65"/>
    </row>
    <row r="894" spans="1:55" s="66" customFormat="1" ht="15.95" customHeight="1" x14ac:dyDescent="0.25">
      <c r="A894" s="557"/>
      <c r="B894" s="557"/>
      <c r="C894" s="557"/>
      <c r="D894" s="557"/>
      <c r="E894" s="557"/>
      <c r="F894" s="557"/>
      <c r="G894" s="557"/>
      <c r="H894" s="557"/>
      <c r="I894" s="557"/>
      <c r="J894" s="248" t="s">
        <v>205</v>
      </c>
      <c r="K894" s="249">
        <f t="shared" ref="K894:Y894" si="1478">SUMIF($J:$J,"WPF/UM;",K:K)</f>
        <v>105468311</v>
      </c>
      <c r="L894" s="249">
        <f t="shared" si="1478"/>
        <v>57305405</v>
      </c>
      <c r="M894" s="249">
        <f t="shared" si="1478"/>
        <v>44435549</v>
      </c>
      <c r="N894" s="249">
        <f t="shared" si="1478"/>
        <v>101740954</v>
      </c>
      <c r="O894" s="250">
        <f t="shared" si="1478"/>
        <v>3727357</v>
      </c>
      <c r="P894" s="251">
        <f t="shared" si="1478"/>
        <v>3704787</v>
      </c>
      <c r="Q894" s="249">
        <f t="shared" si="1478"/>
        <v>22570</v>
      </c>
      <c r="R894" s="249">
        <f t="shared" si="1478"/>
        <v>0</v>
      </c>
      <c r="S894" s="249">
        <f t="shared" si="1478"/>
        <v>0</v>
      </c>
      <c r="T894" s="249">
        <f t="shared" si="1478"/>
        <v>0</v>
      </c>
      <c r="U894" s="249">
        <f t="shared" si="1478"/>
        <v>0</v>
      </c>
      <c r="V894" s="249">
        <f t="shared" si="1478"/>
        <v>0</v>
      </c>
      <c r="W894" s="249">
        <f t="shared" si="1478"/>
        <v>0</v>
      </c>
      <c r="X894" s="249">
        <f t="shared" si="1478"/>
        <v>0</v>
      </c>
      <c r="Y894" s="249">
        <f t="shared" si="1478"/>
        <v>0</v>
      </c>
      <c r="Z894" s="37"/>
      <c r="AA894" s="380"/>
      <c r="AB894" s="56"/>
      <c r="AC894" s="240"/>
      <c r="AD894" s="240"/>
      <c r="AE894" s="58"/>
      <c r="AI894" s="240"/>
      <c r="BB894" s="65"/>
      <c r="BC894" s="65"/>
    </row>
    <row r="895" spans="1:55" s="66" customFormat="1" ht="15.95" customHeight="1" x14ac:dyDescent="0.25">
      <c r="A895" s="97"/>
      <c r="B895" s="27"/>
      <c r="C895" s="28"/>
      <c r="D895" s="97"/>
      <c r="E895" s="97"/>
      <c r="F895" s="97"/>
      <c r="G895" s="97"/>
      <c r="H895" s="97"/>
      <c r="I895" s="97"/>
      <c r="J895" s="97"/>
      <c r="K895" s="237"/>
      <c r="L895" s="252"/>
      <c r="M895" s="238"/>
      <c r="N895" s="237"/>
      <c r="O895" s="253"/>
      <c r="P895" s="237"/>
      <c r="Q895" s="238"/>
      <c r="R895" s="238"/>
      <c r="S895" s="238"/>
      <c r="T895" s="238"/>
      <c r="U895" s="238"/>
      <c r="V895" s="238"/>
      <c r="W895" s="238"/>
      <c r="X895" s="238"/>
      <c r="Y895" s="238"/>
      <c r="Z895" s="37"/>
      <c r="AA895" s="380"/>
      <c r="AB895" s="56"/>
      <c r="AC895" s="240"/>
      <c r="AD895" s="240"/>
      <c r="AE895" s="58"/>
      <c r="AI895" s="240"/>
      <c r="BB895" s="65"/>
      <c r="BC895" s="65"/>
    </row>
    <row r="896" spans="1:55" s="66" customFormat="1" ht="15.95" customHeight="1" x14ac:dyDescent="0.25">
      <c r="A896" s="561" t="s">
        <v>207</v>
      </c>
      <c r="B896" s="561"/>
      <c r="C896" s="561"/>
      <c r="D896" s="561"/>
      <c r="E896" s="561"/>
      <c r="F896" s="561"/>
      <c r="G896" s="561"/>
      <c r="H896" s="561"/>
      <c r="I896" s="561"/>
      <c r="J896" s="254" t="s">
        <v>203</v>
      </c>
      <c r="K896" s="255">
        <f t="shared" ref="K896:Y896" si="1479">SUMIF($J:$J,"WPF, w tym:",K:K)</f>
        <v>10255144</v>
      </c>
      <c r="L896" s="255">
        <f t="shared" si="1479"/>
        <v>0</v>
      </c>
      <c r="M896" s="255">
        <f t="shared" si="1479"/>
        <v>0</v>
      </c>
      <c r="N896" s="255">
        <f t="shared" si="1479"/>
        <v>0</v>
      </c>
      <c r="O896" s="256">
        <f t="shared" si="1479"/>
        <v>10255144</v>
      </c>
      <c r="P896" s="257">
        <f t="shared" si="1479"/>
        <v>200000</v>
      </c>
      <c r="Q896" s="255">
        <f t="shared" si="1479"/>
        <v>9855144</v>
      </c>
      <c r="R896" s="255">
        <f t="shared" si="1479"/>
        <v>200000</v>
      </c>
      <c r="S896" s="255">
        <f t="shared" si="1479"/>
        <v>0</v>
      </c>
      <c r="T896" s="255">
        <f t="shared" si="1479"/>
        <v>0</v>
      </c>
      <c r="U896" s="255">
        <f t="shared" si="1479"/>
        <v>0</v>
      </c>
      <c r="V896" s="255">
        <f t="shared" si="1479"/>
        <v>0</v>
      </c>
      <c r="W896" s="255">
        <f t="shared" si="1479"/>
        <v>0</v>
      </c>
      <c r="X896" s="255">
        <f t="shared" si="1479"/>
        <v>0</v>
      </c>
      <c r="Y896" s="255">
        <f t="shared" si="1479"/>
        <v>0</v>
      </c>
      <c r="Z896" s="37"/>
      <c r="AA896" s="380"/>
      <c r="AB896" s="56"/>
      <c r="AC896" s="240"/>
      <c r="AD896" s="240"/>
      <c r="AE896" s="58"/>
      <c r="AI896" s="240"/>
      <c r="BB896" s="65"/>
      <c r="BC896" s="65"/>
    </row>
    <row r="897" spans="1:55" s="66" customFormat="1" ht="15.95" customHeight="1" x14ac:dyDescent="0.25">
      <c r="A897" s="561"/>
      <c r="B897" s="561"/>
      <c r="C897" s="561"/>
      <c r="D897" s="561"/>
      <c r="E897" s="561"/>
      <c r="F897" s="561"/>
      <c r="G897" s="561"/>
      <c r="H897" s="561"/>
      <c r="I897" s="561"/>
      <c r="J897" s="254" t="s">
        <v>204</v>
      </c>
      <c r="K897" s="255">
        <f t="shared" ref="K897:Y897" si="1480">SUMIF($J:$J,"WPF/PM:",K:K)</f>
        <v>10255144</v>
      </c>
      <c r="L897" s="255">
        <f t="shared" si="1480"/>
        <v>0</v>
      </c>
      <c r="M897" s="255">
        <f t="shared" si="1480"/>
        <v>0</v>
      </c>
      <c r="N897" s="255">
        <f t="shared" si="1480"/>
        <v>0</v>
      </c>
      <c r="O897" s="256">
        <f t="shared" si="1480"/>
        <v>10255144</v>
      </c>
      <c r="P897" s="257">
        <f t="shared" si="1480"/>
        <v>200000</v>
      </c>
      <c r="Q897" s="255">
        <f t="shared" si="1480"/>
        <v>9855144</v>
      </c>
      <c r="R897" s="255">
        <f t="shared" si="1480"/>
        <v>200000</v>
      </c>
      <c r="S897" s="255">
        <f t="shared" si="1480"/>
        <v>0</v>
      </c>
      <c r="T897" s="255">
        <f t="shared" si="1480"/>
        <v>0</v>
      </c>
      <c r="U897" s="255">
        <f t="shared" si="1480"/>
        <v>0</v>
      </c>
      <c r="V897" s="255">
        <f t="shared" si="1480"/>
        <v>0</v>
      </c>
      <c r="W897" s="255">
        <f t="shared" si="1480"/>
        <v>0</v>
      </c>
      <c r="X897" s="255">
        <f t="shared" si="1480"/>
        <v>0</v>
      </c>
      <c r="Y897" s="255">
        <f t="shared" si="1480"/>
        <v>0</v>
      </c>
      <c r="Z897" s="37"/>
      <c r="AA897" s="380"/>
      <c r="AB897" s="56"/>
      <c r="AC897" s="240"/>
      <c r="AD897" s="240"/>
      <c r="AE897" s="58"/>
      <c r="AI897" s="240"/>
      <c r="BB897" s="65"/>
      <c r="BC897" s="65"/>
    </row>
    <row r="898" spans="1:55" s="66" customFormat="1" ht="15.95" customHeight="1" x14ac:dyDescent="0.25">
      <c r="A898" s="561"/>
      <c r="B898" s="561"/>
      <c r="C898" s="561"/>
      <c r="D898" s="561"/>
      <c r="E898" s="561"/>
      <c r="F898" s="561"/>
      <c r="G898" s="561"/>
      <c r="H898" s="561"/>
      <c r="I898" s="561"/>
      <c r="J898" s="254" t="s">
        <v>205</v>
      </c>
      <c r="K898" s="255">
        <f t="shared" ref="K898:Y898" si="1481">SUMIF($J:$J,"WPF/UM:",K:K)</f>
        <v>0</v>
      </c>
      <c r="L898" s="255">
        <f t="shared" si="1481"/>
        <v>0</v>
      </c>
      <c r="M898" s="255">
        <f t="shared" si="1481"/>
        <v>0</v>
      </c>
      <c r="N898" s="255">
        <f t="shared" si="1481"/>
        <v>0</v>
      </c>
      <c r="O898" s="256">
        <f t="shared" si="1481"/>
        <v>0</v>
      </c>
      <c r="P898" s="257">
        <f t="shared" si="1481"/>
        <v>0</v>
      </c>
      <c r="Q898" s="255">
        <f t="shared" si="1481"/>
        <v>0</v>
      </c>
      <c r="R898" s="255">
        <f t="shared" si="1481"/>
        <v>0</v>
      </c>
      <c r="S898" s="255">
        <f t="shared" si="1481"/>
        <v>0</v>
      </c>
      <c r="T898" s="255">
        <f t="shared" si="1481"/>
        <v>0</v>
      </c>
      <c r="U898" s="255">
        <f t="shared" si="1481"/>
        <v>0</v>
      </c>
      <c r="V898" s="255">
        <f t="shared" si="1481"/>
        <v>0</v>
      </c>
      <c r="W898" s="255">
        <f t="shared" si="1481"/>
        <v>0</v>
      </c>
      <c r="X898" s="255">
        <f t="shared" si="1481"/>
        <v>0</v>
      </c>
      <c r="Y898" s="255">
        <f t="shared" si="1481"/>
        <v>0</v>
      </c>
      <c r="Z898" s="37"/>
      <c r="AA898" s="380"/>
      <c r="AB898" s="56"/>
      <c r="AC898" s="240"/>
      <c r="AD898" s="240"/>
      <c r="AE898" s="58"/>
      <c r="AI898" s="240"/>
      <c r="BB898" s="65"/>
      <c r="BC898" s="65"/>
    </row>
    <row r="899" spans="1:55" s="66" customFormat="1" ht="15.95" customHeight="1" x14ac:dyDescent="0.25">
      <c r="A899" s="97"/>
      <c r="B899" s="27"/>
      <c r="C899" s="28"/>
      <c r="D899" s="97"/>
      <c r="E899" s="97"/>
      <c r="F899" s="97"/>
      <c r="G899" s="97"/>
      <c r="H899" s="97"/>
      <c r="I899" s="97"/>
      <c r="J899" s="97"/>
      <c r="K899" s="237"/>
      <c r="L899" s="252"/>
      <c r="M899" s="238"/>
      <c r="N899" s="237"/>
      <c r="O899" s="253"/>
      <c r="P899" s="237"/>
      <c r="Q899" s="238"/>
      <c r="R899" s="238"/>
      <c r="S899" s="238"/>
      <c r="T899" s="238"/>
      <c r="U899" s="238"/>
      <c r="V899" s="238"/>
      <c r="W899" s="238"/>
      <c r="X899" s="238"/>
      <c r="Y899" s="238"/>
      <c r="Z899" s="37"/>
      <c r="AA899" s="380"/>
      <c r="AB899" s="56"/>
      <c r="AC899" s="240"/>
      <c r="AD899" s="240"/>
      <c r="AE899" s="58"/>
      <c r="AI899" s="240"/>
      <c r="BB899" s="65"/>
      <c r="BC899" s="65"/>
    </row>
    <row r="900" spans="1:55" s="66" customFormat="1" ht="15.95" customHeight="1" x14ac:dyDescent="0.25">
      <c r="A900" s="556" t="s">
        <v>208</v>
      </c>
      <c r="B900" s="556"/>
      <c r="C900" s="556"/>
      <c r="D900" s="556"/>
      <c r="E900" s="556"/>
      <c r="F900" s="556"/>
      <c r="G900" s="556"/>
      <c r="H900" s="556"/>
      <c r="I900" s="556"/>
      <c r="J900" s="258" t="s">
        <v>203</v>
      </c>
      <c r="K900" s="259">
        <f t="shared" ref="K900:Y900" si="1482">SUMIF($J:$J,"WPF, w tym",K:K)</f>
        <v>224119221</v>
      </c>
      <c r="L900" s="259">
        <f t="shared" si="1482"/>
        <v>57305405</v>
      </c>
      <c r="M900" s="259">
        <f t="shared" si="1482"/>
        <v>44435549</v>
      </c>
      <c r="N900" s="259">
        <f t="shared" si="1482"/>
        <v>101740954</v>
      </c>
      <c r="O900" s="260">
        <f t="shared" si="1482"/>
        <v>122378267</v>
      </c>
      <c r="P900" s="261">
        <f t="shared" si="1482"/>
        <v>56927923</v>
      </c>
      <c r="Q900" s="259">
        <f t="shared" si="1482"/>
        <v>49790959</v>
      </c>
      <c r="R900" s="259">
        <f t="shared" si="1482"/>
        <v>15659385</v>
      </c>
      <c r="S900" s="259">
        <f t="shared" si="1482"/>
        <v>0</v>
      </c>
      <c r="T900" s="259">
        <f t="shared" si="1482"/>
        <v>0</v>
      </c>
      <c r="U900" s="259">
        <f t="shared" si="1482"/>
        <v>0</v>
      </c>
      <c r="V900" s="259">
        <f t="shared" si="1482"/>
        <v>0</v>
      </c>
      <c r="W900" s="259">
        <f t="shared" si="1482"/>
        <v>0</v>
      </c>
      <c r="X900" s="259">
        <f t="shared" si="1482"/>
        <v>0</v>
      </c>
      <c r="Y900" s="259">
        <f t="shared" si="1482"/>
        <v>0</v>
      </c>
      <c r="Z900" s="37"/>
      <c r="AA900" s="380"/>
      <c r="AB900" s="56"/>
      <c r="AC900" s="240"/>
      <c r="AD900" s="240"/>
      <c r="AE900" s="58"/>
      <c r="AI900" s="240"/>
      <c r="BB900" s="65"/>
      <c r="BC900" s="65"/>
    </row>
    <row r="901" spans="1:55" s="66" customFormat="1" ht="15.95" customHeight="1" x14ac:dyDescent="0.25">
      <c r="A901" s="556"/>
      <c r="B901" s="556"/>
      <c r="C901" s="556"/>
      <c r="D901" s="556"/>
      <c r="E901" s="556"/>
      <c r="F901" s="556"/>
      <c r="G901" s="556"/>
      <c r="H901" s="556"/>
      <c r="I901" s="556"/>
      <c r="J901" s="258" t="s">
        <v>204</v>
      </c>
      <c r="K901" s="259">
        <f t="shared" ref="K901:Y901" si="1483">SUMIF($J:$J,"WPF/PM",K:K)</f>
        <v>118650910</v>
      </c>
      <c r="L901" s="259">
        <f t="shared" si="1483"/>
        <v>0</v>
      </c>
      <c r="M901" s="259">
        <f t="shared" si="1483"/>
        <v>0</v>
      </c>
      <c r="N901" s="259">
        <f t="shared" si="1483"/>
        <v>0</v>
      </c>
      <c r="O901" s="260">
        <f t="shared" si="1483"/>
        <v>118650910</v>
      </c>
      <c r="P901" s="261">
        <f t="shared" si="1483"/>
        <v>53223136</v>
      </c>
      <c r="Q901" s="259">
        <f t="shared" si="1483"/>
        <v>49768389</v>
      </c>
      <c r="R901" s="259">
        <f t="shared" si="1483"/>
        <v>15659385</v>
      </c>
      <c r="S901" s="259">
        <f t="shared" si="1483"/>
        <v>0</v>
      </c>
      <c r="T901" s="259">
        <f t="shared" si="1483"/>
        <v>0</v>
      </c>
      <c r="U901" s="259">
        <f t="shared" si="1483"/>
        <v>0</v>
      </c>
      <c r="V901" s="259">
        <f t="shared" si="1483"/>
        <v>0</v>
      </c>
      <c r="W901" s="259">
        <f t="shared" si="1483"/>
        <v>0</v>
      </c>
      <c r="X901" s="259">
        <f t="shared" si="1483"/>
        <v>0</v>
      </c>
      <c r="Y901" s="259">
        <f t="shared" si="1483"/>
        <v>0</v>
      </c>
      <c r="Z901" s="37"/>
      <c r="AA901" s="380"/>
      <c r="AB901" s="56"/>
      <c r="AC901" s="240"/>
      <c r="AD901" s="240"/>
      <c r="AE901" s="58"/>
      <c r="AI901" s="240"/>
      <c r="BB901" s="65"/>
      <c r="BC901" s="65"/>
    </row>
    <row r="902" spans="1:55" s="66" customFormat="1" ht="15.95" customHeight="1" x14ac:dyDescent="0.25">
      <c r="A902" s="556"/>
      <c r="B902" s="556"/>
      <c r="C902" s="556"/>
      <c r="D902" s="556"/>
      <c r="E902" s="556"/>
      <c r="F902" s="556"/>
      <c r="G902" s="556"/>
      <c r="H902" s="556"/>
      <c r="I902" s="556"/>
      <c r="J902" s="258" t="s">
        <v>205</v>
      </c>
      <c r="K902" s="259">
        <f t="shared" ref="K902:Y902" si="1484">SUMIF($J:$J,"WPF/UM",K:K)</f>
        <v>105468311</v>
      </c>
      <c r="L902" s="259">
        <f t="shared" si="1484"/>
        <v>57305405</v>
      </c>
      <c r="M902" s="259">
        <f t="shared" si="1484"/>
        <v>44435549</v>
      </c>
      <c r="N902" s="259">
        <f t="shared" si="1484"/>
        <v>101740954</v>
      </c>
      <c r="O902" s="260">
        <f t="shared" si="1484"/>
        <v>3727357</v>
      </c>
      <c r="P902" s="261">
        <f t="shared" si="1484"/>
        <v>3704787</v>
      </c>
      <c r="Q902" s="259">
        <f t="shared" si="1484"/>
        <v>22570</v>
      </c>
      <c r="R902" s="259">
        <f t="shared" si="1484"/>
        <v>0</v>
      </c>
      <c r="S902" s="259">
        <f t="shared" si="1484"/>
        <v>0</v>
      </c>
      <c r="T902" s="259">
        <f t="shared" si="1484"/>
        <v>0</v>
      </c>
      <c r="U902" s="259">
        <f t="shared" si="1484"/>
        <v>0</v>
      </c>
      <c r="V902" s="259">
        <f t="shared" si="1484"/>
        <v>0</v>
      </c>
      <c r="W902" s="259">
        <f t="shared" si="1484"/>
        <v>0</v>
      </c>
      <c r="X902" s="259">
        <f t="shared" si="1484"/>
        <v>0</v>
      </c>
      <c r="Y902" s="259">
        <f t="shared" si="1484"/>
        <v>0</v>
      </c>
      <c r="Z902" s="37"/>
      <c r="AA902" s="380"/>
      <c r="AB902" s="56"/>
      <c r="AC902" s="240"/>
      <c r="AD902" s="240"/>
      <c r="AE902" s="58"/>
      <c r="AI902" s="240"/>
      <c r="BB902" s="65"/>
      <c r="BC902" s="65"/>
    </row>
    <row r="903" spans="1:55" s="66" customFormat="1" ht="15.95" customHeight="1" x14ac:dyDescent="0.25">
      <c r="A903" s="97"/>
      <c r="B903" s="27"/>
      <c r="C903" s="28"/>
      <c r="D903" s="97"/>
      <c r="E903" s="97"/>
      <c r="F903" s="97"/>
      <c r="G903" s="97"/>
      <c r="H903" s="97"/>
      <c r="I903" s="97"/>
      <c r="J903" s="97"/>
      <c r="K903" s="237"/>
      <c r="L903" s="252"/>
      <c r="M903" s="238"/>
      <c r="N903" s="237"/>
      <c r="O903" s="253"/>
      <c r="P903" s="237"/>
      <c r="Q903" s="238"/>
      <c r="R903" s="238"/>
      <c r="S903" s="238"/>
      <c r="T903" s="238"/>
      <c r="U903" s="238"/>
      <c r="V903" s="238"/>
      <c r="W903" s="238"/>
      <c r="X903" s="238"/>
      <c r="Y903" s="238"/>
      <c r="Z903" s="37"/>
      <c r="AA903" s="380"/>
      <c r="AB903" s="56"/>
      <c r="AC903" s="240"/>
      <c r="AD903" s="240"/>
      <c r="AE903" s="58"/>
      <c r="AI903" s="240"/>
      <c r="BB903" s="65"/>
      <c r="BC903" s="65"/>
    </row>
    <row r="904" spans="1:55" s="66" customFormat="1" ht="15.95" customHeight="1" x14ac:dyDescent="0.25">
      <c r="A904" s="97"/>
      <c r="B904" s="27"/>
      <c r="C904" s="28"/>
      <c r="D904" s="97"/>
      <c r="E904" s="97"/>
      <c r="F904" s="97"/>
      <c r="G904" s="97"/>
      <c r="H904" s="97"/>
      <c r="I904" s="97"/>
      <c r="J904" s="97" t="s">
        <v>209</v>
      </c>
      <c r="K904" s="244">
        <f>+K900-K892-K896</f>
        <v>0</v>
      </c>
      <c r="L904" s="244">
        <f t="shared" ref="L904:Y904" si="1485">+L900-L892-L896</f>
        <v>0</v>
      </c>
      <c r="M904" s="244">
        <f t="shared" si="1485"/>
        <v>0</v>
      </c>
      <c r="N904" s="244">
        <f t="shared" si="1485"/>
        <v>0</v>
      </c>
      <c r="O904" s="244">
        <f t="shared" si="1485"/>
        <v>0</v>
      </c>
      <c r="P904" s="244">
        <f t="shared" si="1485"/>
        <v>0</v>
      </c>
      <c r="Q904" s="244">
        <f t="shared" si="1485"/>
        <v>0</v>
      </c>
      <c r="R904" s="244">
        <f t="shared" si="1485"/>
        <v>0</v>
      </c>
      <c r="S904" s="244">
        <f t="shared" si="1485"/>
        <v>0</v>
      </c>
      <c r="T904" s="244">
        <f t="shared" si="1485"/>
        <v>0</v>
      </c>
      <c r="U904" s="244">
        <f t="shared" si="1485"/>
        <v>0</v>
      </c>
      <c r="V904" s="244">
        <f t="shared" si="1485"/>
        <v>0</v>
      </c>
      <c r="W904" s="244">
        <f t="shared" si="1485"/>
        <v>0</v>
      </c>
      <c r="X904" s="244">
        <f t="shared" si="1485"/>
        <v>0</v>
      </c>
      <c r="Y904" s="244">
        <f t="shared" si="1485"/>
        <v>0</v>
      </c>
      <c r="Z904" s="37"/>
      <c r="AA904" s="380"/>
      <c r="AB904" s="56"/>
      <c r="AC904" s="240"/>
      <c r="AD904" s="240"/>
      <c r="AE904" s="58"/>
      <c r="AI904" s="240"/>
      <c r="BB904" s="65"/>
      <c r="BC904" s="65"/>
    </row>
    <row r="905" spans="1:55" s="66" customFormat="1" ht="15.95" customHeight="1" x14ac:dyDescent="0.25">
      <c r="A905" s="97"/>
      <c r="B905" s="27"/>
      <c r="C905" s="28"/>
      <c r="D905" s="97"/>
      <c r="E905" s="97"/>
      <c r="F905" s="97"/>
      <c r="G905" s="97"/>
      <c r="H905" s="97"/>
      <c r="I905" s="97"/>
      <c r="J905" s="97" t="s">
        <v>209</v>
      </c>
      <c r="K905" s="244">
        <f t="shared" ref="K905:Y906" si="1486">+K901-K893-K897</f>
        <v>0</v>
      </c>
      <c r="L905" s="244">
        <f t="shared" si="1486"/>
        <v>0</v>
      </c>
      <c r="M905" s="244">
        <f t="shared" si="1486"/>
        <v>0</v>
      </c>
      <c r="N905" s="244">
        <f t="shared" si="1486"/>
        <v>0</v>
      </c>
      <c r="O905" s="244">
        <f t="shared" si="1486"/>
        <v>0</v>
      </c>
      <c r="P905" s="244">
        <f t="shared" si="1486"/>
        <v>0</v>
      </c>
      <c r="Q905" s="244">
        <f t="shared" si="1486"/>
        <v>0</v>
      </c>
      <c r="R905" s="244">
        <f t="shared" si="1486"/>
        <v>0</v>
      </c>
      <c r="S905" s="244">
        <f t="shared" si="1486"/>
        <v>0</v>
      </c>
      <c r="T905" s="244">
        <f t="shared" si="1486"/>
        <v>0</v>
      </c>
      <c r="U905" s="244">
        <f t="shared" si="1486"/>
        <v>0</v>
      </c>
      <c r="V905" s="244">
        <f t="shared" si="1486"/>
        <v>0</v>
      </c>
      <c r="W905" s="244">
        <f t="shared" si="1486"/>
        <v>0</v>
      </c>
      <c r="X905" s="244">
        <f t="shared" si="1486"/>
        <v>0</v>
      </c>
      <c r="Y905" s="244">
        <f t="shared" si="1486"/>
        <v>0</v>
      </c>
      <c r="Z905" s="37"/>
      <c r="AA905" s="380"/>
      <c r="AB905" s="56"/>
      <c r="AC905" s="240"/>
      <c r="AD905" s="240"/>
      <c r="AE905" s="58"/>
      <c r="AI905" s="240"/>
      <c r="BB905" s="65"/>
      <c r="BC905" s="65"/>
    </row>
    <row r="906" spans="1:55" s="66" customFormat="1" ht="15.95" customHeight="1" x14ac:dyDescent="0.25">
      <c r="A906" s="97"/>
      <c r="B906" s="27"/>
      <c r="C906" s="28"/>
      <c r="D906" s="97"/>
      <c r="E906" s="97"/>
      <c r="F906" s="97"/>
      <c r="G906" s="97"/>
      <c r="H906" s="97"/>
      <c r="I906" s="97"/>
      <c r="J906" s="97" t="s">
        <v>209</v>
      </c>
      <c r="K906" s="244">
        <f t="shared" si="1486"/>
        <v>0</v>
      </c>
      <c r="L906" s="244">
        <f t="shared" si="1486"/>
        <v>0</v>
      </c>
      <c r="M906" s="244">
        <f t="shared" si="1486"/>
        <v>0</v>
      </c>
      <c r="N906" s="244">
        <f t="shared" si="1486"/>
        <v>0</v>
      </c>
      <c r="O906" s="244">
        <f t="shared" si="1486"/>
        <v>0</v>
      </c>
      <c r="P906" s="244">
        <f t="shared" si="1486"/>
        <v>0</v>
      </c>
      <c r="Q906" s="244">
        <f t="shared" si="1486"/>
        <v>0</v>
      </c>
      <c r="R906" s="244">
        <f t="shared" si="1486"/>
        <v>0</v>
      </c>
      <c r="S906" s="244">
        <f t="shared" si="1486"/>
        <v>0</v>
      </c>
      <c r="T906" s="244">
        <f t="shared" si="1486"/>
        <v>0</v>
      </c>
      <c r="U906" s="244">
        <f t="shared" si="1486"/>
        <v>0</v>
      </c>
      <c r="V906" s="244">
        <f t="shared" si="1486"/>
        <v>0</v>
      </c>
      <c r="W906" s="244">
        <f t="shared" si="1486"/>
        <v>0</v>
      </c>
      <c r="X906" s="244">
        <f t="shared" si="1486"/>
        <v>0</v>
      </c>
      <c r="Y906" s="244">
        <f t="shared" si="1486"/>
        <v>0</v>
      </c>
      <c r="Z906" s="37"/>
      <c r="AA906" s="380"/>
      <c r="AB906" s="56"/>
      <c r="AC906" s="240"/>
      <c r="AD906" s="240"/>
      <c r="AE906" s="58"/>
      <c r="AI906" s="240"/>
      <c r="BB906" s="65"/>
      <c r="BC906" s="65"/>
    </row>
    <row r="907" spans="1:55" s="66" customFormat="1" ht="15.95" customHeight="1" x14ac:dyDescent="0.25">
      <c r="A907" s="262" t="s">
        <v>469</v>
      </c>
      <c r="B907" s="27"/>
      <c r="C907" s="28"/>
      <c r="D907" s="97"/>
      <c r="E907" s="97"/>
      <c r="F907" s="97"/>
      <c r="G907" s="97"/>
      <c r="H907" s="97"/>
      <c r="I907" s="97"/>
      <c r="J907" s="97"/>
      <c r="K907" s="237"/>
      <c r="L907" s="238"/>
      <c r="M907" s="238"/>
      <c r="N907" s="237"/>
      <c r="O907" s="263"/>
      <c r="P907" s="238"/>
      <c r="Q907" s="238"/>
      <c r="R907" s="238"/>
      <c r="S907" s="97"/>
      <c r="T907" s="97"/>
      <c r="U907" s="97"/>
      <c r="V907" s="97"/>
      <c r="W907" s="97"/>
      <c r="X907" s="97"/>
      <c r="Y907" s="97"/>
      <c r="Z907" s="37"/>
      <c r="AA907" s="380"/>
      <c r="AB907" s="56"/>
      <c r="AC907" s="240"/>
      <c r="AD907" s="240"/>
      <c r="AE907" s="58"/>
      <c r="AI907" s="240"/>
      <c r="BB907" s="65"/>
      <c r="BC907" s="65"/>
    </row>
    <row r="908" spans="1:55" s="66" customFormat="1" ht="15.95" customHeight="1" x14ac:dyDescent="0.25">
      <c r="A908" s="557" t="s">
        <v>206</v>
      </c>
      <c r="B908" s="557"/>
      <c r="C908" s="557"/>
      <c r="D908" s="557"/>
      <c r="E908" s="557"/>
      <c r="F908" s="557"/>
      <c r="G908" s="557"/>
      <c r="H908" s="557"/>
      <c r="I908" s="557"/>
      <c r="J908" s="248" t="s">
        <v>203</v>
      </c>
      <c r="K908" s="249">
        <f t="shared" ref="K908:Y908" si="1487">SUMIF($J:$J,"WPF, w tym;",K:K)</f>
        <v>213864077</v>
      </c>
      <c r="L908" s="249">
        <f t="shared" si="1487"/>
        <v>57305405</v>
      </c>
      <c r="M908" s="249">
        <f t="shared" si="1487"/>
        <v>44435549</v>
      </c>
      <c r="N908" s="249">
        <f t="shared" si="1487"/>
        <v>101740954</v>
      </c>
      <c r="O908" s="250">
        <f t="shared" si="1487"/>
        <v>112123123</v>
      </c>
      <c r="P908" s="251">
        <f t="shared" si="1487"/>
        <v>56727923</v>
      </c>
      <c r="Q908" s="249">
        <f t="shared" si="1487"/>
        <v>39935815</v>
      </c>
      <c r="R908" s="249">
        <f t="shared" si="1487"/>
        <v>15459385</v>
      </c>
      <c r="S908" s="249">
        <f t="shared" si="1487"/>
        <v>0</v>
      </c>
      <c r="T908" s="249">
        <f t="shared" si="1487"/>
        <v>0</v>
      </c>
      <c r="U908" s="249">
        <f t="shared" si="1487"/>
        <v>0</v>
      </c>
      <c r="V908" s="249">
        <f t="shared" si="1487"/>
        <v>0</v>
      </c>
      <c r="W908" s="249">
        <f t="shared" si="1487"/>
        <v>0</v>
      </c>
      <c r="X908" s="249">
        <f t="shared" si="1487"/>
        <v>0</v>
      </c>
      <c r="Y908" s="249">
        <f t="shared" si="1487"/>
        <v>0</v>
      </c>
      <c r="Z908" s="37"/>
      <c r="AA908" s="380"/>
      <c r="AB908" s="56"/>
      <c r="AC908" s="240"/>
      <c r="AD908" s="240"/>
      <c r="AE908" s="58"/>
      <c r="AI908" s="240"/>
      <c r="BB908" s="65"/>
      <c r="BC908" s="65"/>
    </row>
    <row r="909" spans="1:55" s="66" customFormat="1" ht="15.95" customHeight="1" x14ac:dyDescent="0.25">
      <c r="A909" s="557"/>
      <c r="B909" s="557"/>
      <c r="C909" s="557"/>
      <c r="D909" s="557"/>
      <c r="E909" s="557"/>
      <c r="F909" s="557"/>
      <c r="G909" s="557"/>
      <c r="H909" s="557"/>
      <c r="I909" s="557"/>
      <c r="J909" s="248" t="s">
        <v>204</v>
      </c>
      <c r="K909" s="249">
        <f t="shared" ref="K909:Y909" si="1488">SUMIF($J:$J,"WPF/PM;",K:K)</f>
        <v>108395766</v>
      </c>
      <c r="L909" s="249">
        <f t="shared" si="1488"/>
        <v>0</v>
      </c>
      <c r="M909" s="249">
        <f t="shared" si="1488"/>
        <v>0</v>
      </c>
      <c r="N909" s="249">
        <f t="shared" si="1488"/>
        <v>0</v>
      </c>
      <c r="O909" s="250">
        <f t="shared" si="1488"/>
        <v>108395766</v>
      </c>
      <c r="P909" s="251">
        <f t="shared" si="1488"/>
        <v>53023136</v>
      </c>
      <c r="Q909" s="249">
        <f t="shared" si="1488"/>
        <v>39913245</v>
      </c>
      <c r="R909" s="249">
        <f t="shared" si="1488"/>
        <v>15459385</v>
      </c>
      <c r="S909" s="249">
        <f t="shared" si="1488"/>
        <v>0</v>
      </c>
      <c r="T909" s="249">
        <f t="shared" si="1488"/>
        <v>0</v>
      </c>
      <c r="U909" s="249">
        <f t="shared" si="1488"/>
        <v>0</v>
      </c>
      <c r="V909" s="249">
        <f t="shared" si="1488"/>
        <v>0</v>
      </c>
      <c r="W909" s="249">
        <f t="shared" si="1488"/>
        <v>0</v>
      </c>
      <c r="X909" s="249">
        <f t="shared" si="1488"/>
        <v>0</v>
      </c>
      <c r="Y909" s="249">
        <f t="shared" si="1488"/>
        <v>0</v>
      </c>
      <c r="Z909" s="37"/>
      <c r="AA909" s="380"/>
      <c r="AB909" s="56"/>
      <c r="AC909" s="240"/>
      <c r="AD909" s="240"/>
      <c r="AE909" s="58"/>
      <c r="AI909" s="240"/>
      <c r="BB909" s="65"/>
      <c r="BC909" s="65"/>
    </row>
    <row r="910" spans="1:55" s="66" customFormat="1" ht="15.95" customHeight="1" x14ac:dyDescent="0.25">
      <c r="A910" s="557"/>
      <c r="B910" s="557"/>
      <c r="C910" s="557"/>
      <c r="D910" s="557"/>
      <c r="E910" s="557"/>
      <c r="F910" s="557"/>
      <c r="G910" s="557"/>
      <c r="H910" s="557"/>
      <c r="I910" s="557"/>
      <c r="J910" s="248" t="s">
        <v>205</v>
      </c>
      <c r="K910" s="249">
        <f t="shared" ref="K910:Y910" si="1489">SUMIF($J:$J,"WPF/UM;",K:K)</f>
        <v>105468311</v>
      </c>
      <c r="L910" s="249">
        <f t="shared" si="1489"/>
        <v>57305405</v>
      </c>
      <c r="M910" s="249">
        <f t="shared" si="1489"/>
        <v>44435549</v>
      </c>
      <c r="N910" s="249">
        <f t="shared" si="1489"/>
        <v>101740954</v>
      </c>
      <c r="O910" s="250">
        <f t="shared" si="1489"/>
        <v>3727357</v>
      </c>
      <c r="P910" s="251">
        <f t="shared" si="1489"/>
        <v>3704787</v>
      </c>
      <c r="Q910" s="249">
        <f t="shared" si="1489"/>
        <v>22570</v>
      </c>
      <c r="R910" s="249">
        <f t="shared" si="1489"/>
        <v>0</v>
      </c>
      <c r="S910" s="249">
        <f t="shared" si="1489"/>
        <v>0</v>
      </c>
      <c r="T910" s="249">
        <f t="shared" si="1489"/>
        <v>0</v>
      </c>
      <c r="U910" s="249">
        <f t="shared" si="1489"/>
        <v>0</v>
      </c>
      <c r="V910" s="249">
        <f t="shared" si="1489"/>
        <v>0</v>
      </c>
      <c r="W910" s="249">
        <f t="shared" si="1489"/>
        <v>0</v>
      </c>
      <c r="X910" s="249">
        <f t="shared" si="1489"/>
        <v>0</v>
      </c>
      <c r="Y910" s="249">
        <f t="shared" si="1489"/>
        <v>0</v>
      </c>
      <c r="Z910" s="37"/>
      <c r="AA910" s="380"/>
      <c r="AB910" s="56"/>
      <c r="AC910" s="240"/>
      <c r="AD910" s="240"/>
      <c r="AE910" s="58"/>
      <c r="AI910" s="240"/>
      <c r="BB910" s="65"/>
      <c r="BC910" s="65"/>
    </row>
    <row r="911" spans="1:55" s="66" customFormat="1" ht="15.95" customHeight="1" x14ac:dyDescent="0.25">
      <c r="A911" s="97"/>
      <c r="B911" s="27"/>
      <c r="C911" s="28"/>
      <c r="D911" s="97"/>
      <c r="E911" s="97"/>
      <c r="F911" s="97"/>
      <c r="G911" s="97"/>
      <c r="H911" s="97"/>
      <c r="I911" s="97"/>
      <c r="J911" s="97"/>
      <c r="K911" s="237"/>
      <c r="L911" s="238"/>
      <c r="M911" s="238"/>
      <c r="N911" s="237"/>
      <c r="O911" s="237"/>
      <c r="P911" s="238"/>
      <c r="Q911" s="238"/>
      <c r="R911" s="238"/>
      <c r="S911" s="97"/>
      <c r="T911" s="97"/>
      <c r="U911" s="97"/>
      <c r="V911" s="97"/>
      <c r="W911" s="97"/>
      <c r="X911" s="97"/>
      <c r="Y911" s="97"/>
      <c r="Z911" s="37"/>
      <c r="AA911" s="380"/>
      <c r="AB911" s="56"/>
      <c r="AC911" s="240"/>
      <c r="AD911" s="240"/>
      <c r="AE911" s="58"/>
      <c r="AI911" s="240"/>
      <c r="BB911" s="65"/>
      <c r="BC911" s="65"/>
    </row>
    <row r="912" spans="1:55" s="66" customFormat="1" ht="15.95" customHeight="1" x14ac:dyDescent="0.25">
      <c r="A912" s="97"/>
      <c r="B912" s="27"/>
      <c r="C912" s="28"/>
      <c r="D912" s="97"/>
      <c r="E912" s="97"/>
      <c r="F912" s="97"/>
      <c r="G912" s="97"/>
      <c r="H912" s="97"/>
      <c r="I912" s="97"/>
      <c r="J912" s="264" t="s">
        <v>210</v>
      </c>
      <c r="K912" s="265"/>
      <c r="L912" s="266"/>
      <c r="M912" s="267"/>
      <c r="N912" s="268"/>
      <c r="O912" s="269" t="s">
        <v>210</v>
      </c>
      <c r="P912" s="266"/>
      <c r="Q912" s="266"/>
      <c r="R912" s="266"/>
      <c r="S912" s="266"/>
      <c r="T912" s="266"/>
      <c r="U912" s="266"/>
      <c r="V912" s="266"/>
      <c r="W912" s="266"/>
      <c r="X912" s="266"/>
      <c r="Y912" s="267"/>
      <c r="Z912" s="37"/>
      <c r="AA912" s="380"/>
      <c r="AB912" s="56"/>
      <c r="AC912" s="240"/>
      <c r="AD912" s="240"/>
      <c r="AE912" s="58"/>
      <c r="AI912" s="240"/>
      <c r="BB912" s="65"/>
      <c r="BC912" s="65"/>
    </row>
    <row r="913" spans="1:55" s="66" customFormat="1" ht="45" x14ac:dyDescent="0.25">
      <c r="A913" s="97"/>
      <c r="B913" s="27"/>
      <c r="C913" s="28"/>
      <c r="D913" s="97"/>
      <c r="E913" s="97"/>
      <c r="F913" s="97"/>
      <c r="G913" s="97"/>
      <c r="H913" s="97"/>
      <c r="I913" s="97"/>
      <c r="J913" s="270" t="s">
        <v>211</v>
      </c>
      <c r="K913" s="270" t="s">
        <v>212</v>
      </c>
      <c r="L913" s="270" t="s">
        <v>400</v>
      </c>
      <c r="M913" s="271" t="s">
        <v>401</v>
      </c>
      <c r="N913" s="272" t="s">
        <v>65</v>
      </c>
      <c r="O913" s="273" t="s">
        <v>213</v>
      </c>
      <c r="P913" s="274" t="s">
        <v>214</v>
      </c>
      <c r="Q913" s="271" t="s">
        <v>215</v>
      </c>
      <c r="R913" s="271" t="s">
        <v>402</v>
      </c>
      <c r="S913" s="275"/>
      <c r="T913" s="275"/>
      <c r="U913" s="275"/>
      <c r="V913" s="275"/>
      <c r="W913" s="275"/>
      <c r="X913" s="275"/>
      <c r="Y913" s="275"/>
      <c r="Z913" s="37"/>
      <c r="AA913" s="380"/>
      <c r="AB913" s="56"/>
      <c r="AC913" s="240"/>
      <c r="AD913" s="240"/>
      <c r="AE913" s="58"/>
      <c r="AI913" s="240"/>
      <c r="BB913" s="65"/>
      <c r="BC913" s="65"/>
    </row>
    <row r="914" spans="1:55" s="66" customFormat="1" ht="15.95" customHeight="1" x14ac:dyDescent="0.25">
      <c r="A914" s="97"/>
      <c r="B914" s="27"/>
      <c r="C914" s="28"/>
      <c r="D914" s="97"/>
      <c r="E914" s="97"/>
      <c r="F914" s="97"/>
      <c r="G914" s="97"/>
      <c r="H914" s="238"/>
      <c r="I914" s="97"/>
      <c r="J914" s="276" t="s">
        <v>216</v>
      </c>
      <c r="K914" s="277">
        <v>213864077</v>
      </c>
      <c r="L914" s="277">
        <v>57305405</v>
      </c>
      <c r="M914" s="277">
        <v>44435549</v>
      </c>
      <c r="N914" s="278">
        <f>+M914+L914</f>
        <v>101740954</v>
      </c>
      <c r="O914" s="279">
        <v>112123123</v>
      </c>
      <c r="P914" s="280">
        <v>56727923</v>
      </c>
      <c r="Q914" s="277">
        <v>39935815</v>
      </c>
      <c r="R914" s="277">
        <v>15459385</v>
      </c>
      <c r="S914" s="277"/>
      <c r="T914" s="277"/>
      <c r="U914" s="277"/>
      <c r="V914" s="277"/>
      <c r="W914" s="277"/>
      <c r="X914" s="277"/>
      <c r="Y914" s="277"/>
      <c r="Z914" s="37"/>
      <c r="AA914" s="380"/>
      <c r="AB914" s="56"/>
      <c r="AC914" s="240"/>
      <c r="AD914" s="240"/>
      <c r="AE914" s="58"/>
      <c r="AI914" s="240"/>
      <c r="BB914" s="65"/>
      <c r="BC914" s="65"/>
    </row>
    <row r="915" spans="1:55" s="66" customFormat="1" ht="15.95" customHeight="1" x14ac:dyDescent="0.25">
      <c r="A915" s="97"/>
      <c r="B915" s="27"/>
      <c r="C915" s="28"/>
      <c r="D915" s="97"/>
      <c r="E915" s="97"/>
      <c r="F915" s="97"/>
      <c r="G915" s="97"/>
      <c r="H915" s="97"/>
      <c r="I915" s="97"/>
      <c r="J915" s="276" t="s">
        <v>217</v>
      </c>
      <c r="K915" s="277">
        <v>108395766</v>
      </c>
      <c r="L915" s="277"/>
      <c r="M915" s="277">
        <v>0</v>
      </c>
      <c r="N915" s="278">
        <f>+M915+L915</f>
        <v>0</v>
      </c>
      <c r="O915" s="279">
        <v>108395766</v>
      </c>
      <c r="P915" s="280">
        <v>53023136</v>
      </c>
      <c r="Q915" s="277">
        <v>39913245</v>
      </c>
      <c r="R915" s="277">
        <v>15459385</v>
      </c>
      <c r="S915" s="277"/>
      <c r="T915" s="277"/>
      <c r="U915" s="277"/>
      <c r="V915" s="277"/>
      <c r="W915" s="277"/>
      <c r="X915" s="277"/>
      <c r="Y915" s="277"/>
      <c r="Z915" s="37"/>
      <c r="AA915" s="380"/>
      <c r="AB915" s="56"/>
      <c r="AC915" s="240"/>
      <c r="AD915" s="240"/>
      <c r="AE915" s="58"/>
      <c r="AI915" s="240"/>
      <c r="BB915" s="65"/>
      <c r="BC915" s="65"/>
    </row>
    <row r="916" spans="1:55" s="66" customFormat="1" ht="15.95" customHeight="1" x14ac:dyDescent="0.25">
      <c r="A916" s="97"/>
      <c r="B916" s="27"/>
      <c r="C916" s="28"/>
      <c r="D916" s="97"/>
      <c r="E916" s="97"/>
      <c r="F916" s="97"/>
      <c r="G916" s="97"/>
      <c r="H916" s="97"/>
      <c r="I916" s="238"/>
      <c r="J916" s="276" t="s">
        <v>218</v>
      </c>
      <c r="K916" s="277">
        <v>105468311</v>
      </c>
      <c r="L916" s="277">
        <v>57305405</v>
      </c>
      <c r="M916" s="277">
        <v>44435549</v>
      </c>
      <c r="N916" s="278">
        <f>+M916+L916</f>
        <v>101740954</v>
      </c>
      <c r="O916" s="279">
        <v>3727357</v>
      </c>
      <c r="P916" s="280">
        <v>3704787</v>
      </c>
      <c r="Q916" s="277">
        <v>22570</v>
      </c>
      <c r="R916" s="277"/>
      <c r="S916" s="277"/>
      <c r="T916" s="277"/>
      <c r="U916" s="277"/>
      <c r="V916" s="277"/>
      <c r="W916" s="277"/>
      <c r="X916" s="277"/>
      <c r="Y916" s="277"/>
      <c r="Z916" s="37"/>
      <c r="AA916" s="380"/>
      <c r="AB916" s="56"/>
      <c r="AC916" s="240"/>
      <c r="AD916" s="240"/>
      <c r="AE916" s="58"/>
      <c r="AI916" s="240"/>
      <c r="BB916" s="65"/>
      <c r="BC916" s="65"/>
    </row>
    <row r="917" spans="1:55" s="66" customFormat="1" ht="15.95" customHeight="1" x14ac:dyDescent="0.25">
      <c r="A917" s="97"/>
      <c r="B917" s="27"/>
      <c r="C917" s="28"/>
      <c r="D917" s="97"/>
      <c r="E917" s="97"/>
      <c r="F917" s="97"/>
      <c r="G917" s="97"/>
      <c r="H917" s="97"/>
      <c r="I917" s="97"/>
      <c r="J917" s="97" t="s">
        <v>219</v>
      </c>
      <c r="K917" s="237">
        <f>K914-K915-K916</f>
        <v>0</v>
      </c>
      <c r="L917" s="237">
        <f t="shared" ref="L917:Y917" si="1490">L914-L915-L916</f>
        <v>0</v>
      </c>
      <c r="M917" s="237">
        <f t="shared" si="1490"/>
        <v>0</v>
      </c>
      <c r="N917" s="237">
        <f t="shared" si="1490"/>
        <v>0</v>
      </c>
      <c r="O917" s="237">
        <f t="shared" si="1490"/>
        <v>0</v>
      </c>
      <c r="P917" s="237">
        <f t="shared" si="1490"/>
        <v>0</v>
      </c>
      <c r="Q917" s="237">
        <f t="shared" si="1490"/>
        <v>0</v>
      </c>
      <c r="R917" s="237">
        <f t="shared" si="1490"/>
        <v>0</v>
      </c>
      <c r="S917" s="237">
        <f t="shared" si="1490"/>
        <v>0</v>
      </c>
      <c r="T917" s="237">
        <f t="shared" si="1490"/>
        <v>0</v>
      </c>
      <c r="U917" s="237">
        <f t="shared" si="1490"/>
        <v>0</v>
      </c>
      <c r="V917" s="237">
        <f t="shared" si="1490"/>
        <v>0</v>
      </c>
      <c r="W917" s="237">
        <f t="shared" si="1490"/>
        <v>0</v>
      </c>
      <c r="X917" s="237">
        <f t="shared" si="1490"/>
        <v>0</v>
      </c>
      <c r="Y917" s="237">
        <f t="shared" si="1490"/>
        <v>0</v>
      </c>
      <c r="Z917" s="37"/>
      <c r="AA917" s="380"/>
      <c r="AB917" s="56"/>
      <c r="AC917" s="240"/>
      <c r="AD917" s="240"/>
      <c r="AE917" s="58"/>
      <c r="AI917" s="240"/>
      <c r="BB917" s="65"/>
      <c r="BC917" s="65"/>
    </row>
    <row r="918" spans="1:55" s="66" customFormat="1" ht="15.95" customHeight="1" x14ac:dyDescent="0.25">
      <c r="A918" s="97"/>
      <c r="B918" s="27"/>
      <c r="C918" s="28"/>
      <c r="D918" s="97"/>
      <c r="E918" s="97"/>
      <c r="F918" s="97"/>
      <c r="G918" s="97"/>
      <c r="H918" s="97"/>
      <c r="I918" s="97"/>
      <c r="J918" s="97"/>
      <c r="K918" s="237"/>
      <c r="L918" s="237"/>
      <c r="M918" s="237"/>
      <c r="N918" s="237"/>
      <c r="O918" s="237"/>
      <c r="P918" s="237"/>
      <c r="Q918" s="237"/>
      <c r="R918" s="237"/>
      <c r="S918" s="97"/>
      <c r="T918" s="97"/>
      <c r="U918" s="97"/>
      <c r="V918" s="97"/>
      <c r="W918" s="97"/>
      <c r="X918" s="97"/>
      <c r="Y918" s="97"/>
      <c r="Z918" s="37"/>
      <c r="AA918" s="380"/>
      <c r="AB918" s="56"/>
      <c r="AC918" s="240"/>
      <c r="AD918" s="240"/>
      <c r="AE918" s="58"/>
      <c r="AI918" s="240"/>
      <c r="BB918" s="65"/>
      <c r="BC918" s="65"/>
    </row>
    <row r="919" spans="1:55" s="66" customFormat="1" ht="15.95" customHeight="1" x14ac:dyDescent="0.25">
      <c r="A919" s="97"/>
      <c r="B919" s="27"/>
      <c r="C919" s="28"/>
      <c r="D919" s="97"/>
      <c r="E919" s="97"/>
      <c r="F919" s="97"/>
      <c r="G919" s="97"/>
      <c r="H919" s="97"/>
      <c r="I919" s="97"/>
      <c r="J919" s="281" t="s">
        <v>220</v>
      </c>
      <c r="K919" s="244">
        <f>+K914-K908</f>
        <v>0</v>
      </c>
      <c r="L919" s="244">
        <f t="shared" ref="L919:Y921" si="1491">+L914-L908</f>
        <v>0</v>
      </c>
      <c r="M919" s="244">
        <f t="shared" si="1491"/>
        <v>0</v>
      </c>
      <c r="N919" s="244">
        <f t="shared" si="1491"/>
        <v>0</v>
      </c>
      <c r="O919" s="244">
        <f t="shared" si="1491"/>
        <v>0</v>
      </c>
      <c r="P919" s="244">
        <f t="shared" si="1491"/>
        <v>0</v>
      </c>
      <c r="Q919" s="244">
        <f t="shared" si="1491"/>
        <v>0</v>
      </c>
      <c r="R919" s="244">
        <f t="shared" si="1491"/>
        <v>0</v>
      </c>
      <c r="S919" s="244">
        <f t="shared" si="1491"/>
        <v>0</v>
      </c>
      <c r="T919" s="244">
        <f t="shared" si="1491"/>
        <v>0</v>
      </c>
      <c r="U919" s="244">
        <f t="shared" si="1491"/>
        <v>0</v>
      </c>
      <c r="V919" s="244">
        <f t="shared" si="1491"/>
        <v>0</v>
      </c>
      <c r="W919" s="244">
        <f t="shared" si="1491"/>
        <v>0</v>
      </c>
      <c r="X919" s="244">
        <f t="shared" si="1491"/>
        <v>0</v>
      </c>
      <c r="Y919" s="244">
        <f t="shared" si="1491"/>
        <v>0</v>
      </c>
      <c r="Z919" s="37"/>
      <c r="AA919" s="380"/>
      <c r="AB919" s="56"/>
      <c r="AC919" s="240"/>
      <c r="AD919" s="240"/>
      <c r="AE919" s="58"/>
      <c r="AI919" s="240"/>
      <c r="BB919" s="65"/>
      <c r="BC919" s="65"/>
    </row>
    <row r="920" spans="1:55" s="66" customFormat="1" ht="15.95" customHeight="1" x14ac:dyDescent="0.25">
      <c r="A920" s="97"/>
      <c r="B920" s="27"/>
      <c r="C920" s="28"/>
      <c r="D920" s="97"/>
      <c r="E920" s="97"/>
      <c r="F920" s="97"/>
      <c r="G920" s="97"/>
      <c r="H920" s="97"/>
      <c r="I920" s="97"/>
      <c r="J920" s="281" t="s">
        <v>220</v>
      </c>
      <c r="K920" s="244">
        <f>+K915-K909</f>
        <v>0</v>
      </c>
      <c r="L920" s="244">
        <f t="shared" si="1491"/>
        <v>0</v>
      </c>
      <c r="M920" s="244">
        <f t="shared" si="1491"/>
        <v>0</v>
      </c>
      <c r="N920" s="244">
        <f t="shared" si="1491"/>
        <v>0</v>
      </c>
      <c r="O920" s="244">
        <f t="shared" si="1491"/>
        <v>0</v>
      </c>
      <c r="P920" s="244">
        <f t="shared" si="1491"/>
        <v>0</v>
      </c>
      <c r="Q920" s="244">
        <f t="shared" si="1491"/>
        <v>0</v>
      </c>
      <c r="R920" s="244">
        <f t="shared" si="1491"/>
        <v>0</v>
      </c>
      <c r="S920" s="244">
        <f t="shared" si="1491"/>
        <v>0</v>
      </c>
      <c r="T920" s="244">
        <f t="shared" si="1491"/>
        <v>0</v>
      </c>
      <c r="U920" s="244">
        <f t="shared" si="1491"/>
        <v>0</v>
      </c>
      <c r="V920" s="244">
        <f t="shared" si="1491"/>
        <v>0</v>
      </c>
      <c r="W920" s="244">
        <f t="shared" si="1491"/>
        <v>0</v>
      </c>
      <c r="X920" s="244">
        <f t="shared" si="1491"/>
        <v>0</v>
      </c>
      <c r="Y920" s="244">
        <f t="shared" si="1491"/>
        <v>0</v>
      </c>
      <c r="Z920" s="37"/>
      <c r="AA920" s="380"/>
      <c r="AB920" s="56"/>
      <c r="AC920" s="240"/>
      <c r="AD920" s="240"/>
      <c r="AE920" s="58"/>
      <c r="AI920" s="240"/>
      <c r="BB920" s="65"/>
      <c r="BC920" s="65"/>
    </row>
    <row r="921" spans="1:55" s="66" customFormat="1" ht="15.95" customHeight="1" x14ac:dyDescent="0.25">
      <c r="A921" s="97"/>
      <c r="B921" s="27"/>
      <c r="C921" s="28"/>
      <c r="D921" s="97"/>
      <c r="E921" s="97"/>
      <c r="F921" s="97"/>
      <c r="G921" s="97"/>
      <c r="H921" s="97"/>
      <c r="I921" s="97"/>
      <c r="J921" s="281" t="s">
        <v>220</v>
      </c>
      <c r="K921" s="244">
        <f>+K916-K910</f>
        <v>0</v>
      </c>
      <c r="L921" s="244">
        <f t="shared" si="1491"/>
        <v>0</v>
      </c>
      <c r="M921" s="244">
        <f t="shared" si="1491"/>
        <v>0</v>
      </c>
      <c r="N921" s="244">
        <f t="shared" si="1491"/>
        <v>0</v>
      </c>
      <c r="O921" s="244">
        <f t="shared" si="1491"/>
        <v>0</v>
      </c>
      <c r="P921" s="244">
        <f t="shared" si="1491"/>
        <v>0</v>
      </c>
      <c r="Q921" s="244">
        <f t="shared" si="1491"/>
        <v>0</v>
      </c>
      <c r="R921" s="244">
        <f t="shared" si="1491"/>
        <v>0</v>
      </c>
      <c r="S921" s="244">
        <f t="shared" si="1491"/>
        <v>0</v>
      </c>
      <c r="T921" s="244">
        <f t="shared" si="1491"/>
        <v>0</v>
      </c>
      <c r="U921" s="244">
        <f t="shared" si="1491"/>
        <v>0</v>
      </c>
      <c r="V921" s="244">
        <f t="shared" si="1491"/>
        <v>0</v>
      </c>
      <c r="W921" s="244">
        <f t="shared" si="1491"/>
        <v>0</v>
      </c>
      <c r="X921" s="244">
        <f t="shared" si="1491"/>
        <v>0</v>
      </c>
      <c r="Y921" s="244">
        <f t="shared" si="1491"/>
        <v>0</v>
      </c>
      <c r="Z921" s="37"/>
      <c r="AA921" s="380"/>
      <c r="AB921" s="56"/>
      <c r="AC921" s="240"/>
      <c r="AD921" s="240"/>
      <c r="AE921" s="58"/>
      <c r="AI921" s="240"/>
      <c r="BB921" s="65"/>
      <c r="BC921" s="65"/>
    </row>
  </sheetData>
  <autoFilter ref="A9:BC888" xr:uid="{00000000-0009-0000-0000-000001000000}">
    <filterColumn colId="25">
      <filters>
        <filter val="tak"/>
      </filters>
    </filterColumn>
  </autoFilter>
  <mergeCells count="1987">
    <mergeCell ref="A571:A573"/>
    <mergeCell ref="B571:B573"/>
    <mergeCell ref="C571:C573"/>
    <mergeCell ref="D571:D573"/>
    <mergeCell ref="E571:E573"/>
    <mergeCell ref="F571:F573"/>
    <mergeCell ref="G571:G573"/>
    <mergeCell ref="H571:H573"/>
    <mergeCell ref="I571:I573"/>
    <mergeCell ref="A543:A545"/>
    <mergeCell ref="B543:B545"/>
    <mergeCell ref="C543:C545"/>
    <mergeCell ref="D543:D545"/>
    <mergeCell ref="E543:E545"/>
    <mergeCell ref="F543:F545"/>
    <mergeCell ref="G543:G545"/>
    <mergeCell ref="H543:H545"/>
    <mergeCell ref="I543:I545"/>
    <mergeCell ref="A547:A549"/>
    <mergeCell ref="B547:B549"/>
    <mergeCell ref="C547:C549"/>
    <mergeCell ref="D547:D549"/>
    <mergeCell ref="E547:E549"/>
    <mergeCell ref="F547:F549"/>
    <mergeCell ref="G547:G549"/>
    <mergeCell ref="H547:H549"/>
    <mergeCell ref="I547:I549"/>
    <mergeCell ref="H555:H557"/>
    <mergeCell ref="I555:I557"/>
    <mergeCell ref="A559:A561"/>
    <mergeCell ref="B559:B561"/>
    <mergeCell ref="C559:C561"/>
    <mergeCell ref="F515:F517"/>
    <mergeCell ref="G515:G517"/>
    <mergeCell ref="H515:H517"/>
    <mergeCell ref="I515:I517"/>
    <mergeCell ref="A519:A521"/>
    <mergeCell ref="B519:B521"/>
    <mergeCell ref="C519:C521"/>
    <mergeCell ref="D519:D521"/>
    <mergeCell ref="E519:E521"/>
    <mergeCell ref="F519:F521"/>
    <mergeCell ref="G519:G521"/>
    <mergeCell ref="H519:H521"/>
    <mergeCell ref="I519:I521"/>
    <mergeCell ref="I511:I513"/>
    <mergeCell ref="D567:D569"/>
    <mergeCell ref="E567:E569"/>
    <mergeCell ref="F567:F569"/>
    <mergeCell ref="G567:G569"/>
    <mergeCell ref="H567:H569"/>
    <mergeCell ref="I567:I569"/>
    <mergeCell ref="A563:A565"/>
    <mergeCell ref="B563:B565"/>
    <mergeCell ref="C563:C565"/>
    <mergeCell ref="D563:D565"/>
    <mergeCell ref="E563:E565"/>
    <mergeCell ref="F563:F565"/>
    <mergeCell ref="G563:G565"/>
    <mergeCell ref="H563:H565"/>
    <mergeCell ref="I563:I565"/>
    <mergeCell ref="A567:A569"/>
    <mergeCell ref="B567:B569"/>
    <mergeCell ref="C567:C569"/>
    <mergeCell ref="D703:D705"/>
    <mergeCell ref="E703:E705"/>
    <mergeCell ref="F703:F705"/>
    <mergeCell ref="G703:G705"/>
    <mergeCell ref="H703:H705"/>
    <mergeCell ref="I703:I705"/>
    <mergeCell ref="A251:A253"/>
    <mergeCell ref="B251:B253"/>
    <mergeCell ref="C251:C253"/>
    <mergeCell ref="D251:D253"/>
    <mergeCell ref="E251:E253"/>
    <mergeCell ref="F251:F253"/>
    <mergeCell ref="G251:G253"/>
    <mergeCell ref="H251:H253"/>
    <mergeCell ref="I251:I253"/>
    <mergeCell ref="A255:A257"/>
    <mergeCell ref="B255:B257"/>
    <mergeCell ref="C255:C257"/>
    <mergeCell ref="D255:D257"/>
    <mergeCell ref="E255:E257"/>
    <mergeCell ref="F255:F257"/>
    <mergeCell ref="G255:G257"/>
    <mergeCell ref="H255:H257"/>
    <mergeCell ref="I255:I257"/>
    <mergeCell ref="A259:A261"/>
    <mergeCell ref="B259:B261"/>
    <mergeCell ref="C475:C477"/>
    <mergeCell ref="D475:D477"/>
    <mergeCell ref="E475:E477"/>
    <mergeCell ref="F475:F477"/>
    <mergeCell ref="G475:G477"/>
    <mergeCell ref="H475:H477"/>
    <mergeCell ref="E415:E417"/>
    <mergeCell ref="F415:F417"/>
    <mergeCell ref="G415:G417"/>
    <mergeCell ref="H415:H417"/>
    <mergeCell ref="I415:I417"/>
    <mergeCell ref="A695:A697"/>
    <mergeCell ref="B695:B697"/>
    <mergeCell ref="C695:C697"/>
    <mergeCell ref="D695:D697"/>
    <mergeCell ref="E695:E697"/>
    <mergeCell ref="F695:F697"/>
    <mergeCell ref="G695:G697"/>
    <mergeCell ref="H695:H697"/>
    <mergeCell ref="I695:I697"/>
    <mergeCell ref="A467:A469"/>
    <mergeCell ref="B467:B469"/>
    <mergeCell ref="C467:C469"/>
    <mergeCell ref="D467:D469"/>
    <mergeCell ref="E467:E469"/>
    <mergeCell ref="F467:F469"/>
    <mergeCell ref="G467:G469"/>
    <mergeCell ref="H467:H469"/>
    <mergeCell ref="I467:I469"/>
    <mergeCell ref="A471:A473"/>
    <mergeCell ref="B471:B473"/>
    <mergeCell ref="C471:C473"/>
    <mergeCell ref="D471:D473"/>
    <mergeCell ref="E471:E473"/>
    <mergeCell ref="H491:H493"/>
    <mergeCell ref="I491:I493"/>
    <mergeCell ref="A495:A497"/>
    <mergeCell ref="B495:B497"/>
    <mergeCell ref="I651:I653"/>
    <mergeCell ref="A655:A657"/>
    <mergeCell ref="B655:B657"/>
    <mergeCell ref="C655:C657"/>
    <mergeCell ref="D655:D657"/>
    <mergeCell ref="E655:E657"/>
    <mergeCell ref="F655:F657"/>
    <mergeCell ref="G655:G657"/>
    <mergeCell ref="H655:H657"/>
    <mergeCell ref="I655:I657"/>
    <mergeCell ref="A407:A409"/>
    <mergeCell ref="B407:B409"/>
    <mergeCell ref="C407:C409"/>
    <mergeCell ref="D407:D409"/>
    <mergeCell ref="E407:E409"/>
    <mergeCell ref="F407:F409"/>
    <mergeCell ref="G407:G409"/>
    <mergeCell ref="H407:H409"/>
    <mergeCell ref="I407:I409"/>
    <mergeCell ref="A411:A413"/>
    <mergeCell ref="B411:B413"/>
    <mergeCell ref="C411:C413"/>
    <mergeCell ref="D411:D413"/>
    <mergeCell ref="E411:E413"/>
    <mergeCell ref="F411:F413"/>
    <mergeCell ref="G411:G413"/>
    <mergeCell ref="H411:H413"/>
    <mergeCell ref="I411:I413"/>
    <mergeCell ref="A415:A417"/>
    <mergeCell ref="B415:B417"/>
    <mergeCell ref="C415:C417"/>
    <mergeCell ref="D415:D417"/>
    <mergeCell ref="G303:G305"/>
    <mergeCell ref="H303:H305"/>
    <mergeCell ref="I303:I305"/>
    <mergeCell ref="A307:A309"/>
    <mergeCell ref="B307:B309"/>
    <mergeCell ref="C307:C309"/>
    <mergeCell ref="D307:D309"/>
    <mergeCell ref="E307:E309"/>
    <mergeCell ref="F307:F309"/>
    <mergeCell ref="G307:G309"/>
    <mergeCell ref="H307:H309"/>
    <mergeCell ref="I307:I309"/>
    <mergeCell ref="A299:A301"/>
    <mergeCell ref="B299:B301"/>
    <mergeCell ref="C299:C301"/>
    <mergeCell ref="D299:D301"/>
    <mergeCell ref="E299:E301"/>
    <mergeCell ref="F299:F301"/>
    <mergeCell ref="G299:G301"/>
    <mergeCell ref="H299:H301"/>
    <mergeCell ref="F391:F393"/>
    <mergeCell ref="A767:A769"/>
    <mergeCell ref="B767:B769"/>
    <mergeCell ref="C767:C769"/>
    <mergeCell ref="D767:D769"/>
    <mergeCell ref="E767:E769"/>
    <mergeCell ref="F767:F769"/>
    <mergeCell ref="G767:G769"/>
    <mergeCell ref="H767:H769"/>
    <mergeCell ref="I767:I769"/>
    <mergeCell ref="A771:A773"/>
    <mergeCell ref="B771:B773"/>
    <mergeCell ref="C771:C773"/>
    <mergeCell ref="D771:D773"/>
    <mergeCell ref="E771:E773"/>
    <mergeCell ref="F771:F773"/>
    <mergeCell ref="G771:G773"/>
    <mergeCell ref="H771:H773"/>
    <mergeCell ref="I771:I773"/>
    <mergeCell ref="D763:D765"/>
    <mergeCell ref="E763:E765"/>
    <mergeCell ref="F763:F765"/>
    <mergeCell ref="G763:G765"/>
    <mergeCell ref="A759:A761"/>
    <mergeCell ref="A651:A653"/>
    <mergeCell ref="B651:B653"/>
    <mergeCell ref="C651:C653"/>
    <mergeCell ref="D651:D653"/>
    <mergeCell ref="E651:E653"/>
    <mergeCell ref="F651:F653"/>
    <mergeCell ref="G651:G653"/>
    <mergeCell ref="H651:H653"/>
    <mergeCell ref="F159:F161"/>
    <mergeCell ref="G159:G161"/>
    <mergeCell ref="H159:H161"/>
    <mergeCell ref="I159:I161"/>
    <mergeCell ref="A163:A165"/>
    <mergeCell ref="B163:B165"/>
    <mergeCell ref="C163:C165"/>
    <mergeCell ref="D163:D165"/>
    <mergeCell ref="E163:E165"/>
    <mergeCell ref="F163:F165"/>
    <mergeCell ref="G163:G165"/>
    <mergeCell ref="H163:H165"/>
    <mergeCell ref="I163:I165"/>
    <mergeCell ref="A395:A397"/>
    <mergeCell ref="B395:B397"/>
    <mergeCell ref="C395:C397"/>
    <mergeCell ref="D395:D397"/>
    <mergeCell ref="E395:E397"/>
    <mergeCell ref="F395:F397"/>
    <mergeCell ref="G395:G397"/>
    <mergeCell ref="H395:H397"/>
    <mergeCell ref="I395:I397"/>
    <mergeCell ref="C259:C261"/>
    <mergeCell ref="D259:D261"/>
    <mergeCell ref="E259:E261"/>
    <mergeCell ref="F259:F261"/>
    <mergeCell ref="G259:G261"/>
    <mergeCell ref="H259:H261"/>
    <mergeCell ref="I259:I261"/>
    <mergeCell ref="I387:I389"/>
    <mergeCell ref="A391:A393"/>
    <mergeCell ref="B391:B393"/>
    <mergeCell ref="A900:I902"/>
    <mergeCell ref="A908:I910"/>
    <mergeCell ref="G883:G885"/>
    <mergeCell ref="H883:H885"/>
    <mergeCell ref="I883:I885"/>
    <mergeCell ref="A886:I888"/>
    <mergeCell ref="A892:I894"/>
    <mergeCell ref="A896:I898"/>
    <mergeCell ref="A883:A885"/>
    <mergeCell ref="B883:B885"/>
    <mergeCell ref="C883:C885"/>
    <mergeCell ref="D883:D885"/>
    <mergeCell ref="E883:E885"/>
    <mergeCell ref="F883:F885"/>
    <mergeCell ref="I875:I877"/>
    <mergeCell ref="A879:A881"/>
    <mergeCell ref="B879:B881"/>
    <mergeCell ref="C879:C881"/>
    <mergeCell ref="D879:D881"/>
    <mergeCell ref="E879:E881"/>
    <mergeCell ref="F879:F881"/>
    <mergeCell ref="G879:G881"/>
    <mergeCell ref="H879:H881"/>
    <mergeCell ref="I879:I881"/>
    <mergeCell ref="H871:H873"/>
    <mergeCell ref="I871:I873"/>
    <mergeCell ref="A875:A877"/>
    <mergeCell ref="B875:B877"/>
    <mergeCell ref="C875:C877"/>
    <mergeCell ref="D875:D877"/>
    <mergeCell ref="E875:E877"/>
    <mergeCell ref="F875:F877"/>
    <mergeCell ref="G875:G877"/>
    <mergeCell ref="H875:H877"/>
    <mergeCell ref="G867:G869"/>
    <mergeCell ref="H867:H869"/>
    <mergeCell ref="I867:I869"/>
    <mergeCell ref="A871:A873"/>
    <mergeCell ref="B871:B873"/>
    <mergeCell ref="C871:C873"/>
    <mergeCell ref="D871:D873"/>
    <mergeCell ref="E871:E873"/>
    <mergeCell ref="F871:F873"/>
    <mergeCell ref="G871:G873"/>
    <mergeCell ref="A867:A869"/>
    <mergeCell ref="B867:B869"/>
    <mergeCell ref="C867:C869"/>
    <mergeCell ref="D867:D869"/>
    <mergeCell ref="E867:E869"/>
    <mergeCell ref="F867:F869"/>
    <mergeCell ref="I859:I861"/>
    <mergeCell ref="A863:A865"/>
    <mergeCell ref="B863:B865"/>
    <mergeCell ref="C863:C865"/>
    <mergeCell ref="D863:D865"/>
    <mergeCell ref="E863:E865"/>
    <mergeCell ref="F863:F865"/>
    <mergeCell ref="G863:G865"/>
    <mergeCell ref="H863:H865"/>
    <mergeCell ref="I863:I865"/>
    <mergeCell ref="H855:H857"/>
    <mergeCell ref="I855:I857"/>
    <mergeCell ref="A859:A861"/>
    <mergeCell ref="B859:B861"/>
    <mergeCell ref="C859:C861"/>
    <mergeCell ref="D859:D861"/>
    <mergeCell ref="E859:E861"/>
    <mergeCell ref="F859:F861"/>
    <mergeCell ref="G859:G861"/>
    <mergeCell ref="H859:H861"/>
    <mergeCell ref="G851:G853"/>
    <mergeCell ref="H851:H853"/>
    <mergeCell ref="I851:I853"/>
    <mergeCell ref="A855:A857"/>
    <mergeCell ref="B855:B857"/>
    <mergeCell ref="C855:C857"/>
    <mergeCell ref="D855:D857"/>
    <mergeCell ref="E855:E857"/>
    <mergeCell ref="F855:F857"/>
    <mergeCell ref="G855:G857"/>
    <mergeCell ref="A851:A853"/>
    <mergeCell ref="B851:B853"/>
    <mergeCell ref="C851:C853"/>
    <mergeCell ref="D851:D853"/>
    <mergeCell ref="E851:E853"/>
    <mergeCell ref="F851:F853"/>
    <mergeCell ref="I843:I845"/>
    <mergeCell ref="A847:A849"/>
    <mergeCell ref="B847:B849"/>
    <mergeCell ref="C847:C849"/>
    <mergeCell ref="D847:D849"/>
    <mergeCell ref="E847:E849"/>
    <mergeCell ref="F847:F849"/>
    <mergeCell ref="G847:G849"/>
    <mergeCell ref="H847:H849"/>
    <mergeCell ref="I847:I849"/>
    <mergeCell ref="H839:H841"/>
    <mergeCell ref="I839:I841"/>
    <mergeCell ref="A843:A845"/>
    <mergeCell ref="B843:B845"/>
    <mergeCell ref="C843:C845"/>
    <mergeCell ref="D843:D845"/>
    <mergeCell ref="E843:E845"/>
    <mergeCell ref="F843:F845"/>
    <mergeCell ref="G843:G845"/>
    <mergeCell ref="H843:H845"/>
    <mergeCell ref="G835:G837"/>
    <mergeCell ref="H835:H837"/>
    <mergeCell ref="I835:I837"/>
    <mergeCell ref="A839:A841"/>
    <mergeCell ref="B839:B841"/>
    <mergeCell ref="C839:C841"/>
    <mergeCell ref="D839:D841"/>
    <mergeCell ref="E839:E841"/>
    <mergeCell ref="F839:F841"/>
    <mergeCell ref="G839:G841"/>
    <mergeCell ref="A835:A837"/>
    <mergeCell ref="B835:B837"/>
    <mergeCell ref="C835:C837"/>
    <mergeCell ref="D835:D837"/>
    <mergeCell ref="E835:E837"/>
    <mergeCell ref="F835:F837"/>
    <mergeCell ref="I827:I829"/>
    <mergeCell ref="A831:A833"/>
    <mergeCell ref="B831:B833"/>
    <mergeCell ref="C831:C833"/>
    <mergeCell ref="D831:D833"/>
    <mergeCell ref="E831:E833"/>
    <mergeCell ref="F831:F833"/>
    <mergeCell ref="G831:G833"/>
    <mergeCell ref="H831:H833"/>
    <mergeCell ref="I831:I833"/>
    <mergeCell ref="A827:A829"/>
    <mergeCell ref="B827:B829"/>
    <mergeCell ref="C827:C829"/>
    <mergeCell ref="D827:D829"/>
    <mergeCell ref="E827:E829"/>
    <mergeCell ref="F827:F829"/>
    <mergeCell ref="G827:G829"/>
    <mergeCell ref="H827:H829"/>
    <mergeCell ref="I819:I821"/>
    <mergeCell ref="A823:A825"/>
    <mergeCell ref="B823:B825"/>
    <mergeCell ref="C823:C825"/>
    <mergeCell ref="D823:D825"/>
    <mergeCell ref="E823:E825"/>
    <mergeCell ref="F823:F825"/>
    <mergeCell ref="G823:G825"/>
    <mergeCell ref="H823:H825"/>
    <mergeCell ref="I823:I825"/>
    <mergeCell ref="H815:H817"/>
    <mergeCell ref="I815:I817"/>
    <mergeCell ref="A819:A821"/>
    <mergeCell ref="B819:B821"/>
    <mergeCell ref="C819:C821"/>
    <mergeCell ref="D819:D821"/>
    <mergeCell ref="E819:E821"/>
    <mergeCell ref="F819:F821"/>
    <mergeCell ref="G819:G821"/>
    <mergeCell ref="H819:H821"/>
    <mergeCell ref="A815:A817"/>
    <mergeCell ref="B815:B817"/>
    <mergeCell ref="C815:C817"/>
    <mergeCell ref="D815:D817"/>
    <mergeCell ref="E815:E817"/>
    <mergeCell ref="F815:F817"/>
    <mergeCell ref="G815:G817"/>
    <mergeCell ref="A803:A805"/>
    <mergeCell ref="B803:B805"/>
    <mergeCell ref="C803:C805"/>
    <mergeCell ref="D803:D805"/>
    <mergeCell ref="E803:E805"/>
    <mergeCell ref="F803:F805"/>
    <mergeCell ref="I799:I801"/>
    <mergeCell ref="H795:H797"/>
    <mergeCell ref="I795:I797"/>
    <mergeCell ref="A799:A801"/>
    <mergeCell ref="B799:B801"/>
    <mergeCell ref="C799:C801"/>
    <mergeCell ref="D799:D801"/>
    <mergeCell ref="E799:E801"/>
    <mergeCell ref="F799:F801"/>
    <mergeCell ref="G799:G801"/>
    <mergeCell ref="H799:H801"/>
    <mergeCell ref="G803:G805"/>
    <mergeCell ref="H803:H805"/>
    <mergeCell ref="I803:I805"/>
    <mergeCell ref="G791:G793"/>
    <mergeCell ref="H791:H793"/>
    <mergeCell ref="I791:I793"/>
    <mergeCell ref="A795:A797"/>
    <mergeCell ref="B795:B797"/>
    <mergeCell ref="C795:C797"/>
    <mergeCell ref="D795:D797"/>
    <mergeCell ref="E795:E797"/>
    <mergeCell ref="F795:F797"/>
    <mergeCell ref="G795:G797"/>
    <mergeCell ref="A791:A793"/>
    <mergeCell ref="B791:B793"/>
    <mergeCell ref="C791:C793"/>
    <mergeCell ref="D791:D793"/>
    <mergeCell ref="E791:E793"/>
    <mergeCell ref="F791:F793"/>
    <mergeCell ref="I783:I785"/>
    <mergeCell ref="A787:A789"/>
    <mergeCell ref="B787:B789"/>
    <mergeCell ref="C787:C789"/>
    <mergeCell ref="D787:D789"/>
    <mergeCell ref="E787:E789"/>
    <mergeCell ref="F787:F789"/>
    <mergeCell ref="G787:G789"/>
    <mergeCell ref="H787:H789"/>
    <mergeCell ref="I787:I789"/>
    <mergeCell ref="H779:H781"/>
    <mergeCell ref="I779:I781"/>
    <mergeCell ref="A783:A785"/>
    <mergeCell ref="B783:B785"/>
    <mergeCell ref="C783:C785"/>
    <mergeCell ref="D783:D785"/>
    <mergeCell ref="E783:E785"/>
    <mergeCell ref="F783:F785"/>
    <mergeCell ref="G783:G785"/>
    <mergeCell ref="H783:H785"/>
    <mergeCell ref="A779:A781"/>
    <mergeCell ref="B779:B781"/>
    <mergeCell ref="C779:C781"/>
    <mergeCell ref="D779:D781"/>
    <mergeCell ref="E779:E781"/>
    <mergeCell ref="F779:F781"/>
    <mergeCell ref="G779:G781"/>
    <mergeCell ref="H763:H765"/>
    <mergeCell ref="I763:I765"/>
    <mergeCell ref="A775:A777"/>
    <mergeCell ref="B775:B777"/>
    <mergeCell ref="C775:C777"/>
    <mergeCell ref="D775:D777"/>
    <mergeCell ref="E775:E777"/>
    <mergeCell ref="F775:F777"/>
    <mergeCell ref="G775:G777"/>
    <mergeCell ref="H775:H777"/>
    <mergeCell ref="I775:I777"/>
    <mergeCell ref="A763:A765"/>
    <mergeCell ref="B763:B765"/>
    <mergeCell ref="C763:C765"/>
    <mergeCell ref="B759:B761"/>
    <mergeCell ref="C759:C761"/>
    <mergeCell ref="D759:D761"/>
    <mergeCell ref="E759:E761"/>
    <mergeCell ref="F759:F761"/>
    <mergeCell ref="G759:G761"/>
    <mergeCell ref="H759:H761"/>
    <mergeCell ref="I759:I761"/>
    <mergeCell ref="I751:I753"/>
    <mergeCell ref="A755:A757"/>
    <mergeCell ref="B755:B757"/>
    <mergeCell ref="C755:C757"/>
    <mergeCell ref="D755:D757"/>
    <mergeCell ref="E755:E757"/>
    <mergeCell ref="F755:F757"/>
    <mergeCell ref="G755:G757"/>
    <mergeCell ref="H755:H757"/>
    <mergeCell ref="I755:I757"/>
    <mergeCell ref="H747:H749"/>
    <mergeCell ref="I747:I749"/>
    <mergeCell ref="A751:A753"/>
    <mergeCell ref="B751:B753"/>
    <mergeCell ref="C751:C753"/>
    <mergeCell ref="D751:D753"/>
    <mergeCell ref="E751:E753"/>
    <mergeCell ref="F751:F753"/>
    <mergeCell ref="G751:G753"/>
    <mergeCell ref="H751:H753"/>
    <mergeCell ref="G743:G745"/>
    <mergeCell ref="H743:H745"/>
    <mergeCell ref="I743:I745"/>
    <mergeCell ref="A747:A749"/>
    <mergeCell ref="B747:B749"/>
    <mergeCell ref="C747:C749"/>
    <mergeCell ref="D747:D749"/>
    <mergeCell ref="E747:E749"/>
    <mergeCell ref="F747:F749"/>
    <mergeCell ref="G747:G749"/>
    <mergeCell ref="A743:A745"/>
    <mergeCell ref="B743:B745"/>
    <mergeCell ref="C743:C745"/>
    <mergeCell ref="D743:D745"/>
    <mergeCell ref="E743:E745"/>
    <mergeCell ref="F743:F745"/>
    <mergeCell ref="I735:I737"/>
    <mergeCell ref="A739:A741"/>
    <mergeCell ref="B739:B741"/>
    <mergeCell ref="C739:C741"/>
    <mergeCell ref="D739:D741"/>
    <mergeCell ref="E739:E741"/>
    <mergeCell ref="F739:F741"/>
    <mergeCell ref="G739:G741"/>
    <mergeCell ref="H739:H741"/>
    <mergeCell ref="I739:I741"/>
    <mergeCell ref="H731:H733"/>
    <mergeCell ref="I731:I733"/>
    <mergeCell ref="A735:A737"/>
    <mergeCell ref="B735:B737"/>
    <mergeCell ref="C735:C737"/>
    <mergeCell ref="D735:D737"/>
    <mergeCell ref="E735:E737"/>
    <mergeCell ref="F735:F737"/>
    <mergeCell ref="G735:G737"/>
    <mergeCell ref="H735:H737"/>
    <mergeCell ref="G691:G693"/>
    <mergeCell ref="H691:H693"/>
    <mergeCell ref="I691:I693"/>
    <mergeCell ref="A731:A733"/>
    <mergeCell ref="B731:B733"/>
    <mergeCell ref="C731:C733"/>
    <mergeCell ref="D731:D733"/>
    <mergeCell ref="E731:E733"/>
    <mergeCell ref="F731:F733"/>
    <mergeCell ref="G731:G733"/>
    <mergeCell ref="A691:A693"/>
    <mergeCell ref="B691:B693"/>
    <mergeCell ref="C691:C693"/>
    <mergeCell ref="D691:D693"/>
    <mergeCell ref="E691:E693"/>
    <mergeCell ref="F691:F693"/>
    <mergeCell ref="G699:G701"/>
    <mergeCell ref="H699:H701"/>
    <mergeCell ref="I699:I701"/>
    <mergeCell ref="A703:A705"/>
    <mergeCell ref="B703:B705"/>
    <mergeCell ref="C703:C705"/>
    <mergeCell ref="I683:I685"/>
    <mergeCell ref="A687:A689"/>
    <mergeCell ref="B687:B689"/>
    <mergeCell ref="C687:C689"/>
    <mergeCell ref="D687:D689"/>
    <mergeCell ref="E687:E689"/>
    <mergeCell ref="F687:F689"/>
    <mergeCell ref="G687:G689"/>
    <mergeCell ref="H687:H689"/>
    <mergeCell ref="I687:I689"/>
    <mergeCell ref="A699:A701"/>
    <mergeCell ref="B699:B701"/>
    <mergeCell ref="C699:C701"/>
    <mergeCell ref="D699:D701"/>
    <mergeCell ref="E699:E701"/>
    <mergeCell ref="F699:F701"/>
    <mergeCell ref="H679:H681"/>
    <mergeCell ref="I679:I681"/>
    <mergeCell ref="A683:A685"/>
    <mergeCell ref="B683:B685"/>
    <mergeCell ref="C683:C685"/>
    <mergeCell ref="D683:D685"/>
    <mergeCell ref="E683:E685"/>
    <mergeCell ref="F683:F685"/>
    <mergeCell ref="G683:G685"/>
    <mergeCell ref="H683:H685"/>
    <mergeCell ref="G675:G677"/>
    <mergeCell ref="H675:H677"/>
    <mergeCell ref="I675:I677"/>
    <mergeCell ref="A679:A681"/>
    <mergeCell ref="B679:B681"/>
    <mergeCell ref="C679:C681"/>
    <mergeCell ref="D679:D681"/>
    <mergeCell ref="E679:E681"/>
    <mergeCell ref="F679:F681"/>
    <mergeCell ref="G679:G681"/>
    <mergeCell ref="A675:A677"/>
    <mergeCell ref="B675:B677"/>
    <mergeCell ref="C675:C677"/>
    <mergeCell ref="D675:D677"/>
    <mergeCell ref="E675:E677"/>
    <mergeCell ref="F675:F677"/>
    <mergeCell ref="I667:I669"/>
    <mergeCell ref="A671:A673"/>
    <mergeCell ref="B671:B673"/>
    <mergeCell ref="C671:C673"/>
    <mergeCell ref="D671:D673"/>
    <mergeCell ref="E671:E673"/>
    <mergeCell ref="F671:F673"/>
    <mergeCell ref="G671:G673"/>
    <mergeCell ref="H671:H673"/>
    <mergeCell ref="I671:I673"/>
    <mergeCell ref="H663:H665"/>
    <mergeCell ref="I663:I665"/>
    <mergeCell ref="A667:A669"/>
    <mergeCell ref="B667:B669"/>
    <mergeCell ref="C667:C669"/>
    <mergeCell ref="D667:D669"/>
    <mergeCell ref="E667:E669"/>
    <mergeCell ref="F667:F669"/>
    <mergeCell ref="G667:G669"/>
    <mergeCell ref="H667:H669"/>
    <mergeCell ref="G659:G661"/>
    <mergeCell ref="H659:H661"/>
    <mergeCell ref="I659:I661"/>
    <mergeCell ref="A663:A665"/>
    <mergeCell ref="B663:B665"/>
    <mergeCell ref="C663:C665"/>
    <mergeCell ref="D663:D665"/>
    <mergeCell ref="E663:E665"/>
    <mergeCell ref="F663:F665"/>
    <mergeCell ref="G663:G665"/>
    <mergeCell ref="A659:A661"/>
    <mergeCell ref="B659:B661"/>
    <mergeCell ref="C659:C661"/>
    <mergeCell ref="D659:D661"/>
    <mergeCell ref="E659:E661"/>
    <mergeCell ref="F659:F661"/>
    <mergeCell ref="I639:I641"/>
    <mergeCell ref="A643:A645"/>
    <mergeCell ref="B643:B645"/>
    <mergeCell ref="C643:C645"/>
    <mergeCell ref="D643:D645"/>
    <mergeCell ref="E643:E645"/>
    <mergeCell ref="F643:F645"/>
    <mergeCell ref="G643:G645"/>
    <mergeCell ref="H643:H645"/>
    <mergeCell ref="I643:I645"/>
    <mergeCell ref="A647:A649"/>
    <mergeCell ref="B647:B649"/>
    <mergeCell ref="C647:C649"/>
    <mergeCell ref="D647:D649"/>
    <mergeCell ref="E647:E649"/>
    <mergeCell ref="F647:F649"/>
    <mergeCell ref="H635:H637"/>
    <mergeCell ref="I635:I637"/>
    <mergeCell ref="A639:A641"/>
    <mergeCell ref="B639:B641"/>
    <mergeCell ref="C639:C641"/>
    <mergeCell ref="D639:D641"/>
    <mergeCell ref="E639:E641"/>
    <mergeCell ref="F639:F641"/>
    <mergeCell ref="G639:G641"/>
    <mergeCell ref="H639:H641"/>
    <mergeCell ref="G647:G649"/>
    <mergeCell ref="H647:H649"/>
    <mergeCell ref="I647:I649"/>
    <mergeCell ref="G631:G633"/>
    <mergeCell ref="H631:H633"/>
    <mergeCell ref="I631:I633"/>
    <mergeCell ref="A635:A637"/>
    <mergeCell ref="B635:B637"/>
    <mergeCell ref="C635:C637"/>
    <mergeCell ref="D635:D637"/>
    <mergeCell ref="E635:E637"/>
    <mergeCell ref="F635:F637"/>
    <mergeCell ref="G635:G637"/>
    <mergeCell ref="A631:A633"/>
    <mergeCell ref="B631:B633"/>
    <mergeCell ref="C631:C633"/>
    <mergeCell ref="D631:D633"/>
    <mergeCell ref="E631:E633"/>
    <mergeCell ref="F631:F633"/>
    <mergeCell ref="I623:I625"/>
    <mergeCell ref="A627:A629"/>
    <mergeCell ref="B627:B629"/>
    <mergeCell ref="C627:C629"/>
    <mergeCell ref="D627:D629"/>
    <mergeCell ref="E627:E629"/>
    <mergeCell ref="F627:F629"/>
    <mergeCell ref="G627:G629"/>
    <mergeCell ref="H627:H629"/>
    <mergeCell ref="I627:I629"/>
    <mergeCell ref="H619:H621"/>
    <mergeCell ref="I619:I621"/>
    <mergeCell ref="A623:A625"/>
    <mergeCell ref="B623:B625"/>
    <mergeCell ref="C623:C625"/>
    <mergeCell ref="D623:D625"/>
    <mergeCell ref="E623:E625"/>
    <mergeCell ref="F623:F625"/>
    <mergeCell ref="G623:G625"/>
    <mergeCell ref="H623:H625"/>
    <mergeCell ref="G615:G617"/>
    <mergeCell ref="H615:H617"/>
    <mergeCell ref="I615:I617"/>
    <mergeCell ref="A619:A621"/>
    <mergeCell ref="B619:B621"/>
    <mergeCell ref="C619:C621"/>
    <mergeCell ref="D619:D621"/>
    <mergeCell ref="E619:E621"/>
    <mergeCell ref="F619:F621"/>
    <mergeCell ref="G619:G621"/>
    <mergeCell ref="A615:A617"/>
    <mergeCell ref="B615:B617"/>
    <mergeCell ref="C615:C617"/>
    <mergeCell ref="D615:D617"/>
    <mergeCell ref="E615:E617"/>
    <mergeCell ref="F615:F617"/>
    <mergeCell ref="I607:I609"/>
    <mergeCell ref="A611:A613"/>
    <mergeCell ref="B611:B613"/>
    <mergeCell ref="C611:C613"/>
    <mergeCell ref="D611:D613"/>
    <mergeCell ref="E611:E613"/>
    <mergeCell ref="F611:F613"/>
    <mergeCell ref="G611:G613"/>
    <mergeCell ref="H611:H613"/>
    <mergeCell ref="I611:I613"/>
    <mergeCell ref="H603:H605"/>
    <mergeCell ref="I603:I605"/>
    <mergeCell ref="A607:A609"/>
    <mergeCell ref="B607:B609"/>
    <mergeCell ref="C607:C609"/>
    <mergeCell ref="D607:D609"/>
    <mergeCell ref="E607:E609"/>
    <mergeCell ref="F607:F609"/>
    <mergeCell ref="G607:G609"/>
    <mergeCell ref="H607:H609"/>
    <mergeCell ref="G599:G601"/>
    <mergeCell ref="H599:H601"/>
    <mergeCell ref="I599:I601"/>
    <mergeCell ref="A603:A605"/>
    <mergeCell ref="B603:B605"/>
    <mergeCell ref="C603:C605"/>
    <mergeCell ref="D603:D605"/>
    <mergeCell ref="E603:E605"/>
    <mergeCell ref="F603:F605"/>
    <mergeCell ref="G603:G605"/>
    <mergeCell ref="A599:A601"/>
    <mergeCell ref="B599:B601"/>
    <mergeCell ref="C599:C601"/>
    <mergeCell ref="D599:D601"/>
    <mergeCell ref="E599:E601"/>
    <mergeCell ref="F599:F601"/>
    <mergeCell ref="I591:I593"/>
    <mergeCell ref="A595:A597"/>
    <mergeCell ref="B595:B597"/>
    <mergeCell ref="C595:C597"/>
    <mergeCell ref="D595:D597"/>
    <mergeCell ref="E595:E597"/>
    <mergeCell ref="F595:F597"/>
    <mergeCell ref="G595:G597"/>
    <mergeCell ref="H595:H597"/>
    <mergeCell ref="I595:I597"/>
    <mergeCell ref="H587:H589"/>
    <mergeCell ref="I587:I589"/>
    <mergeCell ref="A591:A593"/>
    <mergeCell ref="B591:B593"/>
    <mergeCell ref="C591:C593"/>
    <mergeCell ref="D591:D593"/>
    <mergeCell ref="E591:E593"/>
    <mergeCell ref="F591:F593"/>
    <mergeCell ref="G591:G593"/>
    <mergeCell ref="H591:H593"/>
    <mergeCell ref="G583:G585"/>
    <mergeCell ref="H583:H585"/>
    <mergeCell ref="I583:I585"/>
    <mergeCell ref="A587:A589"/>
    <mergeCell ref="B587:B589"/>
    <mergeCell ref="C587:C589"/>
    <mergeCell ref="D587:D589"/>
    <mergeCell ref="E587:E589"/>
    <mergeCell ref="F587:F589"/>
    <mergeCell ref="G587:G589"/>
    <mergeCell ref="A583:A585"/>
    <mergeCell ref="B583:B585"/>
    <mergeCell ref="C583:C585"/>
    <mergeCell ref="D583:D585"/>
    <mergeCell ref="E583:E585"/>
    <mergeCell ref="F583:F585"/>
    <mergeCell ref="I575:I577"/>
    <mergeCell ref="A579:A581"/>
    <mergeCell ref="B579:B581"/>
    <mergeCell ref="C579:C581"/>
    <mergeCell ref="D579:D581"/>
    <mergeCell ref="E579:E581"/>
    <mergeCell ref="F579:F581"/>
    <mergeCell ref="G579:G581"/>
    <mergeCell ref="H579:H581"/>
    <mergeCell ref="I579:I581"/>
    <mergeCell ref="A575:A577"/>
    <mergeCell ref="B575:B577"/>
    <mergeCell ref="C575:C577"/>
    <mergeCell ref="D575:D577"/>
    <mergeCell ref="E575:E577"/>
    <mergeCell ref="F575:F577"/>
    <mergeCell ref="G575:G577"/>
    <mergeCell ref="H575:H577"/>
    <mergeCell ref="D559:D561"/>
    <mergeCell ref="E559:E561"/>
    <mergeCell ref="F559:F561"/>
    <mergeCell ref="G559:G561"/>
    <mergeCell ref="H559:H561"/>
    <mergeCell ref="G551:G553"/>
    <mergeCell ref="H551:H553"/>
    <mergeCell ref="I551:I553"/>
    <mergeCell ref="A555:A557"/>
    <mergeCell ref="B555:B557"/>
    <mergeCell ref="C555:C557"/>
    <mergeCell ref="D555:D557"/>
    <mergeCell ref="E555:E557"/>
    <mergeCell ref="F555:F557"/>
    <mergeCell ref="G555:G557"/>
    <mergeCell ref="A551:A553"/>
    <mergeCell ref="B551:B553"/>
    <mergeCell ref="C551:C553"/>
    <mergeCell ref="D551:D553"/>
    <mergeCell ref="E551:E553"/>
    <mergeCell ref="F551:F553"/>
    <mergeCell ref="I559:I561"/>
    <mergeCell ref="I531:I533"/>
    <mergeCell ref="A527:A529"/>
    <mergeCell ref="B527:B529"/>
    <mergeCell ref="C527:C529"/>
    <mergeCell ref="D527:D529"/>
    <mergeCell ref="E527:E529"/>
    <mergeCell ref="F527:F529"/>
    <mergeCell ref="A539:A541"/>
    <mergeCell ref="B539:B541"/>
    <mergeCell ref="C539:C541"/>
    <mergeCell ref="D539:D541"/>
    <mergeCell ref="E539:E541"/>
    <mergeCell ref="F539:F541"/>
    <mergeCell ref="G539:G541"/>
    <mergeCell ref="H539:H541"/>
    <mergeCell ref="I539:I541"/>
    <mergeCell ref="G527:G529"/>
    <mergeCell ref="H527:H529"/>
    <mergeCell ref="A523:A525"/>
    <mergeCell ref="B523:B525"/>
    <mergeCell ref="C523:C525"/>
    <mergeCell ref="D523:D525"/>
    <mergeCell ref="E523:E525"/>
    <mergeCell ref="F523:F525"/>
    <mergeCell ref="G523:G525"/>
    <mergeCell ref="H523:H525"/>
    <mergeCell ref="I523:I525"/>
    <mergeCell ref="A515:A517"/>
    <mergeCell ref="B515:B517"/>
    <mergeCell ref="C515:C517"/>
    <mergeCell ref="D515:D517"/>
    <mergeCell ref="E515:E517"/>
    <mergeCell ref="G535:G537"/>
    <mergeCell ref="H535:H537"/>
    <mergeCell ref="I535:I537"/>
    <mergeCell ref="A535:A537"/>
    <mergeCell ref="B535:B537"/>
    <mergeCell ref="C535:C537"/>
    <mergeCell ref="D535:D537"/>
    <mergeCell ref="E535:E537"/>
    <mergeCell ref="F535:F537"/>
    <mergeCell ref="I527:I529"/>
    <mergeCell ref="A531:A533"/>
    <mergeCell ref="B531:B533"/>
    <mergeCell ref="C531:C533"/>
    <mergeCell ref="D531:D533"/>
    <mergeCell ref="E531:E533"/>
    <mergeCell ref="F531:F533"/>
    <mergeCell ref="G531:G533"/>
    <mergeCell ref="H531:H533"/>
    <mergeCell ref="H507:H509"/>
    <mergeCell ref="I507:I509"/>
    <mergeCell ref="A511:A513"/>
    <mergeCell ref="B511:B513"/>
    <mergeCell ref="C511:C513"/>
    <mergeCell ref="D511:D513"/>
    <mergeCell ref="E511:E513"/>
    <mergeCell ref="F511:F513"/>
    <mergeCell ref="G511:G513"/>
    <mergeCell ref="H511:H513"/>
    <mergeCell ref="G503:G505"/>
    <mergeCell ref="H503:H505"/>
    <mergeCell ref="I503:I505"/>
    <mergeCell ref="A507:A509"/>
    <mergeCell ref="B507:B509"/>
    <mergeCell ref="C507:C509"/>
    <mergeCell ref="D507:D509"/>
    <mergeCell ref="E507:E509"/>
    <mergeCell ref="F507:F509"/>
    <mergeCell ref="G507:G509"/>
    <mergeCell ref="A503:A505"/>
    <mergeCell ref="B503:B505"/>
    <mergeCell ref="C503:C505"/>
    <mergeCell ref="D503:D505"/>
    <mergeCell ref="E503:E505"/>
    <mergeCell ref="F503:F505"/>
    <mergeCell ref="A499:A501"/>
    <mergeCell ref="B499:B501"/>
    <mergeCell ref="C499:C501"/>
    <mergeCell ref="D499:D501"/>
    <mergeCell ref="E499:E501"/>
    <mergeCell ref="F499:F501"/>
    <mergeCell ref="G499:G501"/>
    <mergeCell ref="H499:H501"/>
    <mergeCell ref="I499:I501"/>
    <mergeCell ref="H487:H489"/>
    <mergeCell ref="I487:I489"/>
    <mergeCell ref="A491:A493"/>
    <mergeCell ref="B491:B493"/>
    <mergeCell ref="C491:C493"/>
    <mergeCell ref="D491:D493"/>
    <mergeCell ref="E491:E493"/>
    <mergeCell ref="F491:F493"/>
    <mergeCell ref="G491:G493"/>
    <mergeCell ref="C495:C497"/>
    <mergeCell ref="D495:D497"/>
    <mergeCell ref="E495:E497"/>
    <mergeCell ref="F495:F497"/>
    <mergeCell ref="G495:G497"/>
    <mergeCell ref="H495:H497"/>
    <mergeCell ref="I495:I497"/>
    <mergeCell ref="F471:F473"/>
    <mergeCell ref="G471:G473"/>
    <mergeCell ref="H471:H473"/>
    <mergeCell ref="I471:I473"/>
    <mergeCell ref="A475:A477"/>
    <mergeCell ref="B475:B477"/>
    <mergeCell ref="I475:I477"/>
    <mergeCell ref="G483:G485"/>
    <mergeCell ref="H483:H485"/>
    <mergeCell ref="I483:I485"/>
    <mergeCell ref="A487:A489"/>
    <mergeCell ref="B487:B489"/>
    <mergeCell ref="C487:C489"/>
    <mergeCell ref="D487:D489"/>
    <mergeCell ref="E487:E489"/>
    <mergeCell ref="F487:F489"/>
    <mergeCell ref="G487:G489"/>
    <mergeCell ref="A483:A485"/>
    <mergeCell ref="B483:B485"/>
    <mergeCell ref="C483:C485"/>
    <mergeCell ref="D483:D485"/>
    <mergeCell ref="E483:E485"/>
    <mergeCell ref="F483:F485"/>
    <mergeCell ref="A479:A481"/>
    <mergeCell ref="B479:B481"/>
    <mergeCell ref="C479:C481"/>
    <mergeCell ref="D479:D481"/>
    <mergeCell ref="E479:E481"/>
    <mergeCell ref="F479:F481"/>
    <mergeCell ref="G479:G481"/>
    <mergeCell ref="H479:H481"/>
    <mergeCell ref="I479:I481"/>
    <mergeCell ref="H463:H465"/>
    <mergeCell ref="I463:I465"/>
    <mergeCell ref="G459:G461"/>
    <mergeCell ref="H459:H461"/>
    <mergeCell ref="I459:I461"/>
    <mergeCell ref="A463:A465"/>
    <mergeCell ref="B463:B465"/>
    <mergeCell ref="C463:C465"/>
    <mergeCell ref="D463:D465"/>
    <mergeCell ref="E463:E465"/>
    <mergeCell ref="F463:F465"/>
    <mergeCell ref="G463:G465"/>
    <mergeCell ref="A459:A461"/>
    <mergeCell ref="B459:B461"/>
    <mergeCell ref="C459:C461"/>
    <mergeCell ref="D459:D461"/>
    <mergeCell ref="E459:E461"/>
    <mergeCell ref="F459:F461"/>
    <mergeCell ref="I451:I453"/>
    <mergeCell ref="A455:A457"/>
    <mergeCell ref="B455:B457"/>
    <mergeCell ref="C455:C457"/>
    <mergeCell ref="D455:D457"/>
    <mergeCell ref="E455:E457"/>
    <mergeCell ref="F455:F457"/>
    <mergeCell ref="G455:G457"/>
    <mergeCell ref="H455:H457"/>
    <mergeCell ref="I455:I457"/>
    <mergeCell ref="H447:H449"/>
    <mergeCell ref="I447:I449"/>
    <mergeCell ref="A451:A453"/>
    <mergeCell ref="B451:B453"/>
    <mergeCell ref="C451:C453"/>
    <mergeCell ref="D451:D453"/>
    <mergeCell ref="E451:E453"/>
    <mergeCell ref="F451:F453"/>
    <mergeCell ref="G451:G453"/>
    <mergeCell ref="H451:H453"/>
    <mergeCell ref="G443:G445"/>
    <mergeCell ref="H443:H445"/>
    <mergeCell ref="I443:I445"/>
    <mergeCell ref="A447:A449"/>
    <mergeCell ref="B447:B449"/>
    <mergeCell ref="C447:C449"/>
    <mergeCell ref="D447:D449"/>
    <mergeCell ref="E447:E449"/>
    <mergeCell ref="F447:F449"/>
    <mergeCell ref="G447:G449"/>
    <mergeCell ref="A443:A445"/>
    <mergeCell ref="B443:B445"/>
    <mergeCell ref="C443:C445"/>
    <mergeCell ref="D443:D445"/>
    <mergeCell ref="E443:E445"/>
    <mergeCell ref="F443:F445"/>
    <mergeCell ref="I435:I437"/>
    <mergeCell ref="A439:A441"/>
    <mergeCell ref="B439:B441"/>
    <mergeCell ref="C439:C441"/>
    <mergeCell ref="D439:D441"/>
    <mergeCell ref="E439:E441"/>
    <mergeCell ref="F439:F441"/>
    <mergeCell ref="G439:G441"/>
    <mergeCell ref="H439:H441"/>
    <mergeCell ref="I439:I441"/>
    <mergeCell ref="H431:H433"/>
    <mergeCell ref="I431:I433"/>
    <mergeCell ref="A435:A437"/>
    <mergeCell ref="B435:B437"/>
    <mergeCell ref="C435:C437"/>
    <mergeCell ref="D435:D437"/>
    <mergeCell ref="E435:E437"/>
    <mergeCell ref="F435:F437"/>
    <mergeCell ref="G435:G437"/>
    <mergeCell ref="H435:H437"/>
    <mergeCell ref="G427:G429"/>
    <mergeCell ref="H427:H429"/>
    <mergeCell ref="I427:I429"/>
    <mergeCell ref="A431:A433"/>
    <mergeCell ref="B431:B433"/>
    <mergeCell ref="C431:C433"/>
    <mergeCell ref="D431:D433"/>
    <mergeCell ref="E431:E433"/>
    <mergeCell ref="F431:F433"/>
    <mergeCell ref="G431:G433"/>
    <mergeCell ref="A427:A429"/>
    <mergeCell ref="B427:B429"/>
    <mergeCell ref="C427:C429"/>
    <mergeCell ref="D427:D429"/>
    <mergeCell ref="E427:E429"/>
    <mergeCell ref="F427:F429"/>
    <mergeCell ref="I419:I421"/>
    <mergeCell ref="A423:A425"/>
    <mergeCell ref="B423:B425"/>
    <mergeCell ref="C423:C425"/>
    <mergeCell ref="D423:D425"/>
    <mergeCell ref="E423:E425"/>
    <mergeCell ref="F423:F425"/>
    <mergeCell ref="G423:G425"/>
    <mergeCell ref="H423:H425"/>
    <mergeCell ref="I423:I425"/>
    <mergeCell ref="A419:A421"/>
    <mergeCell ref="B419:B421"/>
    <mergeCell ref="C419:C421"/>
    <mergeCell ref="D419:D421"/>
    <mergeCell ref="E419:E421"/>
    <mergeCell ref="F419:F421"/>
    <mergeCell ref="G419:G421"/>
    <mergeCell ref="H419:H421"/>
    <mergeCell ref="A399:A401"/>
    <mergeCell ref="B399:B401"/>
    <mergeCell ref="C399:C401"/>
    <mergeCell ref="D399:D401"/>
    <mergeCell ref="E399:E401"/>
    <mergeCell ref="F399:F401"/>
    <mergeCell ref="G399:G401"/>
    <mergeCell ref="H399:H401"/>
    <mergeCell ref="I399:I401"/>
    <mergeCell ref="A403:A405"/>
    <mergeCell ref="B403:B405"/>
    <mergeCell ref="C403:C405"/>
    <mergeCell ref="D403:D405"/>
    <mergeCell ref="E403:E405"/>
    <mergeCell ref="F403:F405"/>
    <mergeCell ref="G403:G405"/>
    <mergeCell ref="H403:H405"/>
    <mergeCell ref="I403:I405"/>
    <mergeCell ref="G391:G393"/>
    <mergeCell ref="H391:H393"/>
    <mergeCell ref="I391:I393"/>
    <mergeCell ref="H383:H385"/>
    <mergeCell ref="I383:I385"/>
    <mergeCell ref="A387:A389"/>
    <mergeCell ref="B387:B389"/>
    <mergeCell ref="C387:C389"/>
    <mergeCell ref="D387:D389"/>
    <mergeCell ref="E387:E389"/>
    <mergeCell ref="F387:F389"/>
    <mergeCell ref="G387:G389"/>
    <mergeCell ref="H387:H389"/>
    <mergeCell ref="G379:G381"/>
    <mergeCell ref="H379:H381"/>
    <mergeCell ref="I379:I381"/>
    <mergeCell ref="A383:A385"/>
    <mergeCell ref="B383:B385"/>
    <mergeCell ref="C383:C385"/>
    <mergeCell ref="D383:D385"/>
    <mergeCell ref="E383:E385"/>
    <mergeCell ref="F383:F385"/>
    <mergeCell ref="G383:G385"/>
    <mergeCell ref="A379:A381"/>
    <mergeCell ref="B379:B381"/>
    <mergeCell ref="C379:C381"/>
    <mergeCell ref="D379:D381"/>
    <mergeCell ref="E379:E381"/>
    <mergeCell ref="F379:F381"/>
    <mergeCell ref="C391:C393"/>
    <mergeCell ref="D391:D393"/>
    <mergeCell ref="E391:E393"/>
    <mergeCell ref="I371:I373"/>
    <mergeCell ref="A375:A377"/>
    <mergeCell ref="B375:B377"/>
    <mergeCell ref="C375:C377"/>
    <mergeCell ref="D375:D377"/>
    <mergeCell ref="E375:E377"/>
    <mergeCell ref="F375:F377"/>
    <mergeCell ref="G375:G377"/>
    <mergeCell ref="H375:H377"/>
    <mergeCell ref="I375:I377"/>
    <mergeCell ref="H367:H369"/>
    <mergeCell ref="I367:I369"/>
    <mergeCell ref="A371:A373"/>
    <mergeCell ref="B371:B373"/>
    <mergeCell ref="C371:C373"/>
    <mergeCell ref="D371:D373"/>
    <mergeCell ref="E371:E373"/>
    <mergeCell ref="F371:F373"/>
    <mergeCell ref="G371:G373"/>
    <mergeCell ref="H371:H373"/>
    <mergeCell ref="G363:G365"/>
    <mergeCell ref="H363:H365"/>
    <mergeCell ref="I363:I365"/>
    <mergeCell ref="A367:A369"/>
    <mergeCell ref="B367:B369"/>
    <mergeCell ref="C367:C369"/>
    <mergeCell ref="D367:D369"/>
    <mergeCell ref="E367:E369"/>
    <mergeCell ref="F367:F369"/>
    <mergeCell ref="G367:G369"/>
    <mergeCell ref="A363:A365"/>
    <mergeCell ref="B363:B365"/>
    <mergeCell ref="C363:C365"/>
    <mergeCell ref="D363:D365"/>
    <mergeCell ref="E363:E365"/>
    <mergeCell ref="F363:F365"/>
    <mergeCell ref="I355:I357"/>
    <mergeCell ref="A359:A361"/>
    <mergeCell ref="B359:B361"/>
    <mergeCell ref="C359:C361"/>
    <mergeCell ref="D359:D361"/>
    <mergeCell ref="E359:E361"/>
    <mergeCell ref="F359:F361"/>
    <mergeCell ref="G359:G361"/>
    <mergeCell ref="H359:H361"/>
    <mergeCell ref="I359:I361"/>
    <mergeCell ref="H351:H353"/>
    <mergeCell ref="I351:I353"/>
    <mergeCell ref="A355:A357"/>
    <mergeCell ref="B355:B357"/>
    <mergeCell ref="C355:C357"/>
    <mergeCell ref="D355:D357"/>
    <mergeCell ref="E355:E357"/>
    <mergeCell ref="F355:F357"/>
    <mergeCell ref="G355:G357"/>
    <mergeCell ref="H355:H357"/>
    <mergeCell ref="G347:G349"/>
    <mergeCell ref="H347:H349"/>
    <mergeCell ref="I347:I349"/>
    <mergeCell ref="A351:A353"/>
    <mergeCell ref="B351:B353"/>
    <mergeCell ref="C351:C353"/>
    <mergeCell ref="D351:D353"/>
    <mergeCell ref="E351:E353"/>
    <mergeCell ref="F351:F353"/>
    <mergeCell ref="G351:G353"/>
    <mergeCell ref="A347:A349"/>
    <mergeCell ref="B347:B349"/>
    <mergeCell ref="C347:C349"/>
    <mergeCell ref="D347:D349"/>
    <mergeCell ref="E347:E349"/>
    <mergeCell ref="F347:F349"/>
    <mergeCell ref="I339:I341"/>
    <mergeCell ref="A343:A345"/>
    <mergeCell ref="B343:B345"/>
    <mergeCell ref="C343:C345"/>
    <mergeCell ref="D343:D345"/>
    <mergeCell ref="E343:E345"/>
    <mergeCell ref="F343:F345"/>
    <mergeCell ref="G343:G345"/>
    <mergeCell ref="H343:H345"/>
    <mergeCell ref="I343:I345"/>
    <mergeCell ref="H335:H337"/>
    <mergeCell ref="I335:I337"/>
    <mergeCell ref="A339:A341"/>
    <mergeCell ref="B339:B341"/>
    <mergeCell ref="C339:C341"/>
    <mergeCell ref="D339:D341"/>
    <mergeCell ref="E339:E341"/>
    <mergeCell ref="F339:F341"/>
    <mergeCell ref="G339:G341"/>
    <mergeCell ref="H339:H341"/>
    <mergeCell ref="G331:G333"/>
    <mergeCell ref="H331:H333"/>
    <mergeCell ref="I331:I333"/>
    <mergeCell ref="A335:A337"/>
    <mergeCell ref="B335:B337"/>
    <mergeCell ref="C335:C337"/>
    <mergeCell ref="D335:D337"/>
    <mergeCell ref="E335:E337"/>
    <mergeCell ref="F335:F337"/>
    <mergeCell ref="G335:G337"/>
    <mergeCell ref="A331:A333"/>
    <mergeCell ref="B331:B333"/>
    <mergeCell ref="C331:C333"/>
    <mergeCell ref="D331:D333"/>
    <mergeCell ref="E331:E333"/>
    <mergeCell ref="F331:F333"/>
    <mergeCell ref="I323:I325"/>
    <mergeCell ref="A327:A329"/>
    <mergeCell ref="B327:B329"/>
    <mergeCell ref="C327:C329"/>
    <mergeCell ref="D327:D329"/>
    <mergeCell ref="E327:E329"/>
    <mergeCell ref="F327:F329"/>
    <mergeCell ref="G327:G329"/>
    <mergeCell ref="H327:H329"/>
    <mergeCell ref="I327:I329"/>
    <mergeCell ref="A323:A325"/>
    <mergeCell ref="B323:B325"/>
    <mergeCell ref="C323:C325"/>
    <mergeCell ref="D323:D325"/>
    <mergeCell ref="E323:E325"/>
    <mergeCell ref="F323:F325"/>
    <mergeCell ref="G323:G325"/>
    <mergeCell ref="H323:H325"/>
    <mergeCell ref="I295:I297"/>
    <mergeCell ref="A319:A321"/>
    <mergeCell ref="B319:B321"/>
    <mergeCell ref="C319:C321"/>
    <mergeCell ref="D319:D321"/>
    <mergeCell ref="E319:E321"/>
    <mergeCell ref="F319:F321"/>
    <mergeCell ref="H291:H293"/>
    <mergeCell ref="I291:I293"/>
    <mergeCell ref="A295:A297"/>
    <mergeCell ref="B295:B297"/>
    <mergeCell ref="C295:C297"/>
    <mergeCell ref="D295:D297"/>
    <mergeCell ref="E295:E297"/>
    <mergeCell ref="F295:F297"/>
    <mergeCell ref="G295:G297"/>
    <mergeCell ref="H295:H297"/>
    <mergeCell ref="H311:H313"/>
    <mergeCell ref="I311:I313"/>
    <mergeCell ref="A315:A317"/>
    <mergeCell ref="B315:B317"/>
    <mergeCell ref="C315:C317"/>
    <mergeCell ref="D315:D317"/>
    <mergeCell ref="I299:I301"/>
    <mergeCell ref="A303:A305"/>
    <mergeCell ref="B303:B305"/>
    <mergeCell ref="C303:C305"/>
    <mergeCell ref="D303:D305"/>
    <mergeCell ref="E303:E305"/>
    <mergeCell ref="F303:F305"/>
    <mergeCell ref="G287:G289"/>
    <mergeCell ref="H287:H289"/>
    <mergeCell ref="I287:I289"/>
    <mergeCell ref="A291:A293"/>
    <mergeCell ref="B291:B293"/>
    <mergeCell ref="C291:C293"/>
    <mergeCell ref="D291:D293"/>
    <mergeCell ref="E291:E293"/>
    <mergeCell ref="F291:F293"/>
    <mergeCell ref="G291:G293"/>
    <mergeCell ref="A287:A289"/>
    <mergeCell ref="B287:B289"/>
    <mergeCell ref="C287:C289"/>
    <mergeCell ref="D287:D289"/>
    <mergeCell ref="E287:E289"/>
    <mergeCell ref="F287:F289"/>
    <mergeCell ref="I279:I281"/>
    <mergeCell ref="A283:A285"/>
    <mergeCell ref="B283:B285"/>
    <mergeCell ref="C283:C285"/>
    <mergeCell ref="D283:D285"/>
    <mergeCell ref="E283:E285"/>
    <mergeCell ref="F283:F285"/>
    <mergeCell ref="G283:G285"/>
    <mergeCell ref="H283:H285"/>
    <mergeCell ref="I283:I285"/>
    <mergeCell ref="H275:H277"/>
    <mergeCell ref="I275:I277"/>
    <mergeCell ref="A279:A281"/>
    <mergeCell ref="B279:B281"/>
    <mergeCell ref="C279:C281"/>
    <mergeCell ref="D279:D281"/>
    <mergeCell ref="E279:E281"/>
    <mergeCell ref="F279:F281"/>
    <mergeCell ref="G279:G281"/>
    <mergeCell ref="H279:H281"/>
    <mergeCell ref="G271:G273"/>
    <mergeCell ref="H271:H273"/>
    <mergeCell ref="I271:I273"/>
    <mergeCell ref="A275:A277"/>
    <mergeCell ref="B275:B277"/>
    <mergeCell ref="C275:C277"/>
    <mergeCell ref="D275:D277"/>
    <mergeCell ref="E275:E277"/>
    <mergeCell ref="F275:F277"/>
    <mergeCell ref="G275:G277"/>
    <mergeCell ref="A271:A273"/>
    <mergeCell ref="B271:B273"/>
    <mergeCell ref="C271:C273"/>
    <mergeCell ref="D271:D273"/>
    <mergeCell ref="E271:E273"/>
    <mergeCell ref="F271:F273"/>
    <mergeCell ref="I263:I265"/>
    <mergeCell ref="A267:A269"/>
    <mergeCell ref="B267:B269"/>
    <mergeCell ref="C267:C269"/>
    <mergeCell ref="D267:D269"/>
    <mergeCell ref="E267:E269"/>
    <mergeCell ref="F267:F269"/>
    <mergeCell ref="G267:G269"/>
    <mergeCell ref="H267:H269"/>
    <mergeCell ref="I267:I269"/>
    <mergeCell ref="A263:A265"/>
    <mergeCell ref="B263:B265"/>
    <mergeCell ref="C263:C265"/>
    <mergeCell ref="D263:D265"/>
    <mergeCell ref="E263:E265"/>
    <mergeCell ref="F263:F265"/>
    <mergeCell ref="G263:G265"/>
    <mergeCell ref="H263:H265"/>
    <mergeCell ref="H243:H245"/>
    <mergeCell ref="I243:I245"/>
    <mergeCell ref="A247:A249"/>
    <mergeCell ref="B247:B249"/>
    <mergeCell ref="C247:C249"/>
    <mergeCell ref="D247:D249"/>
    <mergeCell ref="E247:E249"/>
    <mergeCell ref="F247:F249"/>
    <mergeCell ref="G247:G249"/>
    <mergeCell ref="H247:H249"/>
    <mergeCell ref="G239:G241"/>
    <mergeCell ref="H239:H241"/>
    <mergeCell ref="I239:I241"/>
    <mergeCell ref="A243:A245"/>
    <mergeCell ref="B243:B245"/>
    <mergeCell ref="C243:C245"/>
    <mergeCell ref="D243:D245"/>
    <mergeCell ref="E243:E245"/>
    <mergeCell ref="F243:F245"/>
    <mergeCell ref="G243:G245"/>
    <mergeCell ref="A239:A241"/>
    <mergeCell ref="B239:B241"/>
    <mergeCell ref="C239:C241"/>
    <mergeCell ref="D239:D241"/>
    <mergeCell ref="E239:E241"/>
    <mergeCell ref="F239:F241"/>
    <mergeCell ref="I247:I249"/>
    <mergeCell ref="I231:I233"/>
    <mergeCell ref="A235:A237"/>
    <mergeCell ref="B235:B237"/>
    <mergeCell ref="C235:C237"/>
    <mergeCell ref="D235:D237"/>
    <mergeCell ref="E235:E237"/>
    <mergeCell ref="F235:F237"/>
    <mergeCell ref="G235:G237"/>
    <mergeCell ref="H235:H237"/>
    <mergeCell ref="I235:I237"/>
    <mergeCell ref="H227:H229"/>
    <mergeCell ref="I227:I229"/>
    <mergeCell ref="A231:A233"/>
    <mergeCell ref="B231:B233"/>
    <mergeCell ref="C231:C233"/>
    <mergeCell ref="D231:D233"/>
    <mergeCell ref="E231:E233"/>
    <mergeCell ref="F231:F233"/>
    <mergeCell ref="G231:G233"/>
    <mergeCell ref="H231:H233"/>
    <mergeCell ref="G223:G225"/>
    <mergeCell ref="H223:H225"/>
    <mergeCell ref="I223:I225"/>
    <mergeCell ref="A227:A229"/>
    <mergeCell ref="B227:B229"/>
    <mergeCell ref="C227:C229"/>
    <mergeCell ref="D227:D229"/>
    <mergeCell ref="E227:E229"/>
    <mergeCell ref="F227:F229"/>
    <mergeCell ref="G227:G229"/>
    <mergeCell ref="A223:A225"/>
    <mergeCell ref="B223:B225"/>
    <mergeCell ref="C223:C225"/>
    <mergeCell ref="D223:D225"/>
    <mergeCell ref="E223:E225"/>
    <mergeCell ref="F223:F225"/>
    <mergeCell ref="I215:I217"/>
    <mergeCell ref="A219:A221"/>
    <mergeCell ref="B219:B221"/>
    <mergeCell ref="C219:C221"/>
    <mergeCell ref="D219:D221"/>
    <mergeCell ref="E219:E221"/>
    <mergeCell ref="F219:F221"/>
    <mergeCell ref="G219:G221"/>
    <mergeCell ref="H219:H221"/>
    <mergeCell ref="I219:I221"/>
    <mergeCell ref="H211:H213"/>
    <mergeCell ref="I211:I213"/>
    <mergeCell ref="A215:A217"/>
    <mergeCell ref="B215:B217"/>
    <mergeCell ref="C215:C217"/>
    <mergeCell ref="D215:D217"/>
    <mergeCell ref="E215:E217"/>
    <mergeCell ref="F215:F217"/>
    <mergeCell ref="G215:G217"/>
    <mergeCell ref="H215:H217"/>
    <mergeCell ref="G207:G209"/>
    <mergeCell ref="H207:H209"/>
    <mergeCell ref="I207:I209"/>
    <mergeCell ref="A211:A213"/>
    <mergeCell ref="B211:B213"/>
    <mergeCell ref="C211:C213"/>
    <mergeCell ref="D211:D213"/>
    <mergeCell ref="E211:E213"/>
    <mergeCell ref="F211:F213"/>
    <mergeCell ref="G211:G213"/>
    <mergeCell ref="A207:A209"/>
    <mergeCell ref="B207:B209"/>
    <mergeCell ref="C207:C209"/>
    <mergeCell ref="D207:D209"/>
    <mergeCell ref="E207:E209"/>
    <mergeCell ref="F207:F209"/>
    <mergeCell ref="I199:I201"/>
    <mergeCell ref="A203:A205"/>
    <mergeCell ref="B203:B205"/>
    <mergeCell ref="C203:C205"/>
    <mergeCell ref="D203:D205"/>
    <mergeCell ref="E203:E205"/>
    <mergeCell ref="F203:F205"/>
    <mergeCell ref="G203:G205"/>
    <mergeCell ref="H203:H205"/>
    <mergeCell ref="I203:I205"/>
    <mergeCell ref="H195:H197"/>
    <mergeCell ref="I195:I197"/>
    <mergeCell ref="A199:A201"/>
    <mergeCell ref="B199:B201"/>
    <mergeCell ref="C199:C201"/>
    <mergeCell ref="D199:D201"/>
    <mergeCell ref="E199:E201"/>
    <mergeCell ref="F199:F201"/>
    <mergeCell ref="G199:G201"/>
    <mergeCell ref="H199:H201"/>
    <mergeCell ref="G191:G193"/>
    <mergeCell ref="H191:H193"/>
    <mergeCell ref="I191:I193"/>
    <mergeCell ref="A195:A197"/>
    <mergeCell ref="B195:B197"/>
    <mergeCell ref="C195:C197"/>
    <mergeCell ref="D195:D197"/>
    <mergeCell ref="E195:E197"/>
    <mergeCell ref="F195:F197"/>
    <mergeCell ref="G195:G197"/>
    <mergeCell ref="A191:A193"/>
    <mergeCell ref="B191:B193"/>
    <mergeCell ref="C191:C193"/>
    <mergeCell ref="D191:D193"/>
    <mergeCell ref="E191:E193"/>
    <mergeCell ref="F191:F193"/>
    <mergeCell ref="G187:G189"/>
    <mergeCell ref="H187:H189"/>
    <mergeCell ref="I187:I189"/>
    <mergeCell ref="A187:A189"/>
    <mergeCell ref="B187:B189"/>
    <mergeCell ref="C187:C189"/>
    <mergeCell ref="D187:D189"/>
    <mergeCell ref="E187:E189"/>
    <mergeCell ref="F187:F189"/>
    <mergeCell ref="G171:G173"/>
    <mergeCell ref="H171:H173"/>
    <mergeCell ref="I171:I173"/>
    <mergeCell ref="A175:A177"/>
    <mergeCell ref="B175:B177"/>
    <mergeCell ref="C175:C177"/>
    <mergeCell ref="D175:D177"/>
    <mergeCell ref="E175:E177"/>
    <mergeCell ref="F175:F177"/>
    <mergeCell ref="G175:G177"/>
    <mergeCell ref="A171:A173"/>
    <mergeCell ref="B171:B173"/>
    <mergeCell ref="C171:C173"/>
    <mergeCell ref="D171:D173"/>
    <mergeCell ref="E171:E173"/>
    <mergeCell ref="F171:F173"/>
    <mergeCell ref="C179:C181"/>
    <mergeCell ref="I151:I153"/>
    <mergeCell ref="A167:A169"/>
    <mergeCell ref="B167:B169"/>
    <mergeCell ref="C167:C169"/>
    <mergeCell ref="D167:D169"/>
    <mergeCell ref="E167:E169"/>
    <mergeCell ref="F167:F169"/>
    <mergeCell ref="G167:G169"/>
    <mergeCell ref="H167:H169"/>
    <mergeCell ref="I167:I169"/>
    <mergeCell ref="A151:A153"/>
    <mergeCell ref="B151:B153"/>
    <mergeCell ref="C151:C153"/>
    <mergeCell ref="D151:D153"/>
    <mergeCell ref="E151:E153"/>
    <mergeCell ref="F151:F153"/>
    <mergeCell ref="G151:G153"/>
    <mergeCell ref="H151:H153"/>
    <mergeCell ref="A155:A157"/>
    <mergeCell ref="B155:B157"/>
    <mergeCell ref="C155:C157"/>
    <mergeCell ref="D155:D157"/>
    <mergeCell ref="E155:E157"/>
    <mergeCell ref="F155:F157"/>
    <mergeCell ref="G155:G157"/>
    <mergeCell ref="H155:H157"/>
    <mergeCell ref="I155:I157"/>
    <mergeCell ref="A159:A161"/>
    <mergeCell ref="B159:B161"/>
    <mergeCell ref="C159:C161"/>
    <mergeCell ref="D159:D161"/>
    <mergeCell ref="E159:E161"/>
    <mergeCell ref="G143:G145"/>
    <mergeCell ref="H143:H145"/>
    <mergeCell ref="I143:I145"/>
    <mergeCell ref="A147:A149"/>
    <mergeCell ref="B147:B149"/>
    <mergeCell ref="C147:C149"/>
    <mergeCell ref="D147:D149"/>
    <mergeCell ref="E147:E149"/>
    <mergeCell ref="F147:F149"/>
    <mergeCell ref="G147:G149"/>
    <mergeCell ref="A143:A145"/>
    <mergeCell ref="B143:B145"/>
    <mergeCell ref="C143:C145"/>
    <mergeCell ref="D143:D145"/>
    <mergeCell ref="E143:E145"/>
    <mergeCell ref="F143:F145"/>
    <mergeCell ref="I135:I137"/>
    <mergeCell ref="A139:A141"/>
    <mergeCell ref="B139:B141"/>
    <mergeCell ref="C139:C141"/>
    <mergeCell ref="D139:D141"/>
    <mergeCell ref="E139:E141"/>
    <mergeCell ref="F139:F141"/>
    <mergeCell ref="G139:G141"/>
    <mergeCell ref="H139:H141"/>
    <mergeCell ref="I139:I141"/>
    <mergeCell ref="H147:H149"/>
    <mergeCell ref="I147:I149"/>
    <mergeCell ref="H131:H133"/>
    <mergeCell ref="I131:I133"/>
    <mergeCell ref="A135:A137"/>
    <mergeCell ref="B135:B137"/>
    <mergeCell ref="C135:C137"/>
    <mergeCell ref="D135:D137"/>
    <mergeCell ref="E135:E137"/>
    <mergeCell ref="F135:F137"/>
    <mergeCell ref="G135:G137"/>
    <mergeCell ref="H135:H137"/>
    <mergeCell ref="G127:G129"/>
    <mergeCell ref="H127:H129"/>
    <mergeCell ref="I127:I129"/>
    <mergeCell ref="A131:A133"/>
    <mergeCell ref="B131:B133"/>
    <mergeCell ref="C131:C133"/>
    <mergeCell ref="D131:D133"/>
    <mergeCell ref="E131:E133"/>
    <mergeCell ref="F131:F133"/>
    <mergeCell ref="G131:G133"/>
    <mergeCell ref="A127:A129"/>
    <mergeCell ref="B127:B129"/>
    <mergeCell ref="C127:C129"/>
    <mergeCell ref="D127:D129"/>
    <mergeCell ref="E127:E129"/>
    <mergeCell ref="F127:F129"/>
    <mergeCell ref="I119:I121"/>
    <mergeCell ref="A123:A125"/>
    <mergeCell ref="B123:B125"/>
    <mergeCell ref="C123:C125"/>
    <mergeCell ref="D123:D125"/>
    <mergeCell ref="E123:E125"/>
    <mergeCell ref="F123:F125"/>
    <mergeCell ref="G123:G125"/>
    <mergeCell ref="H123:H125"/>
    <mergeCell ref="I123:I125"/>
    <mergeCell ref="H115:H117"/>
    <mergeCell ref="I115:I117"/>
    <mergeCell ref="A119:A121"/>
    <mergeCell ref="B119:B121"/>
    <mergeCell ref="C119:C121"/>
    <mergeCell ref="D119:D121"/>
    <mergeCell ref="E119:E121"/>
    <mergeCell ref="F119:F121"/>
    <mergeCell ref="G119:G121"/>
    <mergeCell ref="H119:H121"/>
    <mergeCell ref="G111:G113"/>
    <mergeCell ref="H111:H113"/>
    <mergeCell ref="I111:I113"/>
    <mergeCell ref="A115:A117"/>
    <mergeCell ref="B115:B117"/>
    <mergeCell ref="C115:C117"/>
    <mergeCell ref="D115:D117"/>
    <mergeCell ref="E115:E117"/>
    <mergeCell ref="F115:F117"/>
    <mergeCell ref="G115:G117"/>
    <mergeCell ref="A111:A113"/>
    <mergeCell ref="B111:B113"/>
    <mergeCell ref="C111:C113"/>
    <mergeCell ref="D111:D113"/>
    <mergeCell ref="E111:E113"/>
    <mergeCell ref="F111:F113"/>
    <mergeCell ref="I103:I105"/>
    <mergeCell ref="A107:A109"/>
    <mergeCell ref="B107:B109"/>
    <mergeCell ref="C107:C109"/>
    <mergeCell ref="D107:D109"/>
    <mergeCell ref="E107:E109"/>
    <mergeCell ref="F107:F109"/>
    <mergeCell ref="G107:G109"/>
    <mergeCell ref="H107:H109"/>
    <mergeCell ref="I107:I109"/>
    <mergeCell ref="H99:H101"/>
    <mergeCell ref="I99:I101"/>
    <mergeCell ref="A103:A105"/>
    <mergeCell ref="B103:B105"/>
    <mergeCell ref="C103:C105"/>
    <mergeCell ref="D103:D105"/>
    <mergeCell ref="E103:E105"/>
    <mergeCell ref="F103:F105"/>
    <mergeCell ref="G103:G105"/>
    <mergeCell ref="H103:H105"/>
    <mergeCell ref="G95:G97"/>
    <mergeCell ref="H95:H97"/>
    <mergeCell ref="I95:I97"/>
    <mergeCell ref="A99:A101"/>
    <mergeCell ref="B99:B101"/>
    <mergeCell ref="C99:C101"/>
    <mergeCell ref="D99:D101"/>
    <mergeCell ref="E99:E101"/>
    <mergeCell ref="F99:F101"/>
    <mergeCell ref="G99:G101"/>
    <mergeCell ref="A95:A97"/>
    <mergeCell ref="B95:B97"/>
    <mergeCell ref="C95:C97"/>
    <mergeCell ref="D95:D97"/>
    <mergeCell ref="E95:E97"/>
    <mergeCell ref="F95:F97"/>
    <mergeCell ref="I87:I89"/>
    <mergeCell ref="A91:A93"/>
    <mergeCell ref="B91:B93"/>
    <mergeCell ref="C91:C93"/>
    <mergeCell ref="D91:D93"/>
    <mergeCell ref="E91:E93"/>
    <mergeCell ref="F91:F93"/>
    <mergeCell ref="G91:G93"/>
    <mergeCell ref="H91:H93"/>
    <mergeCell ref="I91:I93"/>
    <mergeCell ref="H83:H85"/>
    <mergeCell ref="I83:I85"/>
    <mergeCell ref="A87:A89"/>
    <mergeCell ref="B87:B89"/>
    <mergeCell ref="C87:C89"/>
    <mergeCell ref="D87:D89"/>
    <mergeCell ref="E87:E89"/>
    <mergeCell ref="F87:F89"/>
    <mergeCell ref="G87:G89"/>
    <mergeCell ref="H87:H89"/>
    <mergeCell ref="G79:G81"/>
    <mergeCell ref="H79:H81"/>
    <mergeCell ref="I79:I81"/>
    <mergeCell ref="A83:A85"/>
    <mergeCell ref="B83:B85"/>
    <mergeCell ref="C83:C85"/>
    <mergeCell ref="D83:D85"/>
    <mergeCell ref="E83:E85"/>
    <mergeCell ref="F83:F85"/>
    <mergeCell ref="G83:G85"/>
    <mergeCell ref="A79:A81"/>
    <mergeCell ref="B79:B81"/>
    <mergeCell ref="C79:C81"/>
    <mergeCell ref="D79:D81"/>
    <mergeCell ref="E79:E81"/>
    <mergeCell ref="F79:F81"/>
    <mergeCell ref="I71:I73"/>
    <mergeCell ref="A75:A77"/>
    <mergeCell ref="B75:B77"/>
    <mergeCell ref="C75:C77"/>
    <mergeCell ref="D75:D77"/>
    <mergeCell ref="E75:E77"/>
    <mergeCell ref="F75:F77"/>
    <mergeCell ref="G75:G77"/>
    <mergeCell ref="H75:H77"/>
    <mergeCell ref="I75:I77"/>
    <mergeCell ref="H67:H69"/>
    <mergeCell ref="I67:I69"/>
    <mergeCell ref="A71:A73"/>
    <mergeCell ref="B71:B73"/>
    <mergeCell ref="C71:C73"/>
    <mergeCell ref="D71:D73"/>
    <mergeCell ref="E71:E73"/>
    <mergeCell ref="F71:F73"/>
    <mergeCell ref="G71:G73"/>
    <mergeCell ref="H71:H73"/>
    <mergeCell ref="G63:G65"/>
    <mergeCell ref="H63:H65"/>
    <mergeCell ref="I63:I65"/>
    <mergeCell ref="A67:A69"/>
    <mergeCell ref="B67:B69"/>
    <mergeCell ref="C67:C69"/>
    <mergeCell ref="D67:D69"/>
    <mergeCell ref="E67:E69"/>
    <mergeCell ref="F67:F69"/>
    <mergeCell ref="G67:G69"/>
    <mergeCell ref="A63:A65"/>
    <mergeCell ref="B63:B65"/>
    <mergeCell ref="C63:C65"/>
    <mergeCell ref="D63:D65"/>
    <mergeCell ref="E63:E65"/>
    <mergeCell ref="F63:F65"/>
    <mergeCell ref="I55:I57"/>
    <mergeCell ref="A59:A61"/>
    <mergeCell ref="B59:B61"/>
    <mergeCell ref="C59:C61"/>
    <mergeCell ref="D59:D61"/>
    <mergeCell ref="E59:E61"/>
    <mergeCell ref="F59:F61"/>
    <mergeCell ref="G59:G61"/>
    <mergeCell ref="H59:H61"/>
    <mergeCell ref="I59:I61"/>
    <mergeCell ref="H51:H53"/>
    <mergeCell ref="I51:I53"/>
    <mergeCell ref="A55:A57"/>
    <mergeCell ref="B55:B57"/>
    <mergeCell ref="C55:C57"/>
    <mergeCell ref="D55:D57"/>
    <mergeCell ref="E55:E57"/>
    <mergeCell ref="F55:F57"/>
    <mergeCell ref="G55:G57"/>
    <mergeCell ref="H55:H57"/>
    <mergeCell ref="G47:G49"/>
    <mergeCell ref="H47:H49"/>
    <mergeCell ref="I47:I49"/>
    <mergeCell ref="A51:A53"/>
    <mergeCell ref="B51:B53"/>
    <mergeCell ref="C51:C53"/>
    <mergeCell ref="D51:D53"/>
    <mergeCell ref="E51:E53"/>
    <mergeCell ref="F51:F53"/>
    <mergeCell ref="G51:G53"/>
    <mergeCell ref="A47:A49"/>
    <mergeCell ref="B47:B49"/>
    <mergeCell ref="C47:C49"/>
    <mergeCell ref="D47:D49"/>
    <mergeCell ref="E47:E49"/>
    <mergeCell ref="F47:F49"/>
    <mergeCell ref="I39:I41"/>
    <mergeCell ref="A43:A45"/>
    <mergeCell ref="B43:B45"/>
    <mergeCell ref="C43:C45"/>
    <mergeCell ref="D43:D45"/>
    <mergeCell ref="E43:E45"/>
    <mergeCell ref="F43:F45"/>
    <mergeCell ref="G43:G45"/>
    <mergeCell ref="H43:H45"/>
    <mergeCell ref="I43:I45"/>
    <mergeCell ref="A39:A41"/>
    <mergeCell ref="B39:B41"/>
    <mergeCell ref="C39:C41"/>
    <mergeCell ref="D39:D41"/>
    <mergeCell ref="E39:E41"/>
    <mergeCell ref="F39:F41"/>
    <mergeCell ref="G39:G41"/>
    <mergeCell ref="H39:H41"/>
    <mergeCell ref="G31:G33"/>
    <mergeCell ref="H31:H33"/>
    <mergeCell ref="I31:I33"/>
    <mergeCell ref="A35:A37"/>
    <mergeCell ref="B35:B37"/>
    <mergeCell ref="C35:C37"/>
    <mergeCell ref="D35:D37"/>
    <mergeCell ref="E35:E37"/>
    <mergeCell ref="F35:F37"/>
    <mergeCell ref="G35:G37"/>
    <mergeCell ref="A31:A33"/>
    <mergeCell ref="B31:B33"/>
    <mergeCell ref="C31:C33"/>
    <mergeCell ref="D31:D33"/>
    <mergeCell ref="E31:E33"/>
    <mergeCell ref="F31:F33"/>
    <mergeCell ref="E27:E29"/>
    <mergeCell ref="F27:F29"/>
    <mergeCell ref="G27:G29"/>
    <mergeCell ref="H27:H29"/>
    <mergeCell ref="I27:I29"/>
    <mergeCell ref="H19:H21"/>
    <mergeCell ref="I19:I21"/>
    <mergeCell ref="A23:A25"/>
    <mergeCell ref="B23:B25"/>
    <mergeCell ref="C23:C25"/>
    <mergeCell ref="D23:D25"/>
    <mergeCell ref="E23:E25"/>
    <mergeCell ref="F23:F25"/>
    <mergeCell ref="G23:G25"/>
    <mergeCell ref="H23:H25"/>
    <mergeCell ref="H35:H37"/>
    <mergeCell ref="I35:I37"/>
    <mergeCell ref="I8:I9"/>
    <mergeCell ref="J8:J9"/>
    <mergeCell ref="K8:K9"/>
    <mergeCell ref="L8:N8"/>
    <mergeCell ref="O8:O9"/>
    <mergeCell ref="A11:A13"/>
    <mergeCell ref="B11:B13"/>
    <mergeCell ref="C11:C13"/>
    <mergeCell ref="D11:D13"/>
    <mergeCell ref="E11:E13"/>
    <mergeCell ref="A8:A9"/>
    <mergeCell ref="B8:B9"/>
    <mergeCell ref="C8:C9"/>
    <mergeCell ref="D8:D9"/>
    <mergeCell ref="E8:G8"/>
    <mergeCell ref="H8:H9"/>
    <mergeCell ref="G15:G17"/>
    <mergeCell ref="H15:H17"/>
    <mergeCell ref="I15:I17"/>
    <mergeCell ref="F11:F13"/>
    <mergeCell ref="G11:G13"/>
    <mergeCell ref="H11:H13"/>
    <mergeCell ref="I11:I13"/>
    <mergeCell ref="A15:A17"/>
    <mergeCell ref="B15:B17"/>
    <mergeCell ref="C15:C17"/>
    <mergeCell ref="D15:D17"/>
    <mergeCell ref="E15:E17"/>
    <mergeCell ref="F15:F17"/>
    <mergeCell ref="A811:A813"/>
    <mergeCell ref="B811:B813"/>
    <mergeCell ref="C811:C813"/>
    <mergeCell ref="D811:D813"/>
    <mergeCell ref="E811:E813"/>
    <mergeCell ref="F811:F813"/>
    <mergeCell ref="G811:G813"/>
    <mergeCell ref="H811:H813"/>
    <mergeCell ref="I811:I813"/>
    <mergeCell ref="E315:E317"/>
    <mergeCell ref="F315:F317"/>
    <mergeCell ref="G315:G317"/>
    <mergeCell ref="H315:H317"/>
    <mergeCell ref="I315:I317"/>
    <mergeCell ref="H175:H177"/>
    <mergeCell ref="I175:I177"/>
    <mergeCell ref="A179:A181"/>
    <mergeCell ref="B179:B181"/>
    <mergeCell ref="A183:A185"/>
    <mergeCell ref="B183:B185"/>
    <mergeCell ref="C183:C185"/>
    <mergeCell ref="D183:D185"/>
    <mergeCell ref="E183:E185"/>
    <mergeCell ref="F183:F185"/>
    <mergeCell ref="G183:G185"/>
    <mergeCell ref="H183:H185"/>
    <mergeCell ref="I183:I185"/>
    <mergeCell ref="D179:D181"/>
    <mergeCell ref="E179:E181"/>
    <mergeCell ref="F179:F181"/>
    <mergeCell ref="G179:G181"/>
    <mergeCell ref="H179:H181"/>
    <mergeCell ref="A807:A809"/>
    <mergeCell ref="B807:B809"/>
    <mergeCell ref="C807:C809"/>
    <mergeCell ref="D807:D809"/>
    <mergeCell ref="E807:E809"/>
    <mergeCell ref="F807:F809"/>
    <mergeCell ref="G807:G809"/>
    <mergeCell ref="H807:H809"/>
    <mergeCell ref="I807:I809"/>
    <mergeCell ref="I179:I181"/>
    <mergeCell ref="A19:A21"/>
    <mergeCell ref="B19:B21"/>
    <mergeCell ref="C19:C21"/>
    <mergeCell ref="D19:D21"/>
    <mergeCell ref="G319:G321"/>
    <mergeCell ref="H319:H321"/>
    <mergeCell ref="I319:I321"/>
    <mergeCell ref="A311:A313"/>
    <mergeCell ref="B311:B313"/>
    <mergeCell ref="C311:C313"/>
    <mergeCell ref="D311:D313"/>
    <mergeCell ref="E311:E313"/>
    <mergeCell ref="F311:F313"/>
    <mergeCell ref="G311:G313"/>
    <mergeCell ref="E19:E21"/>
    <mergeCell ref="F19:F21"/>
    <mergeCell ref="G19:G21"/>
    <mergeCell ref="I23:I25"/>
    <mergeCell ref="A27:A29"/>
    <mergeCell ref="B27:B29"/>
    <mergeCell ref="C27:C29"/>
    <mergeCell ref="D27:D29"/>
    <mergeCell ref="A707:A709"/>
    <mergeCell ref="B707:B709"/>
    <mergeCell ref="C707:C709"/>
    <mergeCell ref="D707:D709"/>
    <mergeCell ref="E707:E709"/>
    <mergeCell ref="F707:F709"/>
    <mergeCell ref="G707:G709"/>
    <mergeCell ref="H707:H709"/>
    <mergeCell ref="I707:I709"/>
    <mergeCell ref="A711:A713"/>
    <mergeCell ref="B711:B713"/>
    <mergeCell ref="C711:C713"/>
    <mergeCell ref="D711:D713"/>
    <mergeCell ref="E711:E713"/>
    <mergeCell ref="F711:F713"/>
    <mergeCell ref="G711:G713"/>
    <mergeCell ref="H711:H713"/>
    <mergeCell ref="I711:I713"/>
    <mergeCell ref="A715:A717"/>
    <mergeCell ref="B715:B717"/>
    <mergeCell ref="C715:C717"/>
    <mergeCell ref="D715:D717"/>
    <mergeCell ref="E715:E717"/>
    <mergeCell ref="F715:F717"/>
    <mergeCell ref="G715:G717"/>
    <mergeCell ref="H715:H717"/>
    <mergeCell ref="I715:I717"/>
    <mergeCell ref="A719:A721"/>
    <mergeCell ref="B719:B721"/>
    <mergeCell ref="C719:C721"/>
    <mergeCell ref="D719:D721"/>
    <mergeCell ref="E719:E721"/>
    <mergeCell ref="F719:F721"/>
    <mergeCell ref="G719:G721"/>
    <mergeCell ref="H719:H721"/>
    <mergeCell ref="I719:I721"/>
    <mergeCell ref="A723:A725"/>
    <mergeCell ref="B723:B725"/>
    <mergeCell ref="C723:C725"/>
    <mergeCell ref="D723:D725"/>
    <mergeCell ref="E723:E725"/>
    <mergeCell ref="F723:F725"/>
    <mergeCell ref="G723:G725"/>
    <mergeCell ref="H723:H725"/>
    <mergeCell ref="I723:I725"/>
    <mergeCell ref="A727:A729"/>
    <mergeCell ref="B727:B729"/>
    <mergeCell ref="C727:C729"/>
    <mergeCell ref="D727:D729"/>
    <mergeCell ref="E727:E729"/>
    <mergeCell ref="F727:F729"/>
    <mergeCell ref="G727:G729"/>
    <mergeCell ref="H727:H729"/>
    <mergeCell ref="I727:I729"/>
  </mergeCells>
  <conditionalFormatting sqref="Z1:BC1">
    <cfRule type="containsText" dxfId="4316" priority="19" operator="containsText" text="przeciągnij">
      <formula>NOT(ISERROR(SEARCH("przeciągnij",Z1)))</formula>
    </cfRule>
    <cfRule type="containsBlanks" dxfId="4315" priority="20">
      <formula>LEN(TRIM(Z1))=0</formula>
    </cfRule>
  </conditionalFormatting>
  <conditionalFormatting sqref="K886:Y888 J892:Y894 J896:Y898 J900:Y902 J908:Y910">
    <cfRule type="cellIs" dxfId="4314" priority="5" stopIfTrue="1" operator="greaterThan">
      <formula>0</formula>
    </cfRule>
    <cfRule type="cellIs" dxfId="4313" priority="6" stopIfTrue="1" operator="lessThan">
      <formula>0</formula>
    </cfRule>
  </conditionalFormatting>
  <pageMargins left="0.59055118110236227" right="0.59055118110236227" top="0.59055118110236227" bottom="0.59055118110236227" header="0.31496062992125984" footer="0.31496062992125984"/>
  <pageSetup paperSize="9" scale="71" orientation="landscape" horizontalDpi="4294967293" verticalDpi="4294967293" r:id="rId1"/>
  <headerFooter>
    <oddFooter>&amp;R&amp;9&amp;P</oddFooter>
  </headerFooter>
  <ignoredErrors>
    <ignoredError sqref="L851:M851 L863:M863 L875:M875 L15:M15 L855:M855 L867:M867 L879:M879 L847:M847 L859:M859 L871:M871 L883:M883 M853 M852 M861 M860 M865 M864 M873 M872 M877 M876 M885 M884" formulaRange="1"/>
    <ignoredError sqref="L835:M835 L823:M823 L799:M799 L787:M787 L763:M763 L751:M751 L739:M739 L691:M691 L679:M679 L667:M667 L643:M643 L631:M631 L619:M619 L607:M607 L595:M595 L583:M583 L559:M559 L535:M535 L511:M511 L487:M487 L463:M463 L451:M451 L439:M439 L427:M427 L391:M391 L379:M379 L367:M367 L355:M355 L343:M343 L331:M331 L295:M295 L283:M283 L271:M271 L247:M247 L235:M235 L223:M223 L211:M211 L199:M199 L187:M187 L175:M175 L151:M151 L139:M139 L127:M127 L115:M115 L103:M103 L91:M91 L79:M79 L67:M67 L55:M55 L43:M43 L31:M31 L19:M19 L843:M843 L831:M831 L819:M819 L795:M795 L783:M783 L759:M759 L747:M747 L735:M735 L687:M687 L675:M675 L663:M663 L639:M639 L627:M627 L615:M615 L603:M603 L591:M591 L579:M579 L555:M555 L531:M531 L507:M507 L483:M483 L459:M459 L447:M447 L435:M435 L423:M423 L387:M387 L375:M375 L363:M363 L351:M351 L339:M339 L327:M327 L291:M291 L279:M279 L267:M267 L243:M243 L231:M231 L219:M219 L207:M207 L195:M195 L183:M183 L171:M171 L147:M147 L135:M135 L123:M123 L111:M111 L99:M99 L87:M87 L75:M75 L63:M63 L51:M51 L39:M39 L27:M27 L839:M839 L827:M827 L815:M815 L791:M791 L779:M779 L755:M755 L743:M743 L731:M731 L683:M683 L671:M671 L659:M659 L635:M635 L623:M623 L611:M611 L599:M599 L587:M587 L575:M575 L551:M551 L527:M527 L503:M503 L479:M479 L455:M455 L443:M443 L431:M431 L419:M419 L383:M383 L371:M371 L359:M359 L347:M347 L335:M335 L323:M323 L287:M287 L275:M275 L263:M263 L239:M239 L227:M227 L215:M215 L203:M203 L191:M191 L179:M179 L167:M167 L143:M143 L131:M131 L119:M119 L107:M107 L95:M95 L83:M83 L71:M71 L59:M59 L47:M47 L35:M35 L23:M23 L21 M73 M72 M81 L105 L109:M109 L117:M117 L141 M145 M144 M153 L169 M168 L177 L189 L201 L213 L225 L229:M229 L237:M237 L273 M276 M288 L325:M325 M324 L333 L337:M337 M336 L345:M345 M348 M372 L393 L453 L457 M456 L465 L489 L513 M584 M596 M608 M620 M625 M633 L733 L741 L745:M745 M744 L753:M753 L765 M793 M792 M801" formulaRange="1" unlockedFormula="1"/>
    <ignoredError sqref="L16:M18 L26:M26 L38:M38 L50:M50 L62:M62 L74:M74 L86:M86 L98:M98 L110:M110 L122:M122 L134:M134 L146:M146 L170:M170 L182:M182 L194:M194 L206:M206 L218:M218 L230:M230 L242:M242 L266:M266 L278:M278 L290:M290 L326:M326 L338:M338 L350:M350 L362:M362 L374:M374 L386:M386 L422:M422 L434:M434 L446:M446 L458:M458 L482:M482 L506:M506 L530:M530 L554:M554 L578:M578 L590:M590 L602:M602 L614:M614 L626:M626 L638:M638 L662:M662 L674:M674 L686:M686 L734:M734 L746:M746 L758:M758 L782:M782 L794:M794 L818:M818 L830:M830 L842:M842 L28:M30 L40:M42 L52:M54 L64:M66 L76:M78 L88:M90 L100:M102 L112:M114 L124:M126 L136:M138 L148:M150 L172:M174 L184:M186 L196:M198 L208:M210 L220:M222 L232:M234 L244:M246 L268:M270 L280:M282 L292:M294 L328:M330 L340:M342 L352:M354 L364:M366 L376:M378 L388:M390 L424:M426 L436:M438 L448:M450 L460:M462 L484:M486 L508:M510 L532:M534 L556:M558 L580:M582 L592:M594 L604:M606 L616:M618 L628:M630 L640:M642 L664:M666 L676:M678 L688:M690 L736:M738 L748:M750 L760:M762 L784:M786 L796:M798 L820:M822 L832:M834 L844:M845 L22:M22 L34:M34 L46:M46 L58:M58 L70:M70 L82:M82 L94:M94 L106:M106 L118:M118 L130:M130 L142:M142 L178:M178 L190:M190 L202:M202 L214:M214 L226:M226 L238:M238 L262:M262 L274:M274 L286:M286 L322:M322 L334:M334 L346:M346 L358:M358 L370:M370 L382:M382 L418:M418 L430:M430 L442:M442 L454:M454 L478:M478 L502:M502 L526:M526 L550:M550 L574:M574 L586:M586 L598:M598 L610:M610 L622:M622 L634:M634 L658:M658 L670:M670 L682:M682 L730:M730 L742:M742 L754:M754 L778:M778 L790:M790 L814:M814 L826:M826 L838:M838 P16:R19 P166:R167 L166:M166 R60 P322:R335 P350:R355 Q349:R349 P418:R419 Q357:R357 P526:R527 P778:R779 Q296:R297 P502:R503 R488 P442:R443 Q440:R441 P434:R439 Q432:R433 P482:R487 Q481:R481 P61:R67 P358:R359 P730:R731 P574:R635 P658:R659 P21:R23 R20 P33:R35 Q32:R32 P45:R47 R44 P57:R59 Q56:R56 P69:R83 R68 P129:R131 R128 P141:R153 Q140:R140 P177:R179 R176 P249:R249 R248 P262:R263 P273:R275 Q272:R272 P285:R288 Q284:R284 P345:R347 Q344:R344 P369:R371 Q368:R368 P381:R383 Q380:R380 P429:R431 P453:R455 Q452:R452 P478:R479 Q464:R464 P513:R513 Q512:R512 P550:R551 Q536:R536 P561:R561 Q560:R560 P645:R645 R644 P669:R671 R668 P681:R683 Q680:R680 P693:R693 Q692:R692 P741:R743 Q740:R740 P753:R755 Q752:R752 P765:R765 Q764:R764 P789:R791 Q788:R788 P801:R801 R800 P814:R815 P825:R825 Q824:R824 P837:R845 Q836:R836 P93:R95 P92 R92 P105:R107 P104 P117:R119 P116 R116 P189:R189 P188 R188 P201:R203 P200 R200 P213:R215 P212 R212 P225:R239 P224 R224 P356 R356 P393:R393 P392 R392 P465:R465 P489:R489 P537:R537 P190:R191 P826:R827 P25:R31 Q24:R24 P38:R43 R36:R37 P49:R55 Q48:R48 P85:R91 P84 R84 P98:R103 P109:R115 P108 R108 P121:R127 R120 P133:R139 Q132:R132 P169:R175 R168 P181:R187 P180 R180 P193:R199 P192 R192 P205:R211 P204 R204 P217:R223 P216 R216 P241:R247 R240 P265:R271 Q264:R264 P277:R283 Q276:R276 P290:R295 Q289:R289 P337:R343 Q336:R336 P348 R348 P361:R367 Q360:R360 P373:R379 Q372:R372 P385:R391 P384 R384 P421:R427 P445:R451 Q444:R444 P457:R463 Q456:R456 R480 P506:R511 Q504:R505 P529:R535 Q528:R528 P553:R559 Q552:R552 P637:R643 R636 P661:R667 R660 P673:R679 Q672:R672 P685:R691 Q684:R684 P733:R739 Q732:R732 P745:R751 Q744:R744 P758:R763 Q756:R757 P781:R787 Q780:R780 P793:R799 R792 P817:R823 Q816:R816 P829:R835 Q828:R828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B9354-4BB1-4938-90EE-1D4A092E3A6D}">
  <sheetPr>
    <tabColor rgb="FF00CCFF"/>
  </sheetPr>
  <dimension ref="A1:AH277"/>
  <sheetViews>
    <sheetView view="pageBreakPreview" zoomScaleNormal="100" zoomScaleSheetLayoutView="100" workbookViewId="0">
      <pane ySplit="6" topLeftCell="A7" activePane="bottomLeft" state="frozen"/>
      <selection activeCell="A19" sqref="A19"/>
      <selection pane="bottomLeft" activeCell="A19" sqref="A19"/>
    </sheetView>
  </sheetViews>
  <sheetFormatPr defaultColWidth="9.140625" defaultRowHeight="12.75" x14ac:dyDescent="0.25"/>
  <cols>
    <col min="1" max="1" width="17" style="288" customWidth="1"/>
    <col min="2" max="2" width="60.140625" style="283" customWidth="1"/>
    <col min="3" max="3" width="7.42578125" style="291" customWidth="1"/>
    <col min="4" max="4" width="7.140625" style="285" customWidth="1"/>
    <col min="5" max="5" width="14" style="285" bestFit="1" customWidth="1"/>
    <col min="6" max="6" width="12.140625" style="286" customWidth="1"/>
    <col min="7" max="7" width="13.7109375" style="287" hidden="1" customWidth="1"/>
    <col min="8" max="9" width="11.28515625" style="288" hidden="1" customWidth="1"/>
    <col min="10" max="14" width="11.28515625" style="288" customWidth="1"/>
    <col min="15" max="15" width="11.7109375" style="288" customWidth="1"/>
    <col min="16" max="17" width="4.5703125" style="288" customWidth="1"/>
    <col min="18" max="18" width="22.7109375" style="288" customWidth="1"/>
    <col min="19" max="19" width="10.28515625" style="288" customWidth="1"/>
    <col min="20" max="20" width="9.5703125" style="288" customWidth="1"/>
    <col min="21" max="22" width="11.42578125" style="288" customWidth="1"/>
    <col min="23" max="24" width="10" style="288" customWidth="1"/>
    <col min="25" max="16384" width="9.140625" style="288"/>
  </cols>
  <sheetData>
    <row r="1" spans="1:34" ht="18.75" x14ac:dyDescent="0.25">
      <c r="A1" s="282" t="s">
        <v>221</v>
      </c>
      <c r="C1" s="284" t="str">
        <f ca="1">IF(COUNTIF(U16:Y16,"fałsz")=0,"Kwoty ogółem w tabeli zgadzają się z arkuszem 'Inwestycje PM'","Kwoty ogółem w tabeli nie zgadzają się z arkuszem 'Inwestycje PM' - kliknij na tab. przestawną &gt;&gt; 'analiza' i 'odśwież wszystko'")</f>
        <v>Kwoty ogółem w tabeli zgadzają się z arkuszem 'Inwestycje PM'</v>
      </c>
      <c r="H1" s="287"/>
      <c r="I1" s="287"/>
      <c r="J1" s="287"/>
      <c r="K1" s="287"/>
      <c r="L1" s="287"/>
      <c r="M1" s="287"/>
      <c r="N1" s="287"/>
      <c r="O1" s="287"/>
      <c r="P1" s="287"/>
      <c r="Q1" s="287"/>
    </row>
    <row r="2" spans="1:34" x14ac:dyDescent="0.25">
      <c r="A2" s="289" t="s">
        <v>222</v>
      </c>
      <c r="B2" s="290"/>
      <c r="O2" s="287"/>
      <c r="P2" s="287"/>
      <c r="Q2" s="287"/>
    </row>
    <row r="3" spans="1:34" x14ac:dyDescent="0.25">
      <c r="A3" s="433" t="s">
        <v>90</v>
      </c>
      <c r="B3" s="433" t="s">
        <v>475</v>
      </c>
      <c r="C3" s="292"/>
      <c r="E3" s="293"/>
      <c r="F3" s="294" t="s">
        <v>224</v>
      </c>
      <c r="G3" s="295">
        <f>SUMIF($F$7:$F$2500,"*w tym*",G$7:G$2500)</f>
        <v>10255144</v>
      </c>
      <c r="H3" s="295">
        <f t="shared" ref="H3:N3" si="0">SUMIF($F$7:$F$2500,"*w tym*",H$7:H$2500)</f>
        <v>0</v>
      </c>
      <c r="I3" s="295">
        <f t="shared" si="0"/>
        <v>0</v>
      </c>
      <c r="J3" s="295">
        <f t="shared" si="0"/>
        <v>200000</v>
      </c>
      <c r="K3" s="295">
        <f t="shared" si="0"/>
        <v>9855144</v>
      </c>
      <c r="L3" s="295">
        <f t="shared" si="0"/>
        <v>200000</v>
      </c>
      <c r="M3" s="295">
        <f t="shared" si="0"/>
        <v>0</v>
      </c>
      <c r="N3" s="295">
        <f t="shared" si="0"/>
        <v>0</v>
      </c>
      <c r="O3" s="296"/>
      <c r="P3" s="296"/>
      <c r="Q3" s="296"/>
    </row>
    <row r="4" spans="1:34" x14ac:dyDescent="0.25">
      <c r="A4" s="433" t="s">
        <v>79</v>
      </c>
      <c r="B4" s="433" t="s">
        <v>97</v>
      </c>
      <c r="C4" s="292"/>
      <c r="E4" s="293"/>
      <c r="F4" s="297" t="s">
        <v>225</v>
      </c>
      <c r="G4" s="298">
        <f>SUMIF($F$7:$F$2500,"*WPF/PM*",G$7:G$2500)</f>
        <v>10255144</v>
      </c>
      <c r="H4" s="298">
        <f t="shared" ref="H4:N4" si="1">SUMIF($F$7:$F$2500,"*WPF/PM*",H$7:H$2500)</f>
        <v>0</v>
      </c>
      <c r="I4" s="298">
        <f t="shared" si="1"/>
        <v>0</v>
      </c>
      <c r="J4" s="298">
        <f t="shared" si="1"/>
        <v>200000</v>
      </c>
      <c r="K4" s="298">
        <f t="shared" si="1"/>
        <v>9855144</v>
      </c>
      <c r="L4" s="298">
        <f t="shared" si="1"/>
        <v>200000</v>
      </c>
      <c r="M4" s="298">
        <f t="shared" si="1"/>
        <v>0</v>
      </c>
      <c r="N4" s="298">
        <f t="shared" si="1"/>
        <v>0</v>
      </c>
      <c r="O4" s="298"/>
      <c r="P4" s="298"/>
      <c r="Q4" s="299"/>
    </row>
    <row r="5" spans="1:34" x14ac:dyDescent="0.25">
      <c r="A5" s="300"/>
      <c r="B5" s="301"/>
      <c r="C5" s="285"/>
      <c r="E5" s="293"/>
      <c r="F5" s="297" t="s">
        <v>226</v>
      </c>
      <c r="G5" s="298">
        <f>SUMIF($F$7:$F$2500,"*WPF/UM*",G$7:G$2500)</f>
        <v>0</v>
      </c>
      <c r="H5" s="298">
        <f t="shared" ref="H5:N5" si="2">SUMIF($F$7:$F$2500,"*WPF/UM*",H$7:H$2500)</f>
        <v>0</v>
      </c>
      <c r="I5" s="298">
        <f t="shared" si="2"/>
        <v>0</v>
      </c>
      <c r="J5" s="298">
        <f t="shared" si="2"/>
        <v>0</v>
      </c>
      <c r="K5" s="298">
        <f t="shared" si="2"/>
        <v>0</v>
      </c>
      <c r="L5" s="298">
        <f t="shared" si="2"/>
        <v>0</v>
      </c>
      <c r="M5" s="298">
        <f t="shared" si="2"/>
        <v>0</v>
      </c>
      <c r="N5" s="298">
        <f t="shared" si="2"/>
        <v>0</v>
      </c>
      <c r="O5" s="298"/>
      <c r="P5" s="298"/>
      <c r="Q5" s="298"/>
    </row>
    <row r="6" spans="1:34" ht="26.25" thickBot="1" x14ac:dyDescent="0.3">
      <c r="A6" s="452" t="s">
        <v>80</v>
      </c>
      <c r="B6" s="452" t="s">
        <v>81</v>
      </c>
      <c r="C6" s="452" t="s">
        <v>61</v>
      </c>
      <c r="D6" s="452" t="s">
        <v>62</v>
      </c>
      <c r="E6" s="453" t="s">
        <v>11</v>
      </c>
      <c r="F6" s="455" t="s">
        <v>227</v>
      </c>
      <c r="G6" s="456" t="s">
        <v>228</v>
      </c>
      <c r="H6" s="450" t="s">
        <v>403</v>
      </c>
      <c r="I6" s="449" t="s">
        <v>229</v>
      </c>
      <c r="J6" s="450" t="s">
        <v>230</v>
      </c>
      <c r="K6" s="450" t="s">
        <v>231</v>
      </c>
      <c r="L6" s="450" t="s">
        <v>232</v>
      </c>
      <c r="M6" s="451" t="s">
        <v>233</v>
      </c>
      <c r="N6"/>
      <c r="O6"/>
      <c r="P6"/>
      <c r="Q6"/>
      <c r="R6" s="302" t="s">
        <v>234</v>
      </c>
      <c r="S6" s="361" t="s">
        <v>235</v>
      </c>
      <c r="T6" s="376" t="s">
        <v>236</v>
      </c>
      <c r="U6" s="377" t="s">
        <v>237</v>
      </c>
      <c r="V6" s="377" t="s">
        <v>238</v>
      </c>
      <c r="W6" s="377" t="s">
        <v>239</v>
      </c>
      <c r="X6" s="377" t="s">
        <v>240</v>
      </c>
      <c r="Y6" s="377" t="s">
        <v>241</v>
      </c>
      <c r="Z6" s="303"/>
      <c r="AA6" s="303"/>
      <c r="AB6" s="303"/>
      <c r="AC6" s="303"/>
      <c r="AD6" s="303"/>
      <c r="AE6" s="303"/>
      <c r="AF6" s="303"/>
      <c r="AG6" s="303"/>
      <c r="AH6" s="303"/>
    </row>
    <row r="7" spans="1:34" ht="15" customHeight="1" x14ac:dyDescent="0.25">
      <c r="A7" s="433" t="s">
        <v>471</v>
      </c>
      <c r="B7" s="433" t="s">
        <v>470</v>
      </c>
      <c r="C7" s="433">
        <v>80101</v>
      </c>
      <c r="D7" s="433" t="s">
        <v>242</v>
      </c>
      <c r="E7" s="433" t="s">
        <v>26</v>
      </c>
      <c r="F7" s="448" t="s">
        <v>102</v>
      </c>
      <c r="G7" s="435">
        <v>5398351</v>
      </c>
      <c r="H7" s="435">
        <v>0</v>
      </c>
      <c r="I7" s="435">
        <v>0</v>
      </c>
      <c r="J7" s="435">
        <v>100000</v>
      </c>
      <c r="K7" s="435">
        <v>5198351</v>
      </c>
      <c r="L7" s="435">
        <v>100000</v>
      </c>
      <c r="M7" s="435">
        <v>0</v>
      </c>
      <c r="N7"/>
      <c r="O7"/>
      <c r="P7"/>
      <c r="Q7"/>
      <c r="R7" s="304" t="s">
        <v>243</v>
      </c>
      <c r="S7" s="374" t="s">
        <v>101</v>
      </c>
      <c r="T7" s="374" t="s">
        <v>102</v>
      </c>
      <c r="U7" s="305">
        <v>44435549</v>
      </c>
      <c r="V7" s="305">
        <v>56927923</v>
      </c>
      <c r="W7" s="305">
        <v>49790959</v>
      </c>
      <c r="X7" s="305">
        <v>15659385</v>
      </c>
      <c r="Y7" s="305">
        <v>0</v>
      </c>
      <c r="Z7" s="303"/>
      <c r="AA7" s="303"/>
      <c r="AB7" s="303"/>
      <c r="AC7" s="303"/>
      <c r="AD7" s="303"/>
      <c r="AE7" s="303"/>
      <c r="AF7" s="303"/>
      <c r="AG7" s="303"/>
      <c r="AH7" s="303"/>
    </row>
    <row r="8" spans="1:34" s="306" customFormat="1" ht="15" customHeight="1" x14ac:dyDescent="0.25">
      <c r="A8" s="433" t="s">
        <v>471</v>
      </c>
      <c r="B8" s="433" t="s">
        <v>470</v>
      </c>
      <c r="C8" s="433">
        <v>80101</v>
      </c>
      <c r="D8" s="433" t="s">
        <v>242</v>
      </c>
      <c r="E8" s="433" t="s">
        <v>26</v>
      </c>
      <c r="F8" s="436" t="s">
        <v>103</v>
      </c>
      <c r="G8" s="435">
        <v>5398351</v>
      </c>
      <c r="H8" s="435">
        <v>0</v>
      </c>
      <c r="I8" s="435">
        <v>0</v>
      </c>
      <c r="J8" s="435">
        <v>100000</v>
      </c>
      <c r="K8" s="435">
        <v>5198351</v>
      </c>
      <c r="L8" s="435">
        <v>100000</v>
      </c>
      <c r="M8" s="435">
        <v>0</v>
      </c>
      <c r="N8"/>
      <c r="O8"/>
      <c r="P8"/>
      <c r="Q8"/>
      <c r="R8" s="304" t="s">
        <v>243</v>
      </c>
      <c r="S8" s="374" t="s">
        <v>101</v>
      </c>
      <c r="T8" s="374" t="s">
        <v>103</v>
      </c>
      <c r="U8" s="375">
        <v>0</v>
      </c>
      <c r="V8" s="375">
        <v>53223136</v>
      </c>
      <c r="W8" s="375">
        <v>49768389</v>
      </c>
      <c r="X8" s="375">
        <v>15659385</v>
      </c>
      <c r="Y8" s="375">
        <v>0</v>
      </c>
      <c r="Z8" s="303"/>
      <c r="AA8" s="303"/>
      <c r="AB8" s="303"/>
      <c r="AC8" s="303"/>
      <c r="AD8" s="303"/>
      <c r="AE8" s="303"/>
      <c r="AF8" s="303"/>
      <c r="AG8" s="303"/>
      <c r="AH8" s="303"/>
    </row>
    <row r="9" spans="1:34" ht="15" customHeight="1" x14ac:dyDescent="0.25">
      <c r="A9" s="433" t="s">
        <v>471</v>
      </c>
      <c r="B9" s="433" t="s">
        <v>470</v>
      </c>
      <c r="C9" s="433">
        <v>80101</v>
      </c>
      <c r="D9" s="433" t="s">
        <v>242</v>
      </c>
      <c r="E9" s="433" t="s">
        <v>26</v>
      </c>
      <c r="F9" s="436" t="s">
        <v>104</v>
      </c>
      <c r="G9" s="435">
        <v>0</v>
      </c>
      <c r="H9" s="435">
        <v>0</v>
      </c>
      <c r="I9" s="435">
        <v>0</v>
      </c>
      <c r="J9" s="435">
        <v>0</v>
      </c>
      <c r="K9" s="435">
        <v>0</v>
      </c>
      <c r="L9" s="435">
        <v>0</v>
      </c>
      <c r="M9" s="435">
        <v>0</v>
      </c>
      <c r="N9"/>
      <c r="O9"/>
      <c r="P9"/>
      <c r="Q9"/>
      <c r="R9" s="304" t="s">
        <v>243</v>
      </c>
      <c r="S9" s="374" t="s">
        <v>101</v>
      </c>
      <c r="T9" s="374" t="s">
        <v>104</v>
      </c>
      <c r="U9" s="375">
        <v>44435549</v>
      </c>
      <c r="V9" s="375">
        <v>3704787</v>
      </c>
      <c r="W9" s="375">
        <v>22570</v>
      </c>
      <c r="X9" s="375">
        <v>0</v>
      </c>
      <c r="Y9" s="375">
        <v>0</v>
      </c>
      <c r="Z9" s="303"/>
      <c r="AA9" s="303"/>
      <c r="AB9" s="303"/>
      <c r="AC9" s="303"/>
      <c r="AD9" s="303"/>
      <c r="AE9" s="303"/>
      <c r="AF9" s="303"/>
      <c r="AG9" s="303"/>
      <c r="AH9" s="303"/>
    </row>
    <row r="10" spans="1:34" ht="15" customHeight="1" x14ac:dyDescent="0.25">
      <c r="A10" s="433" t="s">
        <v>473</v>
      </c>
      <c r="B10" s="433" t="s">
        <v>474</v>
      </c>
      <c r="C10" s="433">
        <v>80101</v>
      </c>
      <c r="D10" s="433" t="s">
        <v>242</v>
      </c>
      <c r="E10" s="433" t="s">
        <v>26</v>
      </c>
      <c r="F10" s="436" t="s">
        <v>102</v>
      </c>
      <c r="G10" s="435">
        <v>4856793</v>
      </c>
      <c r="H10" s="435">
        <v>0</v>
      </c>
      <c r="I10" s="435">
        <v>0</v>
      </c>
      <c r="J10" s="435">
        <v>100000</v>
      </c>
      <c r="K10" s="435">
        <v>4656793</v>
      </c>
      <c r="L10" s="435">
        <v>100000</v>
      </c>
      <c r="M10" s="435">
        <v>0</v>
      </c>
      <c r="N10"/>
      <c r="O10"/>
      <c r="P10"/>
      <c r="Q10"/>
      <c r="R10" s="304" t="s">
        <v>243</v>
      </c>
      <c r="S10" s="374" t="s">
        <v>97</v>
      </c>
      <c r="T10" s="374" t="s">
        <v>102</v>
      </c>
      <c r="U10" s="375">
        <v>0</v>
      </c>
      <c r="V10" s="375">
        <v>200000</v>
      </c>
      <c r="W10" s="375">
        <v>9855144</v>
      </c>
      <c r="X10" s="375">
        <v>200000</v>
      </c>
      <c r="Y10" s="375">
        <v>0</v>
      </c>
      <c r="Z10" s="303"/>
      <c r="AA10" s="303"/>
      <c r="AB10" s="303"/>
      <c r="AC10" s="303"/>
      <c r="AD10" s="303"/>
      <c r="AE10" s="303"/>
      <c r="AF10" s="303"/>
      <c r="AG10" s="303"/>
      <c r="AH10" s="303"/>
    </row>
    <row r="11" spans="1:34" ht="15" customHeight="1" x14ac:dyDescent="0.25">
      <c r="A11" s="433" t="s">
        <v>473</v>
      </c>
      <c r="B11" s="433" t="s">
        <v>474</v>
      </c>
      <c r="C11" s="433">
        <v>80101</v>
      </c>
      <c r="D11" s="433" t="s">
        <v>242</v>
      </c>
      <c r="E11" s="433" t="s">
        <v>26</v>
      </c>
      <c r="F11" s="436" t="s">
        <v>103</v>
      </c>
      <c r="G11" s="435">
        <v>4856793</v>
      </c>
      <c r="H11" s="435">
        <v>0</v>
      </c>
      <c r="I11" s="435">
        <v>0</v>
      </c>
      <c r="J11" s="435">
        <v>100000</v>
      </c>
      <c r="K11" s="435">
        <v>4656793</v>
      </c>
      <c r="L11" s="435">
        <v>100000</v>
      </c>
      <c r="M11" s="435">
        <v>0</v>
      </c>
      <c r="N11"/>
      <c r="O11"/>
      <c r="P11"/>
      <c r="Q11"/>
      <c r="R11" s="304" t="s">
        <v>243</v>
      </c>
      <c r="S11" s="374" t="s">
        <v>97</v>
      </c>
      <c r="T11" s="374" t="s">
        <v>103</v>
      </c>
      <c r="U11" s="307">
        <v>0</v>
      </c>
      <c r="V11" s="307">
        <v>200000</v>
      </c>
      <c r="W11" s="307">
        <v>9855144</v>
      </c>
      <c r="X11" s="307">
        <v>200000</v>
      </c>
      <c r="Y11" s="307">
        <v>0</v>
      </c>
      <c r="Z11" s="303"/>
      <c r="AA11" s="303"/>
      <c r="AB11" s="303"/>
      <c r="AC11" s="303"/>
      <c r="AD11" s="303"/>
      <c r="AE11" s="303"/>
      <c r="AF11" s="303"/>
      <c r="AG11" s="303"/>
      <c r="AH11" s="303"/>
    </row>
    <row r="12" spans="1:34" ht="15" customHeight="1" x14ac:dyDescent="0.25">
      <c r="A12" s="433" t="s">
        <v>473</v>
      </c>
      <c r="B12" s="433" t="s">
        <v>474</v>
      </c>
      <c r="C12" s="433">
        <v>80101</v>
      </c>
      <c r="D12" s="433" t="s">
        <v>242</v>
      </c>
      <c r="E12" s="433" t="s">
        <v>26</v>
      </c>
      <c r="F12" s="437" t="s">
        <v>104</v>
      </c>
      <c r="G12" s="435">
        <v>0</v>
      </c>
      <c r="H12" s="435">
        <v>0</v>
      </c>
      <c r="I12" s="435">
        <v>0</v>
      </c>
      <c r="J12" s="435">
        <v>0</v>
      </c>
      <c r="K12" s="435">
        <v>0</v>
      </c>
      <c r="L12" s="435">
        <v>0</v>
      </c>
      <c r="M12" s="435">
        <v>0</v>
      </c>
      <c r="N12"/>
      <c r="O12"/>
      <c r="P12"/>
      <c r="Q12"/>
      <c r="R12" s="304" t="s">
        <v>243</v>
      </c>
      <c r="S12" s="374" t="s">
        <v>97</v>
      </c>
      <c r="T12" s="374" t="s">
        <v>104</v>
      </c>
      <c r="U12" s="307">
        <v>0</v>
      </c>
      <c r="V12" s="307">
        <v>0</v>
      </c>
      <c r="W12" s="307">
        <v>0</v>
      </c>
      <c r="X12" s="307">
        <v>0</v>
      </c>
      <c r="Y12" s="307">
        <v>0</v>
      </c>
      <c r="Z12" s="303"/>
      <c r="AA12" s="303"/>
      <c r="AB12" s="303"/>
      <c r="AC12" s="303"/>
      <c r="AD12" s="303"/>
      <c r="AE12" s="303"/>
      <c r="AF12" s="303"/>
      <c r="AG12" s="303"/>
      <c r="AH12" s="303"/>
    </row>
    <row r="13" spans="1:34" ht="1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 s="308" t="s">
        <v>244</v>
      </c>
      <c r="S13" s="309" t="s">
        <v>101</v>
      </c>
      <c r="T13" s="310" t="s">
        <v>102</v>
      </c>
      <c r="U13" s="311">
        <f ca="1">'INWESTYCJE PM'!AP8</f>
        <v>44435549</v>
      </c>
      <c r="V13" s="311">
        <f ca="1">'INWESTYCJE PM'!AQ8</f>
        <v>56927923</v>
      </c>
      <c r="W13" s="311">
        <f ca="1">'INWESTYCJE PM'!AR8</f>
        <v>49790959</v>
      </c>
      <c r="X13" s="311">
        <f ca="1">'INWESTYCJE PM'!AS8</f>
        <v>15659385</v>
      </c>
      <c r="Y13" s="311">
        <f ca="1">'INWESTYCJE PM'!AT8</f>
        <v>0</v>
      </c>
      <c r="Z13" s="303"/>
      <c r="AA13" s="303"/>
      <c r="AB13" s="303"/>
      <c r="AC13" s="303"/>
      <c r="AD13" s="303"/>
      <c r="AE13" s="303"/>
      <c r="AF13" s="303"/>
      <c r="AG13" s="303"/>
      <c r="AH13" s="303"/>
    </row>
    <row r="14" spans="1:34" ht="15" customHeight="1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 s="308" t="s">
        <v>244</v>
      </c>
      <c r="S14" s="309" t="s">
        <v>97</v>
      </c>
      <c r="T14" s="312" t="s">
        <v>103</v>
      </c>
      <c r="U14" s="313">
        <f ca="1">'INWESTYCJE PM'!AP6</f>
        <v>0</v>
      </c>
      <c r="V14" s="313">
        <f ca="1">'INWESTYCJE PM'!AQ6</f>
        <v>200000</v>
      </c>
      <c r="W14" s="313">
        <f ca="1">'INWESTYCJE PM'!AR6</f>
        <v>9855144</v>
      </c>
      <c r="X14" s="313">
        <f ca="1">'INWESTYCJE PM'!AS6</f>
        <v>200000</v>
      </c>
      <c r="Y14" s="313">
        <f ca="1">'INWESTYCJE PM'!AT6</f>
        <v>0</v>
      </c>
      <c r="Z14" s="303"/>
      <c r="AA14" s="303"/>
      <c r="AB14" s="303"/>
      <c r="AC14" s="303"/>
      <c r="AD14" s="303"/>
      <c r="AE14" s="303"/>
      <c r="AF14" s="303"/>
      <c r="AG14" s="303"/>
      <c r="AH14" s="303"/>
    </row>
    <row r="15" spans="1:34" ht="15" customHeight="1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 s="314" t="s">
        <v>244</v>
      </c>
      <c r="S15" s="315" t="s">
        <v>97</v>
      </c>
      <c r="T15" s="316" t="s">
        <v>104</v>
      </c>
      <c r="U15" s="317">
        <f ca="1">'INWESTYCJE PM'!AP7</f>
        <v>0</v>
      </c>
      <c r="V15" s="317">
        <f ca="1">'INWESTYCJE PM'!AQ7</f>
        <v>0</v>
      </c>
      <c r="W15" s="317">
        <f ca="1">'INWESTYCJE PM'!AR7</f>
        <v>0</v>
      </c>
      <c r="X15" s="317">
        <f ca="1">'INWESTYCJE PM'!AS7</f>
        <v>0</v>
      </c>
      <c r="Y15" s="317">
        <f ca="1">'INWESTYCJE PM'!AT7</f>
        <v>0</v>
      </c>
      <c r="Z15" s="303"/>
      <c r="AA15" s="303"/>
      <c r="AB15" s="303"/>
      <c r="AC15" s="303"/>
      <c r="AD15" s="303"/>
      <c r="AE15" s="303"/>
      <c r="AF15" s="303"/>
      <c r="AG15" s="303"/>
      <c r="AH15" s="303"/>
    </row>
    <row r="16" spans="1:34" ht="15" customHeight="1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T16" s="318" t="s">
        <v>246</v>
      </c>
      <c r="U16" s="319" t="b">
        <f ca="1">AND(ROUND(U7-U13,2)=0,ROUND(U11-U14,2)=0,ROUND(U12-U15,2)=0)</f>
        <v>1</v>
      </c>
      <c r="V16" s="319" t="b">
        <f ca="1">AND(ROUND(V7-V13,2)=0,ROUND(V11-V14,2)=0,ROUND(V12-V15,2)=0)</f>
        <v>1</v>
      </c>
      <c r="W16" s="319" t="b">
        <f ca="1">AND(ROUND(W7-W13,2)=0,ROUND(W11-W14,2)=0,ROUND(W12-W15,2)=0)</f>
        <v>1</v>
      </c>
      <c r="X16" s="319" t="b">
        <f ca="1">AND(ROUND(X7-X13,2)=0,ROUND(X11-X14,2)=0,ROUND(X12-X15,2)=0)</f>
        <v>1</v>
      </c>
      <c r="Y16" s="319" t="b">
        <f ca="1">AND(ROUND(Y7-Y13,2)=0,ROUND(Y11-Y14,2)=0,ROUND(Y12-Y15,2)=0)</f>
        <v>1</v>
      </c>
      <c r="Z16" s="303"/>
      <c r="AA16" s="303"/>
      <c r="AB16" s="303"/>
      <c r="AC16" s="303"/>
      <c r="AD16" s="303"/>
      <c r="AE16" s="303"/>
      <c r="AF16" s="303"/>
      <c r="AG16" s="303"/>
      <c r="AH16" s="303"/>
    </row>
    <row r="17" spans="1:34" ht="15" customHeight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Z17" s="303"/>
      <c r="AA17" s="303"/>
      <c r="AB17" s="303"/>
      <c r="AC17" s="303"/>
      <c r="AD17" s="303"/>
      <c r="AE17" s="303"/>
      <c r="AF17" s="303"/>
      <c r="AG17" s="303"/>
      <c r="AH17" s="303"/>
    </row>
    <row r="18" spans="1:34" ht="15" customHeight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Z18" s="303"/>
      <c r="AA18" s="303"/>
      <c r="AB18" s="303"/>
      <c r="AC18" s="303"/>
      <c r="AD18" s="303"/>
      <c r="AE18" s="303"/>
      <c r="AF18" s="303"/>
      <c r="AG18" s="303"/>
      <c r="AH18" s="303"/>
    </row>
    <row r="19" spans="1:34" ht="15" customHeight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Z19" s="303"/>
      <c r="AA19" s="303"/>
      <c r="AB19" s="303"/>
      <c r="AC19" s="303"/>
      <c r="AD19" s="303"/>
      <c r="AE19" s="303"/>
      <c r="AF19" s="303"/>
      <c r="AG19" s="303"/>
      <c r="AH19" s="303"/>
    </row>
    <row r="20" spans="1:34" ht="15" customHeigh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</row>
    <row r="21" spans="1:34" ht="15" customHeigh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Z21" s="303"/>
      <c r="AA21" s="303"/>
      <c r="AB21" s="303"/>
      <c r="AC21" s="303"/>
      <c r="AD21" s="303"/>
      <c r="AE21" s="303"/>
      <c r="AF21" s="303"/>
      <c r="AG21" s="303"/>
      <c r="AH21" s="303"/>
    </row>
    <row r="22" spans="1:34" ht="15" customHeigh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Z22" s="303"/>
      <c r="AA22" s="303"/>
      <c r="AB22" s="303"/>
      <c r="AC22" s="303"/>
      <c r="AD22" s="303"/>
      <c r="AE22" s="303"/>
      <c r="AF22" s="303"/>
      <c r="AG22" s="303"/>
      <c r="AH22" s="303"/>
    </row>
    <row r="23" spans="1:34" ht="15" customHeigh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Z23" s="303"/>
      <c r="AA23" s="303"/>
      <c r="AB23" s="303"/>
      <c r="AC23" s="303"/>
      <c r="AD23" s="303"/>
      <c r="AE23" s="303"/>
      <c r="AF23" s="303"/>
      <c r="AG23" s="303"/>
      <c r="AH23" s="303"/>
    </row>
    <row r="24" spans="1:34" ht="15" customHeigh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Z24" s="303"/>
      <c r="AA24" s="303"/>
      <c r="AB24" s="303"/>
      <c r="AC24" s="303"/>
      <c r="AD24" s="303"/>
      <c r="AE24" s="303"/>
      <c r="AF24" s="303"/>
      <c r="AG24" s="303"/>
      <c r="AH24" s="303"/>
    </row>
    <row r="25" spans="1:34" ht="15" customHeigh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 s="303"/>
      <c r="Z25" s="303"/>
      <c r="AA25" s="303"/>
      <c r="AB25" s="303"/>
      <c r="AC25" s="303"/>
      <c r="AD25" s="303"/>
      <c r="AE25" s="303"/>
      <c r="AF25" s="303"/>
      <c r="AG25" s="303"/>
      <c r="AH25" s="303"/>
    </row>
    <row r="26" spans="1:34" ht="15" customHeigh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 s="303"/>
      <c r="Z26" s="303"/>
      <c r="AA26" s="303"/>
      <c r="AB26" s="303"/>
      <c r="AC26" s="303"/>
      <c r="AD26" s="303"/>
      <c r="AE26" s="303"/>
      <c r="AF26" s="303"/>
      <c r="AG26" s="303"/>
      <c r="AH26" s="303"/>
    </row>
    <row r="27" spans="1:34" ht="15" customHeigh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 s="303"/>
      <c r="Z27" s="303"/>
      <c r="AA27" s="303"/>
      <c r="AB27" s="303"/>
      <c r="AC27" s="303"/>
      <c r="AD27" s="303"/>
      <c r="AE27" s="303"/>
      <c r="AF27" s="303"/>
      <c r="AG27" s="303"/>
      <c r="AH27" s="303"/>
    </row>
    <row r="28" spans="1:34" ht="15" customHeigh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 s="303"/>
      <c r="Z28" s="303"/>
      <c r="AA28" s="303"/>
      <c r="AB28" s="303"/>
      <c r="AC28" s="303"/>
      <c r="AD28" s="303"/>
      <c r="AE28" s="303"/>
      <c r="AF28" s="303"/>
      <c r="AG28" s="303"/>
      <c r="AH28" s="303"/>
    </row>
    <row r="29" spans="1:34" ht="15" customHeigh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 s="303"/>
      <c r="Z29" s="303"/>
      <c r="AA29" s="303"/>
      <c r="AB29" s="303"/>
      <c r="AC29" s="303"/>
      <c r="AD29" s="303"/>
      <c r="AE29" s="303"/>
      <c r="AF29" s="303"/>
      <c r="AG29" s="303"/>
      <c r="AH29" s="303"/>
    </row>
    <row r="30" spans="1:34" ht="15" customHeigh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 s="303"/>
      <c r="Z30" s="303"/>
      <c r="AA30" s="303"/>
      <c r="AB30" s="303"/>
      <c r="AC30" s="303"/>
      <c r="AD30" s="303"/>
      <c r="AE30" s="303"/>
      <c r="AF30" s="303"/>
      <c r="AG30" s="303"/>
      <c r="AH30" s="303"/>
    </row>
    <row r="31" spans="1:34" ht="15" customHeigh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 s="303"/>
      <c r="Z31" s="303"/>
      <c r="AA31" s="303"/>
      <c r="AB31" s="303"/>
      <c r="AC31" s="303"/>
      <c r="AD31" s="303"/>
      <c r="AE31" s="303"/>
      <c r="AF31" s="303"/>
      <c r="AG31" s="303"/>
      <c r="AH31" s="303"/>
    </row>
    <row r="32" spans="1:34" ht="15" customHeigh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 s="303"/>
      <c r="Z32" s="303"/>
      <c r="AA32" s="303"/>
      <c r="AB32" s="303"/>
      <c r="AC32" s="303"/>
      <c r="AD32" s="303"/>
      <c r="AE32" s="303"/>
      <c r="AF32" s="303"/>
      <c r="AG32" s="303"/>
      <c r="AH32" s="303"/>
    </row>
    <row r="33" spans="1:34" ht="15" customHeigh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 s="303"/>
      <c r="Z33" s="303"/>
      <c r="AA33" s="303"/>
      <c r="AB33" s="303"/>
      <c r="AC33" s="303"/>
      <c r="AD33" s="303"/>
      <c r="AE33" s="303"/>
      <c r="AF33" s="303"/>
      <c r="AG33" s="303"/>
      <c r="AH33" s="303"/>
    </row>
    <row r="34" spans="1:34" ht="15" customHeigh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 s="303"/>
      <c r="Z34" s="303"/>
      <c r="AA34" s="303"/>
      <c r="AB34" s="303"/>
      <c r="AC34" s="303"/>
      <c r="AD34" s="303"/>
      <c r="AE34" s="303"/>
      <c r="AF34" s="303"/>
      <c r="AG34" s="303"/>
      <c r="AH34" s="303"/>
    </row>
    <row r="35" spans="1:34" ht="15" customHeigh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303"/>
      <c r="Z35" s="303"/>
      <c r="AA35" s="303"/>
      <c r="AB35" s="303"/>
      <c r="AC35" s="303"/>
      <c r="AD35" s="303"/>
      <c r="AE35" s="303"/>
      <c r="AF35" s="303"/>
      <c r="AG35" s="303"/>
      <c r="AH35" s="303"/>
    </row>
    <row r="36" spans="1:34" ht="15" customHeigh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 s="303"/>
      <c r="Z36" s="303"/>
      <c r="AA36" s="303"/>
      <c r="AB36" s="303"/>
      <c r="AC36" s="303"/>
      <c r="AD36" s="303"/>
      <c r="AE36" s="303"/>
      <c r="AF36" s="303"/>
      <c r="AG36" s="303"/>
      <c r="AH36" s="303"/>
    </row>
    <row r="37" spans="1:34" ht="15" customHeigh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 s="303"/>
      <c r="Z37" s="303"/>
      <c r="AA37" s="303"/>
      <c r="AB37" s="303"/>
      <c r="AC37" s="303"/>
      <c r="AD37" s="303"/>
      <c r="AE37" s="303"/>
      <c r="AF37" s="303"/>
      <c r="AG37" s="303"/>
      <c r="AH37" s="303"/>
    </row>
    <row r="38" spans="1:34" ht="15" customHeigh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 s="303"/>
      <c r="Z38" s="303"/>
      <c r="AA38" s="303"/>
      <c r="AB38" s="303"/>
      <c r="AC38" s="303"/>
      <c r="AD38" s="303"/>
      <c r="AE38" s="303"/>
      <c r="AF38" s="303"/>
      <c r="AG38" s="303"/>
      <c r="AH38" s="303"/>
    </row>
    <row r="39" spans="1:34" ht="15" customHeigh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 s="303"/>
      <c r="Z39" s="303"/>
      <c r="AA39" s="303"/>
      <c r="AB39" s="303"/>
      <c r="AC39" s="303"/>
      <c r="AD39" s="303"/>
      <c r="AE39" s="303"/>
      <c r="AF39" s="303"/>
      <c r="AG39" s="303"/>
      <c r="AH39" s="303"/>
    </row>
    <row r="40" spans="1:34" ht="15" customHeigh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 s="303"/>
      <c r="Z40" s="303"/>
      <c r="AA40" s="303"/>
      <c r="AB40" s="303"/>
      <c r="AC40" s="303"/>
      <c r="AD40" s="303"/>
      <c r="AE40" s="303"/>
      <c r="AF40" s="303"/>
      <c r="AG40" s="303"/>
      <c r="AH40" s="303"/>
    </row>
    <row r="41" spans="1:34" ht="15" customHeigh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303"/>
      <c r="Z41" s="303"/>
      <c r="AA41" s="303"/>
      <c r="AB41" s="303"/>
      <c r="AC41" s="303"/>
      <c r="AD41" s="303"/>
      <c r="AE41" s="303"/>
      <c r="AF41" s="303"/>
      <c r="AG41" s="303"/>
      <c r="AH41" s="303"/>
    </row>
    <row r="42" spans="1:34" ht="15" customHeigh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303"/>
      <c r="Z42" s="303"/>
      <c r="AA42" s="303"/>
      <c r="AB42" s="303"/>
      <c r="AC42" s="303"/>
      <c r="AD42" s="303"/>
      <c r="AE42" s="303"/>
      <c r="AF42" s="303"/>
      <c r="AG42" s="303"/>
      <c r="AH42" s="303"/>
    </row>
    <row r="43" spans="1:34" ht="15" customHeigh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303"/>
      <c r="Z43" s="303"/>
      <c r="AA43" s="303"/>
      <c r="AB43" s="303"/>
      <c r="AC43" s="303"/>
      <c r="AD43" s="303"/>
      <c r="AE43" s="303"/>
      <c r="AF43" s="303"/>
      <c r="AG43" s="303"/>
      <c r="AH43" s="303"/>
    </row>
    <row r="44" spans="1:34" ht="15" customHeigh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 s="303"/>
      <c r="Z44" s="303"/>
      <c r="AA44" s="303"/>
      <c r="AB44" s="303"/>
      <c r="AC44" s="303"/>
      <c r="AD44" s="303"/>
      <c r="AE44" s="303"/>
      <c r="AF44" s="303"/>
      <c r="AG44" s="303"/>
      <c r="AH44" s="303"/>
    </row>
    <row r="45" spans="1:34" ht="15" customHeigh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 s="303"/>
      <c r="Z45" s="303"/>
      <c r="AA45" s="303"/>
      <c r="AB45" s="303"/>
      <c r="AC45" s="303"/>
      <c r="AD45" s="303"/>
      <c r="AE45" s="303"/>
      <c r="AF45" s="303"/>
      <c r="AG45" s="303"/>
      <c r="AH45" s="303"/>
    </row>
    <row r="46" spans="1:34" ht="15" customHeigh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 s="303"/>
      <c r="Z46" s="303"/>
      <c r="AA46" s="303"/>
      <c r="AB46" s="303"/>
      <c r="AC46" s="303"/>
      <c r="AD46" s="303"/>
      <c r="AE46" s="303"/>
      <c r="AF46" s="303"/>
      <c r="AG46" s="303"/>
      <c r="AH46" s="303"/>
    </row>
    <row r="47" spans="1:34" ht="15" customHeigh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 s="303"/>
      <c r="Z47" s="303"/>
      <c r="AA47" s="303"/>
      <c r="AB47" s="303"/>
      <c r="AC47" s="303"/>
      <c r="AD47" s="303"/>
      <c r="AE47" s="303"/>
      <c r="AF47" s="303"/>
      <c r="AG47" s="303"/>
      <c r="AH47" s="303"/>
    </row>
    <row r="48" spans="1:34" ht="15" customHeigh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 s="303"/>
      <c r="Z48" s="303"/>
      <c r="AA48" s="303"/>
      <c r="AB48" s="303"/>
      <c r="AC48" s="303"/>
      <c r="AD48" s="303"/>
      <c r="AE48" s="303"/>
      <c r="AF48" s="303"/>
      <c r="AG48" s="303"/>
      <c r="AH48" s="303"/>
    </row>
    <row r="49" spans="1:34" ht="15" customHeigh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 s="303"/>
      <c r="Z49" s="303"/>
      <c r="AA49" s="303"/>
      <c r="AB49" s="303"/>
      <c r="AC49" s="303"/>
      <c r="AD49" s="303"/>
      <c r="AE49" s="303"/>
      <c r="AF49" s="303"/>
      <c r="AG49" s="303"/>
      <c r="AH49" s="303"/>
    </row>
    <row r="50" spans="1:34" ht="15" customHeigh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 s="303"/>
      <c r="Z50" s="303"/>
      <c r="AA50" s="303"/>
      <c r="AB50" s="303"/>
      <c r="AC50" s="303"/>
      <c r="AD50" s="303"/>
      <c r="AE50" s="303"/>
      <c r="AF50" s="303"/>
      <c r="AG50" s="303"/>
      <c r="AH50" s="303"/>
    </row>
    <row r="51" spans="1:34" ht="15" customHeigh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 s="303"/>
      <c r="Z51" s="303"/>
      <c r="AA51" s="303"/>
      <c r="AB51" s="303"/>
      <c r="AC51" s="303"/>
      <c r="AD51" s="303"/>
      <c r="AE51" s="303"/>
      <c r="AF51" s="303"/>
      <c r="AG51" s="303"/>
      <c r="AH51" s="303"/>
    </row>
    <row r="52" spans="1:34" ht="15" customHeigh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 s="303"/>
      <c r="Z52" s="303"/>
      <c r="AA52" s="303"/>
      <c r="AB52" s="303"/>
      <c r="AC52" s="303"/>
      <c r="AD52" s="303"/>
      <c r="AE52" s="303"/>
      <c r="AF52" s="303"/>
      <c r="AG52" s="303"/>
      <c r="AH52" s="303"/>
    </row>
    <row r="53" spans="1:34" ht="15" customHeigh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303"/>
      <c r="Z53" s="303"/>
      <c r="AA53" s="303"/>
      <c r="AB53" s="303"/>
      <c r="AC53" s="303"/>
      <c r="AD53" s="303"/>
      <c r="AE53" s="303"/>
      <c r="AF53" s="303"/>
      <c r="AG53" s="303"/>
      <c r="AH53" s="303"/>
    </row>
    <row r="54" spans="1:34" ht="15" customHeigh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 s="303"/>
      <c r="Z54" s="303"/>
      <c r="AA54" s="303"/>
      <c r="AB54" s="303"/>
      <c r="AC54" s="303"/>
      <c r="AD54" s="303"/>
      <c r="AE54" s="303"/>
      <c r="AF54" s="303"/>
      <c r="AG54" s="303"/>
      <c r="AH54" s="303"/>
    </row>
    <row r="55" spans="1:34" ht="15" customHeigh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 s="303"/>
      <c r="Z55" s="303"/>
      <c r="AA55" s="303"/>
      <c r="AB55" s="303"/>
      <c r="AC55" s="303"/>
      <c r="AD55" s="303"/>
      <c r="AE55" s="303"/>
      <c r="AF55" s="303"/>
      <c r="AG55" s="303"/>
      <c r="AH55" s="303"/>
    </row>
    <row r="56" spans="1:34" ht="1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 s="303"/>
      <c r="Z56" s="303"/>
      <c r="AA56" s="303"/>
      <c r="AB56" s="303"/>
      <c r="AC56" s="303"/>
      <c r="AD56" s="303"/>
      <c r="AE56" s="303"/>
      <c r="AF56" s="303"/>
      <c r="AG56" s="303"/>
      <c r="AH56" s="303"/>
    </row>
    <row r="57" spans="1:34" ht="15" customHeigh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 s="303"/>
      <c r="Z57" s="303"/>
      <c r="AA57" s="303"/>
      <c r="AB57" s="303"/>
      <c r="AC57" s="303"/>
      <c r="AD57" s="303"/>
      <c r="AE57" s="303"/>
      <c r="AF57" s="303"/>
      <c r="AG57" s="303"/>
      <c r="AH57" s="303"/>
    </row>
    <row r="58" spans="1:34" ht="15" customHeight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 s="303"/>
      <c r="Z58" s="303"/>
      <c r="AA58" s="303"/>
      <c r="AB58" s="303"/>
      <c r="AC58" s="303"/>
      <c r="AD58" s="303"/>
      <c r="AE58" s="303"/>
      <c r="AF58" s="303"/>
      <c r="AG58" s="303"/>
      <c r="AH58" s="303"/>
    </row>
    <row r="59" spans="1:34" ht="15" customHeight="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 s="303"/>
      <c r="Z59" s="303"/>
      <c r="AA59" s="303"/>
      <c r="AB59" s="303"/>
      <c r="AC59" s="303"/>
      <c r="AD59" s="303"/>
      <c r="AE59" s="303"/>
      <c r="AF59" s="303"/>
      <c r="AG59" s="303"/>
      <c r="AH59" s="303"/>
    </row>
    <row r="60" spans="1:34" ht="15" customHeigh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 s="303"/>
      <c r="Z60" s="303"/>
      <c r="AA60" s="303"/>
      <c r="AB60" s="303"/>
      <c r="AC60" s="303"/>
      <c r="AD60" s="303"/>
      <c r="AE60" s="303"/>
      <c r="AF60" s="303"/>
      <c r="AG60" s="303"/>
      <c r="AH60" s="303"/>
    </row>
    <row r="61" spans="1:34" ht="15" customHeight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 s="303"/>
      <c r="Z61" s="303"/>
      <c r="AA61" s="303"/>
      <c r="AB61" s="303"/>
      <c r="AC61" s="303"/>
      <c r="AD61" s="303"/>
      <c r="AE61" s="303"/>
      <c r="AF61" s="303"/>
      <c r="AG61" s="303"/>
      <c r="AH61" s="303"/>
    </row>
    <row r="62" spans="1:34" ht="15" customHeigh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 s="303"/>
      <c r="Z62" s="303"/>
      <c r="AA62" s="303"/>
      <c r="AB62" s="303"/>
      <c r="AC62" s="303"/>
      <c r="AD62" s="303"/>
      <c r="AE62" s="303"/>
      <c r="AF62" s="303"/>
      <c r="AG62" s="303"/>
      <c r="AH62" s="303"/>
    </row>
    <row r="63" spans="1:34" ht="15" customHeigh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 s="303"/>
      <c r="Z63" s="303"/>
      <c r="AA63" s="303"/>
      <c r="AB63" s="303"/>
      <c r="AC63" s="303"/>
      <c r="AD63" s="303"/>
      <c r="AE63" s="303"/>
      <c r="AF63" s="303"/>
      <c r="AG63" s="303"/>
      <c r="AH63" s="303"/>
    </row>
    <row r="64" spans="1:34" ht="15" customHeigh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 s="303"/>
      <c r="Z64" s="303"/>
      <c r="AA64" s="303"/>
      <c r="AB64" s="303"/>
      <c r="AC64" s="303"/>
      <c r="AD64" s="303"/>
      <c r="AE64" s="303"/>
      <c r="AF64" s="303"/>
      <c r="AG64" s="303"/>
      <c r="AH64" s="303"/>
    </row>
    <row r="65" spans="1:34" ht="15" customHeigh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 s="303"/>
      <c r="Z65" s="303"/>
      <c r="AA65" s="303"/>
      <c r="AB65" s="303"/>
      <c r="AC65" s="303"/>
      <c r="AD65" s="303"/>
      <c r="AE65" s="303"/>
      <c r="AF65" s="303"/>
      <c r="AG65" s="303"/>
      <c r="AH65" s="303"/>
    </row>
    <row r="66" spans="1:34" ht="15" customHeight="1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 s="303"/>
      <c r="Z66" s="303"/>
      <c r="AA66" s="303"/>
      <c r="AB66" s="303"/>
      <c r="AC66" s="303"/>
      <c r="AD66" s="303"/>
      <c r="AE66" s="303"/>
      <c r="AF66" s="303"/>
      <c r="AG66" s="303"/>
      <c r="AH66" s="303"/>
    </row>
    <row r="67" spans="1:34" ht="15" customHeight="1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 s="303"/>
      <c r="Z67" s="303"/>
      <c r="AA67" s="303"/>
      <c r="AB67" s="303"/>
      <c r="AC67" s="303"/>
      <c r="AD67" s="303"/>
      <c r="AE67" s="303"/>
      <c r="AF67" s="303"/>
      <c r="AG67" s="303"/>
      <c r="AH67" s="303"/>
    </row>
    <row r="68" spans="1:34" ht="15" customHeight="1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 s="303"/>
      <c r="Z68" s="303"/>
      <c r="AA68" s="303"/>
      <c r="AB68" s="303"/>
      <c r="AC68" s="303"/>
      <c r="AD68" s="303"/>
      <c r="AE68" s="303"/>
      <c r="AF68" s="303"/>
      <c r="AG68" s="303"/>
      <c r="AH68" s="303"/>
    </row>
    <row r="69" spans="1:34" ht="15" customHeight="1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</row>
    <row r="70" spans="1:34" ht="15" customHeight="1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</row>
    <row r="71" spans="1:34" ht="15" customHeight="1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</row>
    <row r="72" spans="1:34" ht="15" customHeight="1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</row>
    <row r="73" spans="1:34" ht="15" customHeight="1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</row>
    <row r="74" spans="1:34" ht="15" customHeight="1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</row>
    <row r="75" spans="1:34" ht="15" customHeight="1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</row>
    <row r="76" spans="1:34" ht="15" customHeight="1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</row>
    <row r="77" spans="1:34" ht="15" customHeight="1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</row>
    <row r="78" spans="1:34" ht="15" customHeight="1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</row>
    <row r="79" spans="1:34" ht="15" customHeight="1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</row>
    <row r="80" spans="1:34" ht="15" customHeight="1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</row>
    <row r="81" spans="1:24" ht="15" customHeight="1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</row>
    <row r="82" spans="1:24" ht="15" customHeight="1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</row>
    <row r="83" spans="1:24" ht="15" customHeight="1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</row>
    <row r="84" spans="1:24" ht="15" customHeight="1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</row>
    <row r="85" spans="1:24" ht="15" customHeight="1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</row>
    <row r="86" spans="1:24" ht="15" customHeight="1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</row>
    <row r="87" spans="1:24" ht="15" customHeight="1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</row>
    <row r="88" spans="1:24" ht="15" customHeight="1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</row>
    <row r="89" spans="1:24" ht="15" customHeight="1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</row>
    <row r="90" spans="1:24" ht="15" customHeight="1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</row>
    <row r="91" spans="1:24" ht="15" customHeight="1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</row>
    <row r="92" spans="1:24" ht="15" customHeight="1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</row>
    <row r="93" spans="1:24" ht="15" customHeight="1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</row>
    <row r="94" spans="1:24" ht="15" customHeight="1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</row>
    <row r="95" spans="1:24" ht="15" customHeight="1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</row>
    <row r="96" spans="1:24" ht="15" customHeight="1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</row>
    <row r="97" spans="1:24" ht="15" customHeight="1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</row>
    <row r="98" spans="1:24" ht="15" customHeight="1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</row>
    <row r="99" spans="1:24" ht="15" customHeight="1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</row>
    <row r="100" spans="1:24" ht="15" customHeight="1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</row>
    <row r="101" spans="1:24" ht="15" customHeight="1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</row>
    <row r="102" spans="1:24" ht="15" customHeight="1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</row>
    <row r="103" spans="1:24" ht="15" customHeight="1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</row>
    <row r="104" spans="1:24" ht="15" customHeight="1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</row>
    <row r="105" spans="1:24" ht="15" customHeight="1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</row>
    <row r="106" spans="1:24" ht="15" customHeight="1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</row>
    <row r="107" spans="1:24" ht="15" customHeight="1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</row>
    <row r="108" spans="1:24" ht="15" customHeight="1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</row>
    <row r="109" spans="1:24" ht="15" customHeight="1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</row>
    <row r="110" spans="1:24" ht="15" customHeight="1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</row>
    <row r="111" spans="1:24" ht="15" customHeight="1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</row>
    <row r="112" spans="1:24" ht="15" customHeight="1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</row>
    <row r="113" spans="1:24" ht="15" customHeight="1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</row>
    <row r="114" spans="1:24" ht="15" customHeight="1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</row>
    <row r="115" spans="1:24" ht="15" customHeight="1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</row>
    <row r="116" spans="1:24" ht="15" customHeight="1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</row>
    <row r="117" spans="1:24" ht="15" customHeight="1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</row>
    <row r="118" spans="1:24" ht="15" customHeight="1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</row>
    <row r="119" spans="1:24" ht="15" customHeight="1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</row>
    <row r="120" spans="1:24" ht="15" customHeight="1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</row>
    <row r="121" spans="1:24" ht="15" customHeight="1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</row>
    <row r="122" spans="1:24" ht="15" customHeight="1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</row>
    <row r="123" spans="1:24" ht="15" customHeight="1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</row>
    <row r="124" spans="1:24" ht="15" customHeight="1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</row>
    <row r="125" spans="1:24" ht="15" customHeight="1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</row>
    <row r="126" spans="1:24" ht="15" customHeight="1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</row>
    <row r="127" spans="1:24" ht="15" customHeight="1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</row>
    <row r="128" spans="1:24" ht="15" customHeight="1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</row>
    <row r="129" spans="1:24" ht="15" customHeight="1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</row>
    <row r="130" spans="1:24" ht="15" customHeight="1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</row>
    <row r="131" spans="1:24" ht="15" customHeight="1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</row>
    <row r="132" spans="1:24" ht="15" customHeight="1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</row>
    <row r="133" spans="1:24" ht="15" customHeight="1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</row>
    <row r="134" spans="1:24" ht="15" customHeight="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</row>
    <row r="135" spans="1:24" ht="15" customHeight="1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</row>
    <row r="136" spans="1:24" ht="15" customHeight="1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</row>
    <row r="137" spans="1:24" ht="15" customHeight="1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</row>
    <row r="138" spans="1:24" ht="15" customHeight="1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</row>
    <row r="139" spans="1:24" ht="15" customHeight="1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</row>
    <row r="140" spans="1:24" ht="15" customHeight="1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</row>
    <row r="141" spans="1:24" ht="15" customHeight="1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</row>
    <row r="142" spans="1:24" ht="15" customHeight="1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</row>
    <row r="143" spans="1:24" ht="15" customHeight="1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</row>
    <row r="144" spans="1:24" ht="15" customHeight="1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</row>
    <row r="145" spans="1:24" ht="15" customHeight="1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</row>
    <row r="146" spans="1:24" ht="15" customHeight="1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</row>
    <row r="147" spans="1:24" ht="15" customHeight="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</row>
    <row r="148" spans="1:24" ht="15" customHeight="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</row>
    <row r="149" spans="1:24" ht="15" customHeight="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</row>
    <row r="150" spans="1:24" ht="15" customHeight="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</row>
    <row r="151" spans="1:24" ht="15" customHeight="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</row>
    <row r="152" spans="1:24" ht="15" customHeight="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</row>
    <row r="153" spans="1:24" ht="15" customHeight="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</row>
    <row r="154" spans="1:24" ht="15" customHeight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</row>
    <row r="155" spans="1:24" ht="15" customHeight="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</row>
    <row r="156" spans="1:24" ht="15" customHeight="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</row>
    <row r="157" spans="1:24" ht="15" customHeight="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</row>
    <row r="158" spans="1:24" ht="15" customHeight="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</row>
    <row r="159" spans="1:24" ht="15" customHeight="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</row>
    <row r="160" spans="1:24" ht="15" customHeight="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</row>
    <row r="161" spans="1:24" ht="15" customHeight="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</row>
    <row r="162" spans="1:24" ht="15" customHeight="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</row>
    <row r="163" spans="1:24" ht="15" customHeight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</row>
    <row r="164" spans="1:24" ht="15" customHeight="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</row>
    <row r="165" spans="1:24" ht="15" customHeight="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</row>
    <row r="166" spans="1:24" ht="15" customHeight="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</row>
    <row r="167" spans="1:24" ht="15" customHeight="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</row>
    <row r="168" spans="1:24" ht="15" customHeight="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</row>
    <row r="169" spans="1:24" ht="15" customHeight="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</row>
    <row r="170" spans="1:24" ht="15" customHeight="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</row>
    <row r="171" spans="1:24" ht="15" customHeight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</row>
    <row r="172" spans="1:24" ht="15" customHeight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</row>
    <row r="173" spans="1:24" ht="15" customHeight="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</row>
    <row r="174" spans="1:24" ht="15" customHeight="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</row>
    <row r="175" spans="1:24" ht="15" customHeight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</row>
    <row r="176" spans="1:24" ht="15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</row>
    <row r="177" spans="1:24" ht="15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</row>
    <row r="178" spans="1:24" ht="15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</row>
    <row r="179" spans="1:24" ht="15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</row>
    <row r="180" spans="1:24" ht="15" customHeigh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</row>
    <row r="181" spans="1:24" ht="15" customHeigh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</row>
    <row r="182" spans="1:24" ht="15" customHeigh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</row>
    <row r="183" spans="1:24" ht="15" customHeigh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</row>
    <row r="184" spans="1:24" ht="15" customHeigh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</row>
    <row r="185" spans="1:24" ht="15" customHeigh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</row>
    <row r="186" spans="1:24" ht="15" customHeigh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</row>
    <row r="187" spans="1:24" ht="15" customHeigh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</row>
    <row r="188" spans="1:24" ht="15" customHeigh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</row>
    <row r="189" spans="1:24" ht="15" customHeigh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</row>
    <row r="190" spans="1:24" ht="15" customHeigh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</row>
    <row r="191" spans="1:24" ht="15" customHeigh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</row>
    <row r="192" spans="1:24" ht="15" customHeigh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</row>
    <row r="193" spans="1:24" ht="15" customHeigh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</row>
    <row r="194" spans="1:24" ht="15" customHeigh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</row>
    <row r="195" spans="1:24" ht="15" customHeigh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</row>
    <row r="196" spans="1:24" ht="15" customHeigh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</row>
    <row r="197" spans="1:24" ht="15" customHeigh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</row>
    <row r="198" spans="1:24" ht="15" customHeigh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</row>
    <row r="199" spans="1:24" ht="15" customHeigh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</row>
    <row r="200" spans="1:24" ht="15" customHeigh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</row>
    <row r="201" spans="1:24" ht="15" customHeigh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</row>
    <row r="202" spans="1:24" ht="15" customHeigh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</row>
    <row r="203" spans="1:24" ht="15" customHeigh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</row>
    <row r="204" spans="1:24" ht="15" customHeigh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</row>
    <row r="205" spans="1:24" ht="15" customHeigh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</row>
    <row r="206" spans="1:24" ht="15" customHeigh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</row>
    <row r="207" spans="1:24" ht="15" customHeigh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</row>
    <row r="208" spans="1:24" ht="15" customHeigh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</row>
    <row r="209" spans="1:23" ht="15" customHeigh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</row>
    <row r="210" spans="1:23" ht="15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</row>
    <row r="211" spans="1:23" ht="15" customHeigh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</row>
    <row r="212" spans="1:23" ht="15" customHeigh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</row>
    <row r="213" spans="1:23" ht="15" customHeigh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</row>
    <row r="214" spans="1:23" ht="15" customHeigh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</row>
    <row r="215" spans="1:23" ht="15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</row>
    <row r="216" spans="1:23" ht="15" customHeigh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</row>
    <row r="217" spans="1:23" ht="15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</row>
    <row r="218" spans="1:23" ht="1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</row>
    <row r="219" spans="1:23" ht="15" customHeigh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23" ht="15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23" ht="15" customHeigh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23" ht="15" customHeigh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23" ht="15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23" ht="15" customHeigh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15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15" customHeigh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15" customHeigh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15" customHeigh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15" customHeigh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</row>
    <row r="230" spans="1:14" ht="15" customHeigh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</row>
    <row r="231" spans="1:14" ht="15" customHeigh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</row>
    <row r="232" spans="1:14" ht="15" customHeigh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</row>
    <row r="233" spans="1:14" ht="15" customHeigh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</row>
    <row r="234" spans="1:14" ht="15" customHeigh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</row>
    <row r="235" spans="1:14" ht="15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</row>
    <row r="236" spans="1:14" ht="15" customHeigh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</row>
    <row r="237" spans="1:14" ht="15" customHeigh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</row>
    <row r="238" spans="1:14" ht="15" customHeigh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</row>
    <row r="239" spans="1:14" ht="15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</row>
    <row r="240" spans="1:14" ht="15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</row>
    <row r="241" spans="1:13" ht="15" customHeigh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</row>
    <row r="242" spans="1:13" ht="15" customHeigh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</row>
    <row r="243" spans="1:13" ht="15" customHeigh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</row>
    <row r="244" spans="1:13" ht="15" customHeigh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</row>
    <row r="245" spans="1:13" ht="15" customHeigh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</row>
    <row r="246" spans="1:13" ht="15" customHeigh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</row>
    <row r="247" spans="1:13" ht="15" customHeigh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</row>
    <row r="248" spans="1:13" ht="15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</row>
    <row r="249" spans="1:13" ht="15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</row>
    <row r="250" spans="1:13" ht="15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</row>
    <row r="251" spans="1:13" ht="15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</row>
    <row r="252" spans="1:13" ht="15" customHeigh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</row>
    <row r="253" spans="1:13" ht="15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</row>
    <row r="254" spans="1:13" ht="15" customHeigh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</row>
    <row r="255" spans="1:13" ht="15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</row>
    <row r="256" spans="1:13" ht="15" customHeigh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</row>
    <row r="257" spans="1:13" ht="15" customHeigh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</row>
    <row r="258" spans="1:13" ht="15" customHeigh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</row>
    <row r="259" spans="1:13" ht="15" customHeigh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</row>
    <row r="260" spans="1:13" ht="15" customHeigh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</row>
    <row r="261" spans="1:13" ht="15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</row>
    <row r="262" spans="1:13" ht="15" customHeigh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</row>
    <row r="263" spans="1:13" ht="15" customHeigh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</row>
    <row r="264" spans="1:13" ht="15" customHeigh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</row>
    <row r="265" spans="1:13" ht="15" customHeigh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</row>
    <row r="266" spans="1:13" ht="15" customHeigh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</row>
    <row r="267" spans="1:13" ht="15" customHeigh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</row>
    <row r="268" spans="1:13" ht="15" customHeigh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</row>
    <row r="269" spans="1:13" ht="15" customHeigh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</row>
    <row r="270" spans="1:13" ht="15" customHeigh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</row>
    <row r="271" spans="1:13" ht="15" customHeight="1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</row>
    <row r="272" spans="1:13" ht="15" customHeight="1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</row>
    <row r="273" spans="1:13" ht="15" customHeight="1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</row>
    <row r="274" spans="1:13" ht="15" customHeight="1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</row>
    <row r="275" spans="1:13" ht="15" customHeight="1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</row>
    <row r="276" spans="1:13" ht="15" customHeight="1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</row>
    <row r="277" spans="1:13" ht="15" customHeight="1" x14ac:dyDescent="0.25"/>
  </sheetData>
  <conditionalFormatting sqref="U16:Y16">
    <cfRule type="expression" dxfId="4312" priority="5">
      <formula>COUNTIF(U16,"prawda")&gt;0</formula>
    </cfRule>
    <cfRule type="expression" dxfId="4311" priority="6">
      <formula>COUNTIF(U16,"fałsz")&gt;0</formula>
    </cfRule>
  </conditionalFormatting>
  <conditionalFormatting sqref="T16">
    <cfRule type="expression" dxfId="4310" priority="3">
      <formula>COUNTIF($U$16:$Y$16,"prawda")=5</formula>
    </cfRule>
    <cfRule type="expression" dxfId="4309" priority="4">
      <formula>COUNTIF($U$16:$Y$16,"fałsz")&gt;0</formula>
    </cfRule>
  </conditionalFormatting>
  <conditionalFormatting sqref="C1:P1">
    <cfRule type="expression" dxfId="4308" priority="1">
      <formula>COUNTIF($C$1,"*nie zgadzają się*")&gt;0</formula>
    </cfRule>
    <cfRule type="expression" dxfId="4307" priority="2">
      <formula>COUNTIF($C$1,"*tabeli zgadzają się*")&gt;0</formula>
    </cfRule>
  </conditionalFormatting>
  <pageMargins left="0.19685039370078741" right="0.19685039370078741" top="0.59055118110236227" bottom="0.59055118110236227" header="0.19685039370078741" footer="0.19685039370078741"/>
  <pageSetup paperSize="9" scale="80" orientation="landscape" horizontalDpi="4294967293" verticalDpi="4294967293" r:id="rId3"/>
  <headerFooter>
    <oddFooter>&amp;R&amp;P /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225FD-B5F5-4AB2-A25D-0B0CE6C58339}">
  <sheetPr>
    <tabColor rgb="FF0000CC"/>
  </sheetPr>
  <dimension ref="A1:S52"/>
  <sheetViews>
    <sheetView view="pageBreakPreview" zoomScale="90" zoomScaleNormal="90" zoomScaleSheetLayoutView="90" workbookViewId="0">
      <pane ySplit="18" topLeftCell="A19" activePane="bottomLeft" state="frozen"/>
      <selection activeCell="A19" sqref="A19"/>
      <selection pane="bottomLeft" activeCell="A15" sqref="A15:A18"/>
    </sheetView>
  </sheetViews>
  <sheetFormatPr defaultColWidth="7.7109375" defaultRowHeight="15" x14ac:dyDescent="0.25"/>
  <cols>
    <col min="1" max="1" width="24.28515625" style="402" customWidth="1"/>
    <col min="2" max="2" width="9.5703125" style="402" customWidth="1"/>
    <col min="3" max="3" width="5.42578125" style="402" customWidth="1"/>
    <col min="4" max="4" width="9.5703125" style="402" customWidth="1"/>
    <col min="5" max="5" width="7.5703125" style="402" customWidth="1"/>
    <col min="6" max="6" width="12.42578125" style="402" customWidth="1"/>
    <col min="7" max="7" width="50.7109375" style="402" customWidth="1"/>
    <col min="8" max="8" width="14.5703125" style="402" customWidth="1"/>
    <col min="9" max="12" width="12.85546875" style="402" customWidth="1"/>
    <col min="13" max="16" width="12.7109375" style="401" customWidth="1"/>
    <col min="17" max="17" width="35.85546875" style="411" hidden="1" customWidth="1"/>
    <col min="18" max="18" width="22.85546875" style="411" hidden="1" customWidth="1"/>
    <col min="19" max="19" width="0" style="411" hidden="1" customWidth="1"/>
    <col min="20" max="16384" width="7.7109375" style="411"/>
  </cols>
  <sheetData>
    <row r="1" spans="1:16" s="402" customFormat="1" ht="44.25" customHeight="1" x14ac:dyDescent="0.25">
      <c r="A1" s="399"/>
      <c r="B1" s="400"/>
      <c r="C1" s="400"/>
      <c r="D1" s="400"/>
      <c r="E1" s="400"/>
      <c r="F1" s="400"/>
      <c r="G1" s="400"/>
      <c r="H1" s="400"/>
      <c r="I1" s="569" t="s">
        <v>536</v>
      </c>
      <c r="J1" s="570"/>
      <c r="K1" s="570"/>
      <c r="L1" s="570"/>
      <c r="M1" s="401"/>
      <c r="N1" s="401"/>
      <c r="O1" s="401"/>
      <c r="P1" s="401"/>
    </row>
    <row r="2" spans="1:16" s="402" customFormat="1" ht="11.65" customHeight="1" x14ac:dyDescent="0.25">
      <c r="A2" s="399"/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1"/>
      <c r="N2" s="401"/>
      <c r="O2" s="401"/>
      <c r="P2" s="401"/>
    </row>
    <row r="3" spans="1:16" s="402" customFormat="1" ht="15" customHeight="1" x14ac:dyDescent="0.25">
      <c r="A3" s="403" t="s">
        <v>0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1"/>
      <c r="N3" s="401"/>
      <c r="O3" s="401"/>
      <c r="P3" s="401"/>
    </row>
    <row r="4" spans="1:16" s="402" customFormat="1" ht="15" customHeight="1" x14ac:dyDescent="0.25">
      <c r="A4" s="405"/>
      <c r="B4" s="405"/>
      <c r="C4" s="405"/>
      <c r="D4" s="405"/>
      <c r="E4" s="403" t="s">
        <v>1</v>
      </c>
      <c r="F4" s="404"/>
      <c r="G4" s="404"/>
      <c r="H4" s="404"/>
      <c r="I4" s="405"/>
      <c r="J4" s="405"/>
      <c r="K4" s="405"/>
      <c r="L4" s="405"/>
      <c r="M4" s="401"/>
      <c r="N4" s="401"/>
      <c r="O4" s="401"/>
      <c r="P4" s="401"/>
    </row>
    <row r="5" spans="1:16" s="402" customFormat="1" hidden="1" x14ac:dyDescent="0.25">
      <c r="A5" s="400"/>
      <c r="B5" s="406"/>
      <c r="C5" s="406"/>
      <c r="D5" s="406"/>
      <c r="E5" s="406"/>
      <c r="F5" s="567" t="s">
        <v>476</v>
      </c>
      <c r="G5" s="568"/>
      <c r="H5" s="568"/>
      <c r="I5" s="406"/>
      <c r="J5" s="406"/>
      <c r="K5" s="406"/>
      <c r="L5" s="406"/>
      <c r="M5" s="401"/>
      <c r="N5" s="401"/>
      <c r="O5" s="401"/>
      <c r="P5" s="401"/>
    </row>
    <row r="6" spans="1:16" s="402" customFormat="1" ht="15" customHeight="1" x14ac:dyDescent="0.25">
      <c r="A6" s="400"/>
      <c r="B6" s="406"/>
      <c r="C6" s="406"/>
      <c r="D6" s="406"/>
      <c r="E6" s="406"/>
      <c r="F6" s="403" t="s">
        <v>477</v>
      </c>
      <c r="G6" s="404"/>
      <c r="H6" s="404"/>
      <c r="I6" s="407"/>
      <c r="J6" s="406"/>
      <c r="K6" s="406"/>
      <c r="L6" s="406"/>
      <c r="M6" s="401"/>
      <c r="N6" s="401"/>
      <c r="O6" s="401"/>
      <c r="P6" s="401"/>
    </row>
    <row r="7" spans="1:16" s="402" customFormat="1" hidden="1" x14ac:dyDescent="0.25">
      <c r="A7" s="400"/>
      <c r="B7" s="406"/>
      <c r="C7" s="406"/>
      <c r="D7" s="406"/>
      <c r="E7" s="406"/>
      <c r="F7" s="568"/>
      <c r="G7" s="568"/>
      <c r="H7" s="568"/>
      <c r="I7" s="406"/>
      <c r="J7" s="406"/>
      <c r="K7" s="406"/>
      <c r="L7" s="406"/>
      <c r="M7" s="401"/>
      <c r="N7" s="401"/>
      <c r="O7" s="401"/>
      <c r="P7" s="401"/>
    </row>
    <row r="8" spans="1:16" s="402" customFormat="1" hidden="1" x14ac:dyDescent="0.25">
      <c r="A8" s="400"/>
      <c r="B8" s="406"/>
      <c r="C8" s="406"/>
      <c r="D8" s="406"/>
      <c r="E8" s="406"/>
      <c r="F8" s="567" t="s">
        <v>4</v>
      </c>
      <c r="G8" s="568"/>
      <c r="H8" s="568"/>
      <c r="I8" s="406"/>
      <c r="J8" s="406"/>
      <c r="K8" s="406"/>
      <c r="L8" s="406"/>
      <c r="M8" s="401"/>
      <c r="N8" s="401"/>
      <c r="O8" s="401"/>
      <c r="P8" s="401"/>
    </row>
    <row r="9" spans="1:16" s="402" customFormat="1" hidden="1" x14ac:dyDescent="0.25">
      <c r="A9" s="400"/>
      <c r="B9" s="406"/>
      <c r="C9" s="406"/>
      <c r="D9" s="406"/>
      <c r="E9" s="406"/>
      <c r="F9" s="567" t="s">
        <v>5</v>
      </c>
      <c r="G9" s="568"/>
      <c r="H9" s="568"/>
      <c r="I9" s="406"/>
      <c r="J9" s="406"/>
      <c r="K9" s="406"/>
      <c r="L9" s="406"/>
      <c r="M9" s="401"/>
      <c r="N9" s="401"/>
      <c r="O9" s="401"/>
      <c r="P9" s="401"/>
    </row>
    <row r="10" spans="1:16" s="402" customFormat="1" hidden="1" x14ac:dyDescent="0.25">
      <c r="A10" s="400"/>
      <c r="B10" s="406"/>
      <c r="C10" s="406"/>
      <c r="D10" s="406"/>
      <c r="E10" s="567" t="s">
        <v>6</v>
      </c>
      <c r="F10" s="568"/>
      <c r="G10" s="568"/>
      <c r="H10" s="568"/>
      <c r="I10" s="406"/>
      <c r="J10" s="406"/>
      <c r="K10" s="406"/>
      <c r="L10" s="406"/>
      <c r="M10" s="401"/>
      <c r="N10" s="401"/>
      <c r="O10" s="401"/>
      <c r="P10" s="401"/>
    </row>
    <row r="11" spans="1:16" s="402" customFormat="1" hidden="1" x14ac:dyDescent="0.25">
      <c r="A11" s="400"/>
      <c r="B11" s="406"/>
      <c r="C11" s="406"/>
      <c r="D11" s="406"/>
      <c r="E11" s="408"/>
      <c r="F11" s="567" t="s">
        <v>7</v>
      </c>
      <c r="G11" s="568"/>
      <c r="H11" s="568"/>
      <c r="I11" s="406"/>
      <c r="J11" s="406"/>
      <c r="K11" s="406"/>
      <c r="L11" s="406"/>
      <c r="M11" s="401"/>
      <c r="N11" s="401"/>
      <c r="O11" s="401"/>
      <c r="P11" s="401"/>
    </row>
    <row r="12" spans="1:16" s="402" customFormat="1" hidden="1" x14ac:dyDescent="0.25">
      <c r="A12" s="400"/>
      <c r="B12" s="406"/>
      <c r="C12" s="406"/>
      <c r="D12" s="406"/>
      <c r="E12" s="408"/>
      <c r="F12" s="567" t="s">
        <v>8</v>
      </c>
      <c r="G12" s="568"/>
      <c r="H12" s="568"/>
      <c r="I12" s="406"/>
      <c r="J12" s="406"/>
      <c r="K12" s="406"/>
      <c r="L12" s="406"/>
      <c r="M12" s="401"/>
      <c r="N12" s="401"/>
      <c r="O12" s="401"/>
      <c r="P12" s="401"/>
    </row>
    <row r="13" spans="1:16" s="402" customFormat="1" ht="11.65" customHeight="1" x14ac:dyDescent="0.25">
      <c r="A13" s="399"/>
      <c r="B13" s="400"/>
      <c r="C13" s="400"/>
      <c r="D13" s="400"/>
      <c r="E13" s="400"/>
      <c r="F13" s="400"/>
      <c r="G13" s="400"/>
      <c r="H13" s="400"/>
      <c r="I13" s="400"/>
      <c r="J13" s="400"/>
      <c r="K13" s="400"/>
      <c r="L13" s="409"/>
      <c r="M13" s="401"/>
      <c r="N13" s="401"/>
      <c r="O13" s="401"/>
      <c r="P13" s="401"/>
    </row>
    <row r="14" spans="1:16" s="402" customFormat="1" ht="30" x14ac:dyDescent="0.25">
      <c r="A14" s="571" t="s">
        <v>9</v>
      </c>
      <c r="B14" s="572"/>
      <c r="C14" s="571" t="s">
        <v>10</v>
      </c>
      <c r="D14" s="573"/>
      <c r="E14" s="572"/>
      <c r="F14" s="410" t="s">
        <v>11</v>
      </c>
      <c r="G14" s="571" t="s">
        <v>12</v>
      </c>
      <c r="H14" s="573"/>
      <c r="I14" s="581" t="s">
        <v>478</v>
      </c>
      <c r="J14" s="582"/>
      <c r="K14" s="582"/>
      <c r="L14" s="583"/>
      <c r="M14" s="401"/>
      <c r="N14" s="401"/>
      <c r="O14" s="401"/>
      <c r="P14" s="401"/>
    </row>
    <row r="15" spans="1:16" s="402" customFormat="1" ht="17.25" customHeight="1" x14ac:dyDescent="0.25">
      <c r="A15" s="578" t="s">
        <v>15</v>
      </c>
      <c r="B15" s="578" t="s">
        <v>16</v>
      </c>
      <c r="C15" s="578" t="s">
        <v>17</v>
      </c>
      <c r="D15" s="578" t="s">
        <v>61</v>
      </c>
      <c r="E15" s="578" t="s">
        <v>19</v>
      </c>
      <c r="F15" s="578" t="s">
        <v>16</v>
      </c>
      <c r="G15" s="578" t="s">
        <v>20</v>
      </c>
      <c r="H15" s="585" t="s">
        <v>16</v>
      </c>
      <c r="I15" s="588" t="s">
        <v>532</v>
      </c>
      <c r="J15" s="590" t="s">
        <v>13</v>
      </c>
      <c r="K15" s="582"/>
      <c r="L15" s="574" t="s">
        <v>479</v>
      </c>
      <c r="M15" s="401"/>
      <c r="N15" s="401"/>
      <c r="O15" s="401"/>
      <c r="P15" s="401"/>
    </row>
    <row r="16" spans="1:16" s="402" customFormat="1" x14ac:dyDescent="0.25">
      <c r="A16" s="579"/>
      <c r="B16" s="579"/>
      <c r="C16" s="579"/>
      <c r="D16" s="579"/>
      <c r="E16" s="579"/>
      <c r="F16" s="579"/>
      <c r="G16" s="579"/>
      <c r="H16" s="586"/>
      <c r="I16" s="589"/>
      <c r="J16" s="576" t="s">
        <v>21</v>
      </c>
      <c r="K16" s="576" t="s">
        <v>22</v>
      </c>
      <c r="L16" s="575"/>
      <c r="M16" s="401"/>
      <c r="N16" s="401"/>
      <c r="O16" s="401"/>
      <c r="P16" s="401"/>
    </row>
    <row r="17" spans="1:19" hidden="1" x14ac:dyDescent="0.25">
      <c r="A17" s="579"/>
      <c r="B17" s="579"/>
      <c r="C17" s="579"/>
      <c r="D17" s="579"/>
      <c r="E17" s="579"/>
      <c r="F17" s="579"/>
      <c r="G17" s="579"/>
      <c r="H17" s="586"/>
      <c r="I17" s="589"/>
      <c r="J17" s="577"/>
      <c r="K17" s="577"/>
      <c r="L17" s="575"/>
    </row>
    <row r="18" spans="1:19" x14ac:dyDescent="0.25">
      <c r="A18" s="580"/>
      <c r="B18" s="580"/>
      <c r="C18" s="580"/>
      <c r="D18" s="580"/>
      <c r="E18" s="580"/>
      <c r="F18" s="580"/>
      <c r="G18" s="580"/>
      <c r="H18" s="587"/>
      <c r="I18" s="589"/>
      <c r="J18" s="577"/>
      <c r="K18" s="577"/>
      <c r="L18" s="575"/>
      <c r="M18" s="412"/>
      <c r="N18" s="412"/>
      <c r="O18" s="412"/>
      <c r="Q18" s="411" t="s">
        <v>268</v>
      </c>
    </row>
    <row r="19" spans="1:19" ht="30" x14ac:dyDescent="0.25">
      <c r="A19" s="413" t="s">
        <v>495</v>
      </c>
      <c r="B19" s="414" t="s">
        <v>24</v>
      </c>
      <c r="C19" s="415" t="s">
        <v>529</v>
      </c>
      <c r="D19" s="415"/>
      <c r="E19" s="415"/>
      <c r="F19" s="416" t="s">
        <v>26</v>
      </c>
      <c r="G19" s="413" t="s">
        <v>530</v>
      </c>
      <c r="H19" s="417" t="s">
        <v>531</v>
      </c>
      <c r="I19" s="418">
        <v>1500000</v>
      </c>
      <c r="J19" s="419">
        <v>100000</v>
      </c>
      <c r="K19" s="419"/>
      <c r="L19" s="420">
        <f>+I19-J19+K19</f>
        <v>1400000</v>
      </c>
      <c r="N19" s="421"/>
      <c r="O19" s="421"/>
      <c r="Q19" s="422" t="str">
        <f>IF(OR(A19="",COUNTIF(A19,"*Razem*")&gt;0),"-",VLOOKUP(A19,$R$30:$S$52,2,0)&amp;" "&amp;H19&amp;" "&amp;MID(C19,5,5)&amp;" "&amp;MID(C19,12,4)&amp;" "&amp;F19)</f>
        <v>WIR B/V/1/27 80101 4270 GMMW</v>
      </c>
    </row>
    <row r="20" spans="1:19" s="429" customFormat="1" ht="25.5" customHeight="1" x14ac:dyDescent="0.25">
      <c r="A20" s="423" t="s">
        <v>38</v>
      </c>
      <c r="B20" s="423"/>
      <c r="C20" s="423"/>
      <c r="D20" s="423"/>
      <c r="E20" s="423"/>
      <c r="F20" s="423"/>
      <c r="G20" s="423"/>
      <c r="H20" s="424"/>
      <c r="I20" s="425">
        <f>SUM(I19:I19)</f>
        <v>1500000</v>
      </c>
      <c r="J20" s="426">
        <f>SUM(J19:J19)</f>
        <v>100000</v>
      </c>
      <c r="K20" s="426">
        <f>SUM(K19:K19)</f>
        <v>0</v>
      </c>
      <c r="L20" s="427">
        <f>SUM(L19:L19)</f>
        <v>1400000</v>
      </c>
      <c r="M20" s="428"/>
      <c r="N20" s="428"/>
      <c r="O20" s="428"/>
      <c r="P20" s="428"/>
      <c r="Q20" s="422" t="str">
        <f>IF(OR(A20="",COUNTIF(A20,"*Razem*")&gt;0),"-",VLOOKUP(A20,$R$30:$S$52,2,0)&amp;" "&amp;H20&amp;" "&amp;MID(C20,5,5)&amp;" "&amp;MID(C20,12,4)&amp;" "&amp;F20)</f>
        <v>-</v>
      </c>
    </row>
    <row r="21" spans="1:19" ht="105" customHeight="1" x14ac:dyDescent="0.25">
      <c r="A21" s="430"/>
      <c r="B21" s="430"/>
      <c r="C21" s="430"/>
      <c r="D21" s="430"/>
      <c r="E21" s="430"/>
      <c r="F21" s="430"/>
      <c r="G21" s="430"/>
    </row>
    <row r="22" spans="1:19" x14ac:dyDescent="0.25">
      <c r="A22" s="430"/>
      <c r="B22" s="584" t="s">
        <v>39</v>
      </c>
      <c r="C22" s="584"/>
      <c r="D22" s="584"/>
      <c r="E22" s="584"/>
      <c r="F22" s="341"/>
      <c r="G22" s="431" t="s">
        <v>480</v>
      </c>
    </row>
    <row r="28" spans="1:19" x14ac:dyDescent="0.25">
      <c r="R28" s="422"/>
      <c r="S28" s="422"/>
    </row>
    <row r="29" spans="1:19" x14ac:dyDescent="0.25">
      <c r="R29" s="432" t="s">
        <v>481</v>
      </c>
      <c r="S29" s="432" t="s">
        <v>482</v>
      </c>
    </row>
    <row r="30" spans="1:19" x14ac:dyDescent="0.25">
      <c r="R30" s="422" t="s">
        <v>483</v>
      </c>
      <c r="S30" s="422" t="s">
        <v>484</v>
      </c>
    </row>
    <row r="31" spans="1:19" x14ac:dyDescent="0.25">
      <c r="R31" s="422" t="s">
        <v>485</v>
      </c>
      <c r="S31" s="422" t="s">
        <v>486</v>
      </c>
    </row>
    <row r="32" spans="1:19" x14ac:dyDescent="0.25">
      <c r="R32" s="422" t="s">
        <v>487</v>
      </c>
      <c r="S32" s="422" t="s">
        <v>488</v>
      </c>
    </row>
    <row r="33" spans="18:19" x14ac:dyDescent="0.25">
      <c r="R33" s="422" t="s">
        <v>489</v>
      </c>
      <c r="S33" s="422" t="s">
        <v>490</v>
      </c>
    </row>
    <row r="34" spans="18:19" x14ac:dyDescent="0.25">
      <c r="R34" s="422" t="s">
        <v>491</v>
      </c>
      <c r="S34" s="422" t="s">
        <v>492</v>
      </c>
    </row>
    <row r="35" spans="18:19" x14ac:dyDescent="0.25">
      <c r="R35" s="422" t="s">
        <v>493</v>
      </c>
      <c r="S35" s="422" t="s">
        <v>494</v>
      </c>
    </row>
    <row r="36" spans="18:19" x14ac:dyDescent="0.25">
      <c r="R36" s="336" t="s">
        <v>495</v>
      </c>
      <c r="S36" s="422" t="s">
        <v>496</v>
      </c>
    </row>
    <row r="37" spans="18:19" x14ac:dyDescent="0.25">
      <c r="R37" s="422" t="s">
        <v>497</v>
      </c>
      <c r="S37" s="422" t="s">
        <v>498</v>
      </c>
    </row>
    <row r="38" spans="18:19" x14ac:dyDescent="0.25">
      <c r="R38" s="422" t="s">
        <v>499</v>
      </c>
      <c r="S38" s="422" t="s">
        <v>500</v>
      </c>
    </row>
    <row r="39" spans="18:19" x14ac:dyDescent="0.25">
      <c r="R39" s="422" t="s">
        <v>501</v>
      </c>
      <c r="S39" s="422" t="s">
        <v>502</v>
      </c>
    </row>
    <row r="40" spans="18:19" x14ac:dyDescent="0.25">
      <c r="R40" s="422" t="s">
        <v>503</v>
      </c>
      <c r="S40" s="422" t="s">
        <v>504</v>
      </c>
    </row>
    <row r="41" spans="18:19" x14ac:dyDescent="0.25">
      <c r="R41" s="422" t="s">
        <v>505</v>
      </c>
      <c r="S41" s="422" t="s">
        <v>506</v>
      </c>
    </row>
    <row r="42" spans="18:19" x14ac:dyDescent="0.25">
      <c r="R42" s="422" t="s">
        <v>507</v>
      </c>
      <c r="S42" s="422" t="s">
        <v>508</v>
      </c>
    </row>
    <row r="43" spans="18:19" x14ac:dyDescent="0.25">
      <c r="R43" s="422" t="s">
        <v>509</v>
      </c>
      <c r="S43" s="422" t="s">
        <v>510</v>
      </c>
    </row>
    <row r="44" spans="18:19" x14ac:dyDescent="0.25">
      <c r="R44" s="422" t="s">
        <v>511</v>
      </c>
      <c r="S44" s="422" t="s">
        <v>512</v>
      </c>
    </row>
    <row r="45" spans="18:19" x14ac:dyDescent="0.25">
      <c r="R45" s="422" t="s">
        <v>513</v>
      </c>
      <c r="S45" s="422" t="s">
        <v>514</v>
      </c>
    </row>
    <row r="46" spans="18:19" x14ac:dyDescent="0.25">
      <c r="R46" s="422" t="s">
        <v>515</v>
      </c>
      <c r="S46" s="422" t="s">
        <v>516</v>
      </c>
    </row>
    <row r="47" spans="18:19" x14ac:dyDescent="0.25">
      <c r="R47" s="422" t="s">
        <v>517</v>
      </c>
      <c r="S47" s="422" t="s">
        <v>518</v>
      </c>
    </row>
    <row r="48" spans="18:19" x14ac:dyDescent="0.25">
      <c r="R48" s="422" t="s">
        <v>519</v>
      </c>
      <c r="S48" s="422" t="s">
        <v>520</v>
      </c>
    </row>
    <row r="49" spans="18:19" x14ac:dyDescent="0.25">
      <c r="R49" s="422" t="s">
        <v>521</v>
      </c>
      <c r="S49" s="422" t="s">
        <v>522</v>
      </c>
    </row>
    <row r="50" spans="18:19" x14ac:dyDescent="0.25">
      <c r="R50" s="422" t="s">
        <v>523</v>
      </c>
      <c r="S50" s="422" t="s">
        <v>524</v>
      </c>
    </row>
    <row r="51" spans="18:19" x14ac:dyDescent="0.25">
      <c r="R51" s="422" t="s">
        <v>525</v>
      </c>
      <c r="S51" s="422" t="s">
        <v>526</v>
      </c>
    </row>
    <row r="52" spans="18:19" x14ac:dyDescent="0.25">
      <c r="R52" s="422" t="s">
        <v>527</v>
      </c>
      <c r="S52" s="422" t="s">
        <v>528</v>
      </c>
    </row>
  </sheetData>
  <autoFilter ref="A18:T18" xr:uid="{1EEFD25D-E306-4FB5-8F4F-01BB2B54F330}"/>
  <mergeCells count="26">
    <mergeCell ref="B22:E22"/>
    <mergeCell ref="G15:G18"/>
    <mergeCell ref="H15:H18"/>
    <mergeCell ref="I15:I18"/>
    <mergeCell ref="J15:K15"/>
    <mergeCell ref="A14:B14"/>
    <mergeCell ref="C14:E14"/>
    <mergeCell ref="G14:H14"/>
    <mergeCell ref="L15:L18"/>
    <mergeCell ref="J16:J18"/>
    <mergeCell ref="K16:K18"/>
    <mergeCell ref="A15:A18"/>
    <mergeCell ref="B15:B18"/>
    <mergeCell ref="C15:C18"/>
    <mergeCell ref="D15:D18"/>
    <mergeCell ref="E15:E18"/>
    <mergeCell ref="F15:F18"/>
    <mergeCell ref="I14:L14"/>
    <mergeCell ref="E10:H10"/>
    <mergeCell ref="F11:H11"/>
    <mergeCell ref="F12:H12"/>
    <mergeCell ref="I1:L1"/>
    <mergeCell ref="F5:H5"/>
    <mergeCell ref="F7:H7"/>
    <mergeCell ref="F8:H8"/>
    <mergeCell ref="F9:H9"/>
  </mergeCells>
  <pageMargins left="0.59055118110236227" right="0.59055118110236227" top="0.59055118110236227" bottom="0.59055118110236227" header="0.39370078740157483" footer="0.39370078740157483"/>
  <pageSetup paperSize="9" scale="65" orientation="landscape" horizontalDpi="4294967293" verticalDpi="4294967293" r:id="rId1"/>
  <headerFooter>
    <oddFooter>&amp;R&amp;P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4307F-9768-474B-B3CD-9F7FBFC0F59E}">
  <sheetPr>
    <tabColor rgb="FF00CCFF"/>
  </sheetPr>
  <dimension ref="A1:AJ278"/>
  <sheetViews>
    <sheetView view="pageBreakPreview" zoomScaleNormal="100" zoomScaleSheetLayoutView="100" workbookViewId="0">
      <pane ySplit="8" topLeftCell="A9" activePane="bottomLeft" state="frozen"/>
      <selection activeCell="B7" sqref="B7"/>
      <selection pane="bottomLeft" activeCell="B7" sqref="B7"/>
    </sheetView>
  </sheetViews>
  <sheetFormatPr defaultColWidth="9.140625" defaultRowHeight="12.75" x14ac:dyDescent="0.25"/>
  <cols>
    <col min="1" max="1" width="20.5703125" style="288" customWidth="1"/>
    <col min="2" max="2" width="47.28515625" style="283" customWidth="1"/>
    <col min="3" max="3" width="8" style="283" customWidth="1"/>
    <col min="4" max="4" width="6.28515625" style="285" customWidth="1"/>
    <col min="5" max="5" width="14.7109375" style="288" customWidth="1"/>
    <col min="6" max="6" width="11.28515625" style="320" customWidth="1"/>
    <col min="7" max="7" width="10.7109375" style="287" customWidth="1"/>
    <col min="8" max="21" width="10.7109375" style="288" customWidth="1"/>
    <col min="22" max="27" width="5.42578125" style="288" customWidth="1"/>
    <col min="28" max="28" width="22.42578125" style="288" customWidth="1"/>
    <col min="29" max="29" width="10.140625" style="288" customWidth="1"/>
    <col min="30" max="34" width="10.28515625" style="287" customWidth="1"/>
    <col min="35" max="35" width="10.28515625" style="288" customWidth="1"/>
    <col min="36" max="36" width="11.42578125" style="288" customWidth="1"/>
    <col min="37" max="16384" width="9.140625" style="288"/>
  </cols>
  <sheetData>
    <row r="1" spans="1:36" ht="18.75" x14ac:dyDescent="0.25">
      <c r="A1" s="282" t="s">
        <v>221</v>
      </c>
      <c r="G1" s="321" t="str">
        <f ca="1">IF(COUNTIF(AE18:AI18,"fałsz")=0,"Kwoty ogółem w tabeli zgadzają się z arkuszem 'Inwestycje PM'","Kwoty ogółem w tabeli nie zgadzają się z arkuszem 'Inwestycje PM' - kliknij na tab. przestawną &gt;&gt; 'analiza' i 'odśwież wszystko'")</f>
        <v>Kwoty ogółem w tabeli zgadzają się z arkuszem 'Inwestycje PM'</v>
      </c>
    </row>
    <row r="2" spans="1:36" ht="15" x14ac:dyDescent="0.25">
      <c r="A2"/>
      <c r="B2"/>
      <c r="G2" s="322"/>
    </row>
    <row r="3" spans="1:36" x14ac:dyDescent="0.25">
      <c r="A3" s="433" t="s">
        <v>90</v>
      </c>
      <c r="B3" s="433" t="s">
        <v>475</v>
      </c>
      <c r="F3" s="323" t="s">
        <v>224</v>
      </c>
      <c r="G3" s="324">
        <f t="shared" ref="G3:U3" si="0">SUMIF($F$8:$F$2001,"*w tym*",G$8:G$2001)</f>
        <v>0</v>
      </c>
      <c r="H3" s="324">
        <f t="shared" si="0"/>
        <v>0</v>
      </c>
      <c r="I3" s="324">
        <f t="shared" si="0"/>
        <v>0</v>
      </c>
      <c r="J3" s="324">
        <f t="shared" si="0"/>
        <v>0</v>
      </c>
      <c r="K3" s="324">
        <f t="shared" si="0"/>
        <v>200000</v>
      </c>
      <c r="L3" s="324">
        <f t="shared" si="0"/>
        <v>200000</v>
      </c>
      <c r="M3" s="324">
        <f t="shared" si="0"/>
        <v>0</v>
      </c>
      <c r="N3" s="324">
        <f t="shared" si="0"/>
        <v>9855144</v>
      </c>
      <c r="O3" s="324">
        <f t="shared" si="0"/>
        <v>9855144</v>
      </c>
      <c r="P3" s="324">
        <f t="shared" si="0"/>
        <v>0</v>
      </c>
      <c r="Q3" s="324">
        <f t="shared" si="0"/>
        <v>200000</v>
      </c>
      <c r="R3" s="324">
        <f t="shared" si="0"/>
        <v>200000</v>
      </c>
      <c r="S3" s="324">
        <f t="shared" si="0"/>
        <v>0</v>
      </c>
      <c r="T3" s="324">
        <f t="shared" si="0"/>
        <v>0</v>
      </c>
      <c r="U3" s="324">
        <f t="shared" si="0"/>
        <v>0</v>
      </c>
      <c r="V3" s="296"/>
      <c r="W3" s="296"/>
      <c r="X3" s="296"/>
      <c r="Y3" s="296"/>
      <c r="Z3" s="325"/>
      <c r="AA3" s="325"/>
      <c r="AJ3" s="325"/>
    </row>
    <row r="4" spans="1:36" x14ac:dyDescent="0.25">
      <c r="A4" s="433" t="s">
        <v>88</v>
      </c>
      <c r="B4" s="433" t="s">
        <v>223</v>
      </c>
      <c r="C4" s="285"/>
      <c r="F4" s="297" t="s">
        <v>225</v>
      </c>
      <c r="G4" s="298">
        <f t="shared" ref="G4:U4" si="1">SUMIF($F$8:$F$2001,"*WPF/PM*",G$8:G$2001)</f>
        <v>0</v>
      </c>
      <c r="H4" s="298">
        <f t="shared" si="1"/>
        <v>0</v>
      </c>
      <c r="I4" s="298">
        <f t="shared" si="1"/>
        <v>0</v>
      </c>
      <c r="J4" s="298">
        <f t="shared" si="1"/>
        <v>0</v>
      </c>
      <c r="K4" s="298">
        <f t="shared" si="1"/>
        <v>200000</v>
      </c>
      <c r="L4" s="298">
        <f t="shared" si="1"/>
        <v>200000</v>
      </c>
      <c r="M4" s="298">
        <f t="shared" si="1"/>
        <v>0</v>
      </c>
      <c r="N4" s="298">
        <f t="shared" si="1"/>
        <v>9855144</v>
      </c>
      <c r="O4" s="298">
        <f t="shared" si="1"/>
        <v>9855144</v>
      </c>
      <c r="P4" s="298">
        <f t="shared" si="1"/>
        <v>0</v>
      </c>
      <c r="Q4" s="298">
        <f t="shared" si="1"/>
        <v>200000</v>
      </c>
      <c r="R4" s="298">
        <f t="shared" si="1"/>
        <v>200000</v>
      </c>
      <c r="S4" s="298">
        <f t="shared" si="1"/>
        <v>0</v>
      </c>
      <c r="T4" s="298">
        <f t="shared" si="1"/>
        <v>0</v>
      </c>
      <c r="U4" s="298">
        <f t="shared" si="1"/>
        <v>0</v>
      </c>
      <c r="V4" s="298"/>
      <c r="W4" s="298"/>
      <c r="X4" s="298"/>
      <c r="Y4" s="298"/>
      <c r="Z4" s="298"/>
      <c r="AA4" s="298"/>
      <c r="AJ4" s="298"/>
    </row>
    <row r="5" spans="1:36" x14ac:dyDescent="0.2">
      <c r="B5" s="285"/>
      <c r="C5" s="285"/>
      <c r="F5" s="297" t="s">
        <v>226</v>
      </c>
      <c r="G5" s="298">
        <f t="shared" ref="G5:U5" si="2">SUMIF($F$8:$F$2001,"*WPF/UM*",G$8:G$2001)</f>
        <v>0</v>
      </c>
      <c r="H5" s="298">
        <f t="shared" si="2"/>
        <v>0</v>
      </c>
      <c r="I5" s="298">
        <f t="shared" si="2"/>
        <v>0</v>
      </c>
      <c r="J5" s="298">
        <f t="shared" si="2"/>
        <v>0</v>
      </c>
      <c r="K5" s="298">
        <f t="shared" si="2"/>
        <v>0</v>
      </c>
      <c r="L5" s="298">
        <f t="shared" si="2"/>
        <v>0</v>
      </c>
      <c r="M5" s="298">
        <f t="shared" si="2"/>
        <v>0</v>
      </c>
      <c r="N5" s="298">
        <f t="shared" si="2"/>
        <v>0</v>
      </c>
      <c r="O5" s="298">
        <f t="shared" si="2"/>
        <v>0</v>
      </c>
      <c r="P5" s="298">
        <f t="shared" si="2"/>
        <v>0</v>
      </c>
      <c r="Q5" s="298">
        <f t="shared" si="2"/>
        <v>0</v>
      </c>
      <c r="R5" s="298">
        <f t="shared" si="2"/>
        <v>0</v>
      </c>
      <c r="S5" s="298">
        <f t="shared" si="2"/>
        <v>0</v>
      </c>
      <c r="T5" s="298">
        <f t="shared" si="2"/>
        <v>0</v>
      </c>
      <c r="U5" s="298">
        <f t="shared" si="2"/>
        <v>0</v>
      </c>
      <c r="V5" s="298"/>
      <c r="W5" s="298"/>
      <c r="X5" s="298"/>
      <c r="Y5" s="298"/>
      <c r="Z5" s="298"/>
      <c r="AA5" s="298"/>
      <c r="AB5" s="298"/>
      <c r="AC5" s="303"/>
      <c r="AD5" s="303"/>
      <c r="AE5" s="303"/>
      <c r="AF5" s="303"/>
      <c r="AG5" s="303"/>
      <c r="AH5" s="303"/>
      <c r="AI5" s="298"/>
      <c r="AJ5" s="298"/>
    </row>
    <row r="6" spans="1:36" ht="15" x14ac:dyDescent="0.25">
      <c r="A6" s="441"/>
      <c r="B6" s="441"/>
      <c r="C6" s="441"/>
      <c r="D6" s="441"/>
      <c r="E6" s="441"/>
      <c r="F6" s="442"/>
      <c r="G6" s="445" t="s">
        <v>251</v>
      </c>
      <c r="H6" s="446" t="s">
        <v>79</v>
      </c>
      <c r="I6" s="440"/>
      <c r="J6" s="440"/>
      <c r="K6" s="440"/>
      <c r="L6" s="440"/>
      <c r="M6" s="440"/>
      <c r="N6" s="440"/>
      <c r="O6" s="440"/>
      <c r="P6" s="440"/>
      <c r="Q6" s="440"/>
      <c r="R6" s="440"/>
      <c r="S6" s="440"/>
      <c r="T6" s="440"/>
      <c r="U6" s="440"/>
      <c r="V6"/>
      <c r="W6"/>
      <c r="X6"/>
      <c r="Y6"/>
      <c r="Z6"/>
      <c r="AA6"/>
      <c r="AB6" s="303"/>
      <c r="AC6" s="303"/>
      <c r="AD6" s="303"/>
      <c r="AE6" s="303"/>
      <c r="AF6" s="303"/>
      <c r="AG6" s="303"/>
      <c r="AH6" s="303"/>
      <c r="AI6" s="303"/>
      <c r="AJ6"/>
    </row>
    <row r="7" spans="1:36" ht="15" x14ac:dyDescent="0.25">
      <c r="A7" s="443"/>
      <c r="B7" s="443"/>
      <c r="C7" s="443"/>
      <c r="D7" s="443"/>
      <c r="E7" s="443"/>
      <c r="F7" s="444"/>
      <c r="G7" s="464" t="s">
        <v>229</v>
      </c>
      <c r="H7" s="466"/>
      <c r="I7" s="457"/>
      <c r="J7" s="463" t="s">
        <v>230</v>
      </c>
      <c r="K7" s="465"/>
      <c r="L7" s="448"/>
      <c r="M7" s="463" t="s">
        <v>231</v>
      </c>
      <c r="N7" s="465"/>
      <c r="O7" s="448"/>
      <c r="P7" s="438" t="s">
        <v>232</v>
      </c>
      <c r="Q7" s="439"/>
      <c r="R7" s="436"/>
      <c r="S7" s="438" t="s">
        <v>233</v>
      </c>
      <c r="T7" s="439"/>
      <c r="U7" s="436"/>
      <c r="V7"/>
      <c r="W7"/>
      <c r="X7"/>
      <c r="Y7"/>
      <c r="Z7"/>
      <c r="AA7"/>
      <c r="AB7" s="303"/>
      <c r="AC7" s="303"/>
      <c r="AD7" s="326"/>
      <c r="AE7" s="326"/>
      <c r="AF7" s="326"/>
      <c r="AG7" s="326"/>
      <c r="AH7" s="326"/>
      <c r="AI7" s="303"/>
      <c r="AJ7"/>
    </row>
    <row r="8" spans="1:36" s="306" customFormat="1" ht="26.25" thickBot="1" x14ac:dyDescent="0.3">
      <c r="A8" s="458" t="s">
        <v>80</v>
      </c>
      <c r="B8" s="458" t="s">
        <v>81</v>
      </c>
      <c r="C8" s="458" t="s">
        <v>61</v>
      </c>
      <c r="D8" s="458" t="s">
        <v>62</v>
      </c>
      <c r="E8" s="458" t="s">
        <v>11</v>
      </c>
      <c r="F8" s="459" t="s">
        <v>252</v>
      </c>
      <c r="G8" s="461" t="s">
        <v>253</v>
      </c>
      <c r="H8" s="460" t="s">
        <v>254</v>
      </c>
      <c r="I8" s="462" t="s">
        <v>255</v>
      </c>
      <c r="J8" s="461" t="s">
        <v>253</v>
      </c>
      <c r="K8" s="460" t="s">
        <v>254</v>
      </c>
      <c r="L8" s="462" t="s">
        <v>255</v>
      </c>
      <c r="M8" s="461" t="s">
        <v>253</v>
      </c>
      <c r="N8" s="460" t="s">
        <v>254</v>
      </c>
      <c r="O8" s="462" t="s">
        <v>255</v>
      </c>
      <c r="P8" s="461" t="s">
        <v>253</v>
      </c>
      <c r="Q8" s="460" t="s">
        <v>254</v>
      </c>
      <c r="R8" s="462" t="s">
        <v>255</v>
      </c>
      <c r="S8" s="461" t="s">
        <v>253</v>
      </c>
      <c r="T8" s="460" t="s">
        <v>254</v>
      </c>
      <c r="U8" s="462" t="s">
        <v>255</v>
      </c>
      <c r="V8"/>
      <c r="W8"/>
      <c r="X8"/>
      <c r="Y8"/>
      <c r="Z8"/>
      <c r="AA8"/>
      <c r="AB8" s="302" t="s">
        <v>234</v>
      </c>
      <c r="AC8" s="378" t="s">
        <v>235</v>
      </c>
      <c r="AD8" s="376" t="s">
        <v>236</v>
      </c>
      <c r="AE8" s="377" t="s">
        <v>237</v>
      </c>
      <c r="AF8" s="377" t="s">
        <v>238</v>
      </c>
      <c r="AG8" s="377" t="s">
        <v>239</v>
      </c>
      <c r="AH8" s="377" t="s">
        <v>240</v>
      </c>
      <c r="AI8" s="377" t="s">
        <v>241</v>
      </c>
      <c r="AJ8"/>
    </row>
    <row r="9" spans="1:36" ht="15" x14ac:dyDescent="0.25">
      <c r="A9" s="433" t="s">
        <v>471</v>
      </c>
      <c r="B9" s="433" t="s">
        <v>470</v>
      </c>
      <c r="C9" s="433">
        <v>80101</v>
      </c>
      <c r="D9" s="433" t="s">
        <v>242</v>
      </c>
      <c r="E9" s="433" t="s">
        <v>26</v>
      </c>
      <c r="F9" s="434" t="s">
        <v>102</v>
      </c>
      <c r="G9" s="435">
        <v>0</v>
      </c>
      <c r="H9" s="435">
        <v>0</v>
      </c>
      <c r="I9" s="435">
        <v>0</v>
      </c>
      <c r="J9" s="435">
        <v>0</v>
      </c>
      <c r="K9" s="435">
        <v>100000</v>
      </c>
      <c r="L9" s="435">
        <v>100000</v>
      </c>
      <c r="M9" s="435">
        <v>0</v>
      </c>
      <c r="N9" s="435">
        <v>5198351</v>
      </c>
      <c r="O9" s="435">
        <v>5198351</v>
      </c>
      <c r="P9" s="435">
        <v>0</v>
      </c>
      <c r="Q9" s="435">
        <v>100000</v>
      </c>
      <c r="R9" s="435">
        <v>100000</v>
      </c>
      <c r="S9" s="435">
        <v>0</v>
      </c>
      <c r="T9" s="435">
        <v>0</v>
      </c>
      <c r="U9" s="435">
        <v>0</v>
      </c>
      <c r="V9"/>
      <c r="W9"/>
      <c r="X9"/>
      <c r="Y9"/>
      <c r="Z9"/>
      <c r="AA9"/>
      <c r="AB9" s="304" t="s">
        <v>243</v>
      </c>
      <c r="AC9" s="374" t="s">
        <v>101</v>
      </c>
      <c r="AD9" s="374" t="s">
        <v>102</v>
      </c>
      <c r="AE9" s="305">
        <v>44435549</v>
      </c>
      <c r="AF9" s="305">
        <v>56927923</v>
      </c>
      <c r="AG9" s="305">
        <v>49790959</v>
      </c>
      <c r="AH9" s="305">
        <v>15659385</v>
      </c>
      <c r="AI9" s="305">
        <v>0</v>
      </c>
      <c r="AJ9"/>
    </row>
    <row r="10" spans="1:36" ht="15" x14ac:dyDescent="0.25">
      <c r="A10" s="433" t="s">
        <v>471</v>
      </c>
      <c r="B10" s="433" t="s">
        <v>470</v>
      </c>
      <c r="C10" s="433">
        <v>80101</v>
      </c>
      <c r="D10" s="433" t="s">
        <v>242</v>
      </c>
      <c r="E10" s="433" t="s">
        <v>26</v>
      </c>
      <c r="F10" s="434" t="s">
        <v>103</v>
      </c>
      <c r="G10" s="435">
        <v>0</v>
      </c>
      <c r="H10" s="435">
        <v>0</v>
      </c>
      <c r="I10" s="435">
        <v>0</v>
      </c>
      <c r="J10" s="435">
        <v>0</v>
      </c>
      <c r="K10" s="435">
        <v>100000</v>
      </c>
      <c r="L10" s="435">
        <v>100000</v>
      </c>
      <c r="M10" s="435">
        <v>0</v>
      </c>
      <c r="N10" s="435">
        <v>5198351</v>
      </c>
      <c r="O10" s="435">
        <v>5198351</v>
      </c>
      <c r="P10" s="435">
        <v>0</v>
      </c>
      <c r="Q10" s="435">
        <v>100000</v>
      </c>
      <c r="R10" s="435">
        <v>100000</v>
      </c>
      <c r="S10" s="435">
        <v>0</v>
      </c>
      <c r="T10" s="435">
        <v>0</v>
      </c>
      <c r="U10" s="435">
        <v>0</v>
      </c>
      <c r="V10"/>
      <c r="W10"/>
      <c r="X10"/>
      <c r="Y10"/>
      <c r="Z10"/>
      <c r="AA10"/>
      <c r="AB10" s="304" t="s">
        <v>243</v>
      </c>
      <c r="AC10" s="374" t="s">
        <v>101</v>
      </c>
      <c r="AD10" s="374" t="s">
        <v>103</v>
      </c>
      <c r="AE10" s="375">
        <v>0</v>
      </c>
      <c r="AF10" s="375">
        <v>53223136</v>
      </c>
      <c r="AG10" s="375">
        <v>49768389</v>
      </c>
      <c r="AH10" s="375">
        <v>15659385</v>
      </c>
      <c r="AI10" s="375">
        <v>0</v>
      </c>
      <c r="AJ10"/>
    </row>
    <row r="11" spans="1:36" ht="15" x14ac:dyDescent="0.25">
      <c r="A11" s="433" t="s">
        <v>471</v>
      </c>
      <c r="B11" s="433" t="s">
        <v>470</v>
      </c>
      <c r="C11" s="433">
        <v>80101</v>
      </c>
      <c r="D11" s="433" t="s">
        <v>242</v>
      </c>
      <c r="E11" s="433" t="s">
        <v>26</v>
      </c>
      <c r="F11" s="434" t="s">
        <v>104</v>
      </c>
      <c r="G11" s="435">
        <v>0</v>
      </c>
      <c r="H11" s="435">
        <v>0</v>
      </c>
      <c r="I11" s="435">
        <v>0</v>
      </c>
      <c r="J11" s="435">
        <v>0</v>
      </c>
      <c r="K11" s="435">
        <v>0</v>
      </c>
      <c r="L11" s="435">
        <v>0</v>
      </c>
      <c r="M11" s="435">
        <v>0</v>
      </c>
      <c r="N11" s="435">
        <v>0</v>
      </c>
      <c r="O11" s="435">
        <v>0</v>
      </c>
      <c r="P11" s="435">
        <v>0</v>
      </c>
      <c r="Q11" s="435">
        <v>0</v>
      </c>
      <c r="R11" s="435">
        <v>0</v>
      </c>
      <c r="S11" s="435">
        <v>0</v>
      </c>
      <c r="T11" s="435">
        <v>0</v>
      </c>
      <c r="U11" s="435">
        <v>0</v>
      </c>
      <c r="V11"/>
      <c r="W11"/>
      <c r="X11"/>
      <c r="Y11"/>
      <c r="Z11"/>
      <c r="AA11"/>
      <c r="AB11" s="304" t="s">
        <v>243</v>
      </c>
      <c r="AC11" s="374" t="s">
        <v>101</v>
      </c>
      <c r="AD11" s="374" t="s">
        <v>104</v>
      </c>
      <c r="AE11" s="375">
        <v>44435549</v>
      </c>
      <c r="AF11" s="375">
        <v>3704787</v>
      </c>
      <c r="AG11" s="375">
        <v>22570</v>
      </c>
      <c r="AH11" s="375">
        <v>0</v>
      </c>
      <c r="AI11" s="375">
        <v>0</v>
      </c>
      <c r="AJ11"/>
    </row>
    <row r="12" spans="1:36" ht="15" x14ac:dyDescent="0.25">
      <c r="A12" s="433" t="s">
        <v>473</v>
      </c>
      <c r="B12" s="433" t="s">
        <v>474</v>
      </c>
      <c r="C12" s="433">
        <v>80101</v>
      </c>
      <c r="D12" s="433" t="s">
        <v>242</v>
      </c>
      <c r="E12" s="433" t="s">
        <v>26</v>
      </c>
      <c r="F12" s="434" t="s">
        <v>102</v>
      </c>
      <c r="G12" s="435">
        <v>0</v>
      </c>
      <c r="H12" s="435">
        <v>0</v>
      </c>
      <c r="I12" s="435">
        <v>0</v>
      </c>
      <c r="J12" s="435">
        <v>0</v>
      </c>
      <c r="K12" s="435">
        <v>100000</v>
      </c>
      <c r="L12" s="435">
        <v>100000</v>
      </c>
      <c r="M12" s="435">
        <v>0</v>
      </c>
      <c r="N12" s="435">
        <v>4656793</v>
      </c>
      <c r="O12" s="435">
        <v>4656793</v>
      </c>
      <c r="P12" s="435">
        <v>0</v>
      </c>
      <c r="Q12" s="435">
        <v>100000</v>
      </c>
      <c r="R12" s="435">
        <v>100000</v>
      </c>
      <c r="S12" s="435">
        <v>0</v>
      </c>
      <c r="T12" s="435">
        <v>0</v>
      </c>
      <c r="U12" s="435">
        <v>0</v>
      </c>
      <c r="V12"/>
      <c r="W12"/>
      <c r="X12"/>
      <c r="Y12"/>
      <c r="Z12"/>
      <c r="AA12"/>
      <c r="AB12" s="304" t="s">
        <v>243</v>
      </c>
      <c r="AC12" s="374" t="s">
        <v>97</v>
      </c>
      <c r="AD12" s="374" t="s">
        <v>102</v>
      </c>
      <c r="AE12" s="375">
        <v>0</v>
      </c>
      <c r="AF12" s="375">
        <v>200000</v>
      </c>
      <c r="AG12" s="375">
        <v>9855144</v>
      </c>
      <c r="AH12" s="375">
        <v>200000</v>
      </c>
      <c r="AI12" s="375">
        <v>0</v>
      </c>
      <c r="AJ12"/>
    </row>
    <row r="13" spans="1:36" ht="15" x14ac:dyDescent="0.25">
      <c r="A13" s="433" t="s">
        <v>473</v>
      </c>
      <c r="B13" s="433" t="s">
        <v>474</v>
      </c>
      <c r="C13" s="433">
        <v>80101</v>
      </c>
      <c r="D13" s="433" t="s">
        <v>242</v>
      </c>
      <c r="E13" s="433" t="s">
        <v>26</v>
      </c>
      <c r="F13" s="434" t="s">
        <v>103</v>
      </c>
      <c r="G13" s="435">
        <v>0</v>
      </c>
      <c r="H13" s="435">
        <v>0</v>
      </c>
      <c r="I13" s="435">
        <v>0</v>
      </c>
      <c r="J13" s="435">
        <v>0</v>
      </c>
      <c r="K13" s="435">
        <v>100000</v>
      </c>
      <c r="L13" s="435">
        <v>100000</v>
      </c>
      <c r="M13" s="435">
        <v>0</v>
      </c>
      <c r="N13" s="435">
        <v>4656793</v>
      </c>
      <c r="O13" s="435">
        <v>4656793</v>
      </c>
      <c r="P13" s="435">
        <v>0</v>
      </c>
      <c r="Q13" s="435">
        <v>100000</v>
      </c>
      <c r="R13" s="435">
        <v>100000</v>
      </c>
      <c r="S13" s="435">
        <v>0</v>
      </c>
      <c r="T13" s="435">
        <v>0</v>
      </c>
      <c r="U13" s="435">
        <v>0</v>
      </c>
      <c r="V13"/>
      <c r="W13"/>
      <c r="X13"/>
      <c r="Y13"/>
      <c r="Z13"/>
      <c r="AA13"/>
      <c r="AB13" s="304" t="s">
        <v>243</v>
      </c>
      <c r="AC13" s="374" t="s">
        <v>97</v>
      </c>
      <c r="AD13" s="374" t="s">
        <v>103</v>
      </c>
      <c r="AE13" s="307">
        <v>0</v>
      </c>
      <c r="AF13" s="307">
        <v>200000</v>
      </c>
      <c r="AG13" s="307">
        <v>9855144</v>
      </c>
      <c r="AH13" s="307">
        <v>200000</v>
      </c>
      <c r="AI13" s="307">
        <v>0</v>
      </c>
      <c r="AJ13"/>
    </row>
    <row r="14" spans="1:36" ht="15" x14ac:dyDescent="0.25">
      <c r="A14" s="433" t="s">
        <v>473</v>
      </c>
      <c r="B14" s="433" t="s">
        <v>474</v>
      </c>
      <c r="C14" s="433">
        <v>80101</v>
      </c>
      <c r="D14" s="433" t="s">
        <v>242</v>
      </c>
      <c r="E14" s="433" t="s">
        <v>26</v>
      </c>
      <c r="F14" s="434" t="s">
        <v>104</v>
      </c>
      <c r="G14" s="435">
        <v>0</v>
      </c>
      <c r="H14" s="435">
        <v>0</v>
      </c>
      <c r="I14" s="435">
        <v>0</v>
      </c>
      <c r="J14" s="435">
        <v>0</v>
      </c>
      <c r="K14" s="435">
        <v>0</v>
      </c>
      <c r="L14" s="435">
        <v>0</v>
      </c>
      <c r="M14" s="435">
        <v>0</v>
      </c>
      <c r="N14" s="435">
        <v>0</v>
      </c>
      <c r="O14" s="435">
        <v>0</v>
      </c>
      <c r="P14" s="435">
        <v>0</v>
      </c>
      <c r="Q14" s="435">
        <v>0</v>
      </c>
      <c r="R14" s="435">
        <v>0</v>
      </c>
      <c r="S14" s="435">
        <v>0</v>
      </c>
      <c r="T14" s="435">
        <v>0</v>
      </c>
      <c r="U14" s="435">
        <v>0</v>
      </c>
      <c r="V14"/>
      <c r="W14"/>
      <c r="X14"/>
      <c r="Y14"/>
      <c r="Z14"/>
      <c r="AA14"/>
      <c r="AB14" s="304" t="s">
        <v>243</v>
      </c>
      <c r="AC14" s="374" t="s">
        <v>97</v>
      </c>
      <c r="AD14" s="374" t="s">
        <v>104</v>
      </c>
      <c r="AE14" s="307">
        <v>0</v>
      </c>
      <c r="AF14" s="307">
        <v>0</v>
      </c>
      <c r="AG14" s="307">
        <v>0</v>
      </c>
      <c r="AH14" s="307">
        <v>0</v>
      </c>
      <c r="AI14" s="307">
        <v>0</v>
      </c>
      <c r="AJ14"/>
    </row>
    <row r="15" spans="1:36" ht="15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 s="308" t="s">
        <v>244</v>
      </c>
      <c r="AC15" s="312" t="s">
        <v>101</v>
      </c>
      <c r="AD15" s="287" t="s">
        <v>102</v>
      </c>
      <c r="AE15" s="311">
        <f ca="1">'INWESTYCJE PM'!AP8</f>
        <v>44435549</v>
      </c>
      <c r="AF15" s="311">
        <f ca="1">'INWESTYCJE PM'!AQ8</f>
        <v>56927923</v>
      </c>
      <c r="AG15" s="311">
        <f ca="1">'INWESTYCJE PM'!AR8</f>
        <v>49790959</v>
      </c>
      <c r="AH15" s="311">
        <f ca="1">'INWESTYCJE PM'!AS8</f>
        <v>15659385</v>
      </c>
      <c r="AI15" s="311">
        <f ca="1">'INWESTYCJE PM'!AT8</f>
        <v>0</v>
      </c>
      <c r="AJ15"/>
    </row>
    <row r="16" spans="1:36" ht="15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 s="308" t="s">
        <v>244</v>
      </c>
      <c r="AC16" s="312" t="s">
        <v>97</v>
      </c>
      <c r="AD16" s="287" t="s">
        <v>103</v>
      </c>
      <c r="AE16" s="313">
        <f ca="1">'INWESTYCJE PM'!AP6</f>
        <v>0</v>
      </c>
      <c r="AF16" s="313">
        <f ca="1">'INWESTYCJE PM'!AQ6</f>
        <v>200000</v>
      </c>
      <c r="AG16" s="313">
        <f ca="1">'INWESTYCJE PM'!AR6</f>
        <v>9855144</v>
      </c>
      <c r="AH16" s="313">
        <f ca="1">'INWESTYCJE PM'!AS6</f>
        <v>200000</v>
      </c>
      <c r="AI16" s="313">
        <f ca="1">'INWESTYCJE PM'!AT6</f>
        <v>0</v>
      </c>
      <c r="AJ16"/>
    </row>
    <row r="17" spans="1:36" ht="15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 s="314" t="s">
        <v>244</v>
      </c>
      <c r="AC17" s="316" t="s">
        <v>97</v>
      </c>
      <c r="AD17" s="287" t="s">
        <v>104</v>
      </c>
      <c r="AE17" s="317">
        <f ca="1">'INWESTYCJE PM'!AP7</f>
        <v>0</v>
      </c>
      <c r="AF17" s="317">
        <f ca="1">'INWESTYCJE PM'!AQ7</f>
        <v>0</v>
      </c>
      <c r="AG17" s="317">
        <f ca="1">'INWESTYCJE PM'!AR7</f>
        <v>0</v>
      </c>
      <c r="AH17" s="317">
        <f ca="1">'INWESTYCJE PM'!AS7</f>
        <v>0</v>
      </c>
      <c r="AI17" s="317">
        <f ca="1">'INWESTYCJE PM'!AT7</f>
        <v>0</v>
      </c>
      <c r="AJ17"/>
    </row>
    <row r="18" spans="1:36" ht="15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D18" s="327" t="s">
        <v>246</v>
      </c>
      <c r="AE18" s="319" t="b">
        <f ca="1">AND(ROUND(AE9-AE15,2)=0,ROUND(AE13-AE16,2)=0,ROUND(AE14-AE17,2)=0)</f>
        <v>1</v>
      </c>
      <c r="AF18" s="319" t="b">
        <f ca="1">AND(ROUND(AF9-AF15,2)=0,ROUND(AF13-AF16,2)=0,ROUND(AF14-AF17,2)=0)</f>
        <v>1</v>
      </c>
      <c r="AG18" s="319" t="b">
        <f ca="1">AND(ROUND(AG9-AG15,2)=0,ROUND(AG13-AG16,2)=0,ROUND(AG14-AG17,2)=0)</f>
        <v>1</v>
      </c>
      <c r="AH18" s="319" t="b">
        <f ca="1">AND(ROUND(AH9-AH15,2)=0,ROUND(AH13-AH16,2)=0,ROUND(AH14-AH17,2)=0)</f>
        <v>1</v>
      </c>
      <c r="AI18" s="319" t="b">
        <f ca="1">AND(ROUND(AI9-AI15,2)=0,ROUND(AI13-AI16,2)=0,ROUND(AI14-AI17,2)=0)</f>
        <v>1</v>
      </c>
      <c r="AJ18"/>
    </row>
    <row r="19" spans="1:36" ht="15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 s="303"/>
      <c r="AC19" s="303"/>
      <c r="AD19" s="326"/>
      <c r="AE19" s="326"/>
      <c r="AF19" s="326"/>
      <c r="AG19" s="326"/>
      <c r="AH19" s="326"/>
      <c r="AI19" s="303"/>
      <c r="AJ19"/>
    </row>
    <row r="20" spans="1:36" ht="15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 s="303"/>
      <c r="AC20" s="303"/>
      <c r="AD20" s="326"/>
      <c r="AE20" s="326"/>
      <c r="AF20" s="326"/>
      <c r="AG20" s="326"/>
      <c r="AH20" s="326"/>
      <c r="AI20" s="303"/>
      <c r="AJ20"/>
    </row>
    <row r="21" spans="1:36" ht="15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 s="303"/>
      <c r="AC21" s="303"/>
      <c r="AD21" s="326"/>
      <c r="AE21" s="326"/>
      <c r="AF21" s="326"/>
      <c r="AG21" s="326"/>
      <c r="AH21" s="326"/>
      <c r="AI21" s="303"/>
      <c r="AJ21"/>
    </row>
    <row r="22" spans="1:36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J22"/>
    </row>
    <row r="23" spans="1:36" ht="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J23"/>
    </row>
    <row r="24" spans="1:36" ht="1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J24"/>
    </row>
    <row r="25" spans="1:36" ht="15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J25"/>
    </row>
    <row r="26" spans="1:36" ht="15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 s="303"/>
      <c r="AC26" s="303"/>
      <c r="AD26" s="326"/>
      <c r="AE26" s="326"/>
      <c r="AF26" s="326"/>
      <c r="AG26" s="326"/>
      <c r="AH26" s="326"/>
      <c r="AI26" s="303"/>
      <c r="AJ26"/>
    </row>
    <row r="27" spans="1:36" ht="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 s="303"/>
      <c r="AC27" s="303"/>
      <c r="AD27" s="326"/>
      <c r="AE27" s="326"/>
      <c r="AF27" s="326"/>
      <c r="AG27" s="326"/>
      <c r="AH27" s="326"/>
      <c r="AI27" s="303"/>
      <c r="AJ27"/>
    </row>
    <row r="28" spans="1:36" ht="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 s="303"/>
      <c r="AC28" s="303"/>
      <c r="AD28" s="326"/>
      <c r="AE28" s="326"/>
      <c r="AF28" s="326"/>
      <c r="AG28" s="326"/>
      <c r="AH28" s="326"/>
      <c r="AI28" s="303"/>
      <c r="AJ28"/>
    </row>
    <row r="29" spans="1:36" ht="15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 s="303"/>
      <c r="AC29" s="303"/>
      <c r="AD29" s="326"/>
      <c r="AE29" s="326"/>
      <c r="AF29" s="326"/>
      <c r="AG29" s="326"/>
      <c r="AH29" s="326"/>
      <c r="AI29" s="303"/>
      <c r="AJ29"/>
    </row>
    <row r="30" spans="1:36" ht="15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 s="303"/>
      <c r="AC30" s="303"/>
      <c r="AD30" s="326"/>
      <c r="AE30" s="326"/>
      <c r="AF30" s="326"/>
      <c r="AG30" s="326"/>
      <c r="AH30" s="326"/>
      <c r="AI30" s="303"/>
      <c r="AJ30"/>
    </row>
    <row r="31" spans="1:36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 s="303"/>
      <c r="AC31" s="303"/>
      <c r="AD31" s="326"/>
      <c r="AE31" s="326"/>
      <c r="AF31" s="326"/>
      <c r="AG31" s="326"/>
      <c r="AH31" s="326"/>
      <c r="AI31" s="303"/>
      <c r="AJ31"/>
    </row>
    <row r="32" spans="1:36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 s="303"/>
      <c r="AC32" s="303"/>
      <c r="AD32" s="326"/>
      <c r="AE32" s="326"/>
      <c r="AF32" s="326"/>
      <c r="AG32" s="326"/>
      <c r="AH32" s="326"/>
      <c r="AI32" s="303"/>
      <c r="AJ32"/>
    </row>
    <row r="33" spans="1:36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 s="303"/>
      <c r="AC33" s="303"/>
      <c r="AD33" s="326"/>
      <c r="AE33" s="326"/>
      <c r="AF33" s="326"/>
      <c r="AG33" s="326"/>
      <c r="AH33" s="326"/>
      <c r="AI33" s="303"/>
      <c r="AJ33"/>
    </row>
    <row r="34" spans="1:36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 s="303"/>
      <c r="AC34" s="303"/>
      <c r="AD34" s="326"/>
      <c r="AE34" s="326"/>
      <c r="AF34" s="326"/>
      <c r="AG34" s="326"/>
      <c r="AH34" s="326"/>
      <c r="AI34" s="303"/>
      <c r="AJ34"/>
    </row>
    <row r="35" spans="1:36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 s="303"/>
      <c r="AC35" s="303"/>
      <c r="AD35" s="326"/>
      <c r="AE35" s="326"/>
      <c r="AF35" s="326"/>
      <c r="AG35" s="326"/>
      <c r="AH35" s="326"/>
      <c r="AI35" s="303"/>
      <c r="AJ35"/>
    </row>
    <row r="36" spans="1:36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 s="303"/>
      <c r="AC36" s="303"/>
      <c r="AD36" s="326"/>
      <c r="AE36" s="326"/>
      <c r="AF36" s="326"/>
      <c r="AG36" s="326"/>
      <c r="AH36" s="326"/>
      <c r="AI36" s="303"/>
      <c r="AJ36"/>
    </row>
    <row r="37" spans="1:36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 s="303"/>
      <c r="AC37" s="303"/>
      <c r="AD37" s="326"/>
      <c r="AE37" s="326"/>
      <c r="AF37" s="326"/>
      <c r="AG37" s="326"/>
      <c r="AH37" s="326"/>
      <c r="AI37" s="303"/>
      <c r="AJ37"/>
    </row>
    <row r="38" spans="1:36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 s="303"/>
      <c r="AC38" s="303"/>
      <c r="AD38" s="326"/>
      <c r="AE38" s="326"/>
      <c r="AF38" s="326"/>
      <c r="AG38" s="326"/>
      <c r="AH38" s="326"/>
      <c r="AI38" s="303"/>
      <c r="AJ38"/>
    </row>
    <row r="39" spans="1:36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 s="303"/>
      <c r="AC39" s="303"/>
      <c r="AD39" s="326"/>
      <c r="AE39" s="326"/>
      <c r="AF39" s="326"/>
      <c r="AG39" s="326"/>
      <c r="AH39" s="326"/>
      <c r="AI39" s="303"/>
      <c r="AJ39"/>
    </row>
    <row r="40" spans="1:36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 s="303"/>
      <c r="AC40" s="303"/>
      <c r="AD40" s="326"/>
      <c r="AE40" s="326"/>
      <c r="AF40" s="326"/>
      <c r="AG40" s="326"/>
      <c r="AH40" s="326"/>
      <c r="AI40" s="303"/>
      <c r="AJ40"/>
    </row>
    <row r="41" spans="1:36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 s="303"/>
      <c r="AC41" s="303"/>
      <c r="AD41" s="326"/>
      <c r="AE41" s="326"/>
      <c r="AF41" s="326"/>
      <c r="AG41" s="326"/>
      <c r="AH41" s="326"/>
      <c r="AI41" s="303"/>
      <c r="AJ41"/>
    </row>
    <row r="42" spans="1:36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 s="303"/>
      <c r="AC42" s="303"/>
      <c r="AD42" s="326"/>
      <c r="AE42" s="326"/>
      <c r="AF42" s="326"/>
      <c r="AG42" s="326"/>
      <c r="AH42" s="326"/>
      <c r="AI42" s="303"/>
      <c r="AJ42"/>
    </row>
    <row r="43" spans="1:36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 s="303"/>
      <c r="AC43" s="303"/>
      <c r="AD43" s="326"/>
      <c r="AE43" s="326"/>
      <c r="AF43" s="326"/>
      <c r="AG43" s="326"/>
      <c r="AH43" s="326"/>
      <c r="AI43" s="303"/>
      <c r="AJ43"/>
    </row>
    <row r="44" spans="1:36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 s="303"/>
      <c r="AC44" s="303"/>
      <c r="AD44" s="326"/>
      <c r="AE44" s="326"/>
      <c r="AF44" s="326"/>
      <c r="AG44" s="326"/>
      <c r="AH44" s="326"/>
      <c r="AI44" s="303"/>
      <c r="AJ44"/>
    </row>
    <row r="45" spans="1:36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 s="303"/>
      <c r="AC45" s="303"/>
      <c r="AD45" s="326"/>
      <c r="AE45" s="326"/>
      <c r="AF45" s="326"/>
      <c r="AG45" s="326"/>
      <c r="AH45" s="326"/>
      <c r="AI45" s="303"/>
      <c r="AJ45"/>
    </row>
    <row r="46" spans="1:36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 s="303"/>
      <c r="AC46" s="303"/>
      <c r="AD46" s="326"/>
      <c r="AE46" s="326"/>
      <c r="AF46" s="326"/>
      <c r="AG46" s="326"/>
      <c r="AH46" s="326"/>
      <c r="AI46" s="303"/>
      <c r="AJ46"/>
    </row>
    <row r="47" spans="1:36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 s="303"/>
      <c r="AC47" s="303"/>
      <c r="AD47" s="326"/>
      <c r="AE47" s="326"/>
      <c r="AF47" s="326"/>
      <c r="AG47" s="326"/>
      <c r="AH47" s="326"/>
      <c r="AI47" s="303"/>
      <c r="AJ47"/>
    </row>
    <row r="48" spans="1:36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 s="303"/>
      <c r="AC48" s="303"/>
      <c r="AD48" s="326"/>
      <c r="AE48" s="326"/>
      <c r="AF48" s="326"/>
      <c r="AG48" s="326"/>
      <c r="AH48" s="326"/>
      <c r="AI48" s="303"/>
      <c r="AJ48"/>
    </row>
    <row r="49" spans="1: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 s="303"/>
      <c r="AC49" s="303"/>
      <c r="AD49" s="326"/>
      <c r="AE49" s="326"/>
      <c r="AF49" s="326"/>
      <c r="AG49" s="326"/>
      <c r="AH49" s="326"/>
      <c r="AI49" s="303"/>
      <c r="AJ49"/>
    </row>
    <row r="50" spans="1: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 s="303"/>
      <c r="AC50" s="303"/>
      <c r="AD50" s="326"/>
      <c r="AE50" s="326"/>
      <c r="AF50" s="326"/>
      <c r="AG50" s="326"/>
      <c r="AH50" s="326"/>
      <c r="AI50" s="303"/>
      <c r="AJ50"/>
    </row>
    <row r="51" spans="1: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 s="303"/>
      <c r="AC51" s="303"/>
      <c r="AD51" s="326"/>
      <c r="AE51" s="326"/>
      <c r="AF51" s="326"/>
      <c r="AG51" s="326"/>
      <c r="AH51" s="326"/>
      <c r="AI51" s="303"/>
      <c r="AJ51"/>
    </row>
    <row r="52" spans="1: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 s="303"/>
      <c r="AC52" s="303"/>
      <c r="AD52" s="326"/>
      <c r="AE52" s="326"/>
      <c r="AF52" s="326"/>
      <c r="AG52" s="326"/>
      <c r="AH52" s="326"/>
      <c r="AI52" s="303"/>
      <c r="AJ52"/>
    </row>
    <row r="53" spans="1: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 s="303"/>
      <c r="AC53" s="303"/>
      <c r="AD53" s="326"/>
      <c r="AE53" s="326"/>
      <c r="AF53" s="326"/>
      <c r="AG53" s="326"/>
      <c r="AH53" s="326"/>
      <c r="AI53" s="303"/>
      <c r="AJ53"/>
    </row>
    <row r="54" spans="1:36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 s="303"/>
      <c r="AC54" s="303"/>
      <c r="AD54" s="326"/>
      <c r="AE54" s="326"/>
      <c r="AF54" s="326"/>
      <c r="AG54" s="326"/>
      <c r="AH54" s="326"/>
      <c r="AI54" s="303"/>
      <c r="AJ54"/>
    </row>
    <row r="55" spans="1: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 s="303"/>
      <c r="AC55" s="303"/>
      <c r="AD55" s="326"/>
      <c r="AE55" s="326"/>
      <c r="AF55" s="326"/>
      <c r="AG55" s="326"/>
      <c r="AH55" s="326"/>
      <c r="AI55" s="303"/>
      <c r="AJ55"/>
    </row>
    <row r="56" spans="1: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 s="303"/>
      <c r="AC56" s="303"/>
      <c r="AD56" s="326"/>
      <c r="AE56" s="326"/>
      <c r="AF56" s="326"/>
      <c r="AG56" s="326"/>
      <c r="AH56" s="326"/>
      <c r="AI56" s="303"/>
      <c r="AJ56"/>
    </row>
    <row r="57" spans="1: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 s="303"/>
      <c r="AC57" s="303"/>
      <c r="AD57" s="326"/>
      <c r="AE57" s="326"/>
      <c r="AF57" s="326"/>
      <c r="AG57" s="326"/>
      <c r="AH57" s="326"/>
      <c r="AI57" s="303"/>
      <c r="AJ57"/>
    </row>
    <row r="58" spans="1: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 s="303"/>
      <c r="AC58" s="303"/>
      <c r="AD58" s="326"/>
      <c r="AE58" s="326"/>
      <c r="AF58" s="326"/>
      <c r="AG58" s="326"/>
      <c r="AH58" s="326"/>
      <c r="AI58" s="303"/>
      <c r="AJ58"/>
    </row>
    <row r="59" spans="1: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 s="303"/>
      <c r="AC59" s="303"/>
      <c r="AD59" s="326"/>
      <c r="AE59" s="326"/>
      <c r="AF59" s="326"/>
      <c r="AG59" s="326"/>
      <c r="AH59" s="326"/>
      <c r="AI59" s="303"/>
      <c r="AJ59"/>
    </row>
    <row r="60" spans="1: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 s="303"/>
      <c r="AC60" s="303"/>
      <c r="AD60" s="326"/>
      <c r="AE60" s="326"/>
      <c r="AF60" s="326"/>
      <c r="AG60" s="326"/>
      <c r="AH60" s="326"/>
      <c r="AI60" s="303"/>
      <c r="AJ60"/>
    </row>
    <row r="61" spans="1: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 s="303"/>
      <c r="AC61" s="303"/>
      <c r="AD61" s="326"/>
      <c r="AE61" s="326"/>
      <c r="AF61" s="326"/>
      <c r="AG61" s="326"/>
      <c r="AH61" s="326"/>
      <c r="AI61" s="303"/>
      <c r="AJ61"/>
    </row>
    <row r="62" spans="1: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 s="303"/>
      <c r="AC62" s="303"/>
      <c r="AD62" s="326"/>
      <c r="AE62" s="326"/>
      <c r="AF62" s="326"/>
      <c r="AG62" s="326"/>
      <c r="AH62" s="326"/>
      <c r="AI62" s="303"/>
      <c r="AJ62"/>
    </row>
    <row r="63" spans="1: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 s="303"/>
      <c r="AC63" s="303"/>
      <c r="AD63" s="326"/>
      <c r="AE63" s="326"/>
      <c r="AF63" s="326"/>
      <c r="AG63" s="326"/>
      <c r="AH63" s="326"/>
      <c r="AI63" s="303"/>
      <c r="AJ63"/>
    </row>
    <row r="64" spans="1: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 s="303"/>
      <c r="AC64" s="303"/>
      <c r="AD64" s="326"/>
      <c r="AE64" s="326"/>
      <c r="AF64" s="326"/>
      <c r="AG64" s="326"/>
      <c r="AH64" s="326"/>
      <c r="AI64" s="303"/>
      <c r="AJ64"/>
    </row>
    <row r="65" spans="1:36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 s="303"/>
      <c r="AC65" s="303"/>
      <c r="AD65" s="326"/>
      <c r="AE65" s="326"/>
      <c r="AF65" s="326"/>
      <c r="AG65" s="326"/>
      <c r="AH65" s="326"/>
      <c r="AI65" s="303"/>
      <c r="AJ65"/>
    </row>
    <row r="66" spans="1:36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 s="303"/>
      <c r="AC66" s="303"/>
      <c r="AD66" s="326"/>
      <c r="AE66" s="326"/>
      <c r="AF66" s="326"/>
      <c r="AG66" s="326"/>
      <c r="AH66" s="326"/>
      <c r="AI66" s="303"/>
      <c r="AJ66"/>
    </row>
    <row r="67" spans="1:36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 s="303"/>
      <c r="AC67" s="303"/>
      <c r="AD67" s="326"/>
      <c r="AE67" s="326"/>
      <c r="AF67" s="326"/>
      <c r="AG67" s="326"/>
      <c r="AH67" s="326"/>
      <c r="AI67" s="303"/>
      <c r="AJ67"/>
    </row>
    <row r="68" spans="1:36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 s="303"/>
      <c r="AC68" s="303"/>
      <c r="AD68" s="326"/>
      <c r="AE68" s="326"/>
      <c r="AF68" s="326"/>
      <c r="AG68" s="326"/>
      <c r="AH68" s="326"/>
      <c r="AI68" s="303"/>
      <c r="AJ68"/>
    </row>
    <row r="69" spans="1:36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 s="303"/>
      <c r="AC69" s="303"/>
      <c r="AD69" s="326"/>
      <c r="AE69" s="326"/>
      <c r="AF69" s="326"/>
      <c r="AG69" s="326"/>
      <c r="AH69" s="326"/>
      <c r="AI69" s="303"/>
      <c r="AJ69"/>
    </row>
    <row r="70" spans="1:36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 s="303"/>
      <c r="AC70" s="303"/>
      <c r="AD70" s="326"/>
      <c r="AE70" s="326"/>
      <c r="AF70" s="326"/>
      <c r="AG70" s="326"/>
      <c r="AH70" s="326"/>
      <c r="AI70" s="303"/>
      <c r="AJ70"/>
    </row>
    <row r="71" spans="1:36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 s="303"/>
      <c r="AC71" s="303"/>
      <c r="AD71" s="326"/>
      <c r="AE71" s="326"/>
      <c r="AF71" s="326"/>
      <c r="AG71" s="326"/>
      <c r="AH71" s="326"/>
      <c r="AI71" s="303"/>
      <c r="AJ71"/>
    </row>
    <row r="72" spans="1:36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 s="303"/>
      <c r="AC72" s="303"/>
      <c r="AD72" s="326"/>
      <c r="AE72" s="326"/>
      <c r="AF72" s="326"/>
      <c r="AG72" s="326"/>
      <c r="AH72" s="326"/>
      <c r="AI72" s="303"/>
      <c r="AJ72"/>
    </row>
    <row r="73" spans="1:36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 s="303"/>
      <c r="AC73" s="303"/>
      <c r="AD73" s="326"/>
      <c r="AE73" s="326"/>
      <c r="AF73" s="326"/>
      <c r="AG73" s="326"/>
      <c r="AH73" s="326"/>
      <c r="AI73" s="303"/>
      <c r="AJ73"/>
    </row>
    <row r="74" spans="1:36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 s="303"/>
      <c r="AC74" s="303"/>
      <c r="AD74" s="326"/>
      <c r="AE74" s="326"/>
      <c r="AF74" s="326"/>
      <c r="AG74" s="326"/>
      <c r="AH74" s="326"/>
      <c r="AI74" s="303"/>
      <c r="AJ74"/>
    </row>
    <row r="75" spans="1:36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 s="303"/>
      <c r="AC75" s="303"/>
      <c r="AD75" s="326"/>
      <c r="AE75" s="326"/>
      <c r="AF75" s="326"/>
      <c r="AG75" s="326"/>
      <c r="AH75" s="326"/>
      <c r="AI75" s="303"/>
      <c r="AJ75"/>
    </row>
    <row r="76" spans="1:36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 s="303"/>
      <c r="AC76" s="303"/>
      <c r="AD76" s="326"/>
      <c r="AE76" s="326"/>
      <c r="AF76" s="326"/>
      <c r="AG76" s="326"/>
      <c r="AH76" s="326"/>
      <c r="AI76" s="303"/>
      <c r="AJ76"/>
    </row>
    <row r="77" spans="1:36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 s="303"/>
      <c r="AC77" s="303"/>
      <c r="AD77" s="326"/>
      <c r="AE77" s="326"/>
      <c r="AF77" s="326"/>
      <c r="AG77" s="326"/>
      <c r="AH77" s="326"/>
      <c r="AI77" s="303"/>
      <c r="AJ77"/>
    </row>
    <row r="78" spans="1:36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 s="303"/>
      <c r="AC78" s="303"/>
      <c r="AD78" s="326"/>
      <c r="AE78" s="326"/>
      <c r="AF78" s="326"/>
      <c r="AG78" s="326"/>
      <c r="AH78" s="326"/>
      <c r="AI78" s="303"/>
      <c r="AJ78"/>
    </row>
    <row r="79" spans="1:36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 s="303"/>
      <c r="AC79" s="303"/>
      <c r="AD79" s="326"/>
      <c r="AE79" s="326"/>
      <c r="AF79" s="326"/>
      <c r="AG79" s="326"/>
      <c r="AH79" s="326"/>
      <c r="AI79" s="303"/>
      <c r="AJ79"/>
    </row>
    <row r="80" spans="1:36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 s="303"/>
      <c r="AC80" s="303"/>
      <c r="AD80" s="326"/>
      <c r="AE80" s="326"/>
      <c r="AF80" s="326"/>
      <c r="AG80" s="326"/>
      <c r="AH80" s="326"/>
      <c r="AI80" s="303"/>
      <c r="AJ80"/>
    </row>
    <row r="81" spans="1:36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 s="303"/>
      <c r="AC81" s="303"/>
      <c r="AD81" s="326"/>
      <c r="AE81" s="326"/>
      <c r="AF81" s="326"/>
      <c r="AG81" s="326"/>
      <c r="AH81" s="326"/>
      <c r="AI81" s="303"/>
      <c r="AJ81"/>
    </row>
    <row r="82" spans="1:36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 s="303"/>
      <c r="AC82" s="303"/>
      <c r="AD82" s="326"/>
      <c r="AE82" s="326"/>
      <c r="AF82" s="326"/>
      <c r="AG82" s="326"/>
      <c r="AH82" s="326"/>
      <c r="AI82" s="303"/>
      <c r="AJ82"/>
    </row>
    <row r="83" spans="1:36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 s="303"/>
      <c r="AC83" s="303"/>
      <c r="AD83" s="326"/>
      <c r="AE83" s="326"/>
      <c r="AF83" s="326"/>
      <c r="AG83" s="326"/>
      <c r="AH83" s="326"/>
      <c r="AI83" s="303"/>
      <c r="AJ83"/>
    </row>
    <row r="84" spans="1:36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 s="303"/>
      <c r="AC84" s="303"/>
      <c r="AD84" s="326"/>
      <c r="AE84" s="326"/>
      <c r="AF84" s="326"/>
      <c r="AG84" s="326"/>
      <c r="AH84" s="326"/>
      <c r="AI84" s="303"/>
      <c r="AJ84"/>
    </row>
    <row r="85" spans="1:36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 s="303"/>
      <c r="AC85" s="303"/>
      <c r="AD85" s="326"/>
      <c r="AE85" s="326"/>
      <c r="AF85" s="326"/>
      <c r="AG85" s="326"/>
      <c r="AH85" s="326"/>
      <c r="AI85" s="303"/>
      <c r="AJ85"/>
    </row>
    <row r="86" spans="1:36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 s="303"/>
      <c r="AC86" s="303"/>
      <c r="AD86" s="326"/>
      <c r="AE86" s="326"/>
      <c r="AF86" s="326"/>
      <c r="AG86" s="326"/>
      <c r="AH86" s="326"/>
      <c r="AI86" s="303"/>
      <c r="AJ86"/>
    </row>
    <row r="87" spans="1:36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 s="303"/>
      <c r="AC87" s="303"/>
      <c r="AD87" s="326"/>
      <c r="AE87" s="326"/>
      <c r="AF87" s="326"/>
      <c r="AG87" s="326"/>
      <c r="AH87" s="326"/>
      <c r="AI87" s="303"/>
      <c r="AJ87"/>
    </row>
    <row r="88" spans="1:36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 s="303"/>
      <c r="AC88" s="303"/>
      <c r="AD88" s="326"/>
      <c r="AE88" s="326"/>
      <c r="AF88" s="326"/>
      <c r="AG88" s="326"/>
      <c r="AH88" s="326"/>
      <c r="AI88" s="303"/>
      <c r="AJ88"/>
    </row>
    <row r="89" spans="1:36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 s="303"/>
      <c r="AC89" s="303"/>
      <c r="AD89" s="326"/>
      <c r="AE89" s="326"/>
      <c r="AF89" s="326"/>
      <c r="AG89" s="326"/>
      <c r="AH89" s="326"/>
      <c r="AI89" s="303"/>
      <c r="AJ89"/>
    </row>
    <row r="90" spans="1:36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 s="303"/>
      <c r="AC90" s="303"/>
      <c r="AD90" s="326"/>
      <c r="AE90" s="326"/>
      <c r="AF90" s="326"/>
      <c r="AG90" s="326"/>
      <c r="AH90" s="326"/>
      <c r="AI90" s="303"/>
      <c r="AJ90"/>
    </row>
    <row r="91" spans="1:36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 s="303"/>
      <c r="AC91" s="303"/>
      <c r="AD91" s="326"/>
      <c r="AE91" s="326"/>
      <c r="AF91" s="326"/>
      <c r="AG91" s="326"/>
      <c r="AH91" s="326"/>
      <c r="AI91" s="303"/>
      <c r="AJ91"/>
    </row>
    <row r="92" spans="1:36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 s="303"/>
      <c r="AC92" s="303"/>
      <c r="AD92" s="326"/>
      <c r="AE92" s="326"/>
      <c r="AF92" s="326"/>
      <c r="AG92" s="326"/>
      <c r="AH92" s="326"/>
      <c r="AI92" s="303"/>
      <c r="AJ92"/>
    </row>
    <row r="93" spans="1:36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 s="303"/>
      <c r="AC93" s="303"/>
      <c r="AD93" s="326"/>
      <c r="AE93" s="326"/>
      <c r="AF93" s="326"/>
      <c r="AG93" s="326"/>
      <c r="AH93" s="326"/>
      <c r="AI93" s="303"/>
      <c r="AJ93"/>
    </row>
    <row r="94" spans="1:36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 s="303"/>
      <c r="AC94" s="303"/>
      <c r="AD94" s="326"/>
      <c r="AE94" s="326"/>
      <c r="AF94" s="326"/>
      <c r="AG94" s="326"/>
      <c r="AH94" s="326"/>
      <c r="AI94" s="303"/>
      <c r="AJ94"/>
    </row>
    <row r="95" spans="1:36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 s="303"/>
      <c r="AC95" s="303"/>
      <c r="AD95" s="326"/>
      <c r="AE95" s="326"/>
      <c r="AF95" s="326"/>
      <c r="AG95" s="326"/>
      <c r="AH95" s="326"/>
      <c r="AI95" s="303"/>
      <c r="AJ95"/>
    </row>
    <row r="96" spans="1:36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 s="303"/>
      <c r="AC96" s="303"/>
      <c r="AD96" s="326"/>
      <c r="AE96" s="326"/>
      <c r="AF96" s="326"/>
      <c r="AG96" s="326"/>
      <c r="AH96" s="326"/>
      <c r="AI96" s="303"/>
      <c r="AJ96"/>
    </row>
    <row r="97" spans="1:3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 s="303"/>
      <c r="AC97" s="303"/>
      <c r="AD97" s="326"/>
      <c r="AE97" s="326"/>
      <c r="AF97" s="326"/>
      <c r="AG97" s="326"/>
      <c r="AH97" s="326"/>
      <c r="AI97" s="303"/>
      <c r="AJ97"/>
    </row>
    <row r="98" spans="1:3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 s="303"/>
      <c r="AC98" s="303"/>
      <c r="AD98" s="326"/>
      <c r="AE98" s="326"/>
      <c r="AF98" s="326"/>
      <c r="AG98" s="326"/>
      <c r="AH98" s="326"/>
      <c r="AI98" s="303"/>
      <c r="AJ98"/>
    </row>
    <row r="99" spans="1:3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 s="303"/>
      <c r="AC99" s="303"/>
      <c r="AD99" s="326"/>
      <c r="AE99" s="326"/>
      <c r="AF99" s="326"/>
      <c r="AG99" s="326"/>
      <c r="AH99" s="326"/>
      <c r="AI99" s="303"/>
      <c r="AJ99"/>
    </row>
    <row r="100" spans="1:3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 s="303"/>
      <c r="AC100" s="303"/>
      <c r="AD100" s="326"/>
      <c r="AE100" s="326"/>
      <c r="AF100" s="326"/>
      <c r="AG100" s="326"/>
      <c r="AH100" s="326"/>
      <c r="AI100" s="303"/>
      <c r="AJ100"/>
    </row>
    <row r="101" spans="1:3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 s="303"/>
      <c r="AC101" s="303"/>
      <c r="AD101" s="326"/>
      <c r="AE101" s="326"/>
      <c r="AF101" s="326"/>
      <c r="AG101" s="326"/>
      <c r="AH101" s="326"/>
      <c r="AI101" s="303"/>
      <c r="AJ101"/>
    </row>
    <row r="102" spans="1:3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 s="303"/>
      <c r="AC102" s="303"/>
      <c r="AD102" s="326"/>
      <c r="AE102" s="326"/>
      <c r="AF102" s="326"/>
      <c r="AG102" s="326"/>
      <c r="AH102" s="326"/>
      <c r="AI102" s="303"/>
      <c r="AJ102"/>
    </row>
    <row r="103" spans="1:3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 s="303"/>
      <c r="AC103" s="303"/>
      <c r="AD103" s="326"/>
      <c r="AE103" s="326"/>
      <c r="AF103" s="326"/>
      <c r="AG103" s="326"/>
      <c r="AH103" s="326"/>
      <c r="AI103" s="303"/>
      <c r="AJ103"/>
    </row>
    <row r="104" spans="1:3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 s="303"/>
      <c r="AC104" s="303"/>
      <c r="AD104" s="326"/>
      <c r="AE104" s="326"/>
      <c r="AF104" s="326"/>
      <c r="AG104" s="326"/>
      <c r="AH104" s="326"/>
      <c r="AI104" s="303"/>
      <c r="AJ104"/>
    </row>
    <row r="105" spans="1:3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 s="303"/>
      <c r="AC105" s="303"/>
      <c r="AD105" s="326"/>
      <c r="AE105" s="326"/>
      <c r="AF105" s="326"/>
      <c r="AG105" s="326"/>
      <c r="AH105" s="326"/>
      <c r="AI105" s="303"/>
      <c r="AJ105"/>
    </row>
    <row r="106" spans="1:3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 s="303"/>
      <c r="AC106" s="303"/>
      <c r="AD106" s="326"/>
      <c r="AE106" s="326"/>
      <c r="AF106" s="326"/>
      <c r="AG106" s="326"/>
      <c r="AH106" s="326"/>
      <c r="AI106" s="303"/>
      <c r="AJ106"/>
    </row>
    <row r="107" spans="1:3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 s="303"/>
      <c r="AC107" s="303"/>
      <c r="AD107" s="326"/>
      <c r="AE107" s="326"/>
      <c r="AF107" s="326"/>
      <c r="AG107" s="326"/>
      <c r="AH107" s="326"/>
      <c r="AI107" s="303"/>
      <c r="AJ107"/>
    </row>
    <row r="108" spans="1:3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 s="303"/>
      <c r="AC108" s="303"/>
      <c r="AD108" s="326"/>
      <c r="AE108" s="326"/>
      <c r="AF108" s="326"/>
      <c r="AG108" s="326"/>
      <c r="AH108" s="326"/>
      <c r="AI108" s="303"/>
      <c r="AJ108"/>
    </row>
    <row r="109" spans="1:3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 s="303"/>
      <c r="AC109" s="303"/>
      <c r="AD109" s="326"/>
      <c r="AE109" s="326"/>
      <c r="AF109" s="326"/>
      <c r="AG109" s="326"/>
      <c r="AH109" s="326"/>
      <c r="AI109" s="303"/>
      <c r="AJ109"/>
    </row>
    <row r="110" spans="1:3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 s="303"/>
      <c r="AC110" s="303"/>
      <c r="AD110" s="326"/>
      <c r="AE110" s="326"/>
      <c r="AF110" s="326"/>
      <c r="AG110" s="326"/>
      <c r="AH110" s="326"/>
      <c r="AI110" s="303"/>
      <c r="AJ110"/>
    </row>
    <row r="111" spans="1:3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 s="303"/>
      <c r="AC111" s="303"/>
      <c r="AD111" s="326"/>
      <c r="AE111" s="326"/>
      <c r="AF111" s="326"/>
      <c r="AG111" s="326"/>
      <c r="AH111" s="326"/>
      <c r="AI111" s="303"/>
      <c r="AJ111"/>
    </row>
    <row r="112" spans="1:3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 s="303"/>
      <c r="AC112" s="303"/>
      <c r="AD112" s="326"/>
      <c r="AE112" s="326"/>
      <c r="AF112" s="326"/>
      <c r="AG112" s="326"/>
      <c r="AH112" s="326"/>
      <c r="AI112" s="303"/>
      <c r="AJ112"/>
    </row>
    <row r="113" spans="1:3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 s="303"/>
      <c r="AC113" s="303"/>
      <c r="AD113" s="326"/>
      <c r="AE113" s="326"/>
      <c r="AF113" s="326"/>
      <c r="AG113" s="326"/>
      <c r="AH113" s="326"/>
      <c r="AI113" s="303"/>
      <c r="AJ113"/>
    </row>
    <row r="114" spans="1:3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 s="303"/>
      <c r="AC114" s="303"/>
      <c r="AD114" s="326"/>
      <c r="AE114" s="326"/>
      <c r="AF114" s="326"/>
      <c r="AG114" s="326"/>
      <c r="AH114" s="326"/>
      <c r="AI114" s="303"/>
      <c r="AJ114"/>
    </row>
    <row r="115" spans="1:3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 s="303"/>
      <c r="AC115" s="303"/>
      <c r="AD115" s="326"/>
      <c r="AE115" s="326"/>
      <c r="AF115" s="326"/>
      <c r="AG115" s="326"/>
      <c r="AH115" s="326"/>
      <c r="AI115" s="303"/>
      <c r="AJ115"/>
    </row>
    <row r="116" spans="1:3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 s="303"/>
      <c r="AC116" s="303"/>
      <c r="AD116" s="326"/>
      <c r="AE116" s="326"/>
      <c r="AF116" s="326"/>
      <c r="AG116" s="326"/>
      <c r="AH116" s="326"/>
      <c r="AI116" s="303"/>
      <c r="AJ116"/>
    </row>
    <row r="117" spans="1:3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 s="303"/>
      <c r="AC117" s="303"/>
      <c r="AD117" s="326"/>
      <c r="AE117" s="326"/>
      <c r="AF117" s="326"/>
      <c r="AG117" s="326"/>
      <c r="AH117" s="326"/>
      <c r="AI117" s="303"/>
      <c r="AJ117"/>
    </row>
    <row r="118" spans="1:3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 s="303"/>
      <c r="AC118" s="303"/>
      <c r="AD118" s="326"/>
      <c r="AE118" s="326"/>
      <c r="AF118" s="326"/>
      <c r="AG118" s="326"/>
      <c r="AH118" s="326"/>
      <c r="AI118" s="303"/>
      <c r="AJ118"/>
    </row>
    <row r="119" spans="1:3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 s="303"/>
      <c r="AC119" s="303"/>
      <c r="AD119" s="326"/>
      <c r="AE119" s="326"/>
      <c r="AF119" s="326"/>
      <c r="AG119" s="326"/>
      <c r="AH119" s="326"/>
      <c r="AI119" s="303"/>
      <c r="AJ119"/>
    </row>
    <row r="120" spans="1:3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 s="303"/>
      <c r="AC120" s="303"/>
      <c r="AD120" s="326"/>
      <c r="AE120" s="326"/>
      <c r="AF120" s="326"/>
      <c r="AG120" s="326"/>
      <c r="AH120" s="326"/>
      <c r="AI120" s="303"/>
      <c r="AJ120"/>
    </row>
    <row r="121" spans="1:3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 s="303"/>
      <c r="AC121" s="303"/>
      <c r="AD121" s="326"/>
      <c r="AE121" s="326"/>
      <c r="AF121" s="326"/>
      <c r="AG121" s="326"/>
      <c r="AH121" s="326"/>
      <c r="AI121" s="303"/>
      <c r="AJ121"/>
    </row>
    <row r="122" spans="1:3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 s="303"/>
      <c r="AC122" s="303"/>
      <c r="AD122" s="326"/>
      <c r="AE122" s="326"/>
      <c r="AF122" s="326"/>
      <c r="AG122" s="326"/>
      <c r="AH122" s="326"/>
      <c r="AI122" s="303"/>
      <c r="AJ122"/>
    </row>
    <row r="123" spans="1:3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 s="303"/>
      <c r="AC123" s="303"/>
      <c r="AD123" s="326"/>
      <c r="AE123" s="326"/>
      <c r="AF123" s="326"/>
      <c r="AG123" s="326"/>
      <c r="AH123" s="326"/>
      <c r="AI123" s="303"/>
      <c r="AJ123"/>
    </row>
    <row r="124" spans="1:3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 s="303"/>
      <c r="AC124" s="303"/>
      <c r="AD124" s="326"/>
      <c r="AE124" s="326"/>
      <c r="AF124" s="326"/>
      <c r="AG124" s="326"/>
      <c r="AH124" s="326"/>
      <c r="AI124" s="303"/>
      <c r="AJ124"/>
    </row>
    <row r="125" spans="1:3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 s="303"/>
      <c r="AC125" s="303"/>
      <c r="AD125" s="326"/>
      <c r="AE125" s="326"/>
      <c r="AF125" s="326"/>
      <c r="AG125" s="326"/>
      <c r="AH125" s="326"/>
      <c r="AI125" s="303"/>
      <c r="AJ125"/>
    </row>
    <row r="126" spans="1:3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 s="303"/>
      <c r="AC126" s="303"/>
      <c r="AD126" s="326"/>
      <c r="AE126" s="326"/>
      <c r="AF126" s="326"/>
      <c r="AG126" s="326"/>
      <c r="AH126" s="326"/>
      <c r="AI126" s="303"/>
      <c r="AJ126"/>
    </row>
    <row r="127" spans="1:3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 s="303"/>
      <c r="AC127" s="303"/>
      <c r="AD127" s="326"/>
      <c r="AE127" s="326"/>
      <c r="AF127" s="326"/>
      <c r="AG127" s="326"/>
      <c r="AH127" s="326"/>
      <c r="AI127" s="303"/>
      <c r="AJ127"/>
    </row>
    <row r="128" spans="1:3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 s="303"/>
      <c r="AC128" s="303"/>
      <c r="AD128" s="326"/>
      <c r="AE128" s="326"/>
      <c r="AF128" s="326"/>
      <c r="AG128" s="326"/>
      <c r="AH128" s="326"/>
      <c r="AI128" s="303"/>
      <c r="AJ128"/>
    </row>
    <row r="129" spans="1:3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 s="303"/>
      <c r="AC129" s="303"/>
      <c r="AD129" s="326"/>
      <c r="AE129" s="326"/>
      <c r="AF129" s="326"/>
      <c r="AG129" s="326"/>
      <c r="AH129" s="326"/>
      <c r="AI129" s="303"/>
      <c r="AJ129"/>
    </row>
    <row r="130" spans="1:3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 s="303"/>
      <c r="AC130" s="303"/>
      <c r="AD130" s="326"/>
      <c r="AE130" s="326"/>
      <c r="AF130" s="326"/>
      <c r="AG130" s="326"/>
      <c r="AH130" s="326"/>
      <c r="AI130" s="303"/>
      <c r="AJ130"/>
    </row>
    <row r="131" spans="1:3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 s="303"/>
      <c r="AC131" s="303"/>
      <c r="AD131" s="326"/>
      <c r="AE131" s="326"/>
      <c r="AF131" s="326"/>
      <c r="AG131" s="326"/>
      <c r="AH131" s="326"/>
      <c r="AI131" s="303"/>
      <c r="AJ131"/>
    </row>
    <row r="132" spans="1:3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 s="303"/>
      <c r="AC132" s="303"/>
      <c r="AD132" s="326"/>
      <c r="AE132" s="326"/>
      <c r="AF132" s="326"/>
      <c r="AG132" s="326"/>
      <c r="AH132" s="326"/>
      <c r="AI132" s="303"/>
      <c r="AJ132"/>
    </row>
    <row r="133" spans="1:3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 s="303"/>
      <c r="AC133" s="303"/>
      <c r="AD133" s="326"/>
      <c r="AE133" s="326"/>
      <c r="AF133" s="326"/>
      <c r="AG133" s="326"/>
      <c r="AH133" s="326"/>
      <c r="AI133" s="303"/>
      <c r="AJ133"/>
    </row>
    <row r="134" spans="1:3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 s="303"/>
      <c r="AC134" s="303"/>
      <c r="AD134" s="326"/>
      <c r="AE134" s="326"/>
      <c r="AF134" s="326"/>
      <c r="AG134" s="326"/>
      <c r="AH134" s="326"/>
      <c r="AI134" s="303"/>
      <c r="AJ134"/>
    </row>
    <row r="135" spans="1:3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 s="303"/>
      <c r="AC135" s="303"/>
      <c r="AD135" s="326"/>
      <c r="AE135" s="326"/>
      <c r="AF135" s="326"/>
      <c r="AG135" s="326"/>
      <c r="AH135" s="326"/>
      <c r="AI135" s="303"/>
      <c r="AJ135"/>
    </row>
    <row r="136" spans="1:3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 s="303"/>
      <c r="AC136" s="303"/>
      <c r="AD136" s="326"/>
      <c r="AE136" s="326"/>
      <c r="AF136" s="326"/>
      <c r="AG136" s="326"/>
      <c r="AH136" s="326"/>
      <c r="AI136" s="303"/>
      <c r="AJ136"/>
    </row>
    <row r="137" spans="1:3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 s="303"/>
      <c r="AC137" s="303"/>
      <c r="AD137" s="326"/>
      <c r="AE137" s="326"/>
      <c r="AF137" s="326"/>
      <c r="AG137" s="326"/>
      <c r="AH137" s="326"/>
      <c r="AI137" s="303"/>
      <c r="AJ137"/>
    </row>
    <row r="138" spans="1:3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 s="303"/>
      <c r="AC138" s="303"/>
      <c r="AD138" s="326"/>
      <c r="AE138" s="326"/>
      <c r="AF138" s="326"/>
      <c r="AG138" s="326"/>
      <c r="AH138" s="326"/>
      <c r="AI138" s="303"/>
      <c r="AJ138"/>
    </row>
    <row r="139" spans="1:3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 s="303"/>
      <c r="AC139" s="303"/>
      <c r="AD139" s="326"/>
      <c r="AE139" s="326"/>
      <c r="AF139" s="326"/>
      <c r="AG139" s="326"/>
      <c r="AH139" s="326"/>
      <c r="AI139" s="303"/>
      <c r="AJ139"/>
    </row>
    <row r="140" spans="1:3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 s="303"/>
      <c r="AC140" s="303"/>
      <c r="AD140" s="326"/>
      <c r="AE140" s="326"/>
      <c r="AF140" s="326"/>
      <c r="AG140" s="326"/>
      <c r="AH140" s="326"/>
      <c r="AI140" s="303"/>
      <c r="AJ140"/>
    </row>
    <row r="141" spans="1:3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 s="303"/>
      <c r="AC141" s="303"/>
      <c r="AD141" s="326"/>
      <c r="AE141" s="326"/>
      <c r="AF141" s="326"/>
      <c r="AG141" s="326"/>
      <c r="AH141" s="326"/>
      <c r="AI141" s="303"/>
      <c r="AJ141"/>
    </row>
    <row r="142" spans="1:3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 s="303"/>
      <c r="AC142" s="303"/>
      <c r="AD142" s="326"/>
      <c r="AE142" s="326"/>
      <c r="AF142" s="326"/>
      <c r="AG142" s="326"/>
      <c r="AH142" s="326"/>
      <c r="AI142" s="303"/>
      <c r="AJ142"/>
    </row>
    <row r="143" spans="1:3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 s="303"/>
      <c r="AC143" s="303"/>
      <c r="AD143" s="326"/>
      <c r="AE143" s="326"/>
      <c r="AF143" s="326"/>
      <c r="AG143" s="326"/>
      <c r="AH143" s="326"/>
      <c r="AI143" s="303"/>
      <c r="AJ143"/>
    </row>
    <row r="144" spans="1:3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 s="303"/>
      <c r="AC144" s="303"/>
      <c r="AD144" s="326"/>
      <c r="AE144" s="326"/>
      <c r="AF144" s="326"/>
      <c r="AG144" s="326"/>
      <c r="AH144" s="326"/>
      <c r="AI144" s="303"/>
      <c r="AJ144"/>
    </row>
    <row r="145" spans="1:3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 s="303"/>
      <c r="AC145" s="303"/>
      <c r="AD145" s="326"/>
      <c r="AE145" s="326"/>
      <c r="AF145" s="326"/>
      <c r="AG145" s="326"/>
      <c r="AH145" s="326"/>
      <c r="AI145" s="303"/>
      <c r="AJ145"/>
    </row>
    <row r="146" spans="1:3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 s="303"/>
      <c r="AC146" s="303"/>
      <c r="AD146" s="326"/>
      <c r="AE146" s="326"/>
      <c r="AF146" s="326"/>
      <c r="AG146" s="326"/>
      <c r="AH146" s="326"/>
      <c r="AI146" s="303"/>
      <c r="AJ146"/>
    </row>
    <row r="147" spans="1:3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 s="303"/>
      <c r="AC147" s="303"/>
      <c r="AD147" s="326"/>
      <c r="AE147" s="326"/>
      <c r="AF147" s="326"/>
      <c r="AG147" s="326"/>
      <c r="AH147" s="326"/>
      <c r="AI147" s="303"/>
      <c r="AJ147"/>
    </row>
    <row r="148" spans="1:3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 s="303"/>
      <c r="AC148" s="303"/>
      <c r="AD148" s="326"/>
      <c r="AE148" s="326"/>
      <c r="AF148" s="326"/>
      <c r="AG148" s="326"/>
      <c r="AH148" s="326"/>
      <c r="AI148" s="303"/>
      <c r="AJ148"/>
    </row>
    <row r="149" spans="1:3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 s="303"/>
      <c r="AC149" s="303"/>
      <c r="AD149" s="326"/>
      <c r="AE149" s="326"/>
      <c r="AF149" s="326"/>
      <c r="AG149" s="326"/>
      <c r="AH149" s="326"/>
      <c r="AI149" s="303"/>
      <c r="AJ149"/>
    </row>
    <row r="150" spans="1:3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 s="303"/>
      <c r="AC150" s="303"/>
      <c r="AD150" s="326"/>
      <c r="AE150" s="326"/>
      <c r="AF150" s="326"/>
      <c r="AG150" s="326"/>
      <c r="AH150" s="326"/>
      <c r="AI150" s="303"/>
      <c r="AJ150"/>
    </row>
    <row r="151" spans="1:3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 s="303"/>
      <c r="AC151" s="303"/>
      <c r="AD151" s="326"/>
      <c r="AE151" s="326"/>
      <c r="AF151" s="326"/>
      <c r="AG151" s="326"/>
      <c r="AH151" s="326"/>
      <c r="AI151" s="303"/>
      <c r="AJ151"/>
    </row>
    <row r="152" spans="1:3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 s="303"/>
      <c r="AC152" s="303"/>
      <c r="AD152" s="326"/>
      <c r="AE152" s="326"/>
      <c r="AF152" s="326"/>
      <c r="AG152" s="326"/>
      <c r="AH152" s="326"/>
      <c r="AI152" s="303"/>
      <c r="AJ152"/>
    </row>
    <row r="153" spans="1:3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 s="303"/>
      <c r="AC153" s="303"/>
      <c r="AD153" s="326"/>
      <c r="AE153" s="326"/>
      <c r="AF153" s="326"/>
      <c r="AG153" s="326"/>
      <c r="AH153" s="326"/>
      <c r="AI153" s="303"/>
      <c r="AJ153"/>
    </row>
    <row r="154" spans="1:3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 s="303"/>
      <c r="AC154" s="303"/>
      <c r="AD154" s="326"/>
      <c r="AE154" s="326"/>
      <c r="AF154" s="326"/>
      <c r="AG154" s="326"/>
      <c r="AH154" s="326"/>
      <c r="AI154" s="303"/>
      <c r="AJ154"/>
    </row>
    <row r="155" spans="1:3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 s="303"/>
      <c r="AC155" s="303"/>
      <c r="AD155" s="326"/>
      <c r="AE155" s="326"/>
      <c r="AF155" s="326"/>
      <c r="AG155" s="326"/>
      <c r="AH155" s="326"/>
      <c r="AI155" s="303"/>
      <c r="AJ155"/>
    </row>
    <row r="156" spans="1:3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 s="303"/>
      <c r="AC156" s="303"/>
      <c r="AD156" s="326"/>
      <c r="AE156" s="326"/>
      <c r="AF156" s="326"/>
      <c r="AG156" s="326"/>
      <c r="AH156" s="326"/>
      <c r="AI156" s="303"/>
      <c r="AJ156"/>
    </row>
    <row r="157" spans="1:3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 s="303"/>
      <c r="AC157" s="303"/>
      <c r="AD157" s="326"/>
      <c r="AE157" s="326"/>
      <c r="AF157" s="326"/>
      <c r="AG157" s="326"/>
      <c r="AH157" s="326"/>
      <c r="AI157" s="303"/>
      <c r="AJ157"/>
    </row>
    <row r="158" spans="1:3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 s="303"/>
      <c r="AC158" s="303"/>
      <c r="AD158" s="326"/>
      <c r="AE158" s="326"/>
      <c r="AF158" s="326"/>
      <c r="AG158" s="326"/>
      <c r="AH158" s="326"/>
      <c r="AI158" s="303"/>
      <c r="AJ158"/>
    </row>
    <row r="159" spans="1:3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 s="303"/>
      <c r="AC159" s="303"/>
      <c r="AD159" s="326"/>
      <c r="AE159" s="326"/>
      <c r="AF159" s="326"/>
      <c r="AG159" s="326"/>
      <c r="AH159" s="326"/>
      <c r="AI159" s="303"/>
      <c r="AJ159"/>
    </row>
    <row r="160" spans="1:3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 s="303"/>
      <c r="AC160" s="303"/>
      <c r="AD160" s="326"/>
      <c r="AE160" s="326"/>
      <c r="AF160" s="326"/>
      <c r="AG160" s="326"/>
      <c r="AH160" s="326"/>
      <c r="AI160" s="303"/>
      <c r="AJ160"/>
    </row>
    <row r="161" spans="1:3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 s="303"/>
      <c r="AC161" s="303"/>
      <c r="AD161" s="326"/>
      <c r="AE161" s="326"/>
      <c r="AF161" s="326"/>
      <c r="AG161" s="326"/>
      <c r="AH161" s="326"/>
      <c r="AI161" s="303"/>
      <c r="AJ161"/>
    </row>
    <row r="162" spans="1:3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 s="303"/>
      <c r="AC162" s="303"/>
      <c r="AD162" s="326"/>
      <c r="AE162" s="326"/>
      <c r="AF162" s="326"/>
      <c r="AG162" s="326"/>
      <c r="AH162" s="326"/>
      <c r="AI162" s="303"/>
      <c r="AJ162"/>
    </row>
    <row r="163" spans="1:3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 s="303"/>
      <c r="AC163" s="303"/>
      <c r="AD163" s="326"/>
      <c r="AE163" s="326"/>
      <c r="AF163" s="326"/>
      <c r="AG163" s="326"/>
      <c r="AH163" s="326"/>
      <c r="AI163" s="303"/>
      <c r="AJ163"/>
    </row>
    <row r="164" spans="1:3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 s="303"/>
      <c r="AC164" s="303"/>
      <c r="AD164" s="326"/>
      <c r="AE164" s="326"/>
      <c r="AF164" s="326"/>
      <c r="AG164" s="326"/>
      <c r="AH164" s="326"/>
      <c r="AI164" s="303"/>
      <c r="AJ164"/>
    </row>
    <row r="165" spans="1:3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 s="303"/>
      <c r="AC165" s="303"/>
      <c r="AD165" s="326"/>
      <c r="AE165" s="326"/>
      <c r="AF165" s="326"/>
      <c r="AG165" s="326"/>
      <c r="AH165" s="326"/>
      <c r="AI165" s="303"/>
      <c r="AJ165"/>
    </row>
    <row r="166" spans="1:3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 s="303"/>
      <c r="AC166" s="303"/>
      <c r="AD166" s="326"/>
      <c r="AE166" s="326"/>
      <c r="AF166" s="326"/>
      <c r="AG166" s="326"/>
      <c r="AH166" s="326"/>
      <c r="AI166" s="303"/>
      <c r="AJ166"/>
    </row>
    <row r="167" spans="1:3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 s="303"/>
      <c r="AC167" s="303"/>
      <c r="AD167" s="326"/>
      <c r="AE167" s="326"/>
      <c r="AF167" s="326"/>
      <c r="AG167" s="326"/>
      <c r="AH167" s="326"/>
      <c r="AI167" s="303"/>
      <c r="AJ167"/>
    </row>
    <row r="168" spans="1:3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 s="303"/>
      <c r="AC168" s="303"/>
      <c r="AD168" s="326"/>
      <c r="AE168" s="326"/>
      <c r="AF168" s="326"/>
      <c r="AG168" s="326"/>
      <c r="AH168" s="326"/>
      <c r="AI168" s="303"/>
      <c r="AJ168"/>
    </row>
    <row r="169" spans="1:3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 s="303"/>
      <c r="AC169" s="303"/>
      <c r="AD169" s="326"/>
      <c r="AE169" s="326"/>
      <c r="AF169" s="326"/>
      <c r="AG169" s="326"/>
      <c r="AH169" s="326"/>
      <c r="AI169" s="303"/>
      <c r="AJ169"/>
    </row>
    <row r="170" spans="1:3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 s="303"/>
      <c r="AC170" s="303"/>
      <c r="AD170" s="326"/>
      <c r="AE170" s="326"/>
      <c r="AF170" s="326"/>
      <c r="AG170" s="326"/>
      <c r="AH170" s="326"/>
      <c r="AI170" s="303"/>
      <c r="AJ170"/>
    </row>
    <row r="171" spans="1:3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 s="303"/>
      <c r="AC171" s="303"/>
      <c r="AD171" s="326"/>
      <c r="AE171" s="326"/>
      <c r="AF171" s="326"/>
      <c r="AG171" s="326"/>
      <c r="AH171" s="326"/>
      <c r="AI171" s="303"/>
      <c r="AJ171"/>
    </row>
    <row r="172" spans="1:3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 s="303"/>
      <c r="AC172" s="303"/>
      <c r="AD172" s="326"/>
      <c r="AE172" s="326"/>
      <c r="AF172" s="326"/>
      <c r="AG172" s="326"/>
      <c r="AH172" s="326"/>
      <c r="AI172" s="303"/>
      <c r="AJ172"/>
    </row>
    <row r="173" spans="1:3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 s="303"/>
      <c r="AC173" s="303"/>
      <c r="AD173" s="326"/>
      <c r="AE173" s="326"/>
      <c r="AF173" s="326"/>
      <c r="AG173" s="326"/>
      <c r="AH173" s="326"/>
      <c r="AI173" s="303"/>
      <c r="AJ173"/>
    </row>
    <row r="174" spans="1:3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 s="303"/>
      <c r="AC174" s="303"/>
      <c r="AD174" s="326"/>
      <c r="AE174" s="326"/>
      <c r="AF174" s="326"/>
      <c r="AG174" s="326"/>
      <c r="AH174" s="326"/>
      <c r="AI174" s="303"/>
      <c r="AJ174"/>
    </row>
    <row r="175" spans="1:3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 s="303"/>
      <c r="AC175" s="303"/>
      <c r="AD175" s="326"/>
      <c r="AE175" s="326"/>
      <c r="AF175" s="326"/>
      <c r="AG175" s="326"/>
      <c r="AH175" s="326"/>
      <c r="AI175" s="303"/>
      <c r="AJ175"/>
    </row>
    <row r="176" spans="1:3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 s="303"/>
      <c r="AC176" s="303"/>
      <c r="AD176" s="326"/>
      <c r="AE176" s="326"/>
      <c r="AF176" s="326"/>
      <c r="AG176" s="326"/>
      <c r="AH176" s="326"/>
      <c r="AI176" s="303"/>
      <c r="AJ176"/>
    </row>
    <row r="177" spans="1:3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 s="303"/>
      <c r="AC177" s="303"/>
      <c r="AD177" s="326"/>
      <c r="AE177" s="326"/>
      <c r="AF177" s="326"/>
      <c r="AG177" s="326"/>
      <c r="AH177" s="326"/>
      <c r="AI177" s="303"/>
      <c r="AJ177"/>
    </row>
    <row r="178" spans="1:3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 s="303"/>
      <c r="AC178" s="303"/>
      <c r="AD178" s="326"/>
      <c r="AE178" s="326"/>
      <c r="AF178" s="326"/>
      <c r="AG178" s="326"/>
      <c r="AH178" s="326"/>
      <c r="AI178" s="303"/>
      <c r="AJ178"/>
    </row>
    <row r="179" spans="1:3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 s="303"/>
      <c r="AC179" s="303"/>
      <c r="AD179" s="326"/>
      <c r="AE179" s="326"/>
      <c r="AF179" s="326"/>
      <c r="AG179" s="326"/>
      <c r="AH179" s="326"/>
      <c r="AI179" s="303"/>
      <c r="AJ179"/>
    </row>
    <row r="180" spans="1:3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 s="303"/>
      <c r="AC180" s="303"/>
      <c r="AD180" s="326"/>
      <c r="AE180" s="326"/>
      <c r="AF180" s="326"/>
      <c r="AG180" s="326"/>
      <c r="AH180" s="326"/>
      <c r="AI180" s="303"/>
      <c r="AJ180"/>
    </row>
    <row r="181" spans="1:3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 s="303"/>
      <c r="AC181" s="303"/>
      <c r="AD181" s="326"/>
      <c r="AE181" s="326"/>
      <c r="AF181" s="326"/>
      <c r="AG181" s="326"/>
      <c r="AH181" s="326"/>
      <c r="AI181" s="303"/>
      <c r="AJ181"/>
    </row>
    <row r="182" spans="1:3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 s="303"/>
      <c r="AC182" s="303"/>
      <c r="AD182" s="326"/>
      <c r="AE182" s="326"/>
      <c r="AF182" s="326"/>
      <c r="AG182" s="326"/>
      <c r="AH182" s="326"/>
      <c r="AI182" s="303"/>
      <c r="AJ182"/>
    </row>
    <row r="183" spans="1:3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 s="303"/>
      <c r="AC183" s="303"/>
      <c r="AD183" s="326"/>
      <c r="AE183" s="326"/>
      <c r="AF183" s="326"/>
      <c r="AG183" s="326"/>
      <c r="AH183" s="326"/>
      <c r="AI183" s="303"/>
      <c r="AJ183"/>
    </row>
    <row r="184" spans="1:3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 s="303"/>
      <c r="AC184" s="303"/>
      <c r="AD184" s="326"/>
      <c r="AE184" s="326"/>
      <c r="AF184" s="326"/>
      <c r="AG184" s="326"/>
      <c r="AH184" s="326"/>
      <c r="AI184" s="303"/>
      <c r="AJ184"/>
    </row>
    <row r="185" spans="1:3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 s="303"/>
      <c r="AC185" s="303"/>
      <c r="AD185" s="326"/>
      <c r="AE185" s="326"/>
      <c r="AF185" s="326"/>
      <c r="AG185" s="326"/>
      <c r="AH185" s="326"/>
      <c r="AI185" s="303"/>
      <c r="AJ185"/>
    </row>
    <row r="186" spans="1:3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 s="303"/>
      <c r="AC186" s="303"/>
      <c r="AD186" s="326"/>
      <c r="AE186" s="326"/>
      <c r="AF186" s="326"/>
      <c r="AG186" s="326"/>
      <c r="AH186" s="326"/>
      <c r="AI186" s="303"/>
      <c r="AJ186"/>
    </row>
    <row r="187" spans="1:3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 s="303"/>
      <c r="AC187" s="303"/>
      <c r="AD187" s="326"/>
      <c r="AE187" s="326"/>
      <c r="AF187" s="326"/>
      <c r="AG187" s="326"/>
      <c r="AH187" s="326"/>
      <c r="AI187" s="303"/>
      <c r="AJ187"/>
    </row>
    <row r="188" spans="1:3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 s="303"/>
      <c r="AC188" s="303"/>
      <c r="AD188" s="326"/>
      <c r="AE188" s="326"/>
      <c r="AF188" s="326"/>
      <c r="AG188" s="326"/>
      <c r="AH188" s="326"/>
      <c r="AI188" s="303"/>
      <c r="AJ188"/>
    </row>
    <row r="189" spans="1:3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 s="303"/>
      <c r="AC189" s="303"/>
      <c r="AD189" s="326"/>
      <c r="AE189" s="326"/>
      <c r="AF189" s="326"/>
      <c r="AG189" s="326"/>
      <c r="AH189" s="326"/>
      <c r="AI189" s="303"/>
      <c r="AJ189"/>
    </row>
    <row r="190" spans="1:3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 s="303"/>
      <c r="AC190" s="303"/>
      <c r="AD190" s="326"/>
      <c r="AE190" s="326"/>
      <c r="AF190" s="326"/>
      <c r="AG190" s="326"/>
      <c r="AH190" s="326"/>
      <c r="AI190" s="303"/>
      <c r="AJ190"/>
    </row>
    <row r="191" spans="1:3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 s="303"/>
      <c r="AC191" s="303"/>
      <c r="AD191" s="326"/>
      <c r="AE191" s="326"/>
      <c r="AF191" s="326"/>
      <c r="AG191" s="326"/>
      <c r="AH191" s="326"/>
      <c r="AI191" s="303"/>
      <c r="AJ191"/>
    </row>
    <row r="192" spans="1:3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 s="303"/>
      <c r="AC192" s="303"/>
      <c r="AD192" s="326"/>
      <c r="AE192" s="326"/>
      <c r="AF192" s="326"/>
      <c r="AG192" s="326"/>
      <c r="AH192" s="326"/>
      <c r="AI192" s="303"/>
      <c r="AJ192"/>
    </row>
    <row r="193" spans="1:3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 s="303"/>
      <c r="AC193" s="303"/>
      <c r="AD193" s="326"/>
      <c r="AE193" s="326"/>
      <c r="AF193" s="326"/>
      <c r="AG193" s="326"/>
      <c r="AH193" s="326"/>
      <c r="AI193" s="303"/>
      <c r="AJ193"/>
    </row>
    <row r="194" spans="1:3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 s="303"/>
      <c r="AC194" s="303"/>
      <c r="AD194" s="326"/>
      <c r="AE194" s="326"/>
      <c r="AF194" s="326"/>
      <c r="AG194" s="326"/>
      <c r="AH194" s="326"/>
      <c r="AI194" s="303"/>
      <c r="AJ194"/>
    </row>
    <row r="195" spans="1:3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 s="303"/>
      <c r="AC195" s="303"/>
      <c r="AD195" s="326"/>
      <c r="AE195" s="326"/>
      <c r="AF195" s="326"/>
      <c r="AG195" s="326"/>
      <c r="AH195" s="326"/>
      <c r="AI195" s="303"/>
      <c r="AJ195"/>
    </row>
    <row r="196" spans="1:3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 s="303"/>
      <c r="AC196" s="303"/>
      <c r="AD196" s="326"/>
      <c r="AE196" s="326"/>
      <c r="AF196" s="326"/>
      <c r="AG196" s="326"/>
      <c r="AH196" s="326"/>
      <c r="AI196" s="303"/>
      <c r="AJ196"/>
    </row>
    <row r="197" spans="1:3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 s="303"/>
      <c r="AC197" s="303"/>
      <c r="AD197" s="326"/>
      <c r="AE197" s="326"/>
      <c r="AF197" s="326"/>
      <c r="AG197" s="326"/>
      <c r="AH197" s="326"/>
      <c r="AI197" s="303"/>
      <c r="AJ197"/>
    </row>
    <row r="198" spans="1:3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 s="303"/>
      <c r="AC198" s="303"/>
      <c r="AD198" s="326"/>
      <c r="AE198" s="326"/>
      <c r="AF198" s="326"/>
      <c r="AG198" s="326"/>
      <c r="AH198" s="326"/>
      <c r="AI198" s="303"/>
      <c r="AJ198"/>
    </row>
    <row r="199" spans="1:3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 s="303"/>
      <c r="AC199" s="303"/>
      <c r="AD199" s="326"/>
      <c r="AE199" s="326"/>
      <c r="AF199" s="326"/>
      <c r="AG199" s="326"/>
      <c r="AH199" s="326"/>
      <c r="AI199" s="303"/>
      <c r="AJ199"/>
    </row>
    <row r="200" spans="1:3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 s="303"/>
      <c r="AC200" s="303"/>
      <c r="AD200" s="326"/>
      <c r="AE200" s="326"/>
      <c r="AF200" s="326"/>
      <c r="AG200" s="326"/>
      <c r="AH200" s="326"/>
      <c r="AI200" s="303"/>
      <c r="AJ200"/>
    </row>
    <row r="201" spans="1:3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 s="303"/>
      <c r="AC201" s="303"/>
      <c r="AD201" s="326"/>
      <c r="AE201" s="326"/>
      <c r="AF201" s="326"/>
      <c r="AG201" s="326"/>
      <c r="AH201" s="326"/>
      <c r="AI201" s="303"/>
      <c r="AJ201"/>
    </row>
    <row r="202" spans="1:3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 s="303"/>
      <c r="AC202" s="303"/>
      <c r="AD202" s="326"/>
      <c r="AE202" s="326"/>
      <c r="AF202" s="326"/>
      <c r="AG202" s="326"/>
      <c r="AH202" s="326"/>
      <c r="AI202" s="303"/>
      <c r="AJ202"/>
    </row>
    <row r="203" spans="1:3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 s="303"/>
      <c r="AC203" s="303"/>
      <c r="AD203" s="326"/>
      <c r="AE203" s="326"/>
      <c r="AF203" s="326"/>
      <c r="AG203" s="326"/>
      <c r="AH203" s="326"/>
      <c r="AI203" s="303"/>
      <c r="AJ203"/>
    </row>
    <row r="204" spans="1:3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 s="303"/>
      <c r="AC204" s="303"/>
      <c r="AD204" s="326"/>
      <c r="AE204" s="326"/>
      <c r="AF204" s="326"/>
      <c r="AG204" s="326"/>
      <c r="AH204" s="326"/>
      <c r="AI204" s="303"/>
      <c r="AJ204"/>
    </row>
    <row r="205" spans="1:3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 s="303"/>
      <c r="AC205" s="303"/>
      <c r="AD205" s="326"/>
      <c r="AE205" s="326"/>
      <c r="AF205" s="326"/>
      <c r="AG205" s="326"/>
      <c r="AH205" s="326"/>
      <c r="AI205" s="303"/>
      <c r="AJ205"/>
    </row>
    <row r="206" spans="1:3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 s="303"/>
      <c r="AC206" s="303"/>
      <c r="AD206" s="326"/>
      <c r="AE206" s="326"/>
      <c r="AF206" s="326"/>
      <c r="AG206" s="326"/>
      <c r="AH206" s="326"/>
      <c r="AI206" s="303"/>
      <c r="AJ206"/>
    </row>
    <row r="207" spans="1:3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 s="303"/>
      <c r="AC207" s="303"/>
      <c r="AD207" s="326"/>
      <c r="AE207" s="326"/>
      <c r="AF207" s="326"/>
      <c r="AG207" s="326"/>
      <c r="AH207" s="326"/>
      <c r="AI207" s="303"/>
      <c r="AJ207"/>
    </row>
    <row r="208" spans="1:3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 s="303"/>
      <c r="AC208" s="303"/>
      <c r="AD208" s="326"/>
      <c r="AE208" s="326"/>
      <c r="AF208" s="326"/>
      <c r="AG208" s="326"/>
      <c r="AH208" s="326"/>
      <c r="AI208" s="303"/>
      <c r="AJ208"/>
    </row>
    <row r="209" spans="1:3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 s="303"/>
      <c r="AC209" s="303"/>
      <c r="AD209" s="326"/>
      <c r="AE209" s="326"/>
      <c r="AF209" s="326"/>
      <c r="AG209" s="326"/>
      <c r="AH209" s="326"/>
      <c r="AI209" s="303"/>
      <c r="AJ209"/>
    </row>
    <row r="210" spans="1:3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 s="303"/>
      <c r="AC210" s="303"/>
      <c r="AD210" s="326"/>
      <c r="AE210" s="326"/>
      <c r="AF210" s="326"/>
      <c r="AG210" s="326"/>
      <c r="AH210" s="326"/>
      <c r="AI210" s="303"/>
      <c r="AJ210"/>
    </row>
    <row r="211" spans="1:3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 s="303"/>
      <c r="AC211" s="303"/>
      <c r="AD211" s="326"/>
      <c r="AE211" s="326"/>
      <c r="AF211" s="326"/>
      <c r="AG211" s="326"/>
      <c r="AH211" s="326"/>
      <c r="AI211" s="303"/>
      <c r="AJ211"/>
    </row>
    <row r="212" spans="1:3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 s="303"/>
      <c r="AC212" s="303"/>
      <c r="AD212" s="326"/>
      <c r="AE212" s="326"/>
      <c r="AF212" s="326"/>
      <c r="AG212" s="326"/>
      <c r="AH212" s="326"/>
      <c r="AI212" s="303"/>
      <c r="AJ212"/>
    </row>
    <row r="213" spans="1:3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 s="303"/>
      <c r="AC213" s="303"/>
      <c r="AD213" s="326"/>
      <c r="AE213" s="326"/>
      <c r="AF213" s="326"/>
      <c r="AG213" s="326"/>
      <c r="AH213" s="326"/>
      <c r="AI213" s="303"/>
      <c r="AJ213"/>
    </row>
    <row r="214" spans="1:3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 s="303"/>
      <c r="AC214" s="303"/>
      <c r="AD214" s="326"/>
      <c r="AE214" s="326"/>
      <c r="AF214" s="326"/>
      <c r="AG214" s="326"/>
      <c r="AH214" s="326"/>
      <c r="AI214" s="303"/>
      <c r="AJ214"/>
    </row>
    <row r="215" spans="1:3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 s="303"/>
      <c r="AC215" s="303"/>
      <c r="AD215" s="326"/>
      <c r="AE215" s="326"/>
      <c r="AF215" s="326"/>
      <c r="AG215" s="326"/>
      <c r="AH215" s="326"/>
      <c r="AI215" s="303"/>
      <c r="AJ215"/>
    </row>
    <row r="216" spans="1:3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 s="303"/>
      <c r="AC216" s="303"/>
      <c r="AD216" s="326"/>
      <c r="AE216" s="326"/>
      <c r="AF216" s="326"/>
      <c r="AG216" s="326"/>
      <c r="AH216" s="326"/>
      <c r="AI216" s="303"/>
      <c r="AJ216"/>
    </row>
    <row r="217" spans="1:3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 s="303"/>
      <c r="AC217" s="303"/>
      <c r="AD217" s="326"/>
      <c r="AE217" s="326"/>
      <c r="AF217" s="326"/>
      <c r="AG217" s="326"/>
      <c r="AH217" s="326"/>
      <c r="AI217" s="303"/>
      <c r="AJ217"/>
    </row>
    <row r="218" spans="1:3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 s="303"/>
      <c r="AC218" s="303"/>
      <c r="AD218" s="326"/>
      <c r="AE218" s="326"/>
      <c r="AF218" s="326"/>
      <c r="AG218" s="326"/>
      <c r="AH218" s="326"/>
      <c r="AI218" s="303"/>
      <c r="AJ218"/>
    </row>
    <row r="219" spans="1:3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 s="303"/>
      <c r="AC219" s="303"/>
      <c r="AD219" s="326"/>
      <c r="AE219" s="326"/>
      <c r="AF219" s="326"/>
      <c r="AG219" s="326"/>
      <c r="AH219" s="326"/>
      <c r="AI219" s="303"/>
      <c r="AJ219"/>
    </row>
    <row r="220" spans="1:3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 s="303"/>
      <c r="AC220" s="303"/>
      <c r="AD220" s="326"/>
      <c r="AE220" s="326"/>
      <c r="AF220" s="326"/>
      <c r="AG220" s="326"/>
      <c r="AH220" s="326"/>
      <c r="AI220" s="303"/>
      <c r="AJ220"/>
    </row>
    <row r="221" spans="1:3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 s="303"/>
      <c r="AC221" s="303"/>
      <c r="AD221" s="326"/>
      <c r="AE221" s="326"/>
      <c r="AF221" s="326"/>
      <c r="AG221" s="326"/>
      <c r="AH221" s="326"/>
      <c r="AI221" s="303"/>
      <c r="AJ221"/>
    </row>
    <row r="222" spans="1:3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 s="303"/>
      <c r="AC222" s="303"/>
      <c r="AD222" s="326"/>
      <c r="AE222" s="326"/>
      <c r="AF222" s="326"/>
      <c r="AG222" s="326"/>
      <c r="AH222" s="326"/>
      <c r="AI222" s="303"/>
      <c r="AJ222"/>
    </row>
    <row r="223" spans="1:3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 s="303"/>
      <c r="AC223" s="303"/>
      <c r="AD223" s="326"/>
      <c r="AE223" s="326"/>
      <c r="AF223" s="326"/>
      <c r="AG223" s="326"/>
      <c r="AH223" s="326"/>
      <c r="AI223" s="303"/>
      <c r="AJ223"/>
    </row>
    <row r="224" spans="1:3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 s="303"/>
      <c r="AC224" s="303"/>
      <c r="AD224" s="326"/>
      <c r="AE224" s="326"/>
      <c r="AF224" s="326"/>
      <c r="AG224" s="326"/>
      <c r="AH224" s="326"/>
      <c r="AI224" s="303"/>
      <c r="AJ224"/>
    </row>
    <row r="225" spans="1:3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 s="303"/>
      <c r="AC225" s="303"/>
      <c r="AD225" s="326"/>
      <c r="AE225" s="326"/>
      <c r="AF225" s="326"/>
      <c r="AG225" s="326"/>
      <c r="AH225" s="326"/>
      <c r="AI225" s="303"/>
      <c r="AJ225"/>
    </row>
    <row r="226" spans="1:3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303"/>
      <c r="AC226" s="303"/>
      <c r="AD226" s="326"/>
      <c r="AE226" s="326"/>
      <c r="AF226" s="326"/>
      <c r="AG226" s="326"/>
      <c r="AH226" s="326"/>
      <c r="AI226" s="303"/>
      <c r="AJ226"/>
    </row>
    <row r="227" spans="1:3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 s="303"/>
      <c r="AC227" s="303"/>
      <c r="AD227" s="326"/>
      <c r="AE227" s="326"/>
      <c r="AF227" s="326"/>
      <c r="AG227" s="326"/>
      <c r="AH227" s="326"/>
      <c r="AI227" s="303"/>
      <c r="AJ227"/>
    </row>
    <row r="228" spans="1:3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 s="303"/>
      <c r="AC228" s="303"/>
      <c r="AD228" s="326"/>
      <c r="AE228" s="326"/>
      <c r="AF228" s="326"/>
      <c r="AG228" s="326"/>
      <c r="AH228" s="326"/>
      <c r="AI228" s="303"/>
      <c r="AJ228"/>
    </row>
    <row r="229" spans="1:3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 s="303"/>
      <c r="AC229" s="303"/>
      <c r="AD229" s="326"/>
      <c r="AE229" s="326"/>
      <c r="AF229" s="326"/>
      <c r="AG229" s="326"/>
      <c r="AH229" s="326"/>
      <c r="AI229" s="303"/>
      <c r="AJ229"/>
    </row>
    <row r="230" spans="1:3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 s="303"/>
      <c r="AC230" s="303"/>
      <c r="AD230" s="326"/>
      <c r="AE230" s="326"/>
      <c r="AF230" s="326"/>
      <c r="AG230" s="326"/>
      <c r="AH230" s="326"/>
      <c r="AI230" s="303"/>
      <c r="AJ230"/>
    </row>
    <row r="231" spans="1:3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 s="303"/>
      <c r="AC231" s="303"/>
      <c r="AD231" s="326"/>
      <c r="AE231" s="326"/>
      <c r="AF231" s="326"/>
      <c r="AG231" s="326"/>
      <c r="AH231" s="326"/>
      <c r="AI231" s="303"/>
      <c r="AJ231"/>
    </row>
    <row r="232" spans="1:3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 s="303"/>
      <c r="AC232" s="303"/>
      <c r="AD232" s="326"/>
      <c r="AE232" s="326"/>
      <c r="AF232" s="326"/>
      <c r="AG232" s="326"/>
      <c r="AH232" s="326"/>
      <c r="AI232" s="303"/>
      <c r="AJ232"/>
    </row>
    <row r="233" spans="1:3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 s="303"/>
      <c r="AC233" s="303"/>
      <c r="AD233" s="326"/>
      <c r="AE233" s="326"/>
      <c r="AF233" s="326"/>
      <c r="AG233" s="326"/>
      <c r="AH233" s="326"/>
      <c r="AI233" s="303"/>
      <c r="AJ233"/>
    </row>
    <row r="234" spans="1:3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 s="303"/>
      <c r="AC234" s="303"/>
      <c r="AD234" s="326"/>
      <c r="AE234" s="326"/>
      <c r="AF234" s="326"/>
      <c r="AG234" s="326"/>
      <c r="AH234" s="326"/>
      <c r="AI234" s="303"/>
      <c r="AJ234"/>
    </row>
    <row r="235" spans="1:3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 s="303"/>
      <c r="AC235" s="303"/>
      <c r="AD235" s="326"/>
      <c r="AE235" s="326"/>
      <c r="AF235" s="326"/>
      <c r="AG235" s="326"/>
      <c r="AH235" s="326"/>
      <c r="AI235" s="303"/>
      <c r="AJ235"/>
    </row>
    <row r="236" spans="1:3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 s="303"/>
      <c r="AC236" s="303"/>
      <c r="AD236" s="326"/>
      <c r="AE236" s="326"/>
      <c r="AF236" s="326"/>
      <c r="AG236" s="326"/>
      <c r="AH236" s="326"/>
      <c r="AI236" s="303"/>
      <c r="AJ236"/>
    </row>
    <row r="237" spans="1:3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 s="303"/>
      <c r="AC237" s="303"/>
      <c r="AD237" s="326"/>
      <c r="AE237" s="326"/>
      <c r="AF237" s="326"/>
      <c r="AG237" s="326"/>
      <c r="AH237" s="326"/>
      <c r="AI237" s="303"/>
      <c r="AJ237"/>
    </row>
    <row r="238" spans="1:3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 s="303"/>
      <c r="AC238" s="303"/>
      <c r="AD238" s="326"/>
      <c r="AE238" s="326"/>
      <c r="AF238" s="326"/>
      <c r="AG238" s="326"/>
      <c r="AH238" s="326"/>
      <c r="AI238" s="303"/>
      <c r="AJ238"/>
    </row>
    <row r="239" spans="1:3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 s="303"/>
      <c r="AC239" s="303"/>
      <c r="AD239" s="326"/>
      <c r="AE239" s="326"/>
      <c r="AF239" s="326"/>
      <c r="AG239" s="326"/>
      <c r="AH239" s="326"/>
      <c r="AI239" s="303"/>
      <c r="AJ239"/>
    </row>
    <row r="240" spans="1:3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 s="303"/>
      <c r="AC240" s="303"/>
      <c r="AD240" s="326"/>
      <c r="AE240" s="326"/>
      <c r="AF240" s="326"/>
      <c r="AG240" s="326"/>
      <c r="AH240" s="326"/>
      <c r="AI240" s="303"/>
      <c r="AJ240"/>
    </row>
    <row r="241" spans="1:3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 s="303"/>
      <c r="AC241" s="303"/>
      <c r="AD241" s="326"/>
      <c r="AE241" s="326"/>
      <c r="AF241" s="326"/>
      <c r="AG241" s="326"/>
      <c r="AH241" s="326"/>
      <c r="AI241" s="303"/>
      <c r="AJ241"/>
    </row>
    <row r="242" spans="1:3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 s="303"/>
      <c r="AC242" s="303"/>
      <c r="AD242" s="326"/>
      <c r="AE242" s="326"/>
      <c r="AF242" s="326"/>
      <c r="AG242" s="326"/>
      <c r="AH242" s="326"/>
      <c r="AI242" s="303"/>
      <c r="AJ242"/>
    </row>
    <row r="243" spans="1:3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 s="303"/>
      <c r="AC243" s="303"/>
      <c r="AD243" s="326"/>
      <c r="AE243" s="326"/>
      <c r="AF243" s="326"/>
      <c r="AG243" s="326"/>
      <c r="AH243" s="326"/>
      <c r="AI243" s="303"/>
      <c r="AJ243"/>
    </row>
    <row r="244" spans="1:3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 s="303"/>
      <c r="AC244" s="303"/>
      <c r="AD244" s="326"/>
      <c r="AE244" s="326"/>
      <c r="AF244" s="326"/>
      <c r="AG244" s="326"/>
      <c r="AH244" s="326"/>
      <c r="AI244" s="303"/>
      <c r="AJ244"/>
    </row>
    <row r="245" spans="1:3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 s="303"/>
      <c r="AC245" s="303"/>
      <c r="AD245" s="326"/>
      <c r="AE245" s="326"/>
      <c r="AF245" s="326"/>
      <c r="AG245" s="326"/>
      <c r="AH245" s="326"/>
      <c r="AI245" s="303"/>
      <c r="AJ245"/>
    </row>
    <row r="246" spans="1:3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 s="303"/>
      <c r="AC246" s="303"/>
      <c r="AD246" s="326"/>
      <c r="AE246" s="326"/>
      <c r="AF246" s="326"/>
      <c r="AG246" s="326"/>
      <c r="AH246" s="326"/>
      <c r="AI246" s="303"/>
      <c r="AJ246"/>
    </row>
    <row r="247" spans="1:3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 s="303"/>
      <c r="AC247" s="303"/>
      <c r="AD247" s="326"/>
      <c r="AE247" s="326"/>
      <c r="AF247" s="326"/>
      <c r="AG247" s="326"/>
      <c r="AH247" s="326"/>
      <c r="AI247" s="303"/>
      <c r="AJ247"/>
    </row>
    <row r="248" spans="1:3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 s="303"/>
      <c r="AC248" s="303"/>
      <c r="AD248" s="326"/>
      <c r="AE248" s="326"/>
      <c r="AF248" s="326"/>
      <c r="AG248" s="326"/>
      <c r="AH248" s="326"/>
      <c r="AI248" s="303"/>
      <c r="AJ248"/>
    </row>
    <row r="249" spans="1:3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 s="303"/>
      <c r="AC249" s="303"/>
      <c r="AD249" s="326"/>
      <c r="AE249" s="326"/>
      <c r="AF249" s="326"/>
      <c r="AG249" s="326"/>
      <c r="AH249" s="326"/>
      <c r="AI249" s="303"/>
      <c r="AJ249"/>
    </row>
    <row r="250" spans="1:3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 s="303"/>
      <c r="AC250" s="303"/>
      <c r="AD250" s="326"/>
      <c r="AE250" s="326"/>
      <c r="AF250" s="326"/>
      <c r="AG250" s="326"/>
      <c r="AH250" s="326"/>
      <c r="AI250" s="303"/>
      <c r="AJ250"/>
    </row>
    <row r="251" spans="1:3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 s="303"/>
      <c r="AC251" s="303"/>
      <c r="AD251" s="326"/>
      <c r="AE251" s="326"/>
      <c r="AF251" s="326"/>
      <c r="AG251" s="326"/>
      <c r="AH251" s="326"/>
      <c r="AI251" s="303"/>
      <c r="AJ251"/>
    </row>
    <row r="252" spans="1:3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 s="303"/>
      <c r="AC252" s="303"/>
      <c r="AD252" s="326"/>
      <c r="AE252" s="326"/>
      <c r="AF252" s="326"/>
      <c r="AG252" s="326"/>
      <c r="AH252" s="326"/>
      <c r="AI252" s="303"/>
      <c r="AJ252"/>
    </row>
    <row r="253" spans="1:3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 s="303"/>
      <c r="AC253" s="303"/>
      <c r="AD253" s="326"/>
      <c r="AE253" s="326"/>
      <c r="AF253" s="326"/>
      <c r="AG253" s="326"/>
      <c r="AH253" s="326"/>
      <c r="AI253" s="303"/>
      <c r="AJ253"/>
    </row>
    <row r="254" spans="1:3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 s="303"/>
      <c r="AC254" s="303"/>
      <c r="AD254" s="326"/>
      <c r="AE254" s="326"/>
      <c r="AF254" s="326"/>
      <c r="AG254" s="326"/>
      <c r="AH254" s="326"/>
      <c r="AI254" s="303"/>
      <c r="AJ254"/>
    </row>
    <row r="255" spans="1:3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 s="303"/>
      <c r="AC255" s="303"/>
      <c r="AD255" s="326"/>
      <c r="AE255" s="326"/>
      <c r="AF255" s="326"/>
      <c r="AG255" s="326"/>
      <c r="AH255" s="326"/>
      <c r="AI255" s="303"/>
      <c r="AJ255"/>
    </row>
    <row r="256" spans="1:3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 s="303"/>
      <c r="AC256" s="303"/>
      <c r="AD256" s="326"/>
      <c r="AE256" s="326"/>
      <c r="AF256" s="326"/>
      <c r="AG256" s="326"/>
      <c r="AH256" s="326"/>
      <c r="AI256" s="303"/>
      <c r="AJ256"/>
    </row>
    <row r="257" spans="1:3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 s="303"/>
      <c r="AC257" s="303"/>
      <c r="AD257" s="326"/>
      <c r="AE257" s="326"/>
      <c r="AF257" s="326"/>
      <c r="AG257" s="326"/>
      <c r="AH257" s="326"/>
      <c r="AI257" s="303"/>
      <c r="AJ257"/>
    </row>
    <row r="258" spans="1:3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 s="303"/>
      <c r="AC258" s="303"/>
      <c r="AD258" s="326"/>
      <c r="AE258" s="326"/>
      <c r="AF258" s="326"/>
      <c r="AG258" s="326"/>
      <c r="AH258" s="326"/>
      <c r="AI258" s="303"/>
      <c r="AJ258"/>
    </row>
    <row r="259" spans="1:3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 s="303"/>
      <c r="AC259" s="303"/>
      <c r="AD259" s="326"/>
      <c r="AE259" s="326"/>
      <c r="AF259" s="326"/>
      <c r="AG259" s="326"/>
      <c r="AH259" s="326"/>
      <c r="AI259" s="303"/>
      <c r="AJ259"/>
    </row>
    <row r="260" spans="1:3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 s="303"/>
      <c r="AC260" s="303"/>
      <c r="AD260" s="326"/>
      <c r="AE260" s="326"/>
      <c r="AF260" s="326"/>
      <c r="AG260" s="326"/>
      <c r="AH260" s="326"/>
      <c r="AI260" s="303"/>
      <c r="AJ260"/>
    </row>
    <row r="261" spans="1:3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</row>
    <row r="262" spans="1:3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</row>
    <row r="263" spans="1:3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</row>
    <row r="264" spans="1:3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</row>
    <row r="265" spans="1:3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</row>
    <row r="266" spans="1:3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</row>
    <row r="267" spans="1:3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</row>
    <row r="268" spans="1:3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</row>
    <row r="269" spans="1:3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</row>
    <row r="270" spans="1:3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</row>
    <row r="271" spans="1:3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</row>
    <row r="272" spans="1:3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</row>
    <row r="273" spans="1:21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</row>
    <row r="274" spans="1:21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</row>
    <row r="275" spans="1:21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</row>
    <row r="276" spans="1:21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</row>
    <row r="277" spans="1:21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</row>
    <row r="278" spans="1:21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</row>
  </sheetData>
  <conditionalFormatting sqref="AD18">
    <cfRule type="expression" dxfId="3492" priority="3">
      <formula>COUNTIF($AE$18:$AI$18,"prawda")=5</formula>
    </cfRule>
    <cfRule type="expression" dxfId="3491" priority="4">
      <formula>COUNTIF($AE$18:$AI$18,"fałsz")&gt;0</formula>
    </cfRule>
  </conditionalFormatting>
  <conditionalFormatting sqref="G1:Y1">
    <cfRule type="expression" dxfId="3490" priority="5">
      <formula>COUNTIF($G$1,"*nie zgadzają się*")&gt;0</formula>
    </cfRule>
    <cfRule type="expression" dxfId="3489" priority="6">
      <formula>COUNTIF($G$1,"*tabeli zgadzają się*")&gt;0</formula>
    </cfRule>
  </conditionalFormatting>
  <conditionalFormatting sqref="AE18:AI18">
    <cfRule type="expression" dxfId="3488" priority="1">
      <formula>COUNTIF(AE18,"prawda")&gt;0</formula>
    </cfRule>
    <cfRule type="expression" dxfId="3487" priority="2">
      <formula>COUNTIF(AE18,"fałsz")&gt;0</formula>
    </cfRule>
  </conditionalFormatting>
  <pageMargins left="0.19685039370078741" right="0.19685039370078741" top="0.59055118110236227" bottom="0.59055118110236227" header="0.19685039370078741" footer="0.19685039370078741"/>
  <pageSetup paperSize="9" scale="70" orientation="landscape" horizontalDpi="4294967293" verticalDpi="4294967293" r:id="rId3"/>
  <headerFooter>
    <oddFooter>&amp;R&amp;P /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FC63-69D4-4D0C-8C65-736319100F91}">
  <sheetPr>
    <tabColor rgb="FFCCFF99"/>
  </sheetPr>
  <dimension ref="A1:AH242"/>
  <sheetViews>
    <sheetView view="pageBreakPreview" zoomScaleNormal="100" zoomScaleSheetLayoutView="100" workbookViewId="0">
      <pane ySplit="7" topLeftCell="A8" activePane="bottomLeft" state="frozen"/>
      <selection activeCell="B7" sqref="B7"/>
      <selection pane="bottomLeft" activeCell="B7" sqref="B7"/>
    </sheetView>
  </sheetViews>
  <sheetFormatPr defaultColWidth="9.140625" defaultRowHeight="12.75" x14ac:dyDescent="0.25"/>
  <cols>
    <col min="1" max="1" width="17.7109375" style="288" customWidth="1"/>
    <col min="2" max="2" width="62.85546875" style="283" customWidth="1"/>
    <col min="3" max="3" width="7.28515625" style="283" customWidth="1"/>
    <col min="4" max="4" width="6.28515625" style="285" customWidth="1"/>
    <col min="5" max="5" width="12" style="285" customWidth="1"/>
    <col min="6" max="6" width="14.5703125" style="288" bestFit="1" customWidth="1"/>
    <col min="7" max="7" width="11.85546875" style="287" customWidth="1"/>
    <col min="8" max="10" width="11" style="288" customWidth="1"/>
    <col min="11" max="11" width="9.5703125" style="288" customWidth="1"/>
    <col min="12" max="12" width="10.85546875" style="288" customWidth="1"/>
    <col min="13" max="15" width="9.5703125" style="288" customWidth="1"/>
    <col min="16" max="17" width="11.42578125" style="288" customWidth="1"/>
    <col min="18" max="18" width="9.140625" style="288"/>
    <col min="19" max="19" width="9.140625" style="288" customWidth="1"/>
    <col min="20" max="24" width="5.140625" style="288" customWidth="1"/>
    <col min="25" max="25" width="16.28515625" style="288" customWidth="1"/>
    <col min="26" max="31" width="10.28515625" style="288" customWidth="1"/>
    <col min="32" max="16384" width="9.140625" style="288"/>
  </cols>
  <sheetData>
    <row r="1" spans="1:34" ht="18.75" x14ac:dyDescent="0.25">
      <c r="A1" s="282" t="s">
        <v>221</v>
      </c>
      <c r="C1" s="328" t="str">
        <f ca="1">IF(COUNTIF(AB17:AF17,"fałsz")=0,"Kwoty ogółem w tabeli zgadzają się z arkuszem 'Inwestycje PM'","Kwoty ogółem w tabeli nie zgadzają się z arkuszem 'Inwestycje PM' - kliknij na tab. przestawną &gt;&gt; 'analiza' i 'odśwież wszystko'")</f>
        <v>Kwoty ogółem w tabeli zgadzają się z arkuszem 'Inwestycje PM'</v>
      </c>
      <c r="F1" s="286"/>
      <c r="H1" s="287"/>
      <c r="I1" s="287"/>
      <c r="J1" s="287"/>
      <c r="K1" s="287"/>
      <c r="L1" s="287"/>
    </row>
    <row r="2" spans="1:34" ht="15" x14ac:dyDescent="0.25">
      <c r="A2" s="329" t="s">
        <v>256</v>
      </c>
      <c r="B2" s="290"/>
      <c r="C2" s="330"/>
      <c r="F2" s="286"/>
      <c r="H2" s="287"/>
      <c r="I2" s="287"/>
      <c r="J2" s="287"/>
      <c r="K2" s="287"/>
      <c r="L2" s="287"/>
    </row>
    <row r="3" spans="1:34" ht="15" x14ac:dyDescent="0.25">
      <c r="A3"/>
      <c r="B3"/>
      <c r="C3" s="331"/>
      <c r="E3" s="293"/>
      <c r="F3" s="297"/>
      <c r="G3" s="325"/>
      <c r="H3" s="325"/>
      <c r="I3" s="325"/>
      <c r="J3" s="325"/>
      <c r="K3" s="325"/>
      <c r="L3" s="296"/>
    </row>
    <row r="4" spans="1:34" ht="15" x14ac:dyDescent="0.25">
      <c r="A4"/>
      <c r="B4"/>
      <c r="C4" s="331"/>
      <c r="E4" s="294" t="s">
        <v>224</v>
      </c>
      <c r="F4" s="295">
        <f>SUMIF($E$7:$E$2500,"*w tym*",F$7:F$2500)</f>
        <v>213864077</v>
      </c>
      <c r="G4" s="295">
        <f t="shared" ref="G4:R4" si="0">SUMIF($E$7:$E$2500,"*w tym*",G$7:G$2500)</f>
        <v>57305405</v>
      </c>
      <c r="H4" s="295">
        <f t="shared" si="0"/>
        <v>44435549</v>
      </c>
      <c r="I4" s="295">
        <f t="shared" si="0"/>
        <v>56727923</v>
      </c>
      <c r="J4" s="295">
        <f t="shared" si="0"/>
        <v>39935815</v>
      </c>
      <c r="K4" s="295">
        <f t="shared" si="0"/>
        <v>15459385</v>
      </c>
      <c r="L4" s="295">
        <f t="shared" si="0"/>
        <v>0</v>
      </c>
      <c r="M4" s="295">
        <f t="shared" si="0"/>
        <v>0</v>
      </c>
      <c r="N4" s="295">
        <f t="shared" si="0"/>
        <v>0</v>
      </c>
      <c r="O4" s="295">
        <f t="shared" si="0"/>
        <v>0</v>
      </c>
      <c r="P4" s="295">
        <f t="shared" si="0"/>
        <v>0</v>
      </c>
      <c r="Q4" s="295">
        <f t="shared" si="0"/>
        <v>0</v>
      </c>
      <c r="R4" s="295">
        <f t="shared" si="0"/>
        <v>0</v>
      </c>
      <c r="T4" s="296"/>
      <c r="U4" s="296"/>
      <c r="V4" s="296"/>
      <c r="W4" s="296"/>
    </row>
    <row r="5" spans="1:34" ht="15" x14ac:dyDescent="0.25">
      <c r="A5" s="433" t="s">
        <v>79</v>
      </c>
      <c r="B5" s="433" t="s">
        <v>91</v>
      </c>
      <c r="C5" s="331"/>
      <c r="E5" s="297" t="s">
        <v>225</v>
      </c>
      <c r="F5" s="298">
        <f>SUMIF($E$7:$E$2500,"*WPF/PM*",F$7:F$2500)</f>
        <v>108395766</v>
      </c>
      <c r="G5" s="298">
        <f t="shared" ref="G5:R5" si="1">SUMIF($E$7:$E$2500,"*WPF/PM*",G$7:G$2500)</f>
        <v>0</v>
      </c>
      <c r="H5" s="298">
        <f t="shared" si="1"/>
        <v>0</v>
      </c>
      <c r="I5" s="298">
        <f t="shared" si="1"/>
        <v>53023136</v>
      </c>
      <c r="J5" s="298">
        <f t="shared" si="1"/>
        <v>39913245</v>
      </c>
      <c r="K5" s="298">
        <f t="shared" si="1"/>
        <v>15459385</v>
      </c>
      <c r="L5" s="298">
        <f t="shared" si="1"/>
        <v>0</v>
      </c>
      <c r="M5" s="298">
        <f t="shared" si="1"/>
        <v>0</v>
      </c>
      <c r="N5" s="298">
        <f t="shared" si="1"/>
        <v>0</v>
      </c>
      <c r="O5" s="298">
        <f t="shared" si="1"/>
        <v>0</v>
      </c>
      <c r="P5" s="298">
        <f t="shared" si="1"/>
        <v>0</v>
      </c>
      <c r="Q5" s="298">
        <f t="shared" si="1"/>
        <v>0</v>
      </c>
      <c r="R5" s="298">
        <f t="shared" si="1"/>
        <v>0</v>
      </c>
      <c r="T5" s="298"/>
      <c r="U5" s="298"/>
      <c r="V5" s="298"/>
      <c r="W5" s="298"/>
      <c r="X5" s="298"/>
      <c r="Z5"/>
      <c r="AA5"/>
    </row>
    <row r="6" spans="1:34" x14ac:dyDescent="0.25">
      <c r="B6" s="285"/>
      <c r="C6" s="332"/>
      <c r="E6" s="297" t="s">
        <v>226</v>
      </c>
      <c r="F6" s="298">
        <f>SUMIF($E$7:$E$2500,"*WPF/UM*",F$7:F$2500)</f>
        <v>105468311</v>
      </c>
      <c r="G6" s="298">
        <f t="shared" ref="G6:R6" si="2">SUMIF($E$7:$E$2500,"*WPF/UM*",G$7:G$2500)</f>
        <v>57305405</v>
      </c>
      <c r="H6" s="298">
        <f t="shared" si="2"/>
        <v>44435549</v>
      </c>
      <c r="I6" s="298">
        <f t="shared" si="2"/>
        <v>3704787</v>
      </c>
      <c r="J6" s="298">
        <f t="shared" si="2"/>
        <v>22570</v>
      </c>
      <c r="K6" s="298">
        <f t="shared" si="2"/>
        <v>0</v>
      </c>
      <c r="L6" s="298">
        <f t="shared" si="2"/>
        <v>0</v>
      </c>
      <c r="M6" s="298">
        <f t="shared" si="2"/>
        <v>0</v>
      </c>
      <c r="N6" s="298">
        <f t="shared" si="2"/>
        <v>0</v>
      </c>
      <c r="O6" s="298">
        <f t="shared" si="2"/>
        <v>0</v>
      </c>
      <c r="P6" s="298">
        <f t="shared" si="2"/>
        <v>0</v>
      </c>
      <c r="Q6" s="298">
        <f t="shared" si="2"/>
        <v>0</v>
      </c>
      <c r="R6" s="298">
        <f t="shared" si="2"/>
        <v>0</v>
      </c>
      <c r="T6" s="298"/>
      <c r="U6" s="298"/>
      <c r="V6" s="298"/>
      <c r="W6" s="298"/>
      <c r="X6" s="298"/>
    </row>
    <row r="7" spans="1:34" ht="26.25" thickBot="1" x14ac:dyDescent="0.3">
      <c r="A7" s="452" t="s">
        <v>80</v>
      </c>
      <c r="B7" s="452" t="s">
        <v>81</v>
      </c>
      <c r="C7" s="452" t="s">
        <v>61</v>
      </c>
      <c r="D7" s="452" t="s">
        <v>62</v>
      </c>
      <c r="E7" s="455" t="s">
        <v>82</v>
      </c>
      <c r="F7" s="454" t="s">
        <v>228</v>
      </c>
      <c r="G7" s="450" t="s">
        <v>403</v>
      </c>
      <c r="H7" s="449" t="s">
        <v>229</v>
      </c>
      <c r="I7" s="450" t="s">
        <v>230</v>
      </c>
      <c r="J7" s="450" t="s">
        <v>231</v>
      </c>
      <c r="K7" s="450" t="s">
        <v>232</v>
      </c>
      <c r="L7" s="450" t="s">
        <v>233</v>
      </c>
      <c r="M7" s="450" t="s">
        <v>257</v>
      </c>
      <c r="N7" s="450" t="s">
        <v>258</v>
      </c>
      <c r="O7" s="450" t="s">
        <v>259</v>
      </c>
      <c r="P7" s="450" t="s">
        <v>260</v>
      </c>
      <c r="Q7" s="450" t="s">
        <v>261</v>
      </c>
      <c r="R7"/>
      <c r="S7"/>
      <c r="T7" s="333"/>
      <c r="U7" s="333"/>
      <c r="V7" s="333"/>
      <c r="W7" s="333"/>
      <c r="X7"/>
      <c r="Y7" s="302" t="s">
        <v>234</v>
      </c>
      <c r="Z7" s="361" t="s">
        <v>262</v>
      </c>
      <c r="AA7" s="376" t="s">
        <v>236</v>
      </c>
      <c r="AB7" s="377" t="s">
        <v>237</v>
      </c>
      <c r="AC7" s="377" t="s">
        <v>238</v>
      </c>
      <c r="AD7" s="377" t="s">
        <v>239</v>
      </c>
      <c r="AE7" s="377" t="s">
        <v>240</v>
      </c>
      <c r="AF7" s="377" t="s">
        <v>241</v>
      </c>
      <c r="AG7" s="303"/>
      <c r="AH7" s="303"/>
    </row>
    <row r="8" spans="1:34" ht="15" x14ac:dyDescent="0.25">
      <c r="A8" s="433" t="s">
        <v>92</v>
      </c>
      <c r="B8" s="433" t="s">
        <v>93</v>
      </c>
      <c r="C8" s="433">
        <v>60014</v>
      </c>
      <c r="D8" s="433" t="s">
        <v>242</v>
      </c>
      <c r="E8" s="448" t="s">
        <v>102</v>
      </c>
      <c r="F8" s="435">
        <v>4810713</v>
      </c>
      <c r="G8" s="435">
        <v>3550900</v>
      </c>
      <c r="H8" s="435">
        <v>0</v>
      </c>
      <c r="I8" s="435">
        <v>215642</v>
      </c>
      <c r="J8" s="435">
        <v>1044171</v>
      </c>
      <c r="K8" s="435">
        <v>0</v>
      </c>
      <c r="L8" s="435">
        <v>0</v>
      </c>
      <c r="M8" s="435">
        <v>0</v>
      </c>
      <c r="N8" s="435">
        <v>0</v>
      </c>
      <c r="O8" s="435">
        <v>0</v>
      </c>
      <c r="P8" s="435">
        <v>0</v>
      </c>
      <c r="Q8" s="435">
        <v>0</v>
      </c>
      <c r="R8"/>
      <c r="S8"/>
      <c r="T8" s="334"/>
      <c r="U8" s="334"/>
      <c r="V8" s="334"/>
      <c r="W8" s="334"/>
      <c r="X8"/>
      <c r="Y8" s="304" t="s">
        <v>243</v>
      </c>
      <c r="Z8" s="374" t="s">
        <v>101</v>
      </c>
      <c r="AA8" s="374" t="s">
        <v>102</v>
      </c>
      <c r="AB8" s="305">
        <v>44435549</v>
      </c>
      <c r="AC8" s="305">
        <v>56927923</v>
      </c>
      <c r="AD8" s="305">
        <v>49790959</v>
      </c>
      <c r="AE8" s="305">
        <v>15659385</v>
      </c>
      <c r="AF8" s="305">
        <v>0</v>
      </c>
      <c r="AG8" s="303"/>
      <c r="AH8" s="303"/>
    </row>
    <row r="9" spans="1:34" s="306" customFormat="1" ht="15" x14ac:dyDescent="0.25">
      <c r="A9" s="433" t="s">
        <v>92</v>
      </c>
      <c r="B9" s="433" t="s">
        <v>93</v>
      </c>
      <c r="C9" s="433">
        <v>60014</v>
      </c>
      <c r="D9" s="433" t="s">
        <v>242</v>
      </c>
      <c r="E9" s="436" t="s">
        <v>103</v>
      </c>
      <c r="F9" s="435">
        <v>1259813</v>
      </c>
      <c r="G9" s="435">
        <v>0</v>
      </c>
      <c r="H9" s="435">
        <v>0</v>
      </c>
      <c r="I9" s="435">
        <v>215642</v>
      </c>
      <c r="J9" s="435">
        <v>1044171</v>
      </c>
      <c r="K9" s="435">
        <v>0</v>
      </c>
      <c r="L9" s="435">
        <v>0</v>
      </c>
      <c r="M9" s="435">
        <v>0</v>
      </c>
      <c r="N9" s="435">
        <v>0</v>
      </c>
      <c r="O9" s="435">
        <v>0</v>
      </c>
      <c r="P9" s="435">
        <v>0</v>
      </c>
      <c r="Q9" s="435">
        <v>0</v>
      </c>
      <c r="R9"/>
      <c r="S9"/>
      <c r="T9" s="334"/>
      <c r="U9" s="334"/>
      <c r="V9" s="334"/>
      <c r="W9" s="334"/>
      <c r="X9"/>
      <c r="Y9" s="304" t="s">
        <v>243</v>
      </c>
      <c r="Z9" s="374" t="s">
        <v>101</v>
      </c>
      <c r="AA9" s="374" t="s">
        <v>103</v>
      </c>
      <c r="AB9" s="375">
        <v>0</v>
      </c>
      <c r="AC9" s="375">
        <v>53223136</v>
      </c>
      <c r="AD9" s="375">
        <v>49768389</v>
      </c>
      <c r="AE9" s="375">
        <v>15659385</v>
      </c>
      <c r="AF9" s="375">
        <v>0</v>
      </c>
      <c r="AG9" s="303"/>
      <c r="AH9" s="303"/>
    </row>
    <row r="10" spans="1:34" ht="15" x14ac:dyDescent="0.25">
      <c r="A10" s="433" t="s">
        <v>92</v>
      </c>
      <c r="B10" s="433" t="s">
        <v>93</v>
      </c>
      <c r="C10" s="433">
        <v>60014</v>
      </c>
      <c r="D10" s="433" t="s">
        <v>242</v>
      </c>
      <c r="E10" s="436" t="s">
        <v>104</v>
      </c>
      <c r="F10" s="435">
        <v>3550900</v>
      </c>
      <c r="G10" s="435">
        <v>3550900</v>
      </c>
      <c r="H10" s="435">
        <v>0</v>
      </c>
      <c r="I10" s="435">
        <v>0</v>
      </c>
      <c r="J10" s="435">
        <v>0</v>
      </c>
      <c r="K10" s="435">
        <v>0</v>
      </c>
      <c r="L10" s="435">
        <v>0</v>
      </c>
      <c r="M10" s="435">
        <v>0</v>
      </c>
      <c r="N10" s="435">
        <v>0</v>
      </c>
      <c r="O10" s="435">
        <v>0</v>
      </c>
      <c r="P10" s="435">
        <v>0</v>
      </c>
      <c r="Q10" s="435">
        <v>0</v>
      </c>
      <c r="R10"/>
      <c r="S10"/>
      <c r="T10" s="334"/>
      <c r="U10" s="334"/>
      <c r="V10" s="334"/>
      <c r="W10" s="334"/>
      <c r="X10"/>
      <c r="Y10" s="304" t="s">
        <v>243</v>
      </c>
      <c r="Z10" s="374" t="s">
        <v>101</v>
      </c>
      <c r="AA10" s="374" t="s">
        <v>104</v>
      </c>
      <c r="AB10" s="375">
        <v>44435549</v>
      </c>
      <c r="AC10" s="375">
        <v>3704787</v>
      </c>
      <c r="AD10" s="375">
        <v>22570</v>
      </c>
      <c r="AE10" s="375">
        <v>0</v>
      </c>
      <c r="AF10" s="375">
        <v>0</v>
      </c>
    </row>
    <row r="11" spans="1:34" ht="15" x14ac:dyDescent="0.25">
      <c r="A11" s="433" t="s">
        <v>105</v>
      </c>
      <c r="B11" s="433" t="s">
        <v>106</v>
      </c>
      <c r="C11" s="433">
        <v>60014</v>
      </c>
      <c r="D11" s="433" t="s">
        <v>242</v>
      </c>
      <c r="E11" s="436" t="s">
        <v>102</v>
      </c>
      <c r="F11" s="435">
        <v>13951425</v>
      </c>
      <c r="G11" s="435">
        <v>13946038</v>
      </c>
      <c r="H11" s="435">
        <v>0</v>
      </c>
      <c r="I11" s="435">
        <v>5387</v>
      </c>
      <c r="J11" s="435">
        <v>0</v>
      </c>
      <c r="K11" s="435">
        <v>0</v>
      </c>
      <c r="L11" s="435">
        <v>0</v>
      </c>
      <c r="M11" s="435">
        <v>0</v>
      </c>
      <c r="N11" s="435">
        <v>0</v>
      </c>
      <c r="O11" s="435">
        <v>0</v>
      </c>
      <c r="P11" s="435">
        <v>0</v>
      </c>
      <c r="Q11" s="435">
        <v>0</v>
      </c>
      <c r="R11"/>
      <c r="S11"/>
      <c r="T11" s="334"/>
      <c r="U11" s="334"/>
      <c r="V11" s="334"/>
      <c r="W11" s="334"/>
      <c r="X11"/>
      <c r="Y11" s="304" t="s">
        <v>243</v>
      </c>
      <c r="Z11" s="374" t="s">
        <v>97</v>
      </c>
      <c r="AA11" s="374" t="s">
        <v>102</v>
      </c>
      <c r="AB11" s="375">
        <v>0</v>
      </c>
      <c r="AC11" s="375">
        <v>200000</v>
      </c>
      <c r="AD11" s="375">
        <v>9855144</v>
      </c>
      <c r="AE11" s="375">
        <v>200000</v>
      </c>
      <c r="AF11" s="375">
        <v>0</v>
      </c>
    </row>
    <row r="12" spans="1:34" ht="15" x14ac:dyDescent="0.25">
      <c r="A12" s="433" t="s">
        <v>105</v>
      </c>
      <c r="B12" s="433" t="s">
        <v>106</v>
      </c>
      <c r="C12" s="433">
        <v>60014</v>
      </c>
      <c r="D12" s="433" t="s">
        <v>242</v>
      </c>
      <c r="E12" s="436" t="s">
        <v>103</v>
      </c>
      <c r="F12" s="435">
        <v>5387</v>
      </c>
      <c r="G12" s="435">
        <v>0</v>
      </c>
      <c r="H12" s="435">
        <v>0</v>
      </c>
      <c r="I12" s="435">
        <v>5387</v>
      </c>
      <c r="J12" s="435">
        <v>0</v>
      </c>
      <c r="K12" s="435">
        <v>0</v>
      </c>
      <c r="L12" s="435">
        <v>0</v>
      </c>
      <c r="M12" s="435">
        <v>0</v>
      </c>
      <c r="N12" s="435">
        <v>0</v>
      </c>
      <c r="O12" s="435">
        <v>0</v>
      </c>
      <c r="P12" s="435">
        <v>0</v>
      </c>
      <c r="Q12" s="435">
        <v>0</v>
      </c>
      <c r="R12"/>
      <c r="S12"/>
      <c r="T12" s="334"/>
      <c r="U12" s="334"/>
      <c r="V12" s="334"/>
      <c r="W12" s="334"/>
      <c r="X12"/>
      <c r="Y12" s="304" t="s">
        <v>243</v>
      </c>
      <c r="Z12" s="374" t="s">
        <v>97</v>
      </c>
      <c r="AA12" s="374" t="s">
        <v>103</v>
      </c>
      <c r="AB12" s="307">
        <v>0</v>
      </c>
      <c r="AC12" s="307">
        <v>200000</v>
      </c>
      <c r="AD12" s="307">
        <v>9855144</v>
      </c>
      <c r="AE12" s="307">
        <v>200000</v>
      </c>
      <c r="AF12" s="307">
        <v>0</v>
      </c>
    </row>
    <row r="13" spans="1:34" ht="15" x14ac:dyDescent="0.25">
      <c r="A13" s="433" t="s">
        <v>105</v>
      </c>
      <c r="B13" s="433" t="s">
        <v>106</v>
      </c>
      <c r="C13" s="433">
        <v>60014</v>
      </c>
      <c r="D13" s="433" t="s">
        <v>242</v>
      </c>
      <c r="E13" s="436" t="s">
        <v>104</v>
      </c>
      <c r="F13" s="435">
        <v>13946038</v>
      </c>
      <c r="G13" s="435">
        <v>13946038</v>
      </c>
      <c r="H13" s="435">
        <v>0</v>
      </c>
      <c r="I13" s="435">
        <v>0</v>
      </c>
      <c r="J13" s="435">
        <v>0</v>
      </c>
      <c r="K13" s="435">
        <v>0</v>
      </c>
      <c r="L13" s="435">
        <v>0</v>
      </c>
      <c r="M13" s="435">
        <v>0</v>
      </c>
      <c r="N13" s="435">
        <v>0</v>
      </c>
      <c r="O13" s="435">
        <v>0</v>
      </c>
      <c r="P13" s="435">
        <v>0</v>
      </c>
      <c r="Q13" s="435">
        <v>0</v>
      </c>
      <c r="R13"/>
      <c r="S13"/>
      <c r="T13" s="334"/>
      <c r="U13" s="334"/>
      <c r="V13" s="334"/>
      <c r="W13" s="334"/>
      <c r="X13"/>
      <c r="Y13" s="304" t="s">
        <v>243</v>
      </c>
      <c r="Z13" s="374" t="s">
        <v>97</v>
      </c>
      <c r="AA13" s="374" t="s">
        <v>104</v>
      </c>
      <c r="AB13" s="307">
        <v>0</v>
      </c>
      <c r="AC13" s="307">
        <v>0</v>
      </c>
      <c r="AD13" s="307">
        <v>0</v>
      </c>
      <c r="AE13" s="307">
        <v>0</v>
      </c>
      <c r="AF13" s="307">
        <v>0</v>
      </c>
    </row>
    <row r="14" spans="1:34" ht="15" x14ac:dyDescent="0.25">
      <c r="A14" s="433" t="s">
        <v>107</v>
      </c>
      <c r="B14" s="433" t="s">
        <v>108</v>
      </c>
      <c r="C14" s="433">
        <v>60016</v>
      </c>
      <c r="D14" s="433" t="s">
        <v>242</v>
      </c>
      <c r="E14" s="436" t="s">
        <v>102</v>
      </c>
      <c r="F14" s="435">
        <v>66382</v>
      </c>
      <c r="G14" s="435">
        <v>21614</v>
      </c>
      <c r="H14" s="435">
        <v>0</v>
      </c>
      <c r="I14" s="435">
        <v>4768</v>
      </c>
      <c r="J14" s="435">
        <v>40000</v>
      </c>
      <c r="K14" s="435">
        <v>0</v>
      </c>
      <c r="L14" s="435">
        <v>0</v>
      </c>
      <c r="M14" s="435">
        <v>0</v>
      </c>
      <c r="N14" s="435">
        <v>0</v>
      </c>
      <c r="O14" s="435">
        <v>0</v>
      </c>
      <c r="P14" s="435">
        <v>0</v>
      </c>
      <c r="Q14" s="435">
        <v>0</v>
      </c>
      <c r="R14"/>
      <c r="S14"/>
      <c r="T14" s="334"/>
      <c r="U14" s="334"/>
      <c r="V14" s="334"/>
      <c r="W14" s="334"/>
      <c r="X14"/>
      <c r="Y14" s="308" t="s">
        <v>244</v>
      </c>
      <c r="Z14" s="312" t="s">
        <v>101</v>
      </c>
      <c r="AA14" s="310" t="s">
        <v>102</v>
      </c>
      <c r="AB14" s="311">
        <f ca="1">'INWESTYCJE PM'!AP8</f>
        <v>44435549</v>
      </c>
      <c r="AC14" s="311">
        <f ca="1">'INWESTYCJE PM'!AQ8</f>
        <v>56927923</v>
      </c>
      <c r="AD14" s="311">
        <f ca="1">'INWESTYCJE PM'!AR8</f>
        <v>49790959</v>
      </c>
      <c r="AE14" s="311">
        <f ca="1">'INWESTYCJE PM'!AS8</f>
        <v>15659385</v>
      </c>
      <c r="AF14" s="311">
        <f ca="1">'INWESTYCJE PM'!AT8</f>
        <v>0</v>
      </c>
      <c r="AG14" s="303"/>
      <c r="AH14" s="303"/>
    </row>
    <row r="15" spans="1:34" ht="15" x14ac:dyDescent="0.25">
      <c r="A15" s="433" t="s">
        <v>107</v>
      </c>
      <c r="B15" s="433" t="s">
        <v>108</v>
      </c>
      <c r="C15" s="433">
        <v>60016</v>
      </c>
      <c r="D15" s="433" t="s">
        <v>242</v>
      </c>
      <c r="E15" s="436" t="s">
        <v>103</v>
      </c>
      <c r="F15" s="435">
        <v>44768</v>
      </c>
      <c r="G15" s="435">
        <v>0</v>
      </c>
      <c r="H15" s="435">
        <v>0</v>
      </c>
      <c r="I15" s="435">
        <v>4768</v>
      </c>
      <c r="J15" s="435">
        <v>40000</v>
      </c>
      <c r="K15" s="435">
        <v>0</v>
      </c>
      <c r="L15" s="435">
        <v>0</v>
      </c>
      <c r="M15" s="435">
        <v>0</v>
      </c>
      <c r="N15" s="435">
        <v>0</v>
      </c>
      <c r="O15" s="435">
        <v>0</v>
      </c>
      <c r="P15" s="435">
        <v>0</v>
      </c>
      <c r="Q15" s="435">
        <v>0</v>
      </c>
      <c r="R15"/>
      <c r="S15"/>
      <c r="T15" s="334"/>
      <c r="U15" s="334"/>
      <c r="V15" s="334"/>
      <c r="W15" s="334"/>
      <c r="X15"/>
      <c r="Y15" s="308" t="s">
        <v>244</v>
      </c>
      <c r="Z15" s="312" t="s">
        <v>97</v>
      </c>
      <c r="AA15" s="312" t="s">
        <v>103</v>
      </c>
      <c r="AB15" s="313">
        <f ca="1">'INWESTYCJE PM'!AP6</f>
        <v>0</v>
      </c>
      <c r="AC15" s="313">
        <f ca="1">'INWESTYCJE PM'!AQ6</f>
        <v>200000</v>
      </c>
      <c r="AD15" s="313">
        <f ca="1">'INWESTYCJE PM'!AR6</f>
        <v>9855144</v>
      </c>
      <c r="AE15" s="313">
        <f ca="1">'INWESTYCJE PM'!AS6</f>
        <v>200000</v>
      </c>
      <c r="AF15" s="313">
        <f ca="1">'INWESTYCJE PM'!AT6</f>
        <v>0</v>
      </c>
      <c r="AG15" s="303"/>
      <c r="AH15" s="303"/>
    </row>
    <row r="16" spans="1:34" ht="15" x14ac:dyDescent="0.25">
      <c r="A16" s="433" t="s">
        <v>107</v>
      </c>
      <c r="B16" s="433" t="s">
        <v>108</v>
      </c>
      <c r="C16" s="433">
        <v>60016</v>
      </c>
      <c r="D16" s="433" t="s">
        <v>242</v>
      </c>
      <c r="E16" s="436" t="s">
        <v>104</v>
      </c>
      <c r="F16" s="435">
        <v>21614</v>
      </c>
      <c r="G16" s="435">
        <v>21614</v>
      </c>
      <c r="H16" s="435">
        <v>0</v>
      </c>
      <c r="I16" s="435">
        <v>0</v>
      </c>
      <c r="J16" s="435">
        <v>0</v>
      </c>
      <c r="K16" s="435">
        <v>0</v>
      </c>
      <c r="L16" s="435">
        <v>0</v>
      </c>
      <c r="M16" s="435">
        <v>0</v>
      </c>
      <c r="N16" s="435">
        <v>0</v>
      </c>
      <c r="O16" s="435">
        <v>0</v>
      </c>
      <c r="P16" s="435">
        <v>0</v>
      </c>
      <c r="Q16" s="435">
        <v>0</v>
      </c>
      <c r="R16"/>
      <c r="S16"/>
      <c r="T16" s="334"/>
      <c r="U16" s="334"/>
      <c r="V16" s="334"/>
      <c r="W16" s="334"/>
      <c r="X16"/>
      <c r="Y16" s="314" t="s">
        <v>244</v>
      </c>
      <c r="Z16" s="316" t="s">
        <v>97</v>
      </c>
      <c r="AA16" s="316" t="s">
        <v>104</v>
      </c>
      <c r="AB16" s="317">
        <f ca="1">'INWESTYCJE PM'!AP7</f>
        <v>0</v>
      </c>
      <c r="AC16" s="317">
        <f ca="1">'INWESTYCJE PM'!AQ7</f>
        <v>0</v>
      </c>
      <c r="AD16" s="317">
        <f ca="1">'INWESTYCJE PM'!AR7</f>
        <v>0</v>
      </c>
      <c r="AE16" s="317">
        <f ca="1">'INWESTYCJE PM'!AS7</f>
        <v>0</v>
      </c>
      <c r="AF16" s="317">
        <f ca="1">'INWESTYCJE PM'!AT7</f>
        <v>0</v>
      </c>
      <c r="AG16" s="303"/>
      <c r="AH16" s="303"/>
    </row>
    <row r="17" spans="1:34" ht="15" x14ac:dyDescent="0.25">
      <c r="A17" s="433" t="s">
        <v>109</v>
      </c>
      <c r="B17" s="433" t="s">
        <v>110</v>
      </c>
      <c r="C17" s="433">
        <v>60016</v>
      </c>
      <c r="D17" s="433" t="s">
        <v>245</v>
      </c>
      <c r="E17" s="436" t="s">
        <v>102</v>
      </c>
      <c r="F17" s="435">
        <v>856197</v>
      </c>
      <c r="G17" s="435">
        <v>850879</v>
      </c>
      <c r="H17" s="435">
        <v>0</v>
      </c>
      <c r="I17" s="435">
        <v>5318</v>
      </c>
      <c r="J17" s="435">
        <v>0</v>
      </c>
      <c r="K17" s="435">
        <v>0</v>
      </c>
      <c r="L17" s="435">
        <v>0</v>
      </c>
      <c r="M17" s="435">
        <v>0</v>
      </c>
      <c r="N17" s="435">
        <v>0</v>
      </c>
      <c r="O17" s="435">
        <v>0</v>
      </c>
      <c r="P17" s="435">
        <v>0</v>
      </c>
      <c r="Q17" s="435">
        <v>0</v>
      </c>
      <c r="R17"/>
      <c r="S17"/>
      <c r="T17" s="334"/>
      <c r="U17" s="334"/>
      <c r="V17" s="334"/>
      <c r="W17" s="334"/>
      <c r="X17"/>
      <c r="AA17" s="327" t="s">
        <v>246</v>
      </c>
      <c r="AB17" s="319" t="b">
        <f ca="1">AND(ROUND(AB8-AB14,2)=0,ROUND(AB12-AB15,2)=0,ROUND(AB13-AB16,2)=0)</f>
        <v>1</v>
      </c>
      <c r="AC17" s="319" t="b">
        <f ca="1">AND(ROUND(AC8-AC14,2)=0,ROUND(AC12-AC15,2)=0,ROUND(AC13-AC16,2)=0)</f>
        <v>1</v>
      </c>
      <c r="AD17" s="319" t="b">
        <f ca="1">AND(ROUND(AD8-AD14,2)=0,ROUND(AD12-AD15,2)=0,ROUND(AD13-AD16,2)=0)</f>
        <v>1</v>
      </c>
      <c r="AE17" s="319" t="b">
        <f ca="1">AND(ROUND(AE8-AE14,2)=0,ROUND(AE12-AE15,2)=0,ROUND(AE13-AE16,2)=0)</f>
        <v>1</v>
      </c>
      <c r="AF17" s="319" t="b">
        <f ca="1">AND(ROUND(AF8-AF14,2)=0,ROUND(AF12-AF15,2)=0,ROUND(AF13-AF16,2)=0)</f>
        <v>1</v>
      </c>
      <c r="AG17" s="303"/>
      <c r="AH17" s="303"/>
    </row>
    <row r="18" spans="1:34" ht="15" x14ac:dyDescent="0.25">
      <c r="A18" s="433" t="s">
        <v>109</v>
      </c>
      <c r="B18" s="433" t="s">
        <v>110</v>
      </c>
      <c r="C18" s="433">
        <v>60016</v>
      </c>
      <c r="D18" s="433" t="s">
        <v>245</v>
      </c>
      <c r="E18" s="436" t="s">
        <v>103</v>
      </c>
      <c r="F18" s="435">
        <v>5318</v>
      </c>
      <c r="G18" s="435">
        <v>0</v>
      </c>
      <c r="H18" s="435">
        <v>0</v>
      </c>
      <c r="I18" s="435">
        <v>5318</v>
      </c>
      <c r="J18" s="435">
        <v>0</v>
      </c>
      <c r="K18" s="435">
        <v>0</v>
      </c>
      <c r="L18" s="435">
        <v>0</v>
      </c>
      <c r="M18" s="435">
        <v>0</v>
      </c>
      <c r="N18" s="435">
        <v>0</v>
      </c>
      <c r="O18" s="435">
        <v>0</v>
      </c>
      <c r="P18" s="435">
        <v>0</v>
      </c>
      <c r="Q18" s="435">
        <v>0</v>
      </c>
      <c r="R18"/>
      <c r="S18"/>
      <c r="T18" s="334"/>
      <c r="U18" s="334"/>
      <c r="V18" s="334"/>
      <c r="W18" s="334"/>
      <c r="X18"/>
      <c r="Z18"/>
      <c r="AA18"/>
      <c r="AB18"/>
      <c r="AC18"/>
      <c r="AD18"/>
      <c r="AE18"/>
      <c r="AG18" s="303"/>
      <c r="AH18" s="303"/>
    </row>
    <row r="19" spans="1:34" ht="15" x14ac:dyDescent="0.25">
      <c r="A19" s="433" t="s">
        <v>109</v>
      </c>
      <c r="B19" s="433" t="s">
        <v>110</v>
      </c>
      <c r="C19" s="433">
        <v>60016</v>
      </c>
      <c r="D19" s="433" t="s">
        <v>245</v>
      </c>
      <c r="E19" s="436" t="s">
        <v>104</v>
      </c>
      <c r="F19" s="435">
        <v>850879</v>
      </c>
      <c r="G19" s="435">
        <v>850879</v>
      </c>
      <c r="H19" s="435">
        <v>0</v>
      </c>
      <c r="I19" s="435">
        <v>0</v>
      </c>
      <c r="J19" s="435">
        <v>0</v>
      </c>
      <c r="K19" s="435">
        <v>0</v>
      </c>
      <c r="L19" s="435">
        <v>0</v>
      </c>
      <c r="M19" s="435">
        <v>0</v>
      </c>
      <c r="N19" s="435">
        <v>0</v>
      </c>
      <c r="O19" s="435">
        <v>0</v>
      </c>
      <c r="P19" s="435">
        <v>0</v>
      </c>
      <c r="Q19" s="435">
        <v>0</v>
      </c>
      <c r="R19"/>
      <c r="S19"/>
      <c r="T19" s="334"/>
      <c r="U19" s="334"/>
      <c r="V19" s="334"/>
      <c r="W19" s="334"/>
      <c r="X19"/>
      <c r="Y19" s="303"/>
      <c r="Z19"/>
      <c r="AA19"/>
      <c r="AB19"/>
      <c r="AC19"/>
      <c r="AD19"/>
      <c r="AE19"/>
      <c r="AF19" s="303"/>
      <c r="AG19" s="303"/>
      <c r="AH19" s="303"/>
    </row>
    <row r="20" spans="1:34" ht="15" x14ac:dyDescent="0.25">
      <c r="A20" s="433" t="s">
        <v>111</v>
      </c>
      <c r="B20" s="433" t="s">
        <v>112</v>
      </c>
      <c r="C20" s="433">
        <v>60016</v>
      </c>
      <c r="D20" s="433" t="s">
        <v>242</v>
      </c>
      <c r="E20" s="436" t="s">
        <v>102</v>
      </c>
      <c r="F20" s="435">
        <v>801710</v>
      </c>
      <c r="G20" s="435">
        <v>715003</v>
      </c>
      <c r="H20" s="435">
        <v>0</v>
      </c>
      <c r="I20" s="435">
        <v>30000</v>
      </c>
      <c r="J20" s="435">
        <v>56707</v>
      </c>
      <c r="K20" s="435">
        <v>0</v>
      </c>
      <c r="L20" s="435">
        <v>0</v>
      </c>
      <c r="M20" s="435">
        <v>0</v>
      </c>
      <c r="N20" s="435">
        <v>0</v>
      </c>
      <c r="O20" s="435">
        <v>0</v>
      </c>
      <c r="P20" s="435">
        <v>0</v>
      </c>
      <c r="Q20" s="435">
        <v>0</v>
      </c>
      <c r="R20"/>
      <c r="S20"/>
      <c r="T20" s="334"/>
      <c r="U20" s="334"/>
      <c r="V20" s="334"/>
      <c r="W20" s="334"/>
      <c r="X20"/>
      <c r="Y20" s="303"/>
      <c r="Z20" s="303"/>
      <c r="AA20" s="303"/>
      <c r="AB20" s="303"/>
      <c r="AC20" s="303"/>
      <c r="AD20" s="303"/>
      <c r="AE20" s="303"/>
      <c r="AF20" s="303"/>
      <c r="AG20" s="303"/>
      <c r="AH20" s="303"/>
    </row>
    <row r="21" spans="1:34" ht="15" x14ac:dyDescent="0.25">
      <c r="A21" s="433" t="s">
        <v>111</v>
      </c>
      <c r="B21" s="433" t="s">
        <v>112</v>
      </c>
      <c r="C21" s="433">
        <v>60016</v>
      </c>
      <c r="D21" s="433" t="s">
        <v>242</v>
      </c>
      <c r="E21" s="436" t="s">
        <v>103</v>
      </c>
      <c r="F21" s="435">
        <v>86707</v>
      </c>
      <c r="G21" s="435">
        <v>0</v>
      </c>
      <c r="H21" s="435">
        <v>0</v>
      </c>
      <c r="I21" s="435">
        <v>30000</v>
      </c>
      <c r="J21" s="435">
        <v>56707</v>
      </c>
      <c r="K21" s="435">
        <v>0</v>
      </c>
      <c r="L21" s="435">
        <v>0</v>
      </c>
      <c r="M21" s="435">
        <v>0</v>
      </c>
      <c r="N21" s="435">
        <v>0</v>
      </c>
      <c r="O21" s="435">
        <v>0</v>
      </c>
      <c r="P21" s="435">
        <v>0</v>
      </c>
      <c r="Q21" s="435">
        <v>0</v>
      </c>
      <c r="R21"/>
      <c r="S21"/>
      <c r="T21" s="334"/>
      <c r="U21" s="334"/>
      <c r="V21" s="334"/>
      <c r="W21" s="334"/>
      <c r="X21"/>
      <c r="Y21" s="303"/>
      <c r="Z21" s="303"/>
      <c r="AA21" s="303"/>
      <c r="AB21" s="303"/>
      <c r="AC21" s="303"/>
      <c r="AD21" s="303"/>
      <c r="AE21" s="303"/>
      <c r="AF21" s="303"/>
      <c r="AG21" s="303"/>
      <c r="AH21" s="303"/>
    </row>
    <row r="22" spans="1:34" ht="15" x14ac:dyDescent="0.25">
      <c r="A22" s="433" t="s">
        <v>111</v>
      </c>
      <c r="B22" s="433" t="s">
        <v>112</v>
      </c>
      <c r="C22" s="433">
        <v>60016</v>
      </c>
      <c r="D22" s="433" t="s">
        <v>242</v>
      </c>
      <c r="E22" s="436" t="s">
        <v>104</v>
      </c>
      <c r="F22" s="435">
        <v>715003</v>
      </c>
      <c r="G22" s="435">
        <v>715003</v>
      </c>
      <c r="H22" s="435">
        <v>0</v>
      </c>
      <c r="I22" s="435">
        <v>0</v>
      </c>
      <c r="J22" s="435">
        <v>0</v>
      </c>
      <c r="K22" s="435">
        <v>0</v>
      </c>
      <c r="L22" s="435">
        <v>0</v>
      </c>
      <c r="M22" s="435">
        <v>0</v>
      </c>
      <c r="N22" s="435">
        <v>0</v>
      </c>
      <c r="O22" s="435">
        <v>0</v>
      </c>
      <c r="P22" s="435">
        <v>0</v>
      </c>
      <c r="Q22" s="435">
        <v>0</v>
      </c>
      <c r="R22"/>
      <c r="S22"/>
      <c r="T22" s="334"/>
      <c r="U22" s="334"/>
      <c r="V22" s="334"/>
      <c r="W22" s="334"/>
      <c r="X22"/>
      <c r="AG22" s="303"/>
      <c r="AH22" s="303"/>
    </row>
    <row r="23" spans="1:34" ht="15" x14ac:dyDescent="0.25">
      <c r="A23" s="433" t="s">
        <v>113</v>
      </c>
      <c r="B23" s="433" t="s">
        <v>114</v>
      </c>
      <c r="C23" s="433">
        <v>60016</v>
      </c>
      <c r="D23" s="433" t="s">
        <v>245</v>
      </c>
      <c r="E23" s="436" t="s">
        <v>102</v>
      </c>
      <c r="F23" s="435">
        <v>4227894</v>
      </c>
      <c r="G23" s="435">
        <v>0</v>
      </c>
      <c r="H23" s="435">
        <v>0</v>
      </c>
      <c r="I23" s="435">
        <v>200000</v>
      </c>
      <c r="J23" s="435">
        <v>4027894</v>
      </c>
      <c r="K23" s="435">
        <v>0</v>
      </c>
      <c r="L23" s="435">
        <v>0</v>
      </c>
      <c r="M23" s="435">
        <v>0</v>
      </c>
      <c r="N23" s="435">
        <v>0</v>
      </c>
      <c r="O23" s="435">
        <v>0</v>
      </c>
      <c r="P23" s="435">
        <v>0</v>
      </c>
      <c r="Q23" s="435">
        <v>0</v>
      </c>
      <c r="R23"/>
      <c r="S23"/>
      <c r="T23" s="334"/>
      <c r="U23" s="334"/>
      <c r="V23" s="334"/>
      <c r="W23" s="334"/>
      <c r="X23"/>
      <c r="AG23" s="303"/>
      <c r="AH23" s="303"/>
    </row>
    <row r="24" spans="1:34" ht="15" x14ac:dyDescent="0.25">
      <c r="A24" s="433" t="s">
        <v>113</v>
      </c>
      <c r="B24" s="433" t="s">
        <v>114</v>
      </c>
      <c r="C24" s="433">
        <v>60016</v>
      </c>
      <c r="D24" s="433" t="s">
        <v>245</v>
      </c>
      <c r="E24" s="436" t="s">
        <v>103</v>
      </c>
      <c r="F24" s="435">
        <v>4227894</v>
      </c>
      <c r="G24" s="435">
        <v>0</v>
      </c>
      <c r="H24" s="435">
        <v>0</v>
      </c>
      <c r="I24" s="435">
        <v>200000</v>
      </c>
      <c r="J24" s="435">
        <v>4027894</v>
      </c>
      <c r="K24" s="435">
        <v>0</v>
      </c>
      <c r="L24" s="435">
        <v>0</v>
      </c>
      <c r="M24" s="435">
        <v>0</v>
      </c>
      <c r="N24" s="435">
        <v>0</v>
      </c>
      <c r="O24" s="435">
        <v>0</v>
      </c>
      <c r="P24" s="435">
        <v>0</v>
      </c>
      <c r="Q24" s="435">
        <v>0</v>
      </c>
      <c r="R24"/>
      <c r="S24"/>
      <c r="T24" s="334"/>
      <c r="U24" s="334"/>
      <c r="V24" s="334"/>
      <c r="W24" s="334"/>
      <c r="X24"/>
      <c r="AG24" s="303"/>
      <c r="AH24" s="303"/>
    </row>
    <row r="25" spans="1:34" ht="15" x14ac:dyDescent="0.25">
      <c r="A25" s="433" t="s">
        <v>113</v>
      </c>
      <c r="B25" s="433" t="s">
        <v>114</v>
      </c>
      <c r="C25" s="433">
        <v>60016</v>
      </c>
      <c r="D25" s="433" t="s">
        <v>245</v>
      </c>
      <c r="E25" s="436" t="s">
        <v>104</v>
      </c>
      <c r="F25" s="435">
        <v>0</v>
      </c>
      <c r="G25" s="435">
        <v>0</v>
      </c>
      <c r="H25" s="435">
        <v>0</v>
      </c>
      <c r="I25" s="435">
        <v>0</v>
      </c>
      <c r="J25" s="435">
        <v>0</v>
      </c>
      <c r="K25" s="435">
        <v>0</v>
      </c>
      <c r="L25" s="435">
        <v>0</v>
      </c>
      <c r="M25" s="435">
        <v>0</v>
      </c>
      <c r="N25" s="435">
        <v>0</v>
      </c>
      <c r="O25" s="435">
        <v>0</v>
      </c>
      <c r="P25" s="435">
        <v>0</v>
      </c>
      <c r="Q25" s="435">
        <v>0</v>
      </c>
      <c r="R25"/>
      <c r="S25"/>
      <c r="T25" s="334"/>
      <c r="U25" s="334"/>
      <c r="V25" s="334"/>
      <c r="W25" s="334"/>
      <c r="X25"/>
      <c r="AG25" s="303"/>
      <c r="AH25" s="303"/>
    </row>
    <row r="26" spans="1:34" ht="15" x14ac:dyDescent="0.25">
      <c r="A26" s="433" t="s">
        <v>115</v>
      </c>
      <c r="B26" s="433" t="s">
        <v>116</v>
      </c>
      <c r="C26" s="433">
        <v>60016</v>
      </c>
      <c r="D26" s="433" t="s">
        <v>245</v>
      </c>
      <c r="E26" s="436" t="s">
        <v>102</v>
      </c>
      <c r="F26" s="435">
        <v>315000</v>
      </c>
      <c r="G26" s="435">
        <v>0</v>
      </c>
      <c r="H26" s="435">
        <v>0</v>
      </c>
      <c r="I26" s="435">
        <v>265000</v>
      </c>
      <c r="J26" s="435">
        <v>50000</v>
      </c>
      <c r="K26" s="435">
        <v>0</v>
      </c>
      <c r="L26" s="435">
        <v>0</v>
      </c>
      <c r="M26" s="435">
        <v>0</v>
      </c>
      <c r="N26" s="435">
        <v>0</v>
      </c>
      <c r="O26" s="435">
        <v>0</v>
      </c>
      <c r="P26" s="435">
        <v>0</v>
      </c>
      <c r="Q26" s="435">
        <v>0</v>
      </c>
      <c r="R26"/>
      <c r="S26"/>
      <c r="T26" s="334"/>
      <c r="U26" s="334"/>
      <c r="V26" s="334"/>
      <c r="W26" s="334"/>
      <c r="X26"/>
      <c r="Y26" s="303"/>
      <c r="Z26" s="303"/>
      <c r="AA26" s="303"/>
      <c r="AB26" s="303"/>
      <c r="AC26" s="303"/>
      <c r="AD26" s="303"/>
      <c r="AE26" s="303"/>
      <c r="AF26" s="303"/>
      <c r="AG26" s="303"/>
      <c r="AH26" s="303"/>
    </row>
    <row r="27" spans="1:34" ht="15" x14ac:dyDescent="0.25">
      <c r="A27" s="433" t="s">
        <v>115</v>
      </c>
      <c r="B27" s="433" t="s">
        <v>116</v>
      </c>
      <c r="C27" s="433">
        <v>60016</v>
      </c>
      <c r="D27" s="433" t="s">
        <v>245</v>
      </c>
      <c r="E27" s="436" t="s">
        <v>103</v>
      </c>
      <c r="F27" s="435">
        <v>315000</v>
      </c>
      <c r="G27" s="435">
        <v>0</v>
      </c>
      <c r="H27" s="435">
        <v>0</v>
      </c>
      <c r="I27" s="435">
        <v>265000</v>
      </c>
      <c r="J27" s="435">
        <v>50000</v>
      </c>
      <c r="K27" s="435">
        <v>0</v>
      </c>
      <c r="L27" s="435">
        <v>0</v>
      </c>
      <c r="M27" s="435">
        <v>0</v>
      </c>
      <c r="N27" s="435">
        <v>0</v>
      </c>
      <c r="O27" s="435">
        <v>0</v>
      </c>
      <c r="P27" s="435">
        <v>0</v>
      </c>
      <c r="Q27" s="435">
        <v>0</v>
      </c>
      <c r="R27"/>
      <c r="S27"/>
      <c r="T27" s="334"/>
      <c r="U27" s="334"/>
      <c r="V27" s="334"/>
      <c r="W27" s="334"/>
      <c r="X27"/>
      <c r="Y27" s="303"/>
      <c r="Z27" s="303"/>
      <c r="AA27" s="303"/>
      <c r="AB27" s="303"/>
      <c r="AC27" s="303"/>
      <c r="AD27" s="303"/>
      <c r="AE27" s="303"/>
      <c r="AF27" s="303"/>
      <c r="AG27" s="303"/>
      <c r="AH27" s="303"/>
    </row>
    <row r="28" spans="1:34" ht="15" x14ac:dyDescent="0.25">
      <c r="A28" s="433" t="s">
        <v>115</v>
      </c>
      <c r="B28" s="433" t="s">
        <v>116</v>
      </c>
      <c r="C28" s="433">
        <v>60016</v>
      </c>
      <c r="D28" s="433" t="s">
        <v>245</v>
      </c>
      <c r="E28" s="436" t="s">
        <v>104</v>
      </c>
      <c r="F28" s="435">
        <v>0</v>
      </c>
      <c r="G28" s="435">
        <v>0</v>
      </c>
      <c r="H28" s="435">
        <v>0</v>
      </c>
      <c r="I28" s="435">
        <v>0</v>
      </c>
      <c r="J28" s="435">
        <v>0</v>
      </c>
      <c r="K28" s="435">
        <v>0</v>
      </c>
      <c r="L28" s="435">
        <v>0</v>
      </c>
      <c r="M28" s="435">
        <v>0</v>
      </c>
      <c r="N28" s="435">
        <v>0</v>
      </c>
      <c r="O28" s="435">
        <v>0</v>
      </c>
      <c r="P28" s="435">
        <v>0</v>
      </c>
      <c r="Q28" s="435">
        <v>0</v>
      </c>
      <c r="R28"/>
      <c r="S28"/>
      <c r="T28" s="334"/>
      <c r="U28" s="334"/>
      <c r="V28" s="334"/>
      <c r="W28" s="334"/>
      <c r="X28"/>
      <c r="Y28" s="303"/>
      <c r="Z28" s="303"/>
      <c r="AA28" s="303"/>
      <c r="AB28" s="303"/>
      <c r="AC28" s="303"/>
      <c r="AD28" s="303"/>
      <c r="AE28" s="303"/>
      <c r="AF28" s="303"/>
      <c r="AG28" s="303"/>
      <c r="AH28" s="303"/>
    </row>
    <row r="29" spans="1:34" ht="15" x14ac:dyDescent="0.25">
      <c r="A29" s="433" t="s">
        <v>117</v>
      </c>
      <c r="B29" s="433" t="s">
        <v>118</v>
      </c>
      <c r="C29" s="433">
        <v>60016</v>
      </c>
      <c r="D29" s="433" t="s">
        <v>242</v>
      </c>
      <c r="E29" s="436" t="s">
        <v>102</v>
      </c>
      <c r="F29" s="435">
        <v>22222322</v>
      </c>
      <c r="G29" s="435">
        <v>50381</v>
      </c>
      <c r="H29" s="435">
        <v>1241453</v>
      </c>
      <c r="I29" s="435">
        <v>2741188</v>
      </c>
      <c r="J29" s="435">
        <v>12301215</v>
      </c>
      <c r="K29" s="435">
        <v>5888085</v>
      </c>
      <c r="L29" s="435">
        <v>0</v>
      </c>
      <c r="M29" s="435">
        <v>0</v>
      </c>
      <c r="N29" s="435">
        <v>0</v>
      </c>
      <c r="O29" s="435">
        <v>0</v>
      </c>
      <c r="P29" s="435">
        <v>0</v>
      </c>
      <c r="Q29" s="435">
        <v>0</v>
      </c>
      <c r="R29"/>
      <c r="S29"/>
      <c r="T29" s="334"/>
      <c r="U29" s="334"/>
      <c r="V29" s="334"/>
      <c r="W29" s="334"/>
      <c r="X29"/>
      <c r="Y29" s="303"/>
      <c r="Z29" s="303"/>
      <c r="AA29" s="303"/>
      <c r="AB29" s="303"/>
      <c r="AC29" s="303"/>
      <c r="AD29" s="303"/>
      <c r="AE29" s="303"/>
      <c r="AF29" s="303"/>
      <c r="AG29" s="303"/>
      <c r="AH29" s="303"/>
    </row>
    <row r="30" spans="1:34" ht="15" x14ac:dyDescent="0.25">
      <c r="A30" s="433" t="s">
        <v>117</v>
      </c>
      <c r="B30" s="433" t="s">
        <v>118</v>
      </c>
      <c r="C30" s="433">
        <v>60016</v>
      </c>
      <c r="D30" s="433" t="s">
        <v>242</v>
      </c>
      <c r="E30" s="436" t="s">
        <v>103</v>
      </c>
      <c r="F30" s="435">
        <v>19583424</v>
      </c>
      <c r="G30" s="435">
        <v>0</v>
      </c>
      <c r="H30" s="435">
        <v>0</v>
      </c>
      <c r="I30" s="435">
        <v>1416694</v>
      </c>
      <c r="J30" s="435">
        <v>12278645</v>
      </c>
      <c r="K30" s="435">
        <v>5888085</v>
      </c>
      <c r="L30" s="435">
        <v>0</v>
      </c>
      <c r="M30" s="435">
        <v>0</v>
      </c>
      <c r="N30" s="435">
        <v>0</v>
      </c>
      <c r="O30" s="435">
        <v>0</v>
      </c>
      <c r="P30" s="435">
        <v>0</v>
      </c>
      <c r="Q30" s="435">
        <v>0</v>
      </c>
      <c r="R30"/>
      <c r="S30"/>
      <c r="T30" s="334"/>
      <c r="U30" s="334"/>
      <c r="V30" s="334"/>
      <c r="W30" s="334"/>
      <c r="X30"/>
      <c r="Y30" s="303"/>
      <c r="Z30" s="303"/>
      <c r="AA30" s="303"/>
      <c r="AB30" s="303"/>
      <c r="AC30" s="303"/>
      <c r="AD30" s="303"/>
      <c r="AE30" s="303"/>
      <c r="AF30" s="303"/>
      <c r="AG30" s="303"/>
      <c r="AH30" s="303"/>
    </row>
    <row r="31" spans="1:34" ht="15" x14ac:dyDescent="0.25">
      <c r="A31" s="433" t="s">
        <v>117</v>
      </c>
      <c r="B31" s="433" t="s">
        <v>118</v>
      </c>
      <c r="C31" s="433">
        <v>60016</v>
      </c>
      <c r="D31" s="433" t="s">
        <v>242</v>
      </c>
      <c r="E31" s="436" t="s">
        <v>104</v>
      </c>
      <c r="F31" s="435">
        <v>2638898</v>
      </c>
      <c r="G31" s="435">
        <v>50381</v>
      </c>
      <c r="H31" s="435">
        <v>1241453</v>
      </c>
      <c r="I31" s="435">
        <v>1324494</v>
      </c>
      <c r="J31" s="435">
        <v>22570</v>
      </c>
      <c r="K31" s="435">
        <v>0</v>
      </c>
      <c r="L31" s="435">
        <v>0</v>
      </c>
      <c r="M31" s="435">
        <v>0</v>
      </c>
      <c r="N31" s="435">
        <v>0</v>
      </c>
      <c r="O31" s="435">
        <v>0</v>
      </c>
      <c r="P31" s="435">
        <v>0</v>
      </c>
      <c r="Q31" s="435">
        <v>0</v>
      </c>
      <c r="R31"/>
      <c r="S31"/>
      <c r="T31" s="334"/>
      <c r="U31" s="334"/>
      <c r="V31" s="334"/>
      <c r="W31" s="334"/>
      <c r="X31"/>
      <c r="Y31" s="303"/>
      <c r="Z31" s="303"/>
      <c r="AA31" s="303"/>
      <c r="AB31" s="303"/>
      <c r="AC31" s="303"/>
      <c r="AD31" s="303"/>
      <c r="AE31" s="303"/>
      <c r="AF31" s="303"/>
      <c r="AG31" s="303"/>
      <c r="AH31" s="303"/>
    </row>
    <row r="32" spans="1:34" ht="15" x14ac:dyDescent="0.25">
      <c r="A32" s="433" t="s">
        <v>119</v>
      </c>
      <c r="B32" s="433" t="s">
        <v>120</v>
      </c>
      <c r="C32" s="433">
        <v>60095</v>
      </c>
      <c r="D32" s="433" t="s">
        <v>242</v>
      </c>
      <c r="E32" s="436" t="s">
        <v>102</v>
      </c>
      <c r="F32" s="435">
        <v>2910001</v>
      </c>
      <c r="G32" s="435">
        <v>209124</v>
      </c>
      <c r="H32" s="435">
        <v>217069</v>
      </c>
      <c r="I32" s="435">
        <v>1983808</v>
      </c>
      <c r="J32" s="435">
        <v>500000</v>
      </c>
      <c r="K32" s="435">
        <v>0</v>
      </c>
      <c r="L32" s="435">
        <v>0</v>
      </c>
      <c r="M32" s="435">
        <v>0</v>
      </c>
      <c r="N32" s="435">
        <v>0</v>
      </c>
      <c r="O32" s="435">
        <v>0</v>
      </c>
      <c r="P32" s="435">
        <v>0</v>
      </c>
      <c r="Q32" s="435">
        <v>0</v>
      </c>
      <c r="R32"/>
      <c r="S32"/>
      <c r="T32" s="334"/>
      <c r="U32" s="334"/>
      <c r="V32" s="334"/>
      <c r="W32" s="334"/>
      <c r="X32"/>
      <c r="Y32" s="303"/>
      <c r="Z32" s="303"/>
      <c r="AA32" s="303"/>
      <c r="AB32" s="303"/>
      <c r="AC32" s="303"/>
      <c r="AD32" s="303"/>
      <c r="AE32" s="303"/>
      <c r="AF32" s="303"/>
      <c r="AG32" s="303"/>
      <c r="AH32" s="303"/>
    </row>
    <row r="33" spans="1:34" ht="15" x14ac:dyDescent="0.25">
      <c r="A33" s="433" t="s">
        <v>119</v>
      </c>
      <c r="B33" s="433" t="s">
        <v>120</v>
      </c>
      <c r="C33" s="433">
        <v>60095</v>
      </c>
      <c r="D33" s="433" t="s">
        <v>242</v>
      </c>
      <c r="E33" s="436" t="s">
        <v>103</v>
      </c>
      <c r="F33" s="435">
        <v>2467732</v>
      </c>
      <c r="G33" s="435">
        <v>0</v>
      </c>
      <c r="H33" s="435">
        <v>0</v>
      </c>
      <c r="I33" s="435">
        <v>1967732</v>
      </c>
      <c r="J33" s="435">
        <v>500000</v>
      </c>
      <c r="K33" s="435">
        <v>0</v>
      </c>
      <c r="L33" s="435">
        <v>0</v>
      </c>
      <c r="M33" s="435">
        <v>0</v>
      </c>
      <c r="N33" s="435">
        <v>0</v>
      </c>
      <c r="O33" s="435">
        <v>0</v>
      </c>
      <c r="P33" s="435">
        <v>0</v>
      </c>
      <c r="Q33" s="435">
        <v>0</v>
      </c>
      <c r="R33"/>
      <c r="S33"/>
      <c r="T33" s="334"/>
      <c r="U33" s="334"/>
      <c r="V33" s="334"/>
      <c r="W33" s="334"/>
      <c r="X33"/>
      <c r="Y33" s="303"/>
      <c r="Z33" s="303"/>
      <c r="AA33" s="303"/>
      <c r="AB33" s="303"/>
      <c r="AC33" s="303"/>
      <c r="AD33" s="303"/>
      <c r="AE33" s="303"/>
      <c r="AF33" s="303"/>
      <c r="AG33" s="303"/>
      <c r="AH33" s="303"/>
    </row>
    <row r="34" spans="1:34" ht="15" x14ac:dyDescent="0.25">
      <c r="A34" s="433" t="s">
        <v>119</v>
      </c>
      <c r="B34" s="433" t="s">
        <v>120</v>
      </c>
      <c r="C34" s="433">
        <v>60095</v>
      </c>
      <c r="D34" s="433" t="s">
        <v>242</v>
      </c>
      <c r="E34" s="436" t="s">
        <v>104</v>
      </c>
      <c r="F34" s="435">
        <v>442269</v>
      </c>
      <c r="G34" s="435">
        <v>209124</v>
      </c>
      <c r="H34" s="435">
        <v>217069</v>
      </c>
      <c r="I34" s="435">
        <v>16076</v>
      </c>
      <c r="J34" s="435">
        <v>0</v>
      </c>
      <c r="K34" s="435">
        <v>0</v>
      </c>
      <c r="L34" s="435">
        <v>0</v>
      </c>
      <c r="M34" s="435">
        <v>0</v>
      </c>
      <c r="N34" s="435">
        <v>0</v>
      </c>
      <c r="O34" s="435">
        <v>0</v>
      </c>
      <c r="P34" s="435">
        <v>0</v>
      </c>
      <c r="Q34" s="435">
        <v>0</v>
      </c>
      <c r="R34"/>
      <c r="S34"/>
      <c r="T34" s="334"/>
      <c r="U34" s="334"/>
      <c r="V34" s="334"/>
      <c r="W34" s="334"/>
      <c r="X34"/>
      <c r="Y34" s="303"/>
      <c r="Z34" s="303"/>
      <c r="AA34" s="303"/>
      <c r="AB34" s="303"/>
      <c r="AC34" s="303"/>
      <c r="AD34" s="303"/>
      <c r="AE34" s="303"/>
      <c r="AF34" s="303"/>
      <c r="AG34" s="303"/>
      <c r="AH34" s="303"/>
    </row>
    <row r="35" spans="1:34" ht="15" x14ac:dyDescent="0.25">
      <c r="A35" s="433" t="s">
        <v>122</v>
      </c>
      <c r="B35" s="433" t="s">
        <v>123</v>
      </c>
      <c r="C35" s="433">
        <v>90015</v>
      </c>
      <c r="D35" s="433" t="s">
        <v>242</v>
      </c>
      <c r="E35" s="436" t="s">
        <v>102</v>
      </c>
      <c r="F35" s="435">
        <v>574000</v>
      </c>
      <c r="G35" s="435">
        <v>163277</v>
      </c>
      <c r="H35" s="435">
        <v>367159</v>
      </c>
      <c r="I35" s="435">
        <v>3564</v>
      </c>
      <c r="J35" s="435">
        <v>40000</v>
      </c>
      <c r="K35" s="435">
        <v>0</v>
      </c>
      <c r="L35" s="435">
        <v>0</v>
      </c>
      <c r="M35" s="435">
        <v>0</v>
      </c>
      <c r="N35" s="435">
        <v>0</v>
      </c>
      <c r="O35" s="435">
        <v>0</v>
      </c>
      <c r="P35" s="435">
        <v>0</v>
      </c>
      <c r="Q35" s="435">
        <v>0</v>
      </c>
      <c r="R35"/>
      <c r="S35"/>
      <c r="T35" s="334"/>
      <c r="U35" s="334"/>
      <c r="V35" s="334"/>
      <c r="W35" s="334"/>
      <c r="X35"/>
      <c r="Y35" s="303"/>
      <c r="Z35" s="303"/>
      <c r="AA35" s="303"/>
      <c r="AB35" s="303"/>
      <c r="AC35" s="303"/>
      <c r="AD35" s="303"/>
      <c r="AE35" s="303"/>
      <c r="AF35" s="303"/>
      <c r="AG35" s="303"/>
      <c r="AH35" s="303"/>
    </row>
    <row r="36" spans="1:34" ht="15" x14ac:dyDescent="0.25">
      <c r="A36" s="433" t="s">
        <v>122</v>
      </c>
      <c r="B36" s="433" t="s">
        <v>123</v>
      </c>
      <c r="C36" s="433">
        <v>90015</v>
      </c>
      <c r="D36" s="433" t="s">
        <v>242</v>
      </c>
      <c r="E36" s="436" t="s">
        <v>103</v>
      </c>
      <c r="F36" s="435">
        <v>43564</v>
      </c>
      <c r="G36" s="435">
        <v>0</v>
      </c>
      <c r="H36" s="435">
        <v>0</v>
      </c>
      <c r="I36" s="435">
        <v>3564</v>
      </c>
      <c r="J36" s="435">
        <v>40000</v>
      </c>
      <c r="K36" s="435">
        <v>0</v>
      </c>
      <c r="L36" s="435">
        <v>0</v>
      </c>
      <c r="M36" s="435">
        <v>0</v>
      </c>
      <c r="N36" s="435">
        <v>0</v>
      </c>
      <c r="O36" s="435">
        <v>0</v>
      </c>
      <c r="P36" s="435">
        <v>0</v>
      </c>
      <c r="Q36" s="435">
        <v>0</v>
      </c>
      <c r="R36"/>
      <c r="S36"/>
      <c r="T36" s="334"/>
      <c r="U36" s="334"/>
      <c r="V36" s="334"/>
      <c r="W36" s="334"/>
      <c r="X36"/>
      <c r="Y36" s="303"/>
      <c r="Z36" s="303"/>
      <c r="AA36" s="303"/>
      <c r="AB36" s="303"/>
      <c r="AC36" s="303"/>
      <c r="AD36" s="303"/>
      <c r="AE36" s="303"/>
      <c r="AF36" s="303"/>
      <c r="AG36" s="303"/>
      <c r="AH36" s="303"/>
    </row>
    <row r="37" spans="1:34" ht="15" x14ac:dyDescent="0.25">
      <c r="A37" s="433" t="s">
        <v>122</v>
      </c>
      <c r="B37" s="433" t="s">
        <v>123</v>
      </c>
      <c r="C37" s="433">
        <v>90015</v>
      </c>
      <c r="D37" s="433" t="s">
        <v>242</v>
      </c>
      <c r="E37" s="436" t="s">
        <v>104</v>
      </c>
      <c r="F37" s="435">
        <v>530436</v>
      </c>
      <c r="G37" s="435">
        <v>163277</v>
      </c>
      <c r="H37" s="435">
        <v>367159</v>
      </c>
      <c r="I37" s="435">
        <v>0</v>
      </c>
      <c r="J37" s="435">
        <v>0</v>
      </c>
      <c r="K37" s="435">
        <v>0</v>
      </c>
      <c r="L37" s="435">
        <v>0</v>
      </c>
      <c r="M37" s="435">
        <v>0</v>
      </c>
      <c r="N37" s="435">
        <v>0</v>
      </c>
      <c r="O37" s="435">
        <v>0</v>
      </c>
      <c r="P37" s="435">
        <v>0</v>
      </c>
      <c r="Q37" s="435">
        <v>0</v>
      </c>
      <c r="R37"/>
      <c r="S37"/>
      <c r="T37" s="334"/>
      <c r="U37" s="334"/>
      <c r="V37" s="334"/>
      <c r="W37" s="334"/>
      <c r="X37"/>
      <c r="Y37" s="303"/>
      <c r="Z37" s="303"/>
      <c r="AA37" s="303"/>
      <c r="AB37" s="303"/>
      <c r="AC37" s="303"/>
      <c r="AD37" s="303"/>
      <c r="AE37" s="303"/>
      <c r="AF37" s="303"/>
      <c r="AG37" s="303"/>
      <c r="AH37" s="303"/>
    </row>
    <row r="38" spans="1:34" ht="15" x14ac:dyDescent="0.25">
      <c r="A38" s="433" t="s">
        <v>124</v>
      </c>
      <c r="B38" s="433" t="s">
        <v>125</v>
      </c>
      <c r="C38" s="433">
        <v>60016</v>
      </c>
      <c r="D38" s="433" t="s">
        <v>242</v>
      </c>
      <c r="E38" s="436" t="s">
        <v>102</v>
      </c>
      <c r="F38" s="435">
        <v>1134794</v>
      </c>
      <c r="G38" s="435">
        <v>590027</v>
      </c>
      <c r="H38" s="435">
        <v>329081</v>
      </c>
      <c r="I38" s="435">
        <v>215686</v>
      </c>
      <c r="J38" s="435">
        <v>0</v>
      </c>
      <c r="K38" s="435">
        <v>0</v>
      </c>
      <c r="L38" s="435">
        <v>0</v>
      </c>
      <c r="M38" s="435">
        <v>0</v>
      </c>
      <c r="N38" s="435">
        <v>0</v>
      </c>
      <c r="O38" s="435">
        <v>0</v>
      </c>
      <c r="P38" s="435">
        <v>0</v>
      </c>
      <c r="Q38" s="435">
        <v>0</v>
      </c>
      <c r="R38"/>
      <c r="S38"/>
      <c r="T38" s="334"/>
      <c r="U38" s="334"/>
      <c r="V38" s="334"/>
      <c r="W38" s="334"/>
      <c r="X38"/>
      <c r="Y38" s="303"/>
      <c r="Z38" s="303"/>
      <c r="AA38" s="303"/>
      <c r="AB38" s="303"/>
      <c r="AC38" s="303"/>
      <c r="AD38" s="303"/>
      <c r="AE38" s="303"/>
      <c r="AF38" s="303"/>
      <c r="AG38" s="303"/>
      <c r="AH38" s="303"/>
    </row>
    <row r="39" spans="1:34" ht="15" x14ac:dyDescent="0.25">
      <c r="A39" s="433" t="s">
        <v>124</v>
      </c>
      <c r="B39" s="433" t="s">
        <v>125</v>
      </c>
      <c r="C39" s="433">
        <v>60016</v>
      </c>
      <c r="D39" s="433" t="s">
        <v>242</v>
      </c>
      <c r="E39" s="436" t="s">
        <v>103</v>
      </c>
      <c r="F39" s="435">
        <v>215686</v>
      </c>
      <c r="G39" s="435">
        <v>0</v>
      </c>
      <c r="H39" s="435">
        <v>0</v>
      </c>
      <c r="I39" s="435">
        <v>215686</v>
      </c>
      <c r="J39" s="435">
        <v>0</v>
      </c>
      <c r="K39" s="435">
        <v>0</v>
      </c>
      <c r="L39" s="435">
        <v>0</v>
      </c>
      <c r="M39" s="435">
        <v>0</v>
      </c>
      <c r="N39" s="435">
        <v>0</v>
      </c>
      <c r="O39" s="435">
        <v>0</v>
      </c>
      <c r="P39" s="435">
        <v>0</v>
      </c>
      <c r="Q39" s="435">
        <v>0</v>
      </c>
      <c r="R39"/>
      <c r="S39"/>
      <c r="T39" s="334"/>
      <c r="U39" s="334"/>
      <c r="V39" s="334"/>
      <c r="W39" s="334"/>
      <c r="X39"/>
      <c r="Y39" s="303"/>
      <c r="Z39" s="303"/>
      <c r="AA39" s="303"/>
      <c r="AB39" s="303"/>
      <c r="AC39" s="303"/>
      <c r="AD39" s="303"/>
      <c r="AE39" s="303"/>
      <c r="AF39" s="303"/>
      <c r="AG39" s="303"/>
      <c r="AH39" s="303"/>
    </row>
    <row r="40" spans="1:34" ht="15" x14ac:dyDescent="0.25">
      <c r="A40" s="433" t="s">
        <v>124</v>
      </c>
      <c r="B40" s="433" t="s">
        <v>125</v>
      </c>
      <c r="C40" s="433">
        <v>60016</v>
      </c>
      <c r="D40" s="433" t="s">
        <v>242</v>
      </c>
      <c r="E40" s="436" t="s">
        <v>104</v>
      </c>
      <c r="F40" s="435">
        <v>919108</v>
      </c>
      <c r="G40" s="435">
        <v>590027</v>
      </c>
      <c r="H40" s="435">
        <v>329081</v>
      </c>
      <c r="I40" s="435">
        <v>0</v>
      </c>
      <c r="J40" s="435">
        <v>0</v>
      </c>
      <c r="K40" s="435">
        <v>0</v>
      </c>
      <c r="L40" s="435">
        <v>0</v>
      </c>
      <c r="M40" s="435">
        <v>0</v>
      </c>
      <c r="N40" s="435">
        <v>0</v>
      </c>
      <c r="O40" s="435">
        <v>0</v>
      </c>
      <c r="P40" s="435">
        <v>0</v>
      </c>
      <c r="Q40" s="435">
        <v>0</v>
      </c>
      <c r="R40"/>
      <c r="S40"/>
      <c r="T40" s="334"/>
      <c r="U40" s="334"/>
      <c r="V40" s="334"/>
      <c r="W40" s="334"/>
      <c r="X40"/>
      <c r="Y40" s="303"/>
      <c r="Z40" s="303"/>
      <c r="AA40" s="303"/>
      <c r="AB40" s="303"/>
      <c r="AC40" s="303"/>
      <c r="AD40" s="303"/>
      <c r="AE40" s="303"/>
      <c r="AF40" s="303"/>
      <c r="AG40" s="303"/>
      <c r="AH40" s="303"/>
    </row>
    <row r="41" spans="1:34" ht="15" x14ac:dyDescent="0.25">
      <c r="A41" s="433" t="s">
        <v>126</v>
      </c>
      <c r="B41" s="433" t="s">
        <v>127</v>
      </c>
      <c r="C41" s="433">
        <v>60016</v>
      </c>
      <c r="D41" s="433" t="s">
        <v>245</v>
      </c>
      <c r="E41" s="436" t="s">
        <v>102</v>
      </c>
      <c r="F41" s="435">
        <v>2418263</v>
      </c>
      <c r="G41" s="435">
        <v>0</v>
      </c>
      <c r="H41" s="435">
        <v>0</v>
      </c>
      <c r="I41" s="435">
        <v>40000</v>
      </c>
      <c r="J41" s="435">
        <v>2378263</v>
      </c>
      <c r="K41" s="435">
        <v>0</v>
      </c>
      <c r="L41" s="435">
        <v>0</v>
      </c>
      <c r="M41" s="435">
        <v>0</v>
      </c>
      <c r="N41" s="435">
        <v>0</v>
      </c>
      <c r="O41" s="435">
        <v>0</v>
      </c>
      <c r="P41" s="435">
        <v>0</v>
      </c>
      <c r="Q41" s="435">
        <v>0</v>
      </c>
      <c r="R41"/>
      <c r="S41"/>
      <c r="T41" s="334"/>
      <c r="U41" s="334"/>
      <c r="V41" s="334"/>
      <c r="W41" s="334"/>
      <c r="X41"/>
      <c r="Y41" s="303"/>
      <c r="Z41" s="303"/>
      <c r="AA41" s="303"/>
      <c r="AB41" s="303"/>
      <c r="AC41" s="303"/>
      <c r="AD41" s="303"/>
      <c r="AE41" s="303"/>
      <c r="AF41" s="303"/>
      <c r="AG41" s="303"/>
      <c r="AH41" s="303"/>
    </row>
    <row r="42" spans="1:34" ht="15" x14ac:dyDescent="0.25">
      <c r="A42" s="433" t="s">
        <v>126</v>
      </c>
      <c r="B42" s="433" t="s">
        <v>127</v>
      </c>
      <c r="C42" s="433">
        <v>60016</v>
      </c>
      <c r="D42" s="433" t="s">
        <v>245</v>
      </c>
      <c r="E42" s="436" t="s">
        <v>103</v>
      </c>
      <c r="F42" s="435">
        <v>2418263</v>
      </c>
      <c r="G42" s="435">
        <v>0</v>
      </c>
      <c r="H42" s="435">
        <v>0</v>
      </c>
      <c r="I42" s="435">
        <v>40000</v>
      </c>
      <c r="J42" s="435">
        <v>2378263</v>
      </c>
      <c r="K42" s="435">
        <v>0</v>
      </c>
      <c r="L42" s="435">
        <v>0</v>
      </c>
      <c r="M42" s="435">
        <v>0</v>
      </c>
      <c r="N42" s="435">
        <v>0</v>
      </c>
      <c r="O42" s="435">
        <v>0</v>
      </c>
      <c r="P42" s="435">
        <v>0</v>
      </c>
      <c r="Q42" s="435">
        <v>0</v>
      </c>
      <c r="R42"/>
      <c r="S42"/>
      <c r="T42" s="334"/>
      <c r="U42" s="334"/>
      <c r="V42" s="334"/>
      <c r="W42" s="334"/>
      <c r="X42"/>
      <c r="Y42" s="303"/>
      <c r="Z42" s="303"/>
      <c r="AA42" s="303"/>
      <c r="AB42" s="303"/>
      <c r="AC42" s="303"/>
      <c r="AD42" s="303"/>
      <c r="AE42" s="303"/>
      <c r="AF42" s="303"/>
      <c r="AG42" s="303"/>
      <c r="AH42" s="303"/>
    </row>
    <row r="43" spans="1:34" ht="15" x14ac:dyDescent="0.25">
      <c r="A43" s="433" t="s">
        <v>126</v>
      </c>
      <c r="B43" s="433" t="s">
        <v>127</v>
      </c>
      <c r="C43" s="433">
        <v>60016</v>
      </c>
      <c r="D43" s="433" t="s">
        <v>245</v>
      </c>
      <c r="E43" s="436" t="s">
        <v>104</v>
      </c>
      <c r="F43" s="435">
        <v>0</v>
      </c>
      <c r="G43" s="435">
        <v>0</v>
      </c>
      <c r="H43" s="435">
        <v>0</v>
      </c>
      <c r="I43" s="435">
        <v>0</v>
      </c>
      <c r="J43" s="435">
        <v>0</v>
      </c>
      <c r="K43" s="435">
        <v>0</v>
      </c>
      <c r="L43" s="435">
        <v>0</v>
      </c>
      <c r="M43" s="435">
        <v>0</v>
      </c>
      <c r="N43" s="435">
        <v>0</v>
      </c>
      <c r="O43" s="435">
        <v>0</v>
      </c>
      <c r="P43" s="435">
        <v>0</v>
      </c>
      <c r="Q43" s="435">
        <v>0</v>
      </c>
      <c r="R43"/>
      <c r="S43"/>
      <c r="T43" s="334"/>
      <c r="U43" s="334"/>
      <c r="V43" s="334"/>
      <c r="W43" s="334"/>
      <c r="X43"/>
      <c r="Y43" s="303"/>
      <c r="Z43" s="303"/>
      <c r="AA43" s="303"/>
      <c r="AB43" s="303"/>
      <c r="AC43" s="303"/>
      <c r="AD43" s="303"/>
      <c r="AE43" s="303"/>
      <c r="AF43" s="303"/>
      <c r="AG43" s="303"/>
      <c r="AH43" s="303"/>
    </row>
    <row r="44" spans="1:34" ht="15" x14ac:dyDescent="0.25">
      <c r="A44" s="433" t="s">
        <v>406</v>
      </c>
      <c r="B44" s="433" t="s">
        <v>407</v>
      </c>
      <c r="C44" s="433">
        <v>60095</v>
      </c>
      <c r="D44" s="433" t="s">
        <v>242</v>
      </c>
      <c r="E44" s="436" t="s">
        <v>102</v>
      </c>
      <c r="F44" s="435">
        <v>190000</v>
      </c>
      <c r="G44" s="435">
        <v>0</v>
      </c>
      <c r="H44" s="435">
        <v>0</v>
      </c>
      <c r="I44" s="435">
        <v>90000</v>
      </c>
      <c r="J44" s="435">
        <v>100000</v>
      </c>
      <c r="K44" s="435">
        <v>0</v>
      </c>
      <c r="L44" s="435">
        <v>0</v>
      </c>
      <c r="M44" s="435">
        <v>0</v>
      </c>
      <c r="N44" s="435">
        <v>0</v>
      </c>
      <c r="O44" s="435">
        <v>0</v>
      </c>
      <c r="P44" s="435">
        <v>0</v>
      </c>
      <c r="Q44" s="435">
        <v>0</v>
      </c>
      <c r="R44"/>
      <c r="S44"/>
      <c r="T44" s="334"/>
      <c r="U44" s="334"/>
      <c r="V44" s="334"/>
      <c r="W44" s="334"/>
      <c r="X44"/>
      <c r="Y44" s="303"/>
      <c r="Z44" s="303"/>
      <c r="AA44" s="303"/>
      <c r="AB44" s="303"/>
      <c r="AC44" s="303"/>
      <c r="AD44" s="303"/>
      <c r="AE44" s="303"/>
      <c r="AF44" s="303"/>
      <c r="AG44" s="303"/>
      <c r="AH44" s="303"/>
    </row>
    <row r="45" spans="1:34" ht="15" x14ac:dyDescent="0.25">
      <c r="A45" s="433" t="s">
        <v>406</v>
      </c>
      <c r="B45" s="433" t="s">
        <v>407</v>
      </c>
      <c r="C45" s="433">
        <v>60095</v>
      </c>
      <c r="D45" s="433" t="s">
        <v>242</v>
      </c>
      <c r="E45" s="436" t="s">
        <v>103</v>
      </c>
      <c r="F45" s="435">
        <v>190000</v>
      </c>
      <c r="G45" s="435">
        <v>0</v>
      </c>
      <c r="H45" s="435">
        <v>0</v>
      </c>
      <c r="I45" s="435">
        <v>90000</v>
      </c>
      <c r="J45" s="435">
        <v>100000</v>
      </c>
      <c r="K45" s="435">
        <v>0</v>
      </c>
      <c r="L45" s="435">
        <v>0</v>
      </c>
      <c r="M45" s="435">
        <v>0</v>
      </c>
      <c r="N45" s="435">
        <v>0</v>
      </c>
      <c r="O45" s="435">
        <v>0</v>
      </c>
      <c r="P45" s="435">
        <v>0</v>
      </c>
      <c r="Q45" s="435">
        <v>0</v>
      </c>
      <c r="R45"/>
      <c r="S45"/>
      <c r="T45" s="334"/>
      <c r="U45" s="334"/>
      <c r="V45" s="334"/>
      <c r="W45" s="334"/>
      <c r="X45"/>
      <c r="Y45" s="303"/>
      <c r="Z45" s="303"/>
      <c r="AA45" s="303"/>
      <c r="AB45" s="303"/>
      <c r="AC45" s="303"/>
      <c r="AD45" s="303"/>
      <c r="AE45" s="303"/>
      <c r="AF45" s="303"/>
      <c r="AG45" s="303"/>
      <c r="AH45" s="303"/>
    </row>
    <row r="46" spans="1:34" ht="15" x14ac:dyDescent="0.25">
      <c r="A46" s="433" t="s">
        <v>406</v>
      </c>
      <c r="B46" s="433" t="s">
        <v>407</v>
      </c>
      <c r="C46" s="433">
        <v>60095</v>
      </c>
      <c r="D46" s="433" t="s">
        <v>242</v>
      </c>
      <c r="E46" s="436" t="s">
        <v>104</v>
      </c>
      <c r="F46" s="435">
        <v>0</v>
      </c>
      <c r="G46" s="435">
        <v>0</v>
      </c>
      <c r="H46" s="435">
        <v>0</v>
      </c>
      <c r="I46" s="435">
        <v>0</v>
      </c>
      <c r="J46" s="435">
        <v>0</v>
      </c>
      <c r="K46" s="435">
        <v>0</v>
      </c>
      <c r="L46" s="435">
        <v>0</v>
      </c>
      <c r="M46" s="435">
        <v>0</v>
      </c>
      <c r="N46" s="435">
        <v>0</v>
      </c>
      <c r="O46" s="435">
        <v>0</v>
      </c>
      <c r="P46" s="435">
        <v>0</v>
      </c>
      <c r="Q46" s="435">
        <v>0</v>
      </c>
      <c r="R46"/>
      <c r="S46"/>
      <c r="T46" s="334"/>
      <c r="U46" s="334"/>
      <c r="V46" s="334"/>
      <c r="W46" s="334"/>
      <c r="X46"/>
      <c r="Y46" s="303"/>
      <c r="Z46" s="303"/>
      <c r="AA46" s="303"/>
      <c r="AB46" s="303"/>
      <c r="AC46" s="303"/>
      <c r="AD46" s="303"/>
      <c r="AE46" s="303"/>
      <c r="AF46" s="303"/>
      <c r="AG46" s="303"/>
      <c r="AH46" s="303"/>
    </row>
    <row r="47" spans="1:34" ht="15" x14ac:dyDescent="0.25">
      <c r="A47" s="433" t="s">
        <v>128</v>
      </c>
      <c r="B47" s="433" t="s">
        <v>466</v>
      </c>
      <c r="C47" s="433">
        <v>71095</v>
      </c>
      <c r="D47" s="433" t="s">
        <v>242</v>
      </c>
      <c r="E47" s="436" t="s">
        <v>102</v>
      </c>
      <c r="F47" s="435">
        <v>2650000</v>
      </c>
      <c r="G47" s="435">
        <v>13653</v>
      </c>
      <c r="H47" s="435">
        <v>8303</v>
      </c>
      <c r="I47" s="435">
        <v>628044</v>
      </c>
      <c r="J47" s="435">
        <v>2000000</v>
      </c>
      <c r="K47" s="435">
        <v>0</v>
      </c>
      <c r="L47" s="435">
        <v>0</v>
      </c>
      <c r="M47" s="435">
        <v>0</v>
      </c>
      <c r="N47" s="435">
        <v>0</v>
      </c>
      <c r="O47" s="435">
        <v>0</v>
      </c>
      <c r="P47" s="435">
        <v>0</v>
      </c>
      <c r="Q47" s="435">
        <v>0</v>
      </c>
      <c r="R47"/>
      <c r="S47"/>
      <c r="T47" s="334"/>
      <c r="U47" s="334"/>
      <c r="V47" s="334"/>
      <c r="W47" s="334"/>
      <c r="X47"/>
      <c r="Y47" s="303"/>
      <c r="Z47" s="303"/>
      <c r="AA47" s="303"/>
      <c r="AB47" s="303"/>
      <c r="AC47" s="303"/>
      <c r="AD47" s="303"/>
      <c r="AE47" s="303"/>
      <c r="AF47" s="303"/>
      <c r="AG47" s="303"/>
      <c r="AH47" s="303"/>
    </row>
    <row r="48" spans="1:34" ht="15" x14ac:dyDescent="0.25">
      <c r="A48" s="433" t="s">
        <v>128</v>
      </c>
      <c r="B48" s="433" t="s">
        <v>466</v>
      </c>
      <c r="C48" s="433">
        <v>71095</v>
      </c>
      <c r="D48" s="433" t="s">
        <v>242</v>
      </c>
      <c r="E48" s="436" t="s">
        <v>103</v>
      </c>
      <c r="F48" s="435">
        <v>2628044</v>
      </c>
      <c r="G48" s="435">
        <v>0</v>
      </c>
      <c r="H48" s="435">
        <v>0</v>
      </c>
      <c r="I48" s="435">
        <v>628044</v>
      </c>
      <c r="J48" s="435">
        <v>2000000</v>
      </c>
      <c r="K48" s="435">
        <v>0</v>
      </c>
      <c r="L48" s="435">
        <v>0</v>
      </c>
      <c r="M48" s="435">
        <v>0</v>
      </c>
      <c r="N48" s="435">
        <v>0</v>
      </c>
      <c r="O48" s="435">
        <v>0</v>
      </c>
      <c r="P48" s="435">
        <v>0</v>
      </c>
      <c r="Q48" s="435">
        <v>0</v>
      </c>
      <c r="R48"/>
      <c r="S48"/>
      <c r="T48" s="334"/>
      <c r="U48" s="334"/>
      <c r="V48" s="334"/>
      <c r="W48" s="334"/>
      <c r="X48"/>
      <c r="Y48" s="303"/>
      <c r="Z48" s="303"/>
      <c r="AA48" s="303"/>
      <c r="AB48" s="303"/>
      <c r="AC48" s="303"/>
      <c r="AD48" s="303"/>
      <c r="AE48" s="303"/>
      <c r="AF48" s="303"/>
      <c r="AG48" s="303"/>
      <c r="AH48" s="303"/>
    </row>
    <row r="49" spans="1:34" ht="15" x14ac:dyDescent="0.25">
      <c r="A49" s="433" t="s">
        <v>128</v>
      </c>
      <c r="B49" s="433" t="s">
        <v>466</v>
      </c>
      <c r="C49" s="433">
        <v>71095</v>
      </c>
      <c r="D49" s="433" t="s">
        <v>242</v>
      </c>
      <c r="E49" s="436" t="s">
        <v>104</v>
      </c>
      <c r="F49" s="435">
        <v>21956</v>
      </c>
      <c r="G49" s="435">
        <v>13653</v>
      </c>
      <c r="H49" s="435">
        <v>8303</v>
      </c>
      <c r="I49" s="435">
        <v>0</v>
      </c>
      <c r="J49" s="435">
        <v>0</v>
      </c>
      <c r="K49" s="435">
        <v>0</v>
      </c>
      <c r="L49" s="435">
        <v>0</v>
      </c>
      <c r="M49" s="435">
        <v>0</v>
      </c>
      <c r="N49" s="435">
        <v>0</v>
      </c>
      <c r="O49" s="435">
        <v>0</v>
      </c>
      <c r="P49" s="435">
        <v>0</v>
      </c>
      <c r="Q49" s="435">
        <v>0</v>
      </c>
      <c r="R49"/>
      <c r="S49"/>
      <c r="T49" s="334"/>
      <c r="U49" s="334"/>
      <c r="V49" s="334"/>
      <c r="W49" s="334"/>
      <c r="X49"/>
      <c r="Y49" s="303"/>
      <c r="Z49" s="303"/>
      <c r="AA49" s="303"/>
      <c r="AB49" s="303"/>
      <c r="AC49" s="303"/>
      <c r="AD49" s="303"/>
      <c r="AE49" s="303"/>
      <c r="AF49" s="303"/>
      <c r="AG49" s="303"/>
      <c r="AH49" s="303"/>
    </row>
    <row r="50" spans="1:34" ht="15" x14ac:dyDescent="0.25">
      <c r="A50" s="433" t="s">
        <v>129</v>
      </c>
      <c r="B50" s="433" t="s">
        <v>130</v>
      </c>
      <c r="C50" s="433">
        <v>90001</v>
      </c>
      <c r="D50" s="433" t="s">
        <v>242</v>
      </c>
      <c r="E50" s="436" t="s">
        <v>102</v>
      </c>
      <c r="F50" s="435">
        <v>9753881</v>
      </c>
      <c r="G50" s="435">
        <v>5926558</v>
      </c>
      <c r="H50" s="435">
        <v>194728</v>
      </c>
      <c r="I50" s="435">
        <v>2455188</v>
      </c>
      <c r="J50" s="435">
        <v>1177407</v>
      </c>
      <c r="K50" s="435">
        <v>0</v>
      </c>
      <c r="L50" s="435">
        <v>0</v>
      </c>
      <c r="M50" s="435">
        <v>0</v>
      </c>
      <c r="N50" s="435">
        <v>0</v>
      </c>
      <c r="O50" s="435">
        <v>0</v>
      </c>
      <c r="P50" s="435">
        <v>0</v>
      </c>
      <c r="Q50" s="435">
        <v>0</v>
      </c>
      <c r="R50"/>
      <c r="S50"/>
      <c r="T50" s="334"/>
      <c r="U50" s="334"/>
      <c r="V50" s="334"/>
      <c r="W50" s="334"/>
      <c r="X50"/>
      <c r="Y50" s="303"/>
      <c r="Z50" s="303"/>
      <c r="AA50" s="303"/>
      <c r="AB50" s="303"/>
      <c r="AC50" s="303"/>
      <c r="AD50" s="303"/>
      <c r="AE50" s="303"/>
      <c r="AF50" s="303"/>
      <c r="AG50" s="303"/>
      <c r="AH50" s="303"/>
    </row>
    <row r="51" spans="1:34" ht="15" x14ac:dyDescent="0.25">
      <c r="A51" s="433" t="s">
        <v>129</v>
      </c>
      <c r="B51" s="433" t="s">
        <v>130</v>
      </c>
      <c r="C51" s="433">
        <v>90001</v>
      </c>
      <c r="D51" s="433" t="s">
        <v>242</v>
      </c>
      <c r="E51" s="436" t="s">
        <v>103</v>
      </c>
      <c r="F51" s="435">
        <v>3591812</v>
      </c>
      <c r="G51" s="435">
        <v>0</v>
      </c>
      <c r="H51" s="435">
        <v>0</v>
      </c>
      <c r="I51" s="435">
        <v>2414405</v>
      </c>
      <c r="J51" s="435">
        <v>1177407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/>
      <c r="S51"/>
      <c r="T51" s="334"/>
      <c r="U51" s="334"/>
      <c r="V51" s="334"/>
      <c r="W51" s="334"/>
      <c r="X51"/>
      <c r="Y51" s="303"/>
      <c r="Z51" s="303"/>
      <c r="AA51" s="303"/>
      <c r="AB51" s="303"/>
      <c r="AC51" s="303"/>
      <c r="AD51" s="303"/>
      <c r="AE51" s="303"/>
      <c r="AF51" s="303"/>
      <c r="AG51" s="303"/>
      <c r="AH51" s="303"/>
    </row>
    <row r="52" spans="1:34" ht="15" x14ac:dyDescent="0.25">
      <c r="A52" s="433" t="s">
        <v>129</v>
      </c>
      <c r="B52" s="433" t="s">
        <v>130</v>
      </c>
      <c r="C52" s="433">
        <v>90001</v>
      </c>
      <c r="D52" s="433" t="s">
        <v>242</v>
      </c>
      <c r="E52" s="436" t="s">
        <v>104</v>
      </c>
      <c r="F52" s="435">
        <v>6162069</v>
      </c>
      <c r="G52" s="435">
        <v>5926558</v>
      </c>
      <c r="H52" s="435">
        <v>194728</v>
      </c>
      <c r="I52" s="435">
        <v>40783</v>
      </c>
      <c r="J52" s="435">
        <v>0</v>
      </c>
      <c r="K52" s="435">
        <v>0</v>
      </c>
      <c r="L52" s="435">
        <v>0</v>
      </c>
      <c r="M52" s="435">
        <v>0</v>
      </c>
      <c r="N52" s="435">
        <v>0</v>
      </c>
      <c r="O52" s="435">
        <v>0</v>
      </c>
      <c r="P52" s="435">
        <v>0</v>
      </c>
      <c r="Q52" s="435">
        <v>0</v>
      </c>
      <c r="R52"/>
      <c r="S52"/>
      <c r="T52" s="334"/>
      <c r="U52" s="334"/>
      <c r="V52" s="334"/>
      <c r="W52" s="334"/>
      <c r="X52"/>
      <c r="Y52" s="303"/>
      <c r="Z52" s="303"/>
      <c r="AA52" s="303"/>
      <c r="AB52" s="303"/>
      <c r="AC52" s="303"/>
      <c r="AD52" s="303"/>
      <c r="AE52" s="303"/>
      <c r="AF52" s="303"/>
      <c r="AG52" s="303"/>
      <c r="AH52" s="303"/>
    </row>
    <row r="53" spans="1:34" ht="15" x14ac:dyDescent="0.25">
      <c r="A53" s="433" t="s">
        <v>131</v>
      </c>
      <c r="B53" s="433" t="s">
        <v>132</v>
      </c>
      <c r="C53" s="433">
        <v>90004</v>
      </c>
      <c r="D53" s="433" t="s">
        <v>242</v>
      </c>
      <c r="E53" s="436" t="s">
        <v>102</v>
      </c>
      <c r="F53" s="435">
        <v>2144873</v>
      </c>
      <c r="G53" s="435">
        <v>432005</v>
      </c>
      <c r="H53" s="435">
        <v>17142</v>
      </c>
      <c r="I53" s="435">
        <v>292895</v>
      </c>
      <c r="J53" s="435">
        <v>1402831</v>
      </c>
      <c r="K53" s="435">
        <v>0</v>
      </c>
      <c r="L53" s="435">
        <v>0</v>
      </c>
      <c r="M53" s="435">
        <v>0</v>
      </c>
      <c r="N53" s="435">
        <v>0</v>
      </c>
      <c r="O53" s="435">
        <v>0</v>
      </c>
      <c r="P53" s="435">
        <v>0</v>
      </c>
      <c r="Q53" s="435">
        <v>0</v>
      </c>
      <c r="R53"/>
      <c r="S53"/>
      <c r="T53" s="334"/>
      <c r="U53" s="334"/>
      <c r="V53" s="334"/>
      <c r="W53" s="334"/>
      <c r="X53"/>
      <c r="Y53" s="303"/>
      <c r="Z53" s="303"/>
      <c r="AA53" s="303"/>
      <c r="AB53" s="303"/>
      <c r="AC53" s="303"/>
      <c r="AD53" s="303"/>
      <c r="AE53" s="303"/>
      <c r="AF53" s="303"/>
      <c r="AG53" s="303"/>
      <c r="AH53" s="303"/>
    </row>
    <row r="54" spans="1:34" ht="15" x14ac:dyDescent="0.25">
      <c r="A54" s="433" t="s">
        <v>131</v>
      </c>
      <c r="B54" s="433" t="s">
        <v>132</v>
      </c>
      <c r="C54" s="433">
        <v>90004</v>
      </c>
      <c r="D54" s="433" t="s">
        <v>242</v>
      </c>
      <c r="E54" s="436" t="s">
        <v>103</v>
      </c>
      <c r="F54" s="435">
        <v>1578224</v>
      </c>
      <c r="G54" s="435">
        <v>0</v>
      </c>
      <c r="H54" s="435">
        <v>0</v>
      </c>
      <c r="I54" s="435">
        <v>175393</v>
      </c>
      <c r="J54" s="435">
        <v>1402831</v>
      </c>
      <c r="K54" s="435">
        <v>0</v>
      </c>
      <c r="L54" s="435">
        <v>0</v>
      </c>
      <c r="M54" s="435">
        <v>0</v>
      </c>
      <c r="N54" s="435">
        <v>0</v>
      </c>
      <c r="O54" s="435">
        <v>0</v>
      </c>
      <c r="P54" s="435">
        <v>0</v>
      </c>
      <c r="Q54" s="435">
        <v>0</v>
      </c>
      <c r="R54"/>
      <c r="S54"/>
      <c r="T54" s="334"/>
      <c r="U54" s="334"/>
      <c r="V54" s="334"/>
      <c r="W54" s="334"/>
      <c r="X54"/>
      <c r="Y54" s="303"/>
      <c r="Z54" s="303"/>
      <c r="AA54" s="303"/>
      <c r="AB54" s="303"/>
      <c r="AC54" s="303"/>
      <c r="AD54" s="303"/>
      <c r="AE54" s="303"/>
      <c r="AF54" s="303"/>
      <c r="AG54" s="303"/>
      <c r="AH54" s="303"/>
    </row>
    <row r="55" spans="1:34" ht="15" x14ac:dyDescent="0.25">
      <c r="A55" s="433" t="s">
        <v>131</v>
      </c>
      <c r="B55" s="433" t="s">
        <v>132</v>
      </c>
      <c r="C55" s="433">
        <v>90004</v>
      </c>
      <c r="D55" s="433" t="s">
        <v>242</v>
      </c>
      <c r="E55" s="436" t="s">
        <v>104</v>
      </c>
      <c r="F55" s="435">
        <v>566649</v>
      </c>
      <c r="G55" s="435">
        <v>432005</v>
      </c>
      <c r="H55" s="435">
        <v>17142</v>
      </c>
      <c r="I55" s="435">
        <v>117502</v>
      </c>
      <c r="J55" s="435">
        <v>0</v>
      </c>
      <c r="K55" s="435">
        <v>0</v>
      </c>
      <c r="L55" s="435">
        <v>0</v>
      </c>
      <c r="M55" s="435">
        <v>0</v>
      </c>
      <c r="N55" s="435">
        <v>0</v>
      </c>
      <c r="O55" s="435">
        <v>0</v>
      </c>
      <c r="P55" s="435">
        <v>0</v>
      </c>
      <c r="Q55" s="435">
        <v>0</v>
      </c>
      <c r="R55"/>
      <c r="S55"/>
      <c r="T55" s="334"/>
      <c r="U55" s="334"/>
      <c r="V55" s="334"/>
      <c r="W55" s="334"/>
      <c r="X55"/>
      <c r="Y55" s="303"/>
      <c r="Z55" s="303"/>
      <c r="AA55" s="303"/>
      <c r="AB55" s="303"/>
      <c r="AC55" s="303"/>
      <c r="AD55" s="303"/>
      <c r="AE55" s="303"/>
      <c r="AF55" s="303"/>
      <c r="AG55" s="303"/>
      <c r="AH55" s="303"/>
    </row>
    <row r="56" spans="1:34" ht="15" x14ac:dyDescent="0.25">
      <c r="A56" s="433" t="s">
        <v>134</v>
      </c>
      <c r="B56" s="433" t="s">
        <v>135</v>
      </c>
      <c r="C56" s="433">
        <v>90004</v>
      </c>
      <c r="D56" s="433" t="s">
        <v>242</v>
      </c>
      <c r="E56" s="436" t="s">
        <v>102</v>
      </c>
      <c r="F56" s="435">
        <v>7025501</v>
      </c>
      <c r="G56" s="435">
        <v>919444</v>
      </c>
      <c r="H56" s="435">
        <v>5161386</v>
      </c>
      <c r="I56" s="435">
        <v>480000</v>
      </c>
      <c r="J56" s="435">
        <v>464671</v>
      </c>
      <c r="K56" s="435">
        <v>0</v>
      </c>
      <c r="L56" s="435">
        <v>0</v>
      </c>
      <c r="M56" s="435">
        <v>0</v>
      </c>
      <c r="N56" s="435">
        <v>0</v>
      </c>
      <c r="O56" s="435">
        <v>0</v>
      </c>
      <c r="P56" s="435">
        <v>0</v>
      </c>
      <c r="Q56" s="435">
        <v>0</v>
      </c>
      <c r="R56"/>
      <c r="S56"/>
      <c r="T56" s="334"/>
      <c r="U56" s="334"/>
      <c r="V56" s="334"/>
      <c r="W56" s="334"/>
      <c r="X56"/>
      <c r="Y56" s="303"/>
      <c r="Z56" s="303"/>
      <c r="AA56" s="303"/>
      <c r="AB56" s="303"/>
      <c r="AC56" s="303"/>
      <c r="AD56" s="303"/>
      <c r="AE56" s="303"/>
      <c r="AF56" s="303"/>
      <c r="AG56" s="303"/>
      <c r="AH56" s="303"/>
    </row>
    <row r="57" spans="1:34" ht="15" x14ac:dyDescent="0.25">
      <c r="A57" s="433" t="s">
        <v>134</v>
      </c>
      <c r="B57" s="433" t="s">
        <v>135</v>
      </c>
      <c r="C57" s="433">
        <v>90004</v>
      </c>
      <c r="D57" s="433" t="s">
        <v>242</v>
      </c>
      <c r="E57" s="436" t="s">
        <v>103</v>
      </c>
      <c r="F57" s="435">
        <v>944671</v>
      </c>
      <c r="G57" s="435">
        <v>0</v>
      </c>
      <c r="H57" s="435">
        <v>0</v>
      </c>
      <c r="I57" s="435">
        <v>480000</v>
      </c>
      <c r="J57" s="435">
        <v>464671</v>
      </c>
      <c r="K57" s="435">
        <v>0</v>
      </c>
      <c r="L57" s="435">
        <v>0</v>
      </c>
      <c r="M57" s="435">
        <v>0</v>
      </c>
      <c r="N57" s="435">
        <v>0</v>
      </c>
      <c r="O57" s="435">
        <v>0</v>
      </c>
      <c r="P57" s="435">
        <v>0</v>
      </c>
      <c r="Q57" s="435">
        <v>0</v>
      </c>
      <c r="R57"/>
      <c r="S57"/>
      <c r="T57" s="334"/>
      <c r="U57" s="334"/>
      <c r="V57" s="334"/>
      <c r="W57" s="334"/>
      <c r="X57"/>
      <c r="Y57" s="303"/>
      <c r="Z57" s="303"/>
      <c r="AA57" s="303"/>
      <c r="AB57" s="303"/>
      <c r="AC57" s="303"/>
      <c r="AD57" s="303"/>
      <c r="AE57" s="303"/>
      <c r="AF57" s="303"/>
      <c r="AG57" s="303"/>
      <c r="AH57" s="303"/>
    </row>
    <row r="58" spans="1:34" ht="15" x14ac:dyDescent="0.25">
      <c r="A58" s="433" t="s">
        <v>134</v>
      </c>
      <c r="B58" s="433" t="s">
        <v>135</v>
      </c>
      <c r="C58" s="433">
        <v>90004</v>
      </c>
      <c r="D58" s="433" t="s">
        <v>242</v>
      </c>
      <c r="E58" s="436" t="s">
        <v>104</v>
      </c>
      <c r="F58" s="435">
        <v>6080830</v>
      </c>
      <c r="G58" s="435">
        <v>919444</v>
      </c>
      <c r="H58" s="435">
        <v>5161386</v>
      </c>
      <c r="I58" s="435">
        <v>0</v>
      </c>
      <c r="J58" s="435">
        <v>0</v>
      </c>
      <c r="K58" s="435">
        <v>0</v>
      </c>
      <c r="L58" s="435">
        <v>0</v>
      </c>
      <c r="M58" s="435">
        <v>0</v>
      </c>
      <c r="N58" s="435">
        <v>0</v>
      </c>
      <c r="O58" s="435">
        <v>0</v>
      </c>
      <c r="P58" s="435">
        <v>0</v>
      </c>
      <c r="Q58" s="435">
        <v>0</v>
      </c>
      <c r="R58"/>
      <c r="S58"/>
      <c r="T58" s="334"/>
      <c r="U58" s="334"/>
      <c r="V58" s="334"/>
      <c r="W58" s="334"/>
      <c r="X58"/>
      <c r="Y58" s="303"/>
      <c r="Z58" s="303"/>
      <c r="AA58" s="303"/>
      <c r="AB58" s="303"/>
      <c r="AC58" s="303"/>
      <c r="AD58" s="303"/>
      <c r="AE58" s="303"/>
      <c r="AF58" s="303"/>
      <c r="AG58" s="303"/>
      <c r="AH58" s="303"/>
    </row>
    <row r="59" spans="1:34" ht="15" x14ac:dyDescent="0.25">
      <c r="A59" s="433" t="s">
        <v>136</v>
      </c>
      <c r="B59" s="433" t="s">
        <v>467</v>
      </c>
      <c r="C59" s="433">
        <v>90004</v>
      </c>
      <c r="D59" s="433" t="s">
        <v>242</v>
      </c>
      <c r="E59" s="436" t="s">
        <v>102</v>
      </c>
      <c r="F59" s="435">
        <v>2550000</v>
      </c>
      <c r="G59" s="435">
        <v>0</v>
      </c>
      <c r="H59" s="435">
        <v>106395</v>
      </c>
      <c r="I59" s="435">
        <v>2193605</v>
      </c>
      <c r="J59" s="435">
        <v>250000</v>
      </c>
      <c r="K59" s="435">
        <v>0</v>
      </c>
      <c r="L59" s="435">
        <v>0</v>
      </c>
      <c r="M59" s="435">
        <v>0</v>
      </c>
      <c r="N59" s="435">
        <v>0</v>
      </c>
      <c r="O59" s="435">
        <v>0</v>
      </c>
      <c r="P59" s="435">
        <v>0</v>
      </c>
      <c r="Q59" s="435">
        <v>0</v>
      </c>
      <c r="R59"/>
      <c r="S59"/>
      <c r="T59" s="334"/>
      <c r="U59" s="334"/>
      <c r="V59" s="334"/>
      <c r="W59" s="334"/>
      <c r="X59"/>
      <c r="Y59" s="303"/>
      <c r="Z59" s="303"/>
      <c r="AA59" s="303"/>
      <c r="AB59" s="303"/>
      <c r="AC59" s="303"/>
      <c r="AD59" s="303"/>
      <c r="AE59" s="303"/>
      <c r="AF59" s="303"/>
      <c r="AG59" s="303"/>
      <c r="AH59" s="303"/>
    </row>
    <row r="60" spans="1:34" ht="15" x14ac:dyDescent="0.25">
      <c r="A60" s="433" t="s">
        <v>136</v>
      </c>
      <c r="B60" s="433" t="s">
        <v>467</v>
      </c>
      <c r="C60" s="433">
        <v>90004</v>
      </c>
      <c r="D60" s="433" t="s">
        <v>242</v>
      </c>
      <c r="E60" s="436" t="s">
        <v>103</v>
      </c>
      <c r="F60" s="435">
        <v>2435622</v>
      </c>
      <c r="G60" s="435">
        <v>0</v>
      </c>
      <c r="H60" s="435">
        <v>0</v>
      </c>
      <c r="I60" s="435">
        <v>2185622</v>
      </c>
      <c r="J60" s="435">
        <v>250000</v>
      </c>
      <c r="K60" s="435">
        <v>0</v>
      </c>
      <c r="L60" s="435">
        <v>0</v>
      </c>
      <c r="M60" s="435">
        <v>0</v>
      </c>
      <c r="N60" s="435">
        <v>0</v>
      </c>
      <c r="O60" s="435">
        <v>0</v>
      </c>
      <c r="P60" s="435">
        <v>0</v>
      </c>
      <c r="Q60" s="435">
        <v>0</v>
      </c>
      <c r="R60"/>
      <c r="S60"/>
      <c r="T60" s="334"/>
      <c r="U60" s="334"/>
      <c r="V60" s="334"/>
      <c r="W60" s="334"/>
      <c r="X60"/>
      <c r="Y60" s="303"/>
      <c r="Z60" s="303"/>
      <c r="AA60" s="303"/>
      <c r="AB60" s="303"/>
      <c r="AC60" s="303"/>
      <c r="AD60" s="303"/>
      <c r="AE60" s="303"/>
      <c r="AF60" s="303"/>
      <c r="AG60" s="303"/>
      <c r="AH60" s="303"/>
    </row>
    <row r="61" spans="1:34" ht="15" x14ac:dyDescent="0.25">
      <c r="A61" s="433" t="s">
        <v>136</v>
      </c>
      <c r="B61" s="433" t="s">
        <v>467</v>
      </c>
      <c r="C61" s="433">
        <v>90004</v>
      </c>
      <c r="D61" s="433" t="s">
        <v>242</v>
      </c>
      <c r="E61" s="436" t="s">
        <v>104</v>
      </c>
      <c r="F61" s="435">
        <v>114378</v>
      </c>
      <c r="G61" s="435">
        <v>0</v>
      </c>
      <c r="H61" s="435">
        <v>106395</v>
      </c>
      <c r="I61" s="435">
        <v>7983</v>
      </c>
      <c r="J61" s="435">
        <v>0</v>
      </c>
      <c r="K61" s="435">
        <v>0</v>
      </c>
      <c r="L61" s="435">
        <v>0</v>
      </c>
      <c r="M61" s="435">
        <v>0</v>
      </c>
      <c r="N61" s="435">
        <v>0</v>
      </c>
      <c r="O61" s="435">
        <v>0</v>
      </c>
      <c r="P61" s="435">
        <v>0</v>
      </c>
      <c r="Q61" s="435">
        <v>0</v>
      </c>
      <c r="R61"/>
      <c r="S61"/>
      <c r="T61" s="334"/>
      <c r="U61" s="334"/>
      <c r="V61" s="334"/>
      <c r="W61" s="334"/>
      <c r="X61"/>
      <c r="Y61" s="303"/>
      <c r="Z61" s="303"/>
      <c r="AA61" s="303"/>
      <c r="AB61" s="303"/>
      <c r="AC61" s="303"/>
      <c r="AD61" s="303"/>
      <c r="AE61" s="303"/>
      <c r="AF61" s="303"/>
      <c r="AG61" s="303"/>
      <c r="AH61" s="303"/>
    </row>
    <row r="62" spans="1:34" ht="15" x14ac:dyDescent="0.25">
      <c r="A62" s="433" t="s">
        <v>138</v>
      </c>
      <c r="B62" s="433" t="s">
        <v>139</v>
      </c>
      <c r="C62" s="433">
        <v>90004</v>
      </c>
      <c r="D62" s="433" t="s">
        <v>242</v>
      </c>
      <c r="E62" s="436" t="s">
        <v>102</v>
      </c>
      <c r="F62" s="435">
        <v>1555875</v>
      </c>
      <c r="G62" s="435">
        <v>62577</v>
      </c>
      <c r="H62" s="435">
        <v>1035175</v>
      </c>
      <c r="I62" s="435">
        <v>458123</v>
      </c>
      <c r="J62" s="435">
        <v>0</v>
      </c>
      <c r="K62" s="435">
        <v>0</v>
      </c>
      <c r="L62" s="435">
        <v>0</v>
      </c>
      <c r="M62" s="435">
        <v>0</v>
      </c>
      <c r="N62" s="435">
        <v>0</v>
      </c>
      <c r="O62" s="435">
        <v>0</v>
      </c>
      <c r="P62" s="435">
        <v>0</v>
      </c>
      <c r="Q62" s="435">
        <v>0</v>
      </c>
      <c r="R62"/>
      <c r="S62"/>
      <c r="T62" s="334"/>
      <c r="U62" s="334"/>
      <c r="V62" s="334"/>
      <c r="W62" s="334"/>
      <c r="X62"/>
      <c r="Y62" s="303"/>
      <c r="Z62" s="303"/>
      <c r="AA62" s="303"/>
      <c r="AB62" s="303"/>
      <c r="AC62" s="303"/>
      <c r="AD62" s="303"/>
      <c r="AE62" s="303"/>
      <c r="AF62" s="303"/>
      <c r="AG62" s="303"/>
      <c r="AH62" s="303"/>
    </row>
    <row r="63" spans="1:34" ht="15" x14ac:dyDescent="0.25">
      <c r="A63" s="433" t="s">
        <v>138</v>
      </c>
      <c r="B63" s="433" t="s">
        <v>139</v>
      </c>
      <c r="C63" s="433">
        <v>90004</v>
      </c>
      <c r="D63" s="433" t="s">
        <v>242</v>
      </c>
      <c r="E63" s="436" t="s">
        <v>103</v>
      </c>
      <c r="F63" s="435">
        <v>458123</v>
      </c>
      <c r="G63" s="435">
        <v>0</v>
      </c>
      <c r="H63" s="435">
        <v>0</v>
      </c>
      <c r="I63" s="435">
        <v>458123</v>
      </c>
      <c r="J63" s="435">
        <v>0</v>
      </c>
      <c r="K63" s="435">
        <v>0</v>
      </c>
      <c r="L63" s="435">
        <v>0</v>
      </c>
      <c r="M63" s="435">
        <v>0</v>
      </c>
      <c r="N63" s="435">
        <v>0</v>
      </c>
      <c r="O63" s="435">
        <v>0</v>
      </c>
      <c r="P63" s="435">
        <v>0</v>
      </c>
      <c r="Q63" s="435">
        <v>0</v>
      </c>
      <c r="R63"/>
      <c r="S63"/>
      <c r="T63" s="334"/>
      <c r="U63" s="334"/>
      <c r="V63" s="334"/>
      <c r="W63" s="334"/>
      <c r="X63"/>
      <c r="Y63" s="303"/>
      <c r="Z63" s="303"/>
      <c r="AA63" s="303"/>
      <c r="AB63" s="303"/>
      <c r="AC63" s="303"/>
      <c r="AD63" s="303"/>
      <c r="AE63" s="303"/>
      <c r="AF63" s="303"/>
      <c r="AG63" s="303"/>
      <c r="AH63" s="303"/>
    </row>
    <row r="64" spans="1:34" ht="15" x14ac:dyDescent="0.25">
      <c r="A64" s="433" t="s">
        <v>138</v>
      </c>
      <c r="B64" s="433" t="s">
        <v>139</v>
      </c>
      <c r="C64" s="433">
        <v>90004</v>
      </c>
      <c r="D64" s="433" t="s">
        <v>242</v>
      </c>
      <c r="E64" s="436" t="s">
        <v>104</v>
      </c>
      <c r="F64" s="435">
        <v>1097752</v>
      </c>
      <c r="G64" s="435">
        <v>62577</v>
      </c>
      <c r="H64" s="435">
        <v>1035175</v>
      </c>
      <c r="I64" s="435">
        <v>0</v>
      </c>
      <c r="J64" s="435">
        <v>0</v>
      </c>
      <c r="K64" s="435">
        <v>0</v>
      </c>
      <c r="L64" s="435">
        <v>0</v>
      </c>
      <c r="M64" s="435">
        <v>0</v>
      </c>
      <c r="N64" s="435">
        <v>0</v>
      </c>
      <c r="O64" s="435">
        <v>0</v>
      </c>
      <c r="P64" s="435">
        <v>0</v>
      </c>
      <c r="Q64" s="435">
        <v>0</v>
      </c>
      <c r="R64"/>
      <c r="S64"/>
      <c r="T64" s="334"/>
      <c r="U64" s="334"/>
      <c r="V64" s="334"/>
      <c r="W64" s="334"/>
      <c r="X64"/>
      <c r="Y64" s="303"/>
      <c r="Z64" s="303"/>
      <c r="AA64" s="303"/>
      <c r="AB64" s="303"/>
      <c r="AC64" s="303"/>
      <c r="AD64" s="303"/>
      <c r="AE64" s="303"/>
      <c r="AF64" s="303"/>
      <c r="AG64" s="303"/>
      <c r="AH64" s="303"/>
    </row>
    <row r="65" spans="1:34" ht="15" x14ac:dyDescent="0.25">
      <c r="A65" s="433" t="s">
        <v>140</v>
      </c>
      <c r="B65" s="433" t="s">
        <v>141</v>
      </c>
      <c r="C65" s="433">
        <v>90004</v>
      </c>
      <c r="D65" s="433" t="s">
        <v>242</v>
      </c>
      <c r="E65" s="436" t="s">
        <v>102</v>
      </c>
      <c r="F65" s="435">
        <v>1578167</v>
      </c>
      <c r="G65" s="435">
        <v>0</v>
      </c>
      <c r="H65" s="435">
        <v>198163</v>
      </c>
      <c r="I65" s="435">
        <v>1380004</v>
      </c>
      <c r="J65" s="435">
        <v>0</v>
      </c>
      <c r="K65" s="435">
        <v>0</v>
      </c>
      <c r="L65" s="435">
        <v>0</v>
      </c>
      <c r="M65" s="435">
        <v>0</v>
      </c>
      <c r="N65" s="435">
        <v>0</v>
      </c>
      <c r="O65" s="435">
        <v>0</v>
      </c>
      <c r="P65" s="435">
        <v>0</v>
      </c>
      <c r="Q65" s="435">
        <v>0</v>
      </c>
      <c r="R65"/>
      <c r="S65"/>
      <c r="T65" s="334"/>
      <c r="U65" s="334"/>
      <c r="V65" s="334"/>
      <c r="W65" s="334"/>
      <c r="X65"/>
      <c r="Y65" s="303"/>
      <c r="Z65" s="303"/>
      <c r="AA65" s="303"/>
      <c r="AB65" s="303"/>
      <c r="AC65" s="303"/>
      <c r="AD65" s="303"/>
      <c r="AE65" s="303"/>
      <c r="AF65" s="303"/>
      <c r="AG65" s="303"/>
      <c r="AH65" s="303"/>
    </row>
    <row r="66" spans="1:34" ht="15" x14ac:dyDescent="0.25">
      <c r="A66" s="433" t="s">
        <v>140</v>
      </c>
      <c r="B66" s="433" t="s">
        <v>141</v>
      </c>
      <c r="C66" s="433">
        <v>90004</v>
      </c>
      <c r="D66" s="433" t="s">
        <v>242</v>
      </c>
      <c r="E66" s="436" t="s">
        <v>103</v>
      </c>
      <c r="F66" s="435">
        <v>219737</v>
      </c>
      <c r="G66" s="435">
        <v>0</v>
      </c>
      <c r="H66" s="435">
        <v>0</v>
      </c>
      <c r="I66" s="435">
        <v>219737</v>
      </c>
      <c r="J66" s="435">
        <v>0</v>
      </c>
      <c r="K66" s="435">
        <v>0</v>
      </c>
      <c r="L66" s="435">
        <v>0</v>
      </c>
      <c r="M66" s="435">
        <v>0</v>
      </c>
      <c r="N66" s="435">
        <v>0</v>
      </c>
      <c r="O66" s="435">
        <v>0</v>
      </c>
      <c r="P66" s="435">
        <v>0</v>
      </c>
      <c r="Q66" s="435">
        <v>0</v>
      </c>
      <c r="R66"/>
      <c r="S66"/>
      <c r="T66" s="334"/>
      <c r="U66" s="334"/>
      <c r="V66" s="334"/>
      <c r="W66" s="334"/>
      <c r="X66"/>
      <c r="Y66" s="303"/>
      <c r="Z66" s="303"/>
      <c r="AA66" s="303"/>
      <c r="AB66" s="303"/>
      <c r="AC66" s="303"/>
      <c r="AD66" s="303"/>
      <c r="AE66" s="303"/>
      <c r="AF66" s="303"/>
      <c r="AG66" s="303"/>
      <c r="AH66" s="303"/>
    </row>
    <row r="67" spans="1:34" ht="15" x14ac:dyDescent="0.25">
      <c r="A67" s="433" t="s">
        <v>140</v>
      </c>
      <c r="B67" s="433" t="s">
        <v>141</v>
      </c>
      <c r="C67" s="433">
        <v>90004</v>
      </c>
      <c r="D67" s="433" t="s">
        <v>242</v>
      </c>
      <c r="E67" s="436" t="s">
        <v>104</v>
      </c>
      <c r="F67" s="435">
        <v>1358430</v>
      </c>
      <c r="G67" s="435">
        <v>0</v>
      </c>
      <c r="H67" s="435">
        <v>198163</v>
      </c>
      <c r="I67" s="435">
        <v>1160267</v>
      </c>
      <c r="J67" s="435">
        <v>0</v>
      </c>
      <c r="K67" s="435">
        <v>0</v>
      </c>
      <c r="L67" s="435">
        <v>0</v>
      </c>
      <c r="M67" s="435">
        <v>0</v>
      </c>
      <c r="N67" s="435">
        <v>0</v>
      </c>
      <c r="O67" s="435">
        <v>0</v>
      </c>
      <c r="P67" s="435">
        <v>0</v>
      </c>
      <c r="Q67" s="435">
        <v>0</v>
      </c>
      <c r="R67"/>
      <c r="S67"/>
      <c r="T67" s="334"/>
      <c r="U67" s="334"/>
      <c r="V67" s="334"/>
      <c r="W67" s="334"/>
      <c r="X67"/>
      <c r="Y67" s="303"/>
      <c r="Z67" s="303"/>
      <c r="AA67" s="303"/>
      <c r="AB67" s="303"/>
      <c r="AC67" s="303"/>
      <c r="AD67" s="303"/>
      <c r="AE67" s="303"/>
      <c r="AF67" s="303"/>
      <c r="AG67" s="303"/>
      <c r="AH67" s="303"/>
    </row>
    <row r="68" spans="1:34" ht="15" x14ac:dyDescent="0.25">
      <c r="A68" s="433" t="s">
        <v>398</v>
      </c>
      <c r="B68" s="433" t="s">
        <v>399</v>
      </c>
      <c r="C68" s="433">
        <v>90004</v>
      </c>
      <c r="D68" s="433" t="s">
        <v>242</v>
      </c>
      <c r="E68" s="436" t="s">
        <v>102</v>
      </c>
      <c r="F68" s="435">
        <v>1606000</v>
      </c>
      <c r="G68" s="435">
        <v>0</v>
      </c>
      <c r="H68" s="435">
        <v>0</v>
      </c>
      <c r="I68" s="435">
        <v>1460000</v>
      </c>
      <c r="J68" s="435">
        <v>146000</v>
      </c>
      <c r="K68" s="435">
        <v>0</v>
      </c>
      <c r="L68" s="435">
        <v>0</v>
      </c>
      <c r="M68" s="435">
        <v>0</v>
      </c>
      <c r="N68" s="435">
        <v>0</v>
      </c>
      <c r="O68" s="435">
        <v>0</v>
      </c>
      <c r="P68" s="435">
        <v>0</v>
      </c>
      <c r="Q68" s="435">
        <v>0</v>
      </c>
      <c r="R68"/>
      <c r="S68"/>
      <c r="T68" s="334"/>
      <c r="U68" s="334"/>
      <c r="V68" s="334"/>
      <c r="W68" s="334"/>
      <c r="X68"/>
      <c r="Y68" s="303"/>
      <c r="Z68" s="303"/>
      <c r="AA68" s="303"/>
      <c r="AB68" s="303"/>
      <c r="AC68" s="303"/>
      <c r="AD68" s="303"/>
      <c r="AE68" s="303"/>
      <c r="AF68" s="303"/>
      <c r="AG68" s="303"/>
      <c r="AH68" s="303"/>
    </row>
    <row r="69" spans="1:34" ht="15" x14ac:dyDescent="0.25">
      <c r="A69" s="433" t="s">
        <v>398</v>
      </c>
      <c r="B69" s="433" t="s">
        <v>399</v>
      </c>
      <c r="C69" s="433">
        <v>90004</v>
      </c>
      <c r="D69" s="433" t="s">
        <v>242</v>
      </c>
      <c r="E69" s="436" t="s">
        <v>103</v>
      </c>
      <c r="F69" s="435">
        <v>1606000</v>
      </c>
      <c r="G69" s="435">
        <v>0</v>
      </c>
      <c r="H69" s="435">
        <v>0</v>
      </c>
      <c r="I69" s="435">
        <v>1460000</v>
      </c>
      <c r="J69" s="435">
        <v>146000</v>
      </c>
      <c r="K69" s="435">
        <v>0</v>
      </c>
      <c r="L69" s="435">
        <v>0</v>
      </c>
      <c r="M69" s="435">
        <v>0</v>
      </c>
      <c r="N69" s="435">
        <v>0</v>
      </c>
      <c r="O69" s="435">
        <v>0</v>
      </c>
      <c r="P69" s="435">
        <v>0</v>
      </c>
      <c r="Q69" s="435">
        <v>0</v>
      </c>
      <c r="R69"/>
      <c r="S69"/>
      <c r="T69" s="334"/>
      <c r="U69" s="334"/>
      <c r="V69" s="334"/>
      <c r="W69" s="334"/>
      <c r="X69"/>
      <c r="Y69" s="303"/>
      <c r="Z69" s="303"/>
      <c r="AA69" s="303"/>
      <c r="AB69" s="303"/>
      <c r="AC69" s="303"/>
      <c r="AD69" s="303"/>
      <c r="AE69" s="303"/>
      <c r="AF69" s="303"/>
      <c r="AG69" s="303"/>
      <c r="AH69" s="303"/>
    </row>
    <row r="70" spans="1:34" ht="15" x14ac:dyDescent="0.25">
      <c r="A70" s="433" t="s">
        <v>398</v>
      </c>
      <c r="B70" s="433" t="s">
        <v>399</v>
      </c>
      <c r="C70" s="433">
        <v>90004</v>
      </c>
      <c r="D70" s="433" t="s">
        <v>242</v>
      </c>
      <c r="E70" s="436" t="s">
        <v>104</v>
      </c>
      <c r="F70" s="435">
        <v>0</v>
      </c>
      <c r="G70" s="435">
        <v>0</v>
      </c>
      <c r="H70" s="435">
        <v>0</v>
      </c>
      <c r="I70" s="435">
        <v>0</v>
      </c>
      <c r="J70" s="435">
        <v>0</v>
      </c>
      <c r="K70" s="435">
        <v>0</v>
      </c>
      <c r="L70" s="435">
        <v>0</v>
      </c>
      <c r="M70" s="435">
        <v>0</v>
      </c>
      <c r="N70" s="435">
        <v>0</v>
      </c>
      <c r="O70" s="435">
        <v>0</v>
      </c>
      <c r="P70" s="435">
        <v>0</v>
      </c>
      <c r="Q70" s="435">
        <v>0</v>
      </c>
      <c r="R70"/>
      <c r="S70"/>
      <c r="T70" s="334"/>
      <c r="U70" s="334"/>
      <c r="V70" s="334"/>
      <c r="W70" s="334"/>
      <c r="X70"/>
    </row>
    <row r="71" spans="1:34" ht="15" x14ac:dyDescent="0.25">
      <c r="A71" s="433" t="s">
        <v>143</v>
      </c>
      <c r="B71" s="433" t="s">
        <v>144</v>
      </c>
      <c r="C71" s="433">
        <v>90026</v>
      </c>
      <c r="D71" s="433" t="s">
        <v>242</v>
      </c>
      <c r="E71" s="436" t="s">
        <v>102</v>
      </c>
      <c r="F71" s="435">
        <v>880000</v>
      </c>
      <c r="G71" s="435">
        <v>17428</v>
      </c>
      <c r="H71" s="435">
        <v>0</v>
      </c>
      <c r="I71" s="435">
        <v>0</v>
      </c>
      <c r="J71" s="435">
        <v>862572</v>
      </c>
      <c r="K71" s="435">
        <v>0</v>
      </c>
      <c r="L71" s="435">
        <v>0</v>
      </c>
      <c r="M71" s="435">
        <v>0</v>
      </c>
      <c r="N71" s="435">
        <v>0</v>
      </c>
      <c r="O71" s="435">
        <v>0</v>
      </c>
      <c r="P71" s="435">
        <v>0</v>
      </c>
      <c r="Q71" s="435">
        <v>0</v>
      </c>
      <c r="R71"/>
      <c r="S71"/>
      <c r="T71" s="334"/>
      <c r="U71" s="334"/>
      <c r="V71" s="334"/>
      <c r="W71" s="334"/>
      <c r="X71"/>
    </row>
    <row r="72" spans="1:34" ht="15" x14ac:dyDescent="0.25">
      <c r="A72" s="433" t="s">
        <v>143</v>
      </c>
      <c r="B72" s="433" t="s">
        <v>144</v>
      </c>
      <c r="C72" s="433">
        <v>90026</v>
      </c>
      <c r="D72" s="433" t="s">
        <v>242</v>
      </c>
      <c r="E72" s="436" t="s">
        <v>103</v>
      </c>
      <c r="F72" s="435">
        <v>862572</v>
      </c>
      <c r="G72" s="435">
        <v>0</v>
      </c>
      <c r="H72" s="435">
        <v>0</v>
      </c>
      <c r="I72" s="435">
        <v>0</v>
      </c>
      <c r="J72" s="435">
        <v>862572</v>
      </c>
      <c r="K72" s="435">
        <v>0</v>
      </c>
      <c r="L72" s="435">
        <v>0</v>
      </c>
      <c r="M72" s="435">
        <v>0</v>
      </c>
      <c r="N72" s="435">
        <v>0</v>
      </c>
      <c r="O72" s="435">
        <v>0</v>
      </c>
      <c r="P72" s="435">
        <v>0</v>
      </c>
      <c r="Q72" s="435">
        <v>0</v>
      </c>
      <c r="R72"/>
      <c r="S72"/>
      <c r="T72" s="334"/>
      <c r="U72" s="334"/>
      <c r="V72" s="334"/>
      <c r="W72" s="334"/>
      <c r="X72"/>
    </row>
    <row r="73" spans="1:34" ht="15" x14ac:dyDescent="0.25">
      <c r="A73" s="433" t="s">
        <v>143</v>
      </c>
      <c r="B73" s="433" t="s">
        <v>144</v>
      </c>
      <c r="C73" s="433">
        <v>90026</v>
      </c>
      <c r="D73" s="433" t="s">
        <v>242</v>
      </c>
      <c r="E73" s="436" t="s">
        <v>104</v>
      </c>
      <c r="F73" s="435">
        <v>17428</v>
      </c>
      <c r="G73" s="435">
        <v>17428</v>
      </c>
      <c r="H73" s="435">
        <v>0</v>
      </c>
      <c r="I73" s="435">
        <v>0</v>
      </c>
      <c r="J73" s="435">
        <v>0</v>
      </c>
      <c r="K73" s="435">
        <v>0</v>
      </c>
      <c r="L73" s="435">
        <v>0</v>
      </c>
      <c r="M73" s="435">
        <v>0</v>
      </c>
      <c r="N73" s="435">
        <v>0</v>
      </c>
      <c r="O73" s="435">
        <v>0</v>
      </c>
      <c r="P73" s="435">
        <v>0</v>
      </c>
      <c r="Q73" s="435">
        <v>0</v>
      </c>
      <c r="R73"/>
      <c r="S73"/>
      <c r="T73" s="334"/>
      <c r="U73" s="334"/>
      <c r="V73" s="334"/>
      <c r="W73" s="334"/>
      <c r="X73"/>
    </row>
    <row r="74" spans="1:34" ht="15" x14ac:dyDescent="0.25">
      <c r="A74" s="433" t="s">
        <v>146</v>
      </c>
      <c r="B74" s="433" t="s">
        <v>147</v>
      </c>
      <c r="C74" s="433">
        <v>90095</v>
      </c>
      <c r="D74" s="433" t="s">
        <v>242</v>
      </c>
      <c r="E74" s="436" t="s">
        <v>102</v>
      </c>
      <c r="F74" s="435">
        <v>594300</v>
      </c>
      <c r="G74" s="435">
        <v>402100</v>
      </c>
      <c r="H74" s="435">
        <v>159378</v>
      </c>
      <c r="I74" s="435">
        <v>32822</v>
      </c>
      <c r="J74" s="435">
        <v>0</v>
      </c>
      <c r="K74" s="435">
        <v>0</v>
      </c>
      <c r="L74" s="435">
        <v>0</v>
      </c>
      <c r="M74" s="435">
        <v>0</v>
      </c>
      <c r="N74" s="435">
        <v>0</v>
      </c>
      <c r="O74" s="435">
        <v>0</v>
      </c>
      <c r="P74" s="435">
        <v>0</v>
      </c>
      <c r="Q74" s="435">
        <v>0</v>
      </c>
      <c r="R74"/>
      <c r="S74"/>
      <c r="T74" s="334"/>
      <c r="U74" s="334"/>
      <c r="V74" s="334"/>
      <c r="W74" s="334"/>
      <c r="X74"/>
    </row>
    <row r="75" spans="1:34" ht="15" x14ac:dyDescent="0.25">
      <c r="A75" s="433" t="s">
        <v>146</v>
      </c>
      <c r="B75" s="433" t="s">
        <v>147</v>
      </c>
      <c r="C75" s="433">
        <v>90095</v>
      </c>
      <c r="D75" s="433" t="s">
        <v>242</v>
      </c>
      <c r="E75" s="436" t="s">
        <v>103</v>
      </c>
      <c r="F75" s="435">
        <v>32822</v>
      </c>
      <c r="G75" s="435">
        <v>0</v>
      </c>
      <c r="H75" s="435">
        <v>0</v>
      </c>
      <c r="I75" s="435">
        <v>32822</v>
      </c>
      <c r="J75" s="435">
        <v>0</v>
      </c>
      <c r="K75" s="435">
        <v>0</v>
      </c>
      <c r="L75" s="435">
        <v>0</v>
      </c>
      <c r="M75" s="435">
        <v>0</v>
      </c>
      <c r="N75" s="435">
        <v>0</v>
      </c>
      <c r="O75" s="435">
        <v>0</v>
      </c>
      <c r="P75" s="435">
        <v>0</v>
      </c>
      <c r="Q75" s="435">
        <v>0</v>
      </c>
      <c r="R75"/>
      <c r="S75"/>
      <c r="T75" s="334"/>
      <c r="U75" s="334"/>
      <c r="V75" s="334"/>
      <c r="W75" s="334"/>
      <c r="X75"/>
    </row>
    <row r="76" spans="1:34" ht="15" x14ac:dyDescent="0.25">
      <c r="A76" s="433" t="s">
        <v>146</v>
      </c>
      <c r="B76" s="433" t="s">
        <v>147</v>
      </c>
      <c r="C76" s="433">
        <v>90095</v>
      </c>
      <c r="D76" s="433" t="s">
        <v>242</v>
      </c>
      <c r="E76" s="436" t="s">
        <v>104</v>
      </c>
      <c r="F76" s="435">
        <v>561478</v>
      </c>
      <c r="G76" s="435">
        <v>402100</v>
      </c>
      <c r="H76" s="435">
        <v>159378</v>
      </c>
      <c r="I76" s="435">
        <v>0</v>
      </c>
      <c r="J76" s="435">
        <v>0</v>
      </c>
      <c r="K76" s="435">
        <v>0</v>
      </c>
      <c r="L76" s="435">
        <v>0</v>
      </c>
      <c r="M76" s="435">
        <v>0</v>
      </c>
      <c r="N76" s="435">
        <v>0</v>
      </c>
      <c r="O76" s="435">
        <v>0</v>
      </c>
      <c r="P76" s="435">
        <v>0</v>
      </c>
      <c r="Q76" s="435">
        <v>0</v>
      </c>
      <c r="R76"/>
      <c r="S76"/>
      <c r="T76" s="334"/>
      <c r="U76" s="334"/>
      <c r="V76" s="334"/>
      <c r="W76" s="334"/>
      <c r="X76"/>
    </row>
    <row r="77" spans="1:34" ht="15" x14ac:dyDescent="0.25">
      <c r="A77" s="433" t="s">
        <v>148</v>
      </c>
      <c r="B77" s="433" t="s">
        <v>149</v>
      </c>
      <c r="C77" s="433">
        <v>90001</v>
      </c>
      <c r="D77" s="433" t="s">
        <v>242</v>
      </c>
      <c r="E77" s="436" t="s">
        <v>102</v>
      </c>
      <c r="F77" s="435">
        <v>1100000</v>
      </c>
      <c r="G77" s="435">
        <v>0</v>
      </c>
      <c r="H77" s="435">
        <v>15626</v>
      </c>
      <c r="I77" s="435">
        <v>1007424</v>
      </c>
      <c r="J77" s="435">
        <v>76950</v>
      </c>
      <c r="K77" s="435">
        <v>0</v>
      </c>
      <c r="L77" s="435">
        <v>0</v>
      </c>
      <c r="M77" s="435">
        <v>0</v>
      </c>
      <c r="N77" s="435">
        <v>0</v>
      </c>
      <c r="O77" s="435">
        <v>0</v>
      </c>
      <c r="P77" s="435">
        <v>0</v>
      </c>
      <c r="Q77" s="435">
        <v>0</v>
      </c>
      <c r="R77"/>
      <c r="S77"/>
      <c r="T77" s="334"/>
      <c r="U77" s="334"/>
      <c r="V77" s="334"/>
      <c r="W77" s="334"/>
      <c r="X77"/>
    </row>
    <row r="78" spans="1:34" ht="15" x14ac:dyDescent="0.25">
      <c r="A78" s="433" t="s">
        <v>148</v>
      </c>
      <c r="B78" s="433" t="s">
        <v>149</v>
      </c>
      <c r="C78" s="433">
        <v>90001</v>
      </c>
      <c r="D78" s="433" t="s">
        <v>242</v>
      </c>
      <c r="E78" s="436" t="s">
        <v>103</v>
      </c>
      <c r="F78" s="435">
        <v>1084374</v>
      </c>
      <c r="G78" s="435">
        <v>0</v>
      </c>
      <c r="H78" s="435">
        <v>0</v>
      </c>
      <c r="I78" s="435">
        <v>1007424</v>
      </c>
      <c r="J78" s="435">
        <v>76950</v>
      </c>
      <c r="K78" s="435">
        <v>0</v>
      </c>
      <c r="L78" s="435">
        <v>0</v>
      </c>
      <c r="M78" s="435">
        <v>0</v>
      </c>
      <c r="N78" s="435">
        <v>0</v>
      </c>
      <c r="O78" s="435">
        <v>0</v>
      </c>
      <c r="P78" s="435">
        <v>0</v>
      </c>
      <c r="Q78" s="435">
        <v>0</v>
      </c>
      <c r="R78"/>
      <c r="S78"/>
      <c r="T78" s="334"/>
      <c r="U78" s="334"/>
      <c r="V78" s="334"/>
      <c r="W78" s="334"/>
      <c r="X78"/>
    </row>
    <row r="79" spans="1:34" ht="15" x14ac:dyDescent="0.25">
      <c r="A79" s="433" t="s">
        <v>148</v>
      </c>
      <c r="B79" s="433" t="s">
        <v>149</v>
      </c>
      <c r="C79" s="433">
        <v>90001</v>
      </c>
      <c r="D79" s="433" t="s">
        <v>242</v>
      </c>
      <c r="E79" s="436" t="s">
        <v>104</v>
      </c>
      <c r="F79" s="435">
        <v>15626</v>
      </c>
      <c r="G79" s="435">
        <v>0</v>
      </c>
      <c r="H79" s="435">
        <v>15626</v>
      </c>
      <c r="I79" s="435">
        <v>0</v>
      </c>
      <c r="J79" s="435">
        <v>0</v>
      </c>
      <c r="K79" s="435">
        <v>0</v>
      </c>
      <c r="L79" s="435">
        <v>0</v>
      </c>
      <c r="M79" s="435">
        <v>0</v>
      </c>
      <c r="N79" s="435">
        <v>0</v>
      </c>
      <c r="O79" s="435">
        <v>0</v>
      </c>
      <c r="P79" s="435">
        <v>0</v>
      </c>
      <c r="Q79" s="435">
        <v>0</v>
      </c>
      <c r="R79"/>
      <c r="S79"/>
      <c r="T79" s="334"/>
      <c r="U79" s="334"/>
      <c r="V79" s="334"/>
      <c r="W79" s="334"/>
      <c r="X79"/>
    </row>
    <row r="80" spans="1:34" ht="15" x14ac:dyDescent="0.25">
      <c r="A80" s="433" t="s">
        <v>151</v>
      </c>
      <c r="B80" s="433" t="s">
        <v>152</v>
      </c>
      <c r="C80" s="433">
        <v>90095</v>
      </c>
      <c r="D80" s="433" t="s">
        <v>242</v>
      </c>
      <c r="E80" s="436" t="s">
        <v>102</v>
      </c>
      <c r="F80" s="435">
        <v>529999</v>
      </c>
      <c r="G80" s="435">
        <v>43050</v>
      </c>
      <c r="H80" s="435">
        <v>381809</v>
      </c>
      <c r="I80" s="435">
        <v>105140</v>
      </c>
      <c r="J80" s="435">
        <v>0</v>
      </c>
      <c r="K80" s="435">
        <v>0</v>
      </c>
      <c r="L80" s="435">
        <v>0</v>
      </c>
      <c r="M80" s="435">
        <v>0</v>
      </c>
      <c r="N80" s="435">
        <v>0</v>
      </c>
      <c r="O80" s="435">
        <v>0</v>
      </c>
      <c r="P80" s="435">
        <v>0</v>
      </c>
      <c r="Q80" s="435">
        <v>0</v>
      </c>
      <c r="R80"/>
      <c r="S80"/>
      <c r="T80" s="334"/>
      <c r="U80" s="334"/>
      <c r="V80" s="334"/>
      <c r="W80" s="334"/>
      <c r="X80"/>
    </row>
    <row r="81" spans="1:24" ht="15" x14ac:dyDescent="0.25">
      <c r="A81" s="433" t="s">
        <v>151</v>
      </c>
      <c r="B81" s="433" t="s">
        <v>152</v>
      </c>
      <c r="C81" s="433">
        <v>90095</v>
      </c>
      <c r="D81" s="433" t="s">
        <v>242</v>
      </c>
      <c r="E81" s="436" t="s">
        <v>103</v>
      </c>
      <c r="F81" s="435">
        <v>105140</v>
      </c>
      <c r="G81" s="435">
        <v>0</v>
      </c>
      <c r="H81" s="435">
        <v>0</v>
      </c>
      <c r="I81" s="435">
        <v>105140</v>
      </c>
      <c r="J81" s="435">
        <v>0</v>
      </c>
      <c r="K81" s="435">
        <v>0</v>
      </c>
      <c r="L81" s="435">
        <v>0</v>
      </c>
      <c r="M81" s="435">
        <v>0</v>
      </c>
      <c r="N81" s="435">
        <v>0</v>
      </c>
      <c r="O81" s="435">
        <v>0</v>
      </c>
      <c r="P81" s="435">
        <v>0</v>
      </c>
      <c r="Q81" s="435">
        <v>0</v>
      </c>
      <c r="R81"/>
      <c r="S81"/>
      <c r="T81" s="334"/>
      <c r="U81" s="334"/>
      <c r="V81" s="334"/>
      <c r="W81" s="334"/>
      <c r="X81"/>
    </row>
    <row r="82" spans="1:24" ht="15" x14ac:dyDescent="0.25">
      <c r="A82" s="433" t="s">
        <v>151</v>
      </c>
      <c r="B82" s="433" t="s">
        <v>152</v>
      </c>
      <c r="C82" s="433">
        <v>90095</v>
      </c>
      <c r="D82" s="433" t="s">
        <v>242</v>
      </c>
      <c r="E82" s="436" t="s">
        <v>104</v>
      </c>
      <c r="F82" s="435">
        <v>424859</v>
      </c>
      <c r="G82" s="435">
        <v>43050</v>
      </c>
      <c r="H82" s="435">
        <v>381809</v>
      </c>
      <c r="I82" s="435">
        <v>0</v>
      </c>
      <c r="J82" s="435">
        <v>0</v>
      </c>
      <c r="K82" s="435">
        <v>0</v>
      </c>
      <c r="L82" s="435">
        <v>0</v>
      </c>
      <c r="M82" s="435">
        <v>0</v>
      </c>
      <c r="N82" s="435">
        <v>0</v>
      </c>
      <c r="O82" s="435">
        <v>0</v>
      </c>
      <c r="P82" s="435">
        <v>0</v>
      </c>
      <c r="Q82" s="435">
        <v>0</v>
      </c>
      <c r="R82"/>
      <c r="S82"/>
      <c r="T82" s="334"/>
      <c r="U82" s="334"/>
      <c r="V82" s="334"/>
      <c r="W82" s="334"/>
      <c r="X82"/>
    </row>
    <row r="83" spans="1:24" ht="15" x14ac:dyDescent="0.25">
      <c r="A83" s="433" t="s">
        <v>154</v>
      </c>
      <c r="B83" s="433" t="s">
        <v>147</v>
      </c>
      <c r="C83" s="433">
        <v>90095</v>
      </c>
      <c r="D83" s="433" t="s">
        <v>242</v>
      </c>
      <c r="E83" s="436" t="s">
        <v>102</v>
      </c>
      <c r="F83" s="435">
        <v>259335</v>
      </c>
      <c r="G83" s="435">
        <v>0</v>
      </c>
      <c r="H83" s="435">
        <v>7800</v>
      </c>
      <c r="I83" s="435">
        <v>251535</v>
      </c>
      <c r="J83" s="435">
        <v>0</v>
      </c>
      <c r="K83" s="435">
        <v>0</v>
      </c>
      <c r="L83" s="435">
        <v>0</v>
      </c>
      <c r="M83" s="435">
        <v>0</v>
      </c>
      <c r="N83" s="435">
        <v>0</v>
      </c>
      <c r="O83" s="435">
        <v>0</v>
      </c>
      <c r="P83" s="435">
        <v>0</v>
      </c>
      <c r="Q83" s="435">
        <v>0</v>
      </c>
      <c r="R83"/>
      <c r="S83"/>
      <c r="T83" s="334"/>
      <c r="U83" s="334"/>
      <c r="V83" s="334"/>
      <c r="W83" s="334"/>
      <c r="X83"/>
    </row>
    <row r="84" spans="1:24" ht="15" x14ac:dyDescent="0.25">
      <c r="A84" s="433" t="s">
        <v>154</v>
      </c>
      <c r="B84" s="433" t="s">
        <v>147</v>
      </c>
      <c r="C84" s="433">
        <v>90095</v>
      </c>
      <c r="D84" s="433" t="s">
        <v>242</v>
      </c>
      <c r="E84" s="436" t="s">
        <v>103</v>
      </c>
      <c r="F84" s="435">
        <v>251535</v>
      </c>
      <c r="G84" s="435">
        <v>0</v>
      </c>
      <c r="H84" s="435">
        <v>0</v>
      </c>
      <c r="I84" s="435">
        <v>251535</v>
      </c>
      <c r="J84" s="435">
        <v>0</v>
      </c>
      <c r="K84" s="435">
        <v>0</v>
      </c>
      <c r="L84" s="435">
        <v>0</v>
      </c>
      <c r="M84" s="435">
        <v>0</v>
      </c>
      <c r="N84" s="435">
        <v>0</v>
      </c>
      <c r="O84" s="435">
        <v>0</v>
      </c>
      <c r="P84" s="435">
        <v>0</v>
      </c>
      <c r="Q84" s="435">
        <v>0</v>
      </c>
      <c r="R84"/>
      <c r="S84"/>
      <c r="T84" s="334"/>
      <c r="U84" s="334"/>
      <c r="V84" s="334"/>
      <c r="W84" s="334"/>
      <c r="X84"/>
    </row>
    <row r="85" spans="1:24" ht="15" x14ac:dyDescent="0.25">
      <c r="A85" s="433" t="s">
        <v>154</v>
      </c>
      <c r="B85" s="433" t="s">
        <v>147</v>
      </c>
      <c r="C85" s="433">
        <v>90095</v>
      </c>
      <c r="D85" s="433" t="s">
        <v>242</v>
      </c>
      <c r="E85" s="436" t="s">
        <v>104</v>
      </c>
      <c r="F85" s="435">
        <v>7800</v>
      </c>
      <c r="G85" s="435">
        <v>0</v>
      </c>
      <c r="H85" s="435">
        <v>7800</v>
      </c>
      <c r="I85" s="435">
        <v>0</v>
      </c>
      <c r="J85" s="435">
        <v>0</v>
      </c>
      <c r="K85" s="435">
        <v>0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/>
      <c r="S85"/>
      <c r="T85" s="334"/>
      <c r="U85" s="334"/>
      <c r="V85" s="334"/>
      <c r="W85" s="334"/>
      <c r="X85"/>
    </row>
    <row r="86" spans="1:24" ht="15" x14ac:dyDescent="0.25">
      <c r="A86" s="433" t="s">
        <v>155</v>
      </c>
      <c r="B86" s="433" t="s">
        <v>156</v>
      </c>
      <c r="C86" s="433">
        <v>50095</v>
      </c>
      <c r="D86" s="433" t="s">
        <v>242</v>
      </c>
      <c r="E86" s="436" t="s">
        <v>102</v>
      </c>
      <c r="F86" s="435">
        <v>3470001</v>
      </c>
      <c r="G86" s="435">
        <v>158747</v>
      </c>
      <c r="H86" s="435">
        <v>0</v>
      </c>
      <c r="I86" s="435">
        <v>911254</v>
      </c>
      <c r="J86" s="435">
        <v>2400000</v>
      </c>
      <c r="K86" s="435">
        <v>0</v>
      </c>
      <c r="L86" s="435">
        <v>0</v>
      </c>
      <c r="M86" s="435">
        <v>0</v>
      </c>
      <c r="N86" s="435">
        <v>0</v>
      </c>
      <c r="O86" s="435">
        <v>0</v>
      </c>
      <c r="P86" s="435">
        <v>0</v>
      </c>
      <c r="Q86" s="435">
        <v>0</v>
      </c>
      <c r="R86"/>
      <c r="S86"/>
      <c r="T86" s="334"/>
      <c r="U86" s="334"/>
      <c r="V86" s="334"/>
      <c r="W86" s="334"/>
      <c r="X86"/>
    </row>
    <row r="87" spans="1:24" ht="15" x14ac:dyDescent="0.25">
      <c r="A87" s="433" t="s">
        <v>155</v>
      </c>
      <c r="B87" s="433" t="s">
        <v>156</v>
      </c>
      <c r="C87" s="433">
        <v>50095</v>
      </c>
      <c r="D87" s="433" t="s">
        <v>242</v>
      </c>
      <c r="E87" s="436" t="s">
        <v>103</v>
      </c>
      <c r="F87" s="435">
        <v>3307487</v>
      </c>
      <c r="G87" s="435">
        <v>0</v>
      </c>
      <c r="H87" s="435">
        <v>0</v>
      </c>
      <c r="I87" s="435">
        <v>907487</v>
      </c>
      <c r="J87" s="435">
        <v>2400000</v>
      </c>
      <c r="K87" s="435">
        <v>0</v>
      </c>
      <c r="L87" s="435">
        <v>0</v>
      </c>
      <c r="M87" s="435">
        <v>0</v>
      </c>
      <c r="N87" s="435">
        <v>0</v>
      </c>
      <c r="O87" s="435">
        <v>0</v>
      </c>
      <c r="P87" s="435">
        <v>0</v>
      </c>
      <c r="Q87" s="435">
        <v>0</v>
      </c>
      <c r="R87"/>
      <c r="S87"/>
      <c r="T87" s="334"/>
      <c r="U87" s="334"/>
      <c r="V87" s="334"/>
      <c r="W87" s="334"/>
      <c r="X87"/>
    </row>
    <row r="88" spans="1:24" ht="15" x14ac:dyDescent="0.25">
      <c r="A88" s="433" t="s">
        <v>155</v>
      </c>
      <c r="B88" s="433" t="s">
        <v>156</v>
      </c>
      <c r="C88" s="433">
        <v>50095</v>
      </c>
      <c r="D88" s="433" t="s">
        <v>242</v>
      </c>
      <c r="E88" s="436" t="s">
        <v>104</v>
      </c>
      <c r="F88" s="435">
        <v>162514</v>
      </c>
      <c r="G88" s="435">
        <v>158747</v>
      </c>
      <c r="H88" s="435">
        <v>0</v>
      </c>
      <c r="I88" s="435">
        <v>3767</v>
      </c>
      <c r="J88" s="435">
        <v>0</v>
      </c>
      <c r="K88" s="435">
        <v>0</v>
      </c>
      <c r="L88" s="435">
        <v>0</v>
      </c>
      <c r="M88" s="435">
        <v>0</v>
      </c>
      <c r="N88" s="435">
        <v>0</v>
      </c>
      <c r="O88" s="435">
        <v>0</v>
      </c>
      <c r="P88" s="435">
        <v>0</v>
      </c>
      <c r="Q88" s="435">
        <v>0</v>
      </c>
      <c r="R88"/>
      <c r="S88"/>
      <c r="T88" s="334"/>
      <c r="U88" s="334"/>
      <c r="V88" s="334"/>
      <c r="W88" s="334"/>
      <c r="X88"/>
    </row>
    <row r="89" spans="1:24" ht="15" x14ac:dyDescent="0.25">
      <c r="A89" s="433" t="s">
        <v>410</v>
      </c>
      <c r="B89" s="433" t="s">
        <v>147</v>
      </c>
      <c r="C89" s="433">
        <v>90095</v>
      </c>
      <c r="D89" s="433" t="s">
        <v>242</v>
      </c>
      <c r="E89" s="436" t="s">
        <v>102</v>
      </c>
      <c r="F89" s="435">
        <v>450250</v>
      </c>
      <c r="G89" s="435">
        <v>0</v>
      </c>
      <c r="H89" s="435">
        <v>92760</v>
      </c>
      <c r="I89" s="435">
        <v>357490</v>
      </c>
      <c r="J89" s="435">
        <v>0</v>
      </c>
      <c r="K89" s="435">
        <v>0</v>
      </c>
      <c r="L89" s="435">
        <v>0</v>
      </c>
      <c r="M89" s="435">
        <v>0</v>
      </c>
      <c r="N89" s="435">
        <v>0</v>
      </c>
      <c r="O89" s="435">
        <v>0</v>
      </c>
      <c r="P89" s="435">
        <v>0</v>
      </c>
      <c r="Q89" s="435">
        <v>0</v>
      </c>
      <c r="R89"/>
      <c r="S89"/>
      <c r="T89" s="334"/>
      <c r="U89" s="334"/>
      <c r="V89" s="334"/>
      <c r="W89" s="334"/>
      <c r="X89"/>
    </row>
    <row r="90" spans="1:24" ht="15" x14ac:dyDescent="0.25">
      <c r="A90" s="433" t="s">
        <v>410</v>
      </c>
      <c r="B90" s="433" t="s">
        <v>147</v>
      </c>
      <c r="C90" s="433">
        <v>90095</v>
      </c>
      <c r="D90" s="433" t="s">
        <v>242</v>
      </c>
      <c r="E90" s="436" t="s">
        <v>103</v>
      </c>
      <c r="F90" s="435">
        <v>357490</v>
      </c>
      <c r="G90" s="435">
        <v>0</v>
      </c>
      <c r="H90" s="435">
        <v>0</v>
      </c>
      <c r="I90" s="435">
        <v>357490</v>
      </c>
      <c r="J90" s="435">
        <v>0</v>
      </c>
      <c r="K90" s="435">
        <v>0</v>
      </c>
      <c r="L90" s="435">
        <v>0</v>
      </c>
      <c r="M90" s="435">
        <v>0</v>
      </c>
      <c r="N90" s="435">
        <v>0</v>
      </c>
      <c r="O90" s="435">
        <v>0</v>
      </c>
      <c r="P90" s="435">
        <v>0</v>
      </c>
      <c r="Q90" s="435">
        <v>0</v>
      </c>
      <c r="R90"/>
      <c r="S90"/>
      <c r="T90" s="334"/>
      <c r="U90" s="334"/>
      <c r="V90" s="334"/>
      <c r="W90" s="334"/>
      <c r="X90"/>
    </row>
    <row r="91" spans="1:24" ht="15" x14ac:dyDescent="0.25">
      <c r="A91" s="433" t="s">
        <v>410</v>
      </c>
      <c r="B91" s="433" t="s">
        <v>147</v>
      </c>
      <c r="C91" s="433">
        <v>90095</v>
      </c>
      <c r="D91" s="433" t="s">
        <v>242</v>
      </c>
      <c r="E91" s="436" t="s">
        <v>104</v>
      </c>
      <c r="F91" s="435">
        <v>92760</v>
      </c>
      <c r="G91" s="435">
        <v>0</v>
      </c>
      <c r="H91" s="435">
        <v>92760</v>
      </c>
      <c r="I91" s="435">
        <v>0</v>
      </c>
      <c r="J91" s="435">
        <v>0</v>
      </c>
      <c r="K91" s="435">
        <v>0</v>
      </c>
      <c r="L91" s="435">
        <v>0</v>
      </c>
      <c r="M91" s="435">
        <v>0</v>
      </c>
      <c r="N91" s="435">
        <v>0</v>
      </c>
      <c r="O91" s="435">
        <v>0</v>
      </c>
      <c r="P91" s="435">
        <v>0</v>
      </c>
      <c r="Q91" s="435">
        <v>0</v>
      </c>
      <c r="R91"/>
      <c r="S91"/>
      <c r="T91" s="334"/>
      <c r="U91" s="334"/>
      <c r="V91" s="334"/>
      <c r="W91" s="334"/>
      <c r="X91"/>
    </row>
    <row r="92" spans="1:24" ht="15" x14ac:dyDescent="0.25">
      <c r="A92" s="433" t="s">
        <v>416</v>
      </c>
      <c r="B92" s="433" t="s">
        <v>413</v>
      </c>
      <c r="C92" s="433">
        <v>90095</v>
      </c>
      <c r="D92" s="433" t="s">
        <v>242</v>
      </c>
      <c r="E92" s="436" t="s">
        <v>102</v>
      </c>
      <c r="F92" s="435">
        <v>6781300</v>
      </c>
      <c r="G92" s="435">
        <v>0</v>
      </c>
      <c r="H92" s="435">
        <v>0</v>
      </c>
      <c r="I92" s="435">
        <v>360000</v>
      </c>
      <c r="J92" s="435">
        <v>1910000</v>
      </c>
      <c r="K92" s="435">
        <v>4511300</v>
      </c>
      <c r="L92" s="435">
        <v>0</v>
      </c>
      <c r="M92" s="435">
        <v>0</v>
      </c>
      <c r="N92" s="435">
        <v>0</v>
      </c>
      <c r="O92" s="435">
        <v>0</v>
      </c>
      <c r="P92" s="435">
        <v>0</v>
      </c>
      <c r="Q92" s="435">
        <v>0</v>
      </c>
      <c r="R92"/>
      <c r="S92"/>
      <c r="T92" s="334"/>
      <c r="U92" s="334"/>
      <c r="V92" s="334"/>
      <c r="W92" s="334"/>
      <c r="X92"/>
    </row>
    <row r="93" spans="1:24" ht="15" x14ac:dyDescent="0.25">
      <c r="A93" s="433" t="s">
        <v>416</v>
      </c>
      <c r="B93" s="433" t="s">
        <v>413</v>
      </c>
      <c r="C93" s="433">
        <v>90095</v>
      </c>
      <c r="D93" s="433" t="s">
        <v>242</v>
      </c>
      <c r="E93" s="436" t="s">
        <v>103</v>
      </c>
      <c r="F93" s="435">
        <v>6781300</v>
      </c>
      <c r="G93" s="435">
        <v>0</v>
      </c>
      <c r="H93" s="435">
        <v>0</v>
      </c>
      <c r="I93" s="435">
        <v>360000</v>
      </c>
      <c r="J93" s="435">
        <v>1910000</v>
      </c>
      <c r="K93" s="435">
        <v>4511300</v>
      </c>
      <c r="L93" s="435">
        <v>0</v>
      </c>
      <c r="M93" s="435">
        <v>0</v>
      </c>
      <c r="N93" s="435">
        <v>0</v>
      </c>
      <c r="O93" s="435">
        <v>0</v>
      </c>
      <c r="P93" s="435">
        <v>0</v>
      </c>
      <c r="Q93" s="435">
        <v>0</v>
      </c>
      <c r="R93"/>
      <c r="S93"/>
      <c r="T93" s="334"/>
      <c r="U93" s="334"/>
      <c r="V93" s="334"/>
      <c r="W93" s="334"/>
      <c r="X93"/>
    </row>
    <row r="94" spans="1:24" ht="15" x14ac:dyDescent="0.25">
      <c r="A94" s="433" t="s">
        <v>416</v>
      </c>
      <c r="B94" s="433" t="s">
        <v>413</v>
      </c>
      <c r="C94" s="433">
        <v>90095</v>
      </c>
      <c r="D94" s="433" t="s">
        <v>242</v>
      </c>
      <c r="E94" s="436" t="s">
        <v>104</v>
      </c>
      <c r="F94" s="435">
        <v>0</v>
      </c>
      <c r="G94" s="435">
        <v>0</v>
      </c>
      <c r="H94" s="435">
        <v>0</v>
      </c>
      <c r="I94" s="435">
        <v>0</v>
      </c>
      <c r="J94" s="435">
        <v>0</v>
      </c>
      <c r="K94" s="435">
        <v>0</v>
      </c>
      <c r="L94" s="435">
        <v>0</v>
      </c>
      <c r="M94" s="435">
        <v>0</v>
      </c>
      <c r="N94" s="435">
        <v>0</v>
      </c>
      <c r="O94" s="435">
        <v>0</v>
      </c>
      <c r="P94" s="435">
        <v>0</v>
      </c>
      <c r="Q94" s="435">
        <v>0</v>
      </c>
      <c r="R94"/>
      <c r="S94"/>
      <c r="T94" s="334"/>
      <c r="U94" s="334"/>
      <c r="V94" s="334"/>
      <c r="W94" s="334"/>
      <c r="X94"/>
    </row>
    <row r="95" spans="1:24" ht="15" x14ac:dyDescent="0.25">
      <c r="A95" s="433" t="s">
        <v>157</v>
      </c>
      <c r="B95" s="433" t="s">
        <v>158</v>
      </c>
      <c r="C95" s="433">
        <v>75495</v>
      </c>
      <c r="D95" s="433" t="s">
        <v>242</v>
      </c>
      <c r="E95" s="436" t="s">
        <v>102</v>
      </c>
      <c r="F95" s="435">
        <v>570000</v>
      </c>
      <c r="G95" s="435">
        <v>0</v>
      </c>
      <c r="H95" s="435">
        <v>179115</v>
      </c>
      <c r="I95" s="435">
        <v>270885</v>
      </c>
      <c r="J95" s="435">
        <v>60000</v>
      </c>
      <c r="K95" s="435">
        <v>60000</v>
      </c>
      <c r="L95" s="435">
        <v>0</v>
      </c>
      <c r="M95" s="435">
        <v>0</v>
      </c>
      <c r="N95" s="435">
        <v>0</v>
      </c>
      <c r="O95" s="435">
        <v>0</v>
      </c>
      <c r="P95" s="435">
        <v>0</v>
      </c>
      <c r="Q95" s="435">
        <v>0</v>
      </c>
      <c r="R95"/>
      <c r="S95"/>
      <c r="T95" s="334"/>
      <c r="U95" s="334"/>
      <c r="V95" s="334"/>
      <c r="W95" s="334"/>
      <c r="X95"/>
    </row>
    <row r="96" spans="1:24" ht="15" x14ac:dyDescent="0.25">
      <c r="A96" s="433" t="s">
        <v>157</v>
      </c>
      <c r="B96" s="433" t="s">
        <v>158</v>
      </c>
      <c r="C96" s="433">
        <v>75495</v>
      </c>
      <c r="D96" s="433" t="s">
        <v>242</v>
      </c>
      <c r="E96" s="436" t="s">
        <v>103</v>
      </c>
      <c r="F96" s="435">
        <v>390885</v>
      </c>
      <c r="G96" s="435">
        <v>0</v>
      </c>
      <c r="H96" s="435">
        <v>0</v>
      </c>
      <c r="I96" s="435">
        <v>270885</v>
      </c>
      <c r="J96" s="435">
        <v>60000</v>
      </c>
      <c r="K96" s="435">
        <v>60000</v>
      </c>
      <c r="L96" s="435">
        <v>0</v>
      </c>
      <c r="M96" s="435">
        <v>0</v>
      </c>
      <c r="N96" s="435">
        <v>0</v>
      </c>
      <c r="O96" s="435">
        <v>0</v>
      </c>
      <c r="P96" s="435">
        <v>0</v>
      </c>
      <c r="Q96" s="435">
        <v>0</v>
      </c>
      <c r="R96"/>
      <c r="S96"/>
      <c r="T96" s="334"/>
      <c r="U96" s="334"/>
      <c r="V96" s="334"/>
      <c r="W96" s="334"/>
      <c r="X96"/>
    </row>
    <row r="97" spans="1:24" ht="15" x14ac:dyDescent="0.25">
      <c r="A97" s="433" t="s">
        <v>157</v>
      </c>
      <c r="B97" s="433" t="s">
        <v>158</v>
      </c>
      <c r="C97" s="433">
        <v>75495</v>
      </c>
      <c r="D97" s="433" t="s">
        <v>242</v>
      </c>
      <c r="E97" s="436" t="s">
        <v>104</v>
      </c>
      <c r="F97" s="435">
        <v>179115</v>
      </c>
      <c r="G97" s="435">
        <v>0</v>
      </c>
      <c r="H97" s="435">
        <v>179115</v>
      </c>
      <c r="I97" s="435">
        <v>0</v>
      </c>
      <c r="J97" s="435">
        <v>0</v>
      </c>
      <c r="K97" s="435">
        <v>0</v>
      </c>
      <c r="L97" s="435">
        <v>0</v>
      </c>
      <c r="M97" s="435">
        <v>0</v>
      </c>
      <c r="N97" s="435">
        <v>0</v>
      </c>
      <c r="O97" s="435">
        <v>0</v>
      </c>
      <c r="P97" s="435">
        <v>0</v>
      </c>
      <c r="Q97" s="435">
        <v>0</v>
      </c>
      <c r="R97"/>
      <c r="S97"/>
      <c r="T97" s="334"/>
      <c r="U97" s="334"/>
      <c r="V97" s="334"/>
      <c r="W97" s="334"/>
      <c r="X97"/>
    </row>
    <row r="98" spans="1:24" ht="15" x14ac:dyDescent="0.25">
      <c r="A98" s="433" t="s">
        <v>421</v>
      </c>
      <c r="B98" s="433" t="s">
        <v>414</v>
      </c>
      <c r="C98" s="433">
        <v>80195</v>
      </c>
      <c r="D98" s="433" t="s">
        <v>242</v>
      </c>
      <c r="E98" s="436" t="s">
        <v>102</v>
      </c>
      <c r="F98" s="435">
        <v>10100000</v>
      </c>
      <c r="G98" s="435">
        <v>0</v>
      </c>
      <c r="H98" s="435">
        <v>0</v>
      </c>
      <c r="I98" s="435">
        <v>100000</v>
      </c>
      <c r="J98" s="435">
        <v>5000000</v>
      </c>
      <c r="K98" s="435">
        <v>5000000</v>
      </c>
      <c r="L98" s="435">
        <v>0</v>
      </c>
      <c r="M98" s="435">
        <v>0</v>
      </c>
      <c r="N98" s="435">
        <v>0</v>
      </c>
      <c r="O98" s="435">
        <v>0</v>
      </c>
      <c r="P98" s="435">
        <v>0</v>
      </c>
      <c r="Q98" s="435">
        <v>0</v>
      </c>
      <c r="R98"/>
      <c r="S98"/>
      <c r="T98" s="334"/>
      <c r="U98" s="334"/>
      <c r="V98" s="334"/>
      <c r="W98" s="334"/>
      <c r="X98"/>
    </row>
    <row r="99" spans="1:24" ht="15" x14ac:dyDescent="0.25">
      <c r="A99" s="433" t="s">
        <v>421</v>
      </c>
      <c r="B99" s="433" t="s">
        <v>414</v>
      </c>
      <c r="C99" s="433">
        <v>80195</v>
      </c>
      <c r="D99" s="433" t="s">
        <v>242</v>
      </c>
      <c r="E99" s="436" t="s">
        <v>103</v>
      </c>
      <c r="F99" s="435">
        <v>10100000</v>
      </c>
      <c r="G99" s="435">
        <v>0</v>
      </c>
      <c r="H99" s="435">
        <v>0</v>
      </c>
      <c r="I99" s="435">
        <v>100000</v>
      </c>
      <c r="J99" s="435">
        <v>5000000</v>
      </c>
      <c r="K99" s="435">
        <v>5000000</v>
      </c>
      <c r="L99" s="435">
        <v>0</v>
      </c>
      <c r="M99" s="435">
        <v>0</v>
      </c>
      <c r="N99" s="435">
        <v>0</v>
      </c>
      <c r="O99" s="435">
        <v>0</v>
      </c>
      <c r="P99" s="435">
        <v>0</v>
      </c>
      <c r="Q99" s="435">
        <v>0</v>
      </c>
      <c r="R99"/>
      <c r="S99"/>
      <c r="T99" s="334"/>
      <c r="U99" s="334"/>
      <c r="V99" s="334"/>
      <c r="W99" s="334"/>
      <c r="X99"/>
    </row>
    <row r="100" spans="1:24" ht="15" x14ac:dyDescent="0.25">
      <c r="A100" s="433" t="s">
        <v>421</v>
      </c>
      <c r="B100" s="433" t="s">
        <v>414</v>
      </c>
      <c r="C100" s="433">
        <v>80195</v>
      </c>
      <c r="D100" s="433" t="s">
        <v>242</v>
      </c>
      <c r="E100" s="436" t="s">
        <v>104</v>
      </c>
      <c r="F100" s="435">
        <v>0</v>
      </c>
      <c r="G100" s="435">
        <v>0</v>
      </c>
      <c r="H100" s="435">
        <v>0</v>
      </c>
      <c r="I100" s="435">
        <v>0</v>
      </c>
      <c r="J100" s="435">
        <v>0</v>
      </c>
      <c r="K100" s="435">
        <v>0</v>
      </c>
      <c r="L100" s="435">
        <v>0</v>
      </c>
      <c r="M100" s="435">
        <v>0</v>
      </c>
      <c r="N100" s="435">
        <v>0</v>
      </c>
      <c r="O100" s="435">
        <v>0</v>
      </c>
      <c r="P100" s="435">
        <v>0</v>
      </c>
      <c r="Q100" s="435">
        <v>0</v>
      </c>
      <c r="R100"/>
      <c r="S100"/>
      <c r="T100" s="334"/>
      <c r="U100" s="334"/>
      <c r="V100" s="334"/>
      <c r="W100" s="334"/>
      <c r="X100"/>
    </row>
    <row r="101" spans="1:24" ht="15" x14ac:dyDescent="0.25">
      <c r="A101" s="433" t="s">
        <v>160</v>
      </c>
      <c r="B101" s="433" t="s">
        <v>161</v>
      </c>
      <c r="C101" s="433">
        <v>80104</v>
      </c>
      <c r="D101" s="433" t="s">
        <v>245</v>
      </c>
      <c r="E101" s="436" t="s">
        <v>102</v>
      </c>
      <c r="F101" s="435">
        <v>484044</v>
      </c>
      <c r="G101" s="435">
        <v>0</v>
      </c>
      <c r="H101" s="435">
        <v>154044</v>
      </c>
      <c r="I101" s="435">
        <v>330000</v>
      </c>
      <c r="J101" s="435">
        <v>0</v>
      </c>
      <c r="K101" s="435">
        <v>0</v>
      </c>
      <c r="L101" s="435">
        <v>0</v>
      </c>
      <c r="M101" s="435">
        <v>0</v>
      </c>
      <c r="N101" s="435">
        <v>0</v>
      </c>
      <c r="O101" s="435">
        <v>0</v>
      </c>
      <c r="P101" s="435">
        <v>0</v>
      </c>
      <c r="Q101" s="435">
        <v>0</v>
      </c>
      <c r="R101"/>
      <c r="S101"/>
      <c r="T101" s="334"/>
      <c r="U101" s="334"/>
      <c r="V101" s="334"/>
      <c r="W101" s="334"/>
      <c r="X101"/>
    </row>
    <row r="102" spans="1:24" ht="15" x14ac:dyDescent="0.25">
      <c r="A102" s="433" t="s">
        <v>160</v>
      </c>
      <c r="B102" s="433" t="s">
        <v>161</v>
      </c>
      <c r="C102" s="433">
        <v>80104</v>
      </c>
      <c r="D102" s="433" t="s">
        <v>245</v>
      </c>
      <c r="E102" s="436" t="s">
        <v>103</v>
      </c>
      <c r="F102" s="435">
        <v>330000</v>
      </c>
      <c r="G102" s="435">
        <v>0</v>
      </c>
      <c r="H102" s="435">
        <v>0</v>
      </c>
      <c r="I102" s="435">
        <v>330000</v>
      </c>
      <c r="J102" s="435">
        <v>0</v>
      </c>
      <c r="K102" s="435">
        <v>0</v>
      </c>
      <c r="L102" s="435">
        <v>0</v>
      </c>
      <c r="M102" s="435">
        <v>0</v>
      </c>
      <c r="N102" s="435">
        <v>0</v>
      </c>
      <c r="O102" s="435">
        <v>0</v>
      </c>
      <c r="P102" s="435">
        <v>0</v>
      </c>
      <c r="Q102" s="435">
        <v>0</v>
      </c>
      <c r="R102"/>
      <c r="S102"/>
      <c r="T102" s="334"/>
      <c r="U102" s="334"/>
      <c r="V102" s="334"/>
      <c r="W102" s="334"/>
      <c r="X102"/>
    </row>
    <row r="103" spans="1:24" ht="15" x14ac:dyDescent="0.25">
      <c r="A103" s="433" t="s">
        <v>160</v>
      </c>
      <c r="B103" s="433" t="s">
        <v>161</v>
      </c>
      <c r="C103" s="433">
        <v>80104</v>
      </c>
      <c r="D103" s="433" t="s">
        <v>245</v>
      </c>
      <c r="E103" s="436" t="s">
        <v>104</v>
      </c>
      <c r="F103" s="435">
        <v>154044</v>
      </c>
      <c r="G103" s="435">
        <v>0</v>
      </c>
      <c r="H103" s="435">
        <v>154044</v>
      </c>
      <c r="I103" s="435">
        <v>0</v>
      </c>
      <c r="J103" s="435">
        <v>0</v>
      </c>
      <c r="K103" s="435">
        <v>0</v>
      </c>
      <c r="L103" s="435">
        <v>0</v>
      </c>
      <c r="M103" s="435">
        <v>0</v>
      </c>
      <c r="N103" s="435">
        <v>0</v>
      </c>
      <c r="O103" s="435">
        <v>0</v>
      </c>
      <c r="P103" s="435">
        <v>0</v>
      </c>
      <c r="Q103" s="435">
        <v>0</v>
      </c>
      <c r="R103"/>
      <c r="S103"/>
      <c r="T103" s="334"/>
      <c r="U103" s="334"/>
      <c r="V103" s="334"/>
      <c r="W103" s="334"/>
      <c r="X103"/>
    </row>
    <row r="104" spans="1:24" ht="15" x14ac:dyDescent="0.25">
      <c r="A104" s="433" t="s">
        <v>163</v>
      </c>
      <c r="B104" s="433" t="s">
        <v>164</v>
      </c>
      <c r="C104" s="433">
        <v>80101</v>
      </c>
      <c r="D104" s="433" t="s">
        <v>242</v>
      </c>
      <c r="E104" s="436" t="s">
        <v>102</v>
      </c>
      <c r="F104" s="435">
        <v>15283331</v>
      </c>
      <c r="G104" s="435">
        <v>11316530</v>
      </c>
      <c r="H104" s="435">
        <v>2805801</v>
      </c>
      <c r="I104" s="435">
        <v>1161000</v>
      </c>
      <c r="J104" s="435">
        <v>0</v>
      </c>
      <c r="K104" s="435">
        <v>0</v>
      </c>
      <c r="L104" s="435">
        <v>0</v>
      </c>
      <c r="M104" s="435">
        <v>0</v>
      </c>
      <c r="N104" s="435">
        <v>0</v>
      </c>
      <c r="O104" s="435">
        <v>0</v>
      </c>
      <c r="P104" s="435">
        <v>0</v>
      </c>
      <c r="Q104" s="435">
        <v>0</v>
      </c>
      <c r="R104"/>
      <c r="S104"/>
      <c r="T104" s="334"/>
      <c r="U104" s="334"/>
      <c r="V104" s="334"/>
      <c r="W104" s="334"/>
      <c r="X104"/>
    </row>
    <row r="105" spans="1:24" ht="15" x14ac:dyDescent="0.25">
      <c r="A105" s="433" t="s">
        <v>163</v>
      </c>
      <c r="B105" s="433" t="s">
        <v>164</v>
      </c>
      <c r="C105" s="433">
        <v>80101</v>
      </c>
      <c r="D105" s="433" t="s">
        <v>242</v>
      </c>
      <c r="E105" s="436" t="s">
        <v>103</v>
      </c>
      <c r="F105" s="435">
        <v>1161000</v>
      </c>
      <c r="G105" s="435">
        <v>0</v>
      </c>
      <c r="H105" s="435">
        <v>0</v>
      </c>
      <c r="I105" s="435">
        <v>1161000</v>
      </c>
      <c r="J105" s="435">
        <v>0</v>
      </c>
      <c r="K105" s="435">
        <v>0</v>
      </c>
      <c r="L105" s="435">
        <v>0</v>
      </c>
      <c r="M105" s="435">
        <v>0</v>
      </c>
      <c r="N105" s="435">
        <v>0</v>
      </c>
      <c r="O105" s="435">
        <v>0</v>
      </c>
      <c r="P105" s="435">
        <v>0</v>
      </c>
      <c r="Q105" s="435">
        <v>0</v>
      </c>
      <c r="R105"/>
      <c r="S105"/>
      <c r="T105" s="334"/>
      <c r="U105" s="334"/>
      <c r="V105" s="334"/>
      <c r="W105" s="334"/>
      <c r="X105"/>
    </row>
    <row r="106" spans="1:24" ht="15" x14ac:dyDescent="0.25">
      <c r="A106" s="433" t="s">
        <v>163</v>
      </c>
      <c r="B106" s="433" t="s">
        <v>164</v>
      </c>
      <c r="C106" s="433">
        <v>80101</v>
      </c>
      <c r="D106" s="433" t="s">
        <v>242</v>
      </c>
      <c r="E106" s="436" t="s">
        <v>104</v>
      </c>
      <c r="F106" s="435">
        <v>14122331</v>
      </c>
      <c r="G106" s="435">
        <v>11316530</v>
      </c>
      <c r="H106" s="435">
        <v>2805801</v>
      </c>
      <c r="I106" s="435">
        <v>0</v>
      </c>
      <c r="J106" s="435">
        <v>0</v>
      </c>
      <c r="K106" s="435">
        <v>0</v>
      </c>
      <c r="L106" s="435">
        <v>0</v>
      </c>
      <c r="M106" s="435">
        <v>0</v>
      </c>
      <c r="N106" s="435">
        <v>0</v>
      </c>
      <c r="O106" s="435">
        <v>0</v>
      </c>
      <c r="P106" s="435">
        <v>0</v>
      </c>
      <c r="Q106" s="435">
        <v>0</v>
      </c>
      <c r="R106"/>
      <c r="S106"/>
      <c r="T106" s="334"/>
      <c r="U106" s="334"/>
      <c r="V106" s="334"/>
      <c r="W106" s="334"/>
      <c r="X106"/>
    </row>
    <row r="107" spans="1:24" ht="15" x14ac:dyDescent="0.25">
      <c r="A107" s="433" t="s">
        <v>165</v>
      </c>
      <c r="B107" s="433" t="s">
        <v>166</v>
      </c>
      <c r="C107" s="433">
        <v>80101</v>
      </c>
      <c r="D107" s="433" t="s">
        <v>242</v>
      </c>
      <c r="E107" s="436" t="s">
        <v>102</v>
      </c>
      <c r="F107" s="435">
        <v>5069001</v>
      </c>
      <c r="G107" s="435">
        <v>1539806</v>
      </c>
      <c r="H107" s="435">
        <v>1458499</v>
      </c>
      <c r="I107" s="435">
        <v>2070696</v>
      </c>
      <c r="J107" s="435">
        <v>0</v>
      </c>
      <c r="K107" s="435">
        <v>0</v>
      </c>
      <c r="L107" s="435">
        <v>0</v>
      </c>
      <c r="M107" s="435">
        <v>0</v>
      </c>
      <c r="N107" s="435">
        <v>0</v>
      </c>
      <c r="O107" s="435">
        <v>0</v>
      </c>
      <c r="P107" s="435">
        <v>0</v>
      </c>
      <c r="Q107" s="435">
        <v>0</v>
      </c>
      <c r="R107"/>
      <c r="S107"/>
      <c r="T107" s="334"/>
      <c r="U107" s="334"/>
      <c r="V107" s="334"/>
      <c r="W107" s="334"/>
      <c r="X107"/>
    </row>
    <row r="108" spans="1:24" ht="15" x14ac:dyDescent="0.25">
      <c r="A108" s="433" t="s">
        <v>165</v>
      </c>
      <c r="B108" s="433" t="s">
        <v>166</v>
      </c>
      <c r="C108" s="433">
        <v>80101</v>
      </c>
      <c r="D108" s="433" t="s">
        <v>242</v>
      </c>
      <c r="E108" s="436" t="s">
        <v>103</v>
      </c>
      <c r="F108" s="435">
        <v>2070696</v>
      </c>
      <c r="G108" s="435">
        <v>0</v>
      </c>
      <c r="H108" s="435">
        <v>0</v>
      </c>
      <c r="I108" s="435">
        <v>2070696</v>
      </c>
      <c r="J108" s="435">
        <v>0</v>
      </c>
      <c r="K108" s="435">
        <v>0</v>
      </c>
      <c r="L108" s="435">
        <v>0</v>
      </c>
      <c r="M108" s="435">
        <v>0</v>
      </c>
      <c r="N108" s="435">
        <v>0</v>
      </c>
      <c r="O108" s="435">
        <v>0</v>
      </c>
      <c r="P108" s="435">
        <v>0</v>
      </c>
      <c r="Q108" s="435">
        <v>0</v>
      </c>
      <c r="R108"/>
      <c r="S108"/>
      <c r="T108" s="334"/>
      <c r="U108" s="334"/>
      <c r="V108" s="334"/>
      <c r="W108" s="334"/>
      <c r="X108"/>
    </row>
    <row r="109" spans="1:24" ht="15" x14ac:dyDescent="0.25">
      <c r="A109" s="433" t="s">
        <v>165</v>
      </c>
      <c r="B109" s="433" t="s">
        <v>166</v>
      </c>
      <c r="C109" s="433">
        <v>80101</v>
      </c>
      <c r="D109" s="433" t="s">
        <v>242</v>
      </c>
      <c r="E109" s="436" t="s">
        <v>104</v>
      </c>
      <c r="F109" s="435">
        <v>2998305</v>
      </c>
      <c r="G109" s="435">
        <v>1539806</v>
      </c>
      <c r="H109" s="435">
        <v>1458499</v>
      </c>
      <c r="I109" s="435">
        <v>0</v>
      </c>
      <c r="J109" s="435">
        <v>0</v>
      </c>
      <c r="K109" s="435">
        <v>0</v>
      </c>
      <c r="L109" s="435">
        <v>0</v>
      </c>
      <c r="M109" s="435">
        <v>0</v>
      </c>
      <c r="N109" s="435">
        <v>0</v>
      </c>
      <c r="O109" s="435">
        <v>0</v>
      </c>
      <c r="P109" s="435">
        <v>0</v>
      </c>
      <c r="Q109" s="435">
        <v>0</v>
      </c>
      <c r="R109"/>
      <c r="S109"/>
      <c r="T109" s="334"/>
      <c r="U109" s="334"/>
      <c r="V109" s="334"/>
      <c r="W109" s="334"/>
      <c r="X109"/>
    </row>
    <row r="110" spans="1:24" ht="15" x14ac:dyDescent="0.25">
      <c r="A110" s="433" t="s">
        <v>167</v>
      </c>
      <c r="B110" s="433" t="s">
        <v>168</v>
      </c>
      <c r="C110" s="433">
        <v>80101</v>
      </c>
      <c r="D110" s="433" t="s">
        <v>242</v>
      </c>
      <c r="E110" s="436" t="s">
        <v>102</v>
      </c>
      <c r="F110" s="435">
        <v>15657458</v>
      </c>
      <c r="G110" s="435">
        <v>317217</v>
      </c>
      <c r="H110" s="435">
        <v>9156438</v>
      </c>
      <c r="I110" s="435">
        <v>5553782</v>
      </c>
      <c r="J110" s="435">
        <v>630021</v>
      </c>
      <c r="K110" s="435">
        <v>0</v>
      </c>
      <c r="L110" s="435">
        <v>0</v>
      </c>
      <c r="M110" s="435">
        <v>0</v>
      </c>
      <c r="N110" s="435">
        <v>0</v>
      </c>
      <c r="O110" s="435">
        <v>0</v>
      </c>
      <c r="P110" s="435">
        <v>0</v>
      </c>
      <c r="Q110" s="435">
        <v>0</v>
      </c>
      <c r="R110"/>
      <c r="S110"/>
      <c r="T110" s="334"/>
      <c r="U110" s="334"/>
      <c r="V110" s="334"/>
      <c r="W110" s="334"/>
      <c r="X110"/>
    </row>
    <row r="111" spans="1:24" ht="15" x14ac:dyDescent="0.25">
      <c r="A111" s="433" t="s">
        <v>167</v>
      </c>
      <c r="B111" s="433" t="s">
        <v>168</v>
      </c>
      <c r="C111" s="433">
        <v>80101</v>
      </c>
      <c r="D111" s="433" t="s">
        <v>242</v>
      </c>
      <c r="E111" s="436" t="s">
        <v>103</v>
      </c>
      <c r="F111" s="435">
        <v>6183803</v>
      </c>
      <c r="G111" s="435">
        <v>0</v>
      </c>
      <c r="H111" s="435">
        <v>0</v>
      </c>
      <c r="I111" s="435">
        <v>5553782</v>
      </c>
      <c r="J111" s="435">
        <v>630021</v>
      </c>
      <c r="K111" s="435">
        <v>0</v>
      </c>
      <c r="L111" s="435">
        <v>0</v>
      </c>
      <c r="M111" s="435">
        <v>0</v>
      </c>
      <c r="N111" s="435">
        <v>0</v>
      </c>
      <c r="O111" s="435">
        <v>0</v>
      </c>
      <c r="P111" s="435">
        <v>0</v>
      </c>
      <c r="Q111" s="435">
        <v>0</v>
      </c>
      <c r="R111"/>
      <c r="S111"/>
      <c r="T111" s="334"/>
      <c r="U111" s="334"/>
      <c r="V111" s="334"/>
      <c r="W111" s="334"/>
      <c r="X111"/>
    </row>
    <row r="112" spans="1:24" ht="15" x14ac:dyDescent="0.25">
      <c r="A112" s="433" t="s">
        <v>167</v>
      </c>
      <c r="B112" s="433" t="s">
        <v>168</v>
      </c>
      <c r="C112" s="433">
        <v>80101</v>
      </c>
      <c r="D112" s="433" t="s">
        <v>242</v>
      </c>
      <c r="E112" s="436" t="s">
        <v>104</v>
      </c>
      <c r="F112" s="435">
        <v>9473655</v>
      </c>
      <c r="G112" s="435">
        <v>317217</v>
      </c>
      <c r="H112" s="435">
        <v>9156438</v>
      </c>
      <c r="I112" s="435">
        <v>0</v>
      </c>
      <c r="J112" s="435">
        <v>0</v>
      </c>
      <c r="K112" s="435">
        <v>0</v>
      </c>
      <c r="L112" s="435">
        <v>0</v>
      </c>
      <c r="M112" s="435">
        <v>0</v>
      </c>
      <c r="N112" s="435">
        <v>0</v>
      </c>
      <c r="O112" s="435">
        <v>0</v>
      </c>
      <c r="P112" s="435">
        <v>0</v>
      </c>
      <c r="Q112" s="435">
        <v>0</v>
      </c>
      <c r="R112"/>
      <c r="S112"/>
      <c r="T112" s="334"/>
      <c r="U112" s="334"/>
      <c r="V112" s="334"/>
      <c r="W112" s="334"/>
      <c r="X112"/>
    </row>
    <row r="113" spans="1:24" ht="15" x14ac:dyDescent="0.25">
      <c r="A113" s="433" t="s">
        <v>169</v>
      </c>
      <c r="B113" s="433" t="s">
        <v>170</v>
      </c>
      <c r="C113" s="433">
        <v>80101</v>
      </c>
      <c r="D113" s="433" t="s">
        <v>242</v>
      </c>
      <c r="E113" s="436" t="s">
        <v>102</v>
      </c>
      <c r="F113" s="435">
        <v>4334103</v>
      </c>
      <c r="G113" s="435">
        <v>138971</v>
      </c>
      <c r="H113" s="435">
        <v>1395545</v>
      </c>
      <c r="I113" s="435">
        <v>2799587</v>
      </c>
      <c r="J113" s="435">
        <v>0</v>
      </c>
      <c r="K113" s="435">
        <v>0</v>
      </c>
      <c r="L113" s="435">
        <v>0</v>
      </c>
      <c r="M113" s="435">
        <v>0</v>
      </c>
      <c r="N113" s="435">
        <v>0</v>
      </c>
      <c r="O113" s="435">
        <v>0</v>
      </c>
      <c r="P113" s="435">
        <v>0</v>
      </c>
      <c r="Q113" s="435">
        <v>0</v>
      </c>
      <c r="R113"/>
      <c r="S113"/>
      <c r="T113" s="334"/>
      <c r="U113" s="334"/>
      <c r="V113" s="334"/>
      <c r="W113" s="334"/>
      <c r="X113"/>
    </row>
    <row r="114" spans="1:24" ht="15" x14ac:dyDescent="0.25">
      <c r="A114" s="433" t="s">
        <v>169</v>
      </c>
      <c r="B114" s="433" t="s">
        <v>170</v>
      </c>
      <c r="C114" s="433">
        <v>80101</v>
      </c>
      <c r="D114" s="433" t="s">
        <v>242</v>
      </c>
      <c r="E114" s="436" t="s">
        <v>103</v>
      </c>
      <c r="F114" s="435">
        <v>2677447</v>
      </c>
      <c r="G114" s="435">
        <v>0</v>
      </c>
      <c r="H114" s="435">
        <v>0</v>
      </c>
      <c r="I114" s="435">
        <v>2677447</v>
      </c>
      <c r="J114" s="435">
        <v>0</v>
      </c>
      <c r="K114" s="435">
        <v>0</v>
      </c>
      <c r="L114" s="435">
        <v>0</v>
      </c>
      <c r="M114" s="435">
        <v>0</v>
      </c>
      <c r="N114" s="435">
        <v>0</v>
      </c>
      <c r="O114" s="435">
        <v>0</v>
      </c>
      <c r="P114" s="435">
        <v>0</v>
      </c>
      <c r="Q114" s="435">
        <v>0</v>
      </c>
      <c r="R114"/>
      <c r="S114"/>
      <c r="T114" s="334"/>
      <c r="U114" s="334"/>
      <c r="V114" s="334"/>
      <c r="W114" s="334"/>
      <c r="X114"/>
    </row>
    <row r="115" spans="1:24" ht="15" x14ac:dyDescent="0.25">
      <c r="A115" s="433" t="s">
        <v>169</v>
      </c>
      <c r="B115" s="433" t="s">
        <v>170</v>
      </c>
      <c r="C115" s="433">
        <v>80101</v>
      </c>
      <c r="D115" s="433" t="s">
        <v>242</v>
      </c>
      <c r="E115" s="436" t="s">
        <v>104</v>
      </c>
      <c r="F115" s="435">
        <v>1656656</v>
      </c>
      <c r="G115" s="435">
        <v>138971</v>
      </c>
      <c r="H115" s="435">
        <v>1395545</v>
      </c>
      <c r="I115" s="435">
        <v>122140</v>
      </c>
      <c r="J115" s="435">
        <v>0</v>
      </c>
      <c r="K115" s="435">
        <v>0</v>
      </c>
      <c r="L115" s="435">
        <v>0</v>
      </c>
      <c r="M115" s="435">
        <v>0</v>
      </c>
      <c r="N115" s="435">
        <v>0</v>
      </c>
      <c r="O115" s="435">
        <v>0</v>
      </c>
      <c r="P115" s="435">
        <v>0</v>
      </c>
      <c r="Q115" s="435">
        <v>0</v>
      </c>
      <c r="R115"/>
      <c r="S115"/>
      <c r="T115" s="334"/>
      <c r="U115" s="334"/>
      <c r="V115" s="334"/>
      <c r="W115" s="334"/>
      <c r="X115"/>
    </row>
    <row r="116" spans="1:24" ht="15" x14ac:dyDescent="0.25">
      <c r="A116" s="433" t="s">
        <v>171</v>
      </c>
      <c r="B116" s="433" t="s">
        <v>172</v>
      </c>
      <c r="C116" s="433">
        <v>80120</v>
      </c>
      <c r="D116" s="433" t="s">
        <v>242</v>
      </c>
      <c r="E116" s="436" t="s">
        <v>102</v>
      </c>
      <c r="F116" s="435">
        <v>7000000</v>
      </c>
      <c r="G116" s="435">
        <v>0</v>
      </c>
      <c r="H116" s="435">
        <v>337515</v>
      </c>
      <c r="I116" s="435">
        <v>5762485</v>
      </c>
      <c r="J116" s="435">
        <v>900000</v>
      </c>
      <c r="K116" s="435">
        <v>0</v>
      </c>
      <c r="L116" s="435">
        <v>0</v>
      </c>
      <c r="M116" s="435">
        <v>0</v>
      </c>
      <c r="N116" s="435">
        <v>0</v>
      </c>
      <c r="O116" s="435">
        <v>0</v>
      </c>
      <c r="P116" s="435">
        <v>0</v>
      </c>
      <c r="Q116" s="435">
        <v>0</v>
      </c>
      <c r="R116"/>
      <c r="S116"/>
      <c r="T116" s="334"/>
      <c r="U116" s="334"/>
      <c r="V116" s="334"/>
      <c r="W116" s="334"/>
      <c r="X116"/>
    </row>
    <row r="117" spans="1:24" ht="15" x14ac:dyDescent="0.25">
      <c r="A117" s="433" t="s">
        <v>171</v>
      </c>
      <c r="B117" s="433" t="s">
        <v>172</v>
      </c>
      <c r="C117" s="433">
        <v>80120</v>
      </c>
      <c r="D117" s="433" t="s">
        <v>242</v>
      </c>
      <c r="E117" s="436" t="s">
        <v>103</v>
      </c>
      <c r="F117" s="435">
        <v>6662485</v>
      </c>
      <c r="G117" s="435">
        <v>0</v>
      </c>
      <c r="H117" s="435">
        <v>0</v>
      </c>
      <c r="I117" s="435">
        <v>5762485</v>
      </c>
      <c r="J117" s="435">
        <v>900000</v>
      </c>
      <c r="K117" s="435">
        <v>0</v>
      </c>
      <c r="L117" s="435">
        <v>0</v>
      </c>
      <c r="M117" s="435">
        <v>0</v>
      </c>
      <c r="N117" s="435">
        <v>0</v>
      </c>
      <c r="O117" s="435">
        <v>0</v>
      </c>
      <c r="P117" s="435">
        <v>0</v>
      </c>
      <c r="Q117" s="435">
        <v>0</v>
      </c>
      <c r="R117"/>
      <c r="S117"/>
      <c r="T117" s="334"/>
      <c r="U117" s="334"/>
      <c r="V117" s="334"/>
      <c r="W117" s="334"/>
      <c r="X117"/>
    </row>
    <row r="118" spans="1:24" ht="15" x14ac:dyDescent="0.25">
      <c r="A118" s="433" t="s">
        <v>171</v>
      </c>
      <c r="B118" s="433" t="s">
        <v>172</v>
      </c>
      <c r="C118" s="433">
        <v>80120</v>
      </c>
      <c r="D118" s="433" t="s">
        <v>242</v>
      </c>
      <c r="E118" s="436" t="s">
        <v>104</v>
      </c>
      <c r="F118" s="435">
        <v>337515</v>
      </c>
      <c r="G118" s="435">
        <v>0</v>
      </c>
      <c r="H118" s="435">
        <v>337515</v>
      </c>
      <c r="I118" s="435">
        <v>0</v>
      </c>
      <c r="J118" s="435">
        <v>0</v>
      </c>
      <c r="K118" s="435">
        <v>0</v>
      </c>
      <c r="L118" s="435">
        <v>0</v>
      </c>
      <c r="M118" s="435">
        <v>0</v>
      </c>
      <c r="N118" s="435">
        <v>0</v>
      </c>
      <c r="O118" s="435">
        <v>0</v>
      </c>
      <c r="P118" s="435">
        <v>0</v>
      </c>
      <c r="Q118" s="435">
        <v>0</v>
      </c>
      <c r="R118"/>
      <c r="S118"/>
      <c r="T118" s="334"/>
      <c r="U118" s="334"/>
      <c r="V118" s="334"/>
      <c r="W118" s="334"/>
      <c r="X118"/>
    </row>
    <row r="119" spans="1:24" ht="15" x14ac:dyDescent="0.25">
      <c r="A119" s="433" t="s">
        <v>173</v>
      </c>
      <c r="B119" s="433" t="s">
        <v>174</v>
      </c>
      <c r="C119" s="433">
        <v>80101</v>
      </c>
      <c r="D119" s="433" t="s">
        <v>242</v>
      </c>
      <c r="E119" s="436" t="s">
        <v>102</v>
      </c>
      <c r="F119" s="435">
        <v>4431004</v>
      </c>
      <c r="G119" s="435">
        <v>0</v>
      </c>
      <c r="H119" s="435">
        <v>3907176</v>
      </c>
      <c r="I119" s="435">
        <v>523828</v>
      </c>
      <c r="J119" s="435">
        <v>0</v>
      </c>
      <c r="K119" s="435">
        <v>0</v>
      </c>
      <c r="L119" s="435">
        <v>0</v>
      </c>
      <c r="M119" s="435">
        <v>0</v>
      </c>
      <c r="N119" s="435">
        <v>0</v>
      </c>
      <c r="O119" s="435">
        <v>0</v>
      </c>
      <c r="P119" s="435">
        <v>0</v>
      </c>
      <c r="Q119" s="435">
        <v>0</v>
      </c>
      <c r="R119"/>
      <c r="S119"/>
      <c r="T119" s="334"/>
      <c r="U119" s="334"/>
      <c r="V119" s="334"/>
      <c r="W119" s="334"/>
      <c r="X119"/>
    </row>
    <row r="120" spans="1:24" ht="15" x14ac:dyDescent="0.25">
      <c r="A120" s="433" t="s">
        <v>173</v>
      </c>
      <c r="B120" s="433" t="s">
        <v>174</v>
      </c>
      <c r="C120" s="433">
        <v>80101</v>
      </c>
      <c r="D120" s="433" t="s">
        <v>242</v>
      </c>
      <c r="E120" s="436" t="s">
        <v>103</v>
      </c>
      <c r="F120" s="435">
        <v>523828</v>
      </c>
      <c r="G120" s="435">
        <v>0</v>
      </c>
      <c r="H120" s="435">
        <v>0</v>
      </c>
      <c r="I120" s="435">
        <v>523828</v>
      </c>
      <c r="J120" s="435">
        <v>0</v>
      </c>
      <c r="K120" s="435">
        <v>0</v>
      </c>
      <c r="L120" s="435">
        <v>0</v>
      </c>
      <c r="M120" s="435">
        <v>0</v>
      </c>
      <c r="N120" s="435">
        <v>0</v>
      </c>
      <c r="O120" s="435">
        <v>0</v>
      </c>
      <c r="P120" s="435">
        <v>0</v>
      </c>
      <c r="Q120" s="435">
        <v>0</v>
      </c>
      <c r="R120"/>
      <c r="S120"/>
      <c r="T120" s="334"/>
      <c r="U120" s="334"/>
      <c r="V120" s="334"/>
      <c r="W120" s="334"/>
      <c r="X120"/>
    </row>
    <row r="121" spans="1:24" ht="15" x14ac:dyDescent="0.25">
      <c r="A121" s="433" t="s">
        <v>173</v>
      </c>
      <c r="B121" s="433" t="s">
        <v>174</v>
      </c>
      <c r="C121" s="433">
        <v>80101</v>
      </c>
      <c r="D121" s="433" t="s">
        <v>242</v>
      </c>
      <c r="E121" s="436" t="s">
        <v>104</v>
      </c>
      <c r="F121" s="435">
        <v>3907176</v>
      </c>
      <c r="G121" s="435">
        <v>0</v>
      </c>
      <c r="H121" s="435">
        <v>3907176</v>
      </c>
      <c r="I121" s="435">
        <v>0</v>
      </c>
      <c r="J121" s="435">
        <v>0</v>
      </c>
      <c r="K121" s="435">
        <v>0</v>
      </c>
      <c r="L121" s="435">
        <v>0</v>
      </c>
      <c r="M121" s="435">
        <v>0</v>
      </c>
      <c r="N121" s="435">
        <v>0</v>
      </c>
      <c r="O121" s="435">
        <v>0</v>
      </c>
      <c r="P121" s="435">
        <v>0</v>
      </c>
      <c r="Q121" s="435">
        <v>0</v>
      </c>
      <c r="R121"/>
      <c r="S121"/>
      <c r="T121" s="334"/>
      <c r="U121" s="334"/>
      <c r="V121" s="334"/>
      <c r="W121" s="334"/>
      <c r="X121"/>
    </row>
    <row r="122" spans="1:24" ht="15" x14ac:dyDescent="0.25">
      <c r="A122" s="433" t="s">
        <v>173</v>
      </c>
      <c r="B122" s="433" t="s">
        <v>174</v>
      </c>
      <c r="C122" s="433">
        <v>80101</v>
      </c>
      <c r="D122" s="433" t="s">
        <v>247</v>
      </c>
      <c r="E122" s="436" t="s">
        <v>102</v>
      </c>
      <c r="F122" s="435">
        <v>1646341</v>
      </c>
      <c r="G122" s="435">
        <v>0</v>
      </c>
      <c r="H122" s="435">
        <v>1646341</v>
      </c>
      <c r="I122" s="435">
        <v>0</v>
      </c>
      <c r="J122" s="435">
        <v>0</v>
      </c>
      <c r="K122" s="435">
        <v>0</v>
      </c>
      <c r="L122" s="435">
        <v>0</v>
      </c>
      <c r="M122" s="435">
        <v>0</v>
      </c>
      <c r="N122" s="435">
        <v>0</v>
      </c>
      <c r="O122" s="435">
        <v>0</v>
      </c>
      <c r="P122" s="435">
        <v>0</v>
      </c>
      <c r="Q122" s="435">
        <v>0</v>
      </c>
      <c r="R122"/>
      <c r="S122"/>
      <c r="T122" s="334"/>
      <c r="U122" s="334"/>
      <c r="V122" s="334"/>
      <c r="W122" s="334"/>
      <c r="X122"/>
    </row>
    <row r="123" spans="1:24" ht="15" x14ac:dyDescent="0.25">
      <c r="A123" s="433" t="s">
        <v>173</v>
      </c>
      <c r="B123" s="433" t="s">
        <v>174</v>
      </c>
      <c r="C123" s="433">
        <v>80101</v>
      </c>
      <c r="D123" s="433" t="s">
        <v>247</v>
      </c>
      <c r="E123" s="436" t="s">
        <v>103</v>
      </c>
      <c r="F123" s="435">
        <v>0</v>
      </c>
      <c r="G123" s="435">
        <v>0</v>
      </c>
      <c r="H123" s="435">
        <v>0</v>
      </c>
      <c r="I123" s="435">
        <v>0</v>
      </c>
      <c r="J123" s="435">
        <v>0</v>
      </c>
      <c r="K123" s="435">
        <v>0</v>
      </c>
      <c r="L123" s="435">
        <v>0</v>
      </c>
      <c r="M123" s="435">
        <v>0</v>
      </c>
      <c r="N123" s="435">
        <v>0</v>
      </c>
      <c r="O123" s="435">
        <v>0</v>
      </c>
      <c r="P123" s="435">
        <v>0</v>
      </c>
      <c r="Q123" s="435">
        <v>0</v>
      </c>
      <c r="R123"/>
      <c r="S123"/>
      <c r="T123" s="334"/>
      <c r="U123" s="334"/>
      <c r="V123" s="334"/>
      <c r="W123" s="334"/>
      <c r="X123"/>
    </row>
    <row r="124" spans="1:24" ht="15" x14ac:dyDescent="0.25">
      <c r="A124" s="433" t="s">
        <v>173</v>
      </c>
      <c r="B124" s="433" t="s">
        <v>174</v>
      </c>
      <c r="C124" s="433">
        <v>80101</v>
      </c>
      <c r="D124" s="433" t="s">
        <v>247</v>
      </c>
      <c r="E124" s="436" t="s">
        <v>104</v>
      </c>
      <c r="F124" s="435">
        <v>1646341</v>
      </c>
      <c r="G124" s="435">
        <v>0</v>
      </c>
      <c r="H124" s="435">
        <v>1646341</v>
      </c>
      <c r="I124" s="435">
        <v>0</v>
      </c>
      <c r="J124" s="435">
        <v>0</v>
      </c>
      <c r="K124" s="435">
        <v>0</v>
      </c>
      <c r="L124" s="435">
        <v>0</v>
      </c>
      <c r="M124" s="435">
        <v>0</v>
      </c>
      <c r="N124" s="435">
        <v>0</v>
      </c>
      <c r="O124" s="435">
        <v>0</v>
      </c>
      <c r="P124" s="435">
        <v>0</v>
      </c>
      <c r="Q124" s="435">
        <v>0</v>
      </c>
      <c r="R124"/>
      <c r="S124"/>
      <c r="T124" s="334"/>
      <c r="U124" s="334"/>
      <c r="V124" s="334"/>
      <c r="W124" s="334"/>
      <c r="X124"/>
    </row>
    <row r="125" spans="1:24" ht="15" x14ac:dyDescent="0.25">
      <c r="A125" s="433" t="s">
        <v>173</v>
      </c>
      <c r="B125" s="433" t="s">
        <v>174</v>
      </c>
      <c r="C125" s="433">
        <v>80101</v>
      </c>
      <c r="D125" s="433" t="s">
        <v>248</v>
      </c>
      <c r="E125" s="436" t="s">
        <v>102</v>
      </c>
      <c r="F125" s="435">
        <v>2418699</v>
      </c>
      <c r="G125" s="435">
        <v>0</v>
      </c>
      <c r="H125" s="435">
        <v>2418699</v>
      </c>
      <c r="I125" s="435">
        <v>0</v>
      </c>
      <c r="J125" s="435">
        <v>0</v>
      </c>
      <c r="K125" s="435">
        <v>0</v>
      </c>
      <c r="L125" s="435">
        <v>0</v>
      </c>
      <c r="M125" s="435">
        <v>0</v>
      </c>
      <c r="N125" s="435">
        <v>0</v>
      </c>
      <c r="O125" s="435">
        <v>0</v>
      </c>
      <c r="P125" s="435">
        <v>0</v>
      </c>
      <c r="Q125" s="435">
        <v>0</v>
      </c>
      <c r="R125"/>
      <c r="S125"/>
      <c r="T125" s="334"/>
      <c r="U125" s="334"/>
      <c r="V125" s="334"/>
      <c r="W125" s="334"/>
      <c r="X125"/>
    </row>
    <row r="126" spans="1:24" ht="15" x14ac:dyDescent="0.25">
      <c r="A126" s="433" t="s">
        <v>173</v>
      </c>
      <c r="B126" s="433" t="s">
        <v>174</v>
      </c>
      <c r="C126" s="433">
        <v>80101</v>
      </c>
      <c r="D126" s="433" t="s">
        <v>248</v>
      </c>
      <c r="E126" s="436" t="s">
        <v>103</v>
      </c>
      <c r="F126" s="435">
        <v>0</v>
      </c>
      <c r="G126" s="435">
        <v>0</v>
      </c>
      <c r="H126" s="435">
        <v>0</v>
      </c>
      <c r="I126" s="435">
        <v>0</v>
      </c>
      <c r="J126" s="435">
        <v>0</v>
      </c>
      <c r="K126" s="435">
        <v>0</v>
      </c>
      <c r="L126" s="435">
        <v>0</v>
      </c>
      <c r="M126" s="435">
        <v>0</v>
      </c>
      <c r="N126" s="435">
        <v>0</v>
      </c>
      <c r="O126" s="435">
        <v>0</v>
      </c>
      <c r="P126" s="435">
        <v>0</v>
      </c>
      <c r="Q126" s="435">
        <v>0</v>
      </c>
      <c r="R126"/>
      <c r="S126"/>
      <c r="T126" s="334"/>
      <c r="U126" s="334"/>
      <c r="V126" s="334"/>
      <c r="W126" s="334"/>
      <c r="X126"/>
    </row>
    <row r="127" spans="1:24" ht="15" x14ac:dyDescent="0.25">
      <c r="A127" s="433" t="s">
        <v>173</v>
      </c>
      <c r="B127" s="433" t="s">
        <v>174</v>
      </c>
      <c r="C127" s="433">
        <v>80101</v>
      </c>
      <c r="D127" s="433" t="s">
        <v>248</v>
      </c>
      <c r="E127" s="436" t="s">
        <v>104</v>
      </c>
      <c r="F127" s="435">
        <v>2418699</v>
      </c>
      <c r="G127" s="435">
        <v>0</v>
      </c>
      <c r="H127" s="435">
        <v>2418699</v>
      </c>
      <c r="I127" s="435">
        <v>0</v>
      </c>
      <c r="J127" s="435">
        <v>0</v>
      </c>
      <c r="K127" s="435">
        <v>0</v>
      </c>
      <c r="L127" s="435">
        <v>0</v>
      </c>
      <c r="M127" s="435">
        <v>0</v>
      </c>
      <c r="N127" s="435">
        <v>0</v>
      </c>
      <c r="O127" s="435">
        <v>0</v>
      </c>
      <c r="P127" s="435">
        <v>0</v>
      </c>
      <c r="Q127" s="435">
        <v>0</v>
      </c>
      <c r="R127"/>
      <c r="S127"/>
      <c r="T127" s="334"/>
      <c r="U127" s="334"/>
      <c r="V127" s="334"/>
      <c r="W127" s="334"/>
      <c r="X127"/>
    </row>
    <row r="128" spans="1:24" ht="15" x14ac:dyDescent="0.25">
      <c r="A128" s="433" t="s">
        <v>178</v>
      </c>
      <c r="B128" s="433" t="s">
        <v>179</v>
      </c>
      <c r="C128" s="433">
        <v>80195</v>
      </c>
      <c r="D128" s="433" t="s">
        <v>242</v>
      </c>
      <c r="E128" s="436" t="s">
        <v>102</v>
      </c>
      <c r="F128" s="435">
        <v>3100000</v>
      </c>
      <c r="G128" s="435">
        <v>0</v>
      </c>
      <c r="H128" s="435">
        <v>0</v>
      </c>
      <c r="I128" s="435">
        <v>3100000</v>
      </c>
      <c r="J128" s="435">
        <v>0</v>
      </c>
      <c r="K128" s="435">
        <v>0</v>
      </c>
      <c r="L128" s="435">
        <v>0</v>
      </c>
      <c r="M128" s="435">
        <v>0</v>
      </c>
      <c r="N128" s="435">
        <v>0</v>
      </c>
      <c r="O128" s="435">
        <v>0</v>
      </c>
      <c r="P128" s="435">
        <v>0</v>
      </c>
      <c r="Q128" s="435">
        <v>0</v>
      </c>
      <c r="R128"/>
      <c r="S128"/>
      <c r="T128" s="334"/>
      <c r="U128" s="334"/>
      <c r="V128" s="334"/>
      <c r="W128" s="334"/>
      <c r="X128"/>
    </row>
    <row r="129" spans="1:24" ht="15" x14ac:dyDescent="0.25">
      <c r="A129" s="433" t="s">
        <v>178</v>
      </c>
      <c r="B129" s="433" t="s">
        <v>179</v>
      </c>
      <c r="C129" s="433">
        <v>80195</v>
      </c>
      <c r="D129" s="433" t="s">
        <v>242</v>
      </c>
      <c r="E129" s="436" t="s">
        <v>103</v>
      </c>
      <c r="F129" s="435">
        <v>3100000</v>
      </c>
      <c r="G129" s="435">
        <v>0</v>
      </c>
      <c r="H129" s="435">
        <v>0</v>
      </c>
      <c r="I129" s="435">
        <v>3100000</v>
      </c>
      <c r="J129" s="435">
        <v>0</v>
      </c>
      <c r="K129" s="435">
        <v>0</v>
      </c>
      <c r="L129" s="435">
        <v>0</v>
      </c>
      <c r="M129" s="435">
        <v>0</v>
      </c>
      <c r="N129" s="435">
        <v>0</v>
      </c>
      <c r="O129" s="435">
        <v>0</v>
      </c>
      <c r="P129" s="435">
        <v>0</v>
      </c>
      <c r="Q129" s="435">
        <v>0</v>
      </c>
      <c r="R129"/>
      <c r="S129"/>
      <c r="T129" s="334"/>
      <c r="U129" s="334"/>
      <c r="V129" s="334"/>
      <c r="W129" s="334"/>
      <c r="X129"/>
    </row>
    <row r="130" spans="1:24" ht="15" x14ac:dyDescent="0.25">
      <c r="A130" s="433" t="s">
        <v>178</v>
      </c>
      <c r="B130" s="433" t="s">
        <v>179</v>
      </c>
      <c r="C130" s="433">
        <v>80195</v>
      </c>
      <c r="D130" s="433" t="s">
        <v>242</v>
      </c>
      <c r="E130" s="436" t="s">
        <v>104</v>
      </c>
      <c r="F130" s="435">
        <v>0</v>
      </c>
      <c r="G130" s="435">
        <v>0</v>
      </c>
      <c r="H130" s="435">
        <v>0</v>
      </c>
      <c r="I130" s="435">
        <v>0</v>
      </c>
      <c r="J130" s="435">
        <v>0</v>
      </c>
      <c r="K130" s="435">
        <v>0</v>
      </c>
      <c r="L130" s="435">
        <v>0</v>
      </c>
      <c r="M130" s="435">
        <v>0</v>
      </c>
      <c r="N130" s="435">
        <v>0</v>
      </c>
      <c r="O130" s="435">
        <v>0</v>
      </c>
      <c r="P130" s="435">
        <v>0</v>
      </c>
      <c r="Q130" s="435">
        <v>0</v>
      </c>
      <c r="R130"/>
      <c r="S130"/>
      <c r="T130" s="334"/>
      <c r="U130" s="334"/>
      <c r="V130" s="334"/>
      <c r="W130" s="334"/>
      <c r="X130"/>
    </row>
    <row r="131" spans="1:24" ht="15" x14ac:dyDescent="0.25">
      <c r="A131" s="433" t="s">
        <v>180</v>
      </c>
      <c r="B131" s="433" t="s">
        <v>181</v>
      </c>
      <c r="C131" s="433">
        <v>80101</v>
      </c>
      <c r="D131" s="433" t="s">
        <v>242</v>
      </c>
      <c r="E131" s="436" t="s">
        <v>102</v>
      </c>
      <c r="F131" s="435">
        <v>3527197</v>
      </c>
      <c r="G131" s="435">
        <v>0</v>
      </c>
      <c r="H131" s="435">
        <v>0</v>
      </c>
      <c r="I131" s="435">
        <v>2264170</v>
      </c>
      <c r="J131" s="435">
        <v>1263027</v>
      </c>
      <c r="K131" s="435">
        <v>0</v>
      </c>
      <c r="L131" s="435">
        <v>0</v>
      </c>
      <c r="M131" s="435">
        <v>0</v>
      </c>
      <c r="N131" s="435">
        <v>0</v>
      </c>
      <c r="O131" s="435">
        <v>0</v>
      </c>
      <c r="P131" s="435">
        <v>0</v>
      </c>
      <c r="Q131" s="435">
        <v>0</v>
      </c>
      <c r="R131"/>
      <c r="S131"/>
      <c r="T131" s="334"/>
      <c r="U131" s="334"/>
      <c r="V131" s="334"/>
      <c r="W131" s="334"/>
      <c r="X131"/>
    </row>
    <row r="132" spans="1:24" ht="15" x14ac:dyDescent="0.25">
      <c r="A132" s="433" t="s">
        <v>180</v>
      </c>
      <c r="B132" s="433" t="s">
        <v>181</v>
      </c>
      <c r="C132" s="433">
        <v>80101</v>
      </c>
      <c r="D132" s="433" t="s">
        <v>242</v>
      </c>
      <c r="E132" s="436" t="s">
        <v>103</v>
      </c>
      <c r="F132" s="435">
        <v>3527197</v>
      </c>
      <c r="G132" s="435">
        <v>0</v>
      </c>
      <c r="H132" s="435">
        <v>0</v>
      </c>
      <c r="I132" s="435">
        <v>2264170</v>
      </c>
      <c r="J132" s="435">
        <v>1263027</v>
      </c>
      <c r="K132" s="435">
        <v>0</v>
      </c>
      <c r="L132" s="435">
        <v>0</v>
      </c>
      <c r="M132" s="435">
        <v>0</v>
      </c>
      <c r="N132" s="435">
        <v>0</v>
      </c>
      <c r="O132" s="435">
        <v>0</v>
      </c>
      <c r="P132" s="435">
        <v>0</v>
      </c>
      <c r="Q132" s="435">
        <v>0</v>
      </c>
      <c r="R132"/>
      <c r="S132"/>
      <c r="T132" s="334"/>
      <c r="U132" s="334"/>
      <c r="V132" s="334"/>
      <c r="W132" s="334"/>
      <c r="X132"/>
    </row>
    <row r="133" spans="1:24" ht="15" x14ac:dyDescent="0.25">
      <c r="A133" s="433" t="s">
        <v>180</v>
      </c>
      <c r="B133" s="433" t="s">
        <v>181</v>
      </c>
      <c r="C133" s="433">
        <v>80101</v>
      </c>
      <c r="D133" s="433" t="s">
        <v>242</v>
      </c>
      <c r="E133" s="436" t="s">
        <v>104</v>
      </c>
      <c r="F133" s="435">
        <v>0</v>
      </c>
      <c r="G133" s="435">
        <v>0</v>
      </c>
      <c r="H133" s="435">
        <v>0</v>
      </c>
      <c r="I133" s="435">
        <v>0</v>
      </c>
      <c r="J133" s="435">
        <v>0</v>
      </c>
      <c r="K133" s="435">
        <v>0</v>
      </c>
      <c r="L133" s="435">
        <v>0</v>
      </c>
      <c r="M133" s="435">
        <v>0</v>
      </c>
      <c r="N133" s="435">
        <v>0</v>
      </c>
      <c r="O133" s="435">
        <v>0</v>
      </c>
      <c r="P133" s="435">
        <v>0</v>
      </c>
      <c r="Q133" s="435">
        <v>0</v>
      </c>
      <c r="R133"/>
      <c r="S133"/>
      <c r="T133" s="334"/>
      <c r="U133" s="334"/>
      <c r="V133" s="334"/>
      <c r="W133" s="334"/>
      <c r="X133"/>
    </row>
    <row r="134" spans="1:24" ht="15" x14ac:dyDescent="0.25">
      <c r="A134" s="433" t="s">
        <v>182</v>
      </c>
      <c r="B134" s="433" t="s">
        <v>183</v>
      </c>
      <c r="C134" s="433">
        <v>80104</v>
      </c>
      <c r="D134" s="433" t="s">
        <v>242</v>
      </c>
      <c r="E134" s="436" t="s">
        <v>102</v>
      </c>
      <c r="F134" s="435">
        <v>1020000</v>
      </c>
      <c r="G134" s="435">
        <v>0</v>
      </c>
      <c r="H134" s="435">
        <v>0</v>
      </c>
      <c r="I134" s="435">
        <v>749241</v>
      </c>
      <c r="J134" s="435">
        <v>270759</v>
      </c>
      <c r="K134" s="435">
        <v>0</v>
      </c>
      <c r="L134" s="435">
        <v>0</v>
      </c>
      <c r="M134" s="435">
        <v>0</v>
      </c>
      <c r="N134" s="435">
        <v>0</v>
      </c>
      <c r="O134" s="435">
        <v>0</v>
      </c>
      <c r="P134" s="435">
        <v>0</v>
      </c>
      <c r="Q134" s="435">
        <v>0</v>
      </c>
      <c r="R134"/>
      <c r="S134"/>
      <c r="T134" s="334"/>
      <c r="U134" s="334"/>
      <c r="V134" s="334"/>
      <c r="W134" s="334"/>
      <c r="X134"/>
    </row>
    <row r="135" spans="1:24" ht="15" x14ac:dyDescent="0.25">
      <c r="A135" s="433" t="s">
        <v>182</v>
      </c>
      <c r="B135" s="433" t="s">
        <v>183</v>
      </c>
      <c r="C135" s="433">
        <v>80104</v>
      </c>
      <c r="D135" s="433" t="s">
        <v>242</v>
      </c>
      <c r="E135" s="436" t="s">
        <v>103</v>
      </c>
      <c r="F135" s="435">
        <v>1020000</v>
      </c>
      <c r="G135" s="435">
        <v>0</v>
      </c>
      <c r="H135" s="435">
        <v>0</v>
      </c>
      <c r="I135" s="435">
        <v>749241</v>
      </c>
      <c r="J135" s="435">
        <v>270759</v>
      </c>
      <c r="K135" s="435">
        <v>0</v>
      </c>
      <c r="L135" s="435">
        <v>0</v>
      </c>
      <c r="M135" s="435">
        <v>0</v>
      </c>
      <c r="N135" s="435">
        <v>0</v>
      </c>
      <c r="O135" s="435">
        <v>0</v>
      </c>
      <c r="P135" s="435">
        <v>0</v>
      </c>
      <c r="Q135" s="435">
        <v>0</v>
      </c>
      <c r="R135"/>
      <c r="S135"/>
      <c r="T135" s="334"/>
      <c r="U135" s="334"/>
      <c r="V135" s="334"/>
      <c r="W135" s="334"/>
      <c r="X135"/>
    </row>
    <row r="136" spans="1:24" ht="15" x14ac:dyDescent="0.25">
      <c r="A136" s="433" t="s">
        <v>182</v>
      </c>
      <c r="B136" s="433" t="s">
        <v>183</v>
      </c>
      <c r="C136" s="433">
        <v>80104</v>
      </c>
      <c r="D136" s="433" t="s">
        <v>242</v>
      </c>
      <c r="E136" s="436" t="s">
        <v>104</v>
      </c>
      <c r="F136" s="435">
        <v>0</v>
      </c>
      <c r="G136" s="435">
        <v>0</v>
      </c>
      <c r="H136" s="435">
        <v>0</v>
      </c>
      <c r="I136" s="435">
        <v>0</v>
      </c>
      <c r="J136" s="435">
        <v>0</v>
      </c>
      <c r="K136" s="435">
        <v>0</v>
      </c>
      <c r="L136" s="435">
        <v>0</v>
      </c>
      <c r="M136" s="435">
        <v>0</v>
      </c>
      <c r="N136" s="435">
        <v>0</v>
      </c>
      <c r="O136" s="435">
        <v>0</v>
      </c>
      <c r="P136" s="435">
        <v>0</v>
      </c>
      <c r="Q136" s="435">
        <v>0</v>
      </c>
      <c r="R136"/>
      <c r="S136"/>
      <c r="T136" s="334"/>
      <c r="U136" s="334"/>
      <c r="V136" s="334"/>
      <c r="W136" s="334"/>
      <c r="X136"/>
    </row>
    <row r="137" spans="1:24" ht="15" x14ac:dyDescent="0.25">
      <c r="A137" s="433" t="s">
        <v>184</v>
      </c>
      <c r="B137" s="433" t="s">
        <v>185</v>
      </c>
      <c r="C137" s="433">
        <v>80105</v>
      </c>
      <c r="D137" s="433" t="s">
        <v>242</v>
      </c>
      <c r="E137" s="436" t="s">
        <v>102</v>
      </c>
      <c r="F137" s="435">
        <v>202612</v>
      </c>
      <c r="G137" s="435">
        <v>0</v>
      </c>
      <c r="H137" s="435">
        <v>0</v>
      </c>
      <c r="I137" s="435">
        <v>202612</v>
      </c>
      <c r="J137" s="435">
        <v>0</v>
      </c>
      <c r="K137" s="435">
        <v>0</v>
      </c>
      <c r="L137" s="435">
        <v>0</v>
      </c>
      <c r="M137" s="435">
        <v>0</v>
      </c>
      <c r="N137" s="435">
        <v>0</v>
      </c>
      <c r="O137" s="435">
        <v>0</v>
      </c>
      <c r="P137" s="435">
        <v>0</v>
      </c>
      <c r="Q137" s="435">
        <v>0</v>
      </c>
      <c r="R137"/>
      <c r="S137"/>
      <c r="T137" s="334"/>
      <c r="U137" s="334"/>
      <c r="V137" s="334"/>
      <c r="W137" s="334"/>
      <c r="X137"/>
    </row>
    <row r="138" spans="1:24" ht="15" x14ac:dyDescent="0.25">
      <c r="A138" s="433" t="s">
        <v>184</v>
      </c>
      <c r="B138" s="433" t="s">
        <v>185</v>
      </c>
      <c r="C138" s="433">
        <v>80105</v>
      </c>
      <c r="D138" s="433" t="s">
        <v>242</v>
      </c>
      <c r="E138" s="436" t="s">
        <v>103</v>
      </c>
      <c r="F138" s="435">
        <v>202612</v>
      </c>
      <c r="G138" s="435">
        <v>0</v>
      </c>
      <c r="H138" s="435">
        <v>0</v>
      </c>
      <c r="I138" s="435">
        <v>202612</v>
      </c>
      <c r="J138" s="435">
        <v>0</v>
      </c>
      <c r="K138" s="435">
        <v>0</v>
      </c>
      <c r="L138" s="435">
        <v>0</v>
      </c>
      <c r="M138" s="435">
        <v>0</v>
      </c>
      <c r="N138" s="435">
        <v>0</v>
      </c>
      <c r="O138" s="435">
        <v>0</v>
      </c>
      <c r="P138" s="435">
        <v>0</v>
      </c>
      <c r="Q138" s="435">
        <v>0</v>
      </c>
      <c r="R138"/>
      <c r="S138"/>
      <c r="T138" s="334"/>
      <c r="U138" s="334"/>
      <c r="V138" s="334"/>
      <c r="W138" s="334"/>
      <c r="X138"/>
    </row>
    <row r="139" spans="1:24" ht="15" x14ac:dyDescent="0.25">
      <c r="A139" s="433" t="s">
        <v>184</v>
      </c>
      <c r="B139" s="433" t="s">
        <v>185</v>
      </c>
      <c r="C139" s="433">
        <v>80105</v>
      </c>
      <c r="D139" s="433" t="s">
        <v>242</v>
      </c>
      <c r="E139" s="436" t="s">
        <v>104</v>
      </c>
      <c r="F139" s="435">
        <v>0</v>
      </c>
      <c r="G139" s="435">
        <v>0</v>
      </c>
      <c r="H139" s="435">
        <v>0</v>
      </c>
      <c r="I139" s="435">
        <v>0</v>
      </c>
      <c r="J139" s="435">
        <v>0</v>
      </c>
      <c r="K139" s="435">
        <v>0</v>
      </c>
      <c r="L139" s="435">
        <v>0</v>
      </c>
      <c r="M139" s="435">
        <v>0</v>
      </c>
      <c r="N139" s="435">
        <v>0</v>
      </c>
      <c r="O139" s="435">
        <v>0</v>
      </c>
      <c r="P139" s="435">
        <v>0</v>
      </c>
      <c r="Q139" s="435">
        <v>0</v>
      </c>
      <c r="R139"/>
      <c r="S139"/>
      <c r="T139" s="334"/>
      <c r="U139" s="334"/>
      <c r="V139" s="334"/>
      <c r="W139" s="334"/>
      <c r="X139"/>
    </row>
    <row r="140" spans="1:24" ht="15" x14ac:dyDescent="0.25">
      <c r="A140" s="433" t="s">
        <v>186</v>
      </c>
      <c r="B140" s="433" t="s">
        <v>187</v>
      </c>
      <c r="C140" s="433">
        <v>80120</v>
      </c>
      <c r="D140" s="433" t="s">
        <v>242</v>
      </c>
      <c r="E140" s="436" t="s">
        <v>102</v>
      </c>
      <c r="F140" s="435">
        <v>833915</v>
      </c>
      <c r="G140" s="435">
        <v>0</v>
      </c>
      <c r="H140" s="435">
        <v>0</v>
      </c>
      <c r="I140" s="435">
        <v>833915</v>
      </c>
      <c r="J140" s="435">
        <v>0</v>
      </c>
      <c r="K140" s="435">
        <v>0</v>
      </c>
      <c r="L140" s="435">
        <v>0</v>
      </c>
      <c r="M140" s="435">
        <v>0</v>
      </c>
      <c r="N140" s="435">
        <v>0</v>
      </c>
      <c r="O140" s="435">
        <v>0</v>
      </c>
      <c r="P140" s="435">
        <v>0</v>
      </c>
      <c r="Q140" s="435">
        <v>0</v>
      </c>
      <c r="R140"/>
      <c r="S140"/>
      <c r="T140" s="334"/>
      <c r="U140" s="334"/>
      <c r="V140" s="334"/>
      <c r="W140" s="334"/>
      <c r="X140"/>
    </row>
    <row r="141" spans="1:24" ht="15" x14ac:dyDescent="0.25">
      <c r="A141" s="433" t="s">
        <v>186</v>
      </c>
      <c r="B141" s="433" t="s">
        <v>187</v>
      </c>
      <c r="C141" s="433">
        <v>80120</v>
      </c>
      <c r="D141" s="433" t="s">
        <v>242</v>
      </c>
      <c r="E141" s="436" t="s">
        <v>103</v>
      </c>
      <c r="F141" s="435">
        <v>833915</v>
      </c>
      <c r="G141" s="435">
        <v>0</v>
      </c>
      <c r="H141" s="435">
        <v>0</v>
      </c>
      <c r="I141" s="435">
        <v>833915</v>
      </c>
      <c r="J141" s="435">
        <v>0</v>
      </c>
      <c r="K141" s="435">
        <v>0</v>
      </c>
      <c r="L141" s="435">
        <v>0</v>
      </c>
      <c r="M141" s="435">
        <v>0</v>
      </c>
      <c r="N141" s="435">
        <v>0</v>
      </c>
      <c r="O141" s="435">
        <v>0</v>
      </c>
      <c r="P141" s="435">
        <v>0</v>
      </c>
      <c r="Q141" s="435">
        <v>0</v>
      </c>
      <c r="R141"/>
      <c r="S141"/>
      <c r="T141" s="334"/>
      <c r="U141" s="334"/>
      <c r="V141" s="334"/>
      <c r="W141" s="334"/>
      <c r="X141"/>
    </row>
    <row r="142" spans="1:24" ht="15" x14ac:dyDescent="0.25">
      <c r="A142" s="433" t="s">
        <v>186</v>
      </c>
      <c r="B142" s="433" t="s">
        <v>187</v>
      </c>
      <c r="C142" s="433">
        <v>80120</v>
      </c>
      <c r="D142" s="433" t="s">
        <v>242</v>
      </c>
      <c r="E142" s="436" t="s">
        <v>104</v>
      </c>
      <c r="F142" s="435">
        <v>0</v>
      </c>
      <c r="G142" s="435">
        <v>0</v>
      </c>
      <c r="H142" s="435">
        <v>0</v>
      </c>
      <c r="I142" s="435">
        <v>0</v>
      </c>
      <c r="J142" s="435">
        <v>0</v>
      </c>
      <c r="K142" s="435">
        <v>0</v>
      </c>
      <c r="L142" s="435">
        <v>0</v>
      </c>
      <c r="M142" s="435">
        <v>0</v>
      </c>
      <c r="N142" s="435">
        <v>0</v>
      </c>
      <c r="O142" s="435">
        <v>0</v>
      </c>
      <c r="P142" s="435">
        <v>0</v>
      </c>
      <c r="Q142" s="435">
        <v>0</v>
      </c>
      <c r="R142"/>
      <c r="S142"/>
      <c r="T142" s="334"/>
      <c r="U142" s="334"/>
      <c r="V142" s="334"/>
      <c r="W142" s="334"/>
      <c r="X142"/>
    </row>
    <row r="143" spans="1:24" ht="15" x14ac:dyDescent="0.25">
      <c r="A143" s="433" t="s">
        <v>471</v>
      </c>
      <c r="B143" s="433" t="s">
        <v>470</v>
      </c>
      <c r="C143" s="433">
        <v>80101</v>
      </c>
      <c r="D143" s="433" t="s">
        <v>242</v>
      </c>
      <c r="E143" s="436" t="s">
        <v>102</v>
      </c>
      <c r="F143" s="435">
        <v>0</v>
      </c>
      <c r="G143" s="435">
        <v>0</v>
      </c>
      <c r="H143" s="435">
        <v>0</v>
      </c>
      <c r="I143" s="435">
        <v>0</v>
      </c>
      <c r="J143" s="435">
        <v>0</v>
      </c>
      <c r="K143" s="435">
        <v>0</v>
      </c>
      <c r="L143" s="435">
        <v>0</v>
      </c>
      <c r="M143" s="435">
        <v>0</v>
      </c>
      <c r="N143" s="435">
        <v>0</v>
      </c>
      <c r="O143" s="435">
        <v>0</v>
      </c>
      <c r="P143" s="435">
        <v>0</v>
      </c>
      <c r="Q143" s="435">
        <v>0</v>
      </c>
      <c r="R143"/>
      <c r="S143"/>
      <c r="T143" s="334"/>
      <c r="U143" s="334"/>
      <c r="V143" s="334"/>
      <c r="W143" s="334"/>
      <c r="X143"/>
    </row>
    <row r="144" spans="1:24" ht="15" x14ac:dyDescent="0.25">
      <c r="A144" s="433" t="s">
        <v>471</v>
      </c>
      <c r="B144" s="433" t="s">
        <v>470</v>
      </c>
      <c r="C144" s="433">
        <v>80101</v>
      </c>
      <c r="D144" s="433" t="s">
        <v>242</v>
      </c>
      <c r="E144" s="436" t="s">
        <v>103</v>
      </c>
      <c r="F144" s="435">
        <v>0</v>
      </c>
      <c r="G144" s="435">
        <v>0</v>
      </c>
      <c r="H144" s="435">
        <v>0</v>
      </c>
      <c r="I144" s="435">
        <v>0</v>
      </c>
      <c r="J144" s="435">
        <v>0</v>
      </c>
      <c r="K144" s="435">
        <v>0</v>
      </c>
      <c r="L144" s="435">
        <v>0</v>
      </c>
      <c r="M144" s="435">
        <v>0</v>
      </c>
      <c r="N144" s="435">
        <v>0</v>
      </c>
      <c r="O144" s="435">
        <v>0</v>
      </c>
      <c r="P144" s="435">
        <v>0</v>
      </c>
      <c r="Q144" s="435">
        <v>0</v>
      </c>
      <c r="R144"/>
      <c r="S144"/>
      <c r="T144" s="334"/>
      <c r="U144" s="334"/>
      <c r="V144" s="334"/>
      <c r="W144" s="334"/>
      <c r="X144"/>
    </row>
    <row r="145" spans="1:24" ht="15" x14ac:dyDescent="0.25">
      <c r="A145" s="433" t="s">
        <v>471</v>
      </c>
      <c r="B145" s="433" t="s">
        <v>470</v>
      </c>
      <c r="C145" s="433">
        <v>80101</v>
      </c>
      <c r="D145" s="433" t="s">
        <v>242</v>
      </c>
      <c r="E145" s="436" t="s">
        <v>104</v>
      </c>
      <c r="F145" s="435">
        <v>0</v>
      </c>
      <c r="G145" s="435">
        <v>0</v>
      </c>
      <c r="H145" s="435">
        <v>0</v>
      </c>
      <c r="I145" s="435">
        <v>0</v>
      </c>
      <c r="J145" s="435">
        <v>0</v>
      </c>
      <c r="K145" s="435">
        <v>0</v>
      </c>
      <c r="L145" s="435">
        <v>0</v>
      </c>
      <c r="M145" s="435">
        <v>0</v>
      </c>
      <c r="N145" s="435">
        <v>0</v>
      </c>
      <c r="O145" s="435">
        <v>0</v>
      </c>
      <c r="P145" s="435">
        <v>0</v>
      </c>
      <c r="Q145" s="435">
        <v>0</v>
      </c>
      <c r="R145"/>
      <c r="S145"/>
      <c r="T145" s="334"/>
      <c r="U145" s="334"/>
      <c r="V145" s="334"/>
      <c r="W145" s="334"/>
      <c r="X145"/>
    </row>
    <row r="146" spans="1:24" ht="15" x14ac:dyDescent="0.25">
      <c r="A146" s="433" t="s">
        <v>473</v>
      </c>
      <c r="B146" s="433" t="s">
        <v>474</v>
      </c>
      <c r="C146" s="433">
        <v>80101</v>
      </c>
      <c r="D146" s="433" t="s">
        <v>242</v>
      </c>
      <c r="E146" s="436" t="s">
        <v>102</v>
      </c>
      <c r="F146" s="435">
        <v>0</v>
      </c>
      <c r="G146" s="435">
        <v>0</v>
      </c>
      <c r="H146" s="435">
        <v>0</v>
      </c>
      <c r="I146" s="435">
        <v>0</v>
      </c>
      <c r="J146" s="435">
        <v>0</v>
      </c>
      <c r="K146" s="435">
        <v>0</v>
      </c>
      <c r="L146" s="435">
        <v>0</v>
      </c>
      <c r="M146" s="435">
        <v>0</v>
      </c>
      <c r="N146" s="435">
        <v>0</v>
      </c>
      <c r="O146" s="435">
        <v>0</v>
      </c>
      <c r="P146" s="435">
        <v>0</v>
      </c>
      <c r="Q146" s="435">
        <v>0</v>
      </c>
      <c r="R146"/>
      <c r="S146"/>
      <c r="T146" s="334"/>
      <c r="U146" s="334"/>
      <c r="V146" s="334"/>
      <c r="W146" s="334"/>
      <c r="X146"/>
    </row>
    <row r="147" spans="1:24" ht="15" x14ac:dyDescent="0.25">
      <c r="A147" s="433" t="s">
        <v>473</v>
      </c>
      <c r="B147" s="433" t="s">
        <v>474</v>
      </c>
      <c r="C147" s="433">
        <v>80101</v>
      </c>
      <c r="D147" s="433" t="s">
        <v>242</v>
      </c>
      <c r="E147" s="436" t="s">
        <v>103</v>
      </c>
      <c r="F147" s="435">
        <v>0</v>
      </c>
      <c r="G147" s="435">
        <v>0</v>
      </c>
      <c r="H147" s="435">
        <v>0</v>
      </c>
      <c r="I147" s="435">
        <v>0</v>
      </c>
      <c r="J147" s="435">
        <v>0</v>
      </c>
      <c r="K147" s="435">
        <v>0</v>
      </c>
      <c r="L147" s="435">
        <v>0</v>
      </c>
      <c r="M147" s="435">
        <v>0</v>
      </c>
      <c r="N147" s="435">
        <v>0</v>
      </c>
      <c r="O147" s="435">
        <v>0</v>
      </c>
      <c r="P147" s="435">
        <v>0</v>
      </c>
      <c r="Q147" s="435">
        <v>0</v>
      </c>
      <c r="R147"/>
      <c r="S147"/>
      <c r="T147" s="334"/>
      <c r="U147" s="334"/>
      <c r="V147" s="334"/>
      <c r="W147" s="334"/>
      <c r="X147"/>
    </row>
    <row r="148" spans="1:24" ht="15" x14ac:dyDescent="0.25">
      <c r="A148" s="433" t="s">
        <v>473</v>
      </c>
      <c r="B148" s="433" t="s">
        <v>474</v>
      </c>
      <c r="C148" s="433">
        <v>80101</v>
      </c>
      <c r="D148" s="433" t="s">
        <v>242</v>
      </c>
      <c r="E148" s="436" t="s">
        <v>104</v>
      </c>
      <c r="F148" s="435">
        <v>0</v>
      </c>
      <c r="G148" s="435">
        <v>0</v>
      </c>
      <c r="H148" s="435">
        <v>0</v>
      </c>
      <c r="I148" s="435">
        <v>0</v>
      </c>
      <c r="J148" s="435">
        <v>0</v>
      </c>
      <c r="K148" s="435">
        <v>0</v>
      </c>
      <c r="L148" s="435">
        <v>0</v>
      </c>
      <c r="M148" s="435">
        <v>0</v>
      </c>
      <c r="N148" s="435">
        <v>0</v>
      </c>
      <c r="O148" s="435">
        <v>0</v>
      </c>
      <c r="P148" s="435">
        <v>0</v>
      </c>
      <c r="Q148" s="435">
        <v>0</v>
      </c>
      <c r="R148"/>
      <c r="S148"/>
      <c r="T148" s="334"/>
      <c r="U148" s="334"/>
      <c r="V148" s="334"/>
      <c r="W148" s="334"/>
      <c r="X148"/>
    </row>
    <row r="149" spans="1:24" ht="15" x14ac:dyDescent="0.25">
      <c r="A149" s="433" t="s">
        <v>411</v>
      </c>
      <c r="B149" s="433" t="s">
        <v>412</v>
      </c>
      <c r="C149" s="433">
        <v>85219</v>
      </c>
      <c r="D149" s="433" t="s">
        <v>242</v>
      </c>
      <c r="E149" s="436" t="s">
        <v>102</v>
      </c>
      <c r="F149" s="435">
        <v>531477</v>
      </c>
      <c r="G149" s="435">
        <v>0</v>
      </c>
      <c r="H149" s="435">
        <v>125500</v>
      </c>
      <c r="I149" s="435">
        <v>40000</v>
      </c>
      <c r="J149" s="435">
        <v>365977</v>
      </c>
      <c r="K149" s="435">
        <v>0</v>
      </c>
      <c r="L149" s="435">
        <v>0</v>
      </c>
      <c r="M149" s="435">
        <v>0</v>
      </c>
      <c r="N149" s="435">
        <v>0</v>
      </c>
      <c r="O149" s="435">
        <v>0</v>
      </c>
      <c r="P149" s="435">
        <v>0</v>
      </c>
      <c r="Q149" s="435">
        <v>0</v>
      </c>
      <c r="R149"/>
      <c r="S149"/>
      <c r="T149" s="334"/>
      <c r="U149" s="334"/>
      <c r="V149" s="334"/>
      <c r="W149" s="334"/>
      <c r="X149"/>
    </row>
    <row r="150" spans="1:24" ht="15" x14ac:dyDescent="0.25">
      <c r="A150" s="433" t="s">
        <v>411</v>
      </c>
      <c r="B150" s="433" t="s">
        <v>412</v>
      </c>
      <c r="C150" s="433">
        <v>85219</v>
      </c>
      <c r="D150" s="433" t="s">
        <v>242</v>
      </c>
      <c r="E150" s="436" t="s">
        <v>103</v>
      </c>
      <c r="F150" s="435">
        <v>405977</v>
      </c>
      <c r="G150" s="435">
        <v>0</v>
      </c>
      <c r="H150" s="435">
        <v>0</v>
      </c>
      <c r="I150" s="435">
        <v>40000</v>
      </c>
      <c r="J150" s="435">
        <v>365977</v>
      </c>
      <c r="K150" s="435">
        <v>0</v>
      </c>
      <c r="L150" s="435">
        <v>0</v>
      </c>
      <c r="M150" s="435">
        <v>0</v>
      </c>
      <c r="N150" s="435">
        <v>0</v>
      </c>
      <c r="O150" s="435">
        <v>0</v>
      </c>
      <c r="P150" s="435">
        <v>0</v>
      </c>
      <c r="Q150" s="435">
        <v>0</v>
      </c>
      <c r="R150"/>
      <c r="S150"/>
      <c r="T150" s="334"/>
      <c r="U150" s="334"/>
      <c r="V150" s="334"/>
      <c r="W150" s="334"/>
      <c r="X150"/>
    </row>
    <row r="151" spans="1:24" ht="15" x14ac:dyDescent="0.25">
      <c r="A151" s="433" t="s">
        <v>411</v>
      </c>
      <c r="B151" s="433" t="s">
        <v>412</v>
      </c>
      <c r="C151" s="433">
        <v>85219</v>
      </c>
      <c r="D151" s="433" t="s">
        <v>242</v>
      </c>
      <c r="E151" s="436" t="s">
        <v>104</v>
      </c>
      <c r="F151" s="435">
        <v>125500</v>
      </c>
      <c r="G151" s="435">
        <v>0</v>
      </c>
      <c r="H151" s="435">
        <v>125500</v>
      </c>
      <c r="I151" s="435">
        <v>0</v>
      </c>
      <c r="J151" s="435">
        <v>0</v>
      </c>
      <c r="K151" s="435">
        <v>0</v>
      </c>
      <c r="L151" s="435">
        <v>0</v>
      </c>
      <c r="M151" s="435">
        <v>0</v>
      </c>
      <c r="N151" s="435">
        <v>0</v>
      </c>
      <c r="O151" s="435">
        <v>0</v>
      </c>
      <c r="P151" s="435">
        <v>0</v>
      </c>
      <c r="Q151" s="435">
        <v>0</v>
      </c>
      <c r="R151"/>
      <c r="S151"/>
      <c r="T151" s="334"/>
      <c r="U151" s="334"/>
      <c r="V151" s="334"/>
      <c r="W151" s="334"/>
      <c r="X151"/>
    </row>
    <row r="152" spans="1:24" ht="15" x14ac:dyDescent="0.25">
      <c r="A152" s="433" t="s">
        <v>189</v>
      </c>
      <c r="B152" s="433" t="s">
        <v>190</v>
      </c>
      <c r="C152" s="433">
        <v>85516</v>
      </c>
      <c r="D152" s="433" t="s">
        <v>242</v>
      </c>
      <c r="E152" s="436" t="s">
        <v>102</v>
      </c>
      <c r="F152" s="435">
        <v>15116383</v>
      </c>
      <c r="G152" s="435">
        <v>12271913</v>
      </c>
      <c r="H152" s="435">
        <v>7064</v>
      </c>
      <c r="I152" s="435">
        <v>2837406</v>
      </c>
      <c r="J152" s="435">
        <v>0</v>
      </c>
      <c r="K152" s="435">
        <v>0</v>
      </c>
      <c r="L152" s="435">
        <v>0</v>
      </c>
      <c r="M152" s="435">
        <v>0</v>
      </c>
      <c r="N152" s="435">
        <v>0</v>
      </c>
      <c r="O152" s="435">
        <v>0</v>
      </c>
      <c r="P152" s="435">
        <v>0</v>
      </c>
      <c r="Q152" s="435">
        <v>0</v>
      </c>
      <c r="R152"/>
      <c r="S152"/>
      <c r="T152" s="334"/>
      <c r="U152" s="334"/>
      <c r="V152" s="334"/>
      <c r="W152" s="334"/>
      <c r="X152"/>
    </row>
    <row r="153" spans="1:24" ht="15" x14ac:dyDescent="0.25">
      <c r="A153" s="433" t="s">
        <v>189</v>
      </c>
      <c r="B153" s="433" t="s">
        <v>190</v>
      </c>
      <c r="C153" s="433">
        <v>85516</v>
      </c>
      <c r="D153" s="433" t="s">
        <v>242</v>
      </c>
      <c r="E153" s="436" t="s">
        <v>103</v>
      </c>
      <c r="F153" s="435">
        <v>2837406</v>
      </c>
      <c r="G153" s="435">
        <v>0</v>
      </c>
      <c r="H153" s="435">
        <v>0</v>
      </c>
      <c r="I153" s="435">
        <v>2837406</v>
      </c>
      <c r="J153" s="435">
        <v>0</v>
      </c>
      <c r="K153" s="435">
        <v>0</v>
      </c>
      <c r="L153" s="435">
        <v>0</v>
      </c>
      <c r="M153" s="435">
        <v>0</v>
      </c>
      <c r="N153" s="435">
        <v>0</v>
      </c>
      <c r="O153" s="435">
        <v>0</v>
      </c>
      <c r="P153" s="435">
        <v>0</v>
      </c>
      <c r="Q153" s="435">
        <v>0</v>
      </c>
      <c r="R153"/>
      <c r="S153"/>
      <c r="T153" s="334"/>
      <c r="U153" s="334"/>
      <c r="V153" s="334"/>
      <c r="W153" s="334"/>
      <c r="X153"/>
    </row>
    <row r="154" spans="1:24" ht="15" x14ac:dyDescent="0.25">
      <c r="A154" s="433" t="s">
        <v>189</v>
      </c>
      <c r="B154" s="433" t="s">
        <v>190</v>
      </c>
      <c r="C154" s="433">
        <v>85516</v>
      </c>
      <c r="D154" s="433" t="s">
        <v>242</v>
      </c>
      <c r="E154" s="436" t="s">
        <v>104</v>
      </c>
      <c r="F154" s="435">
        <v>12278977</v>
      </c>
      <c r="G154" s="435">
        <v>12271913</v>
      </c>
      <c r="H154" s="435">
        <v>7064</v>
      </c>
      <c r="I154" s="435">
        <v>0</v>
      </c>
      <c r="J154" s="435">
        <v>0</v>
      </c>
      <c r="K154" s="435">
        <v>0</v>
      </c>
      <c r="L154" s="435">
        <v>0</v>
      </c>
      <c r="M154" s="435">
        <v>0</v>
      </c>
      <c r="N154" s="435">
        <v>0</v>
      </c>
      <c r="O154" s="435">
        <v>0</v>
      </c>
      <c r="P154" s="435">
        <v>0</v>
      </c>
      <c r="Q154" s="435">
        <v>0</v>
      </c>
      <c r="R154"/>
      <c r="S154"/>
      <c r="T154" s="334"/>
      <c r="U154" s="334"/>
      <c r="V154" s="334"/>
      <c r="W154" s="334"/>
      <c r="X154"/>
    </row>
    <row r="155" spans="1:24" ht="15" x14ac:dyDescent="0.25">
      <c r="A155" s="433" t="s">
        <v>191</v>
      </c>
      <c r="B155" s="433" t="s">
        <v>192</v>
      </c>
      <c r="C155" s="433">
        <v>85202</v>
      </c>
      <c r="D155" s="433" t="s">
        <v>242</v>
      </c>
      <c r="E155" s="436" t="s">
        <v>102</v>
      </c>
      <c r="F155" s="435">
        <v>13085001</v>
      </c>
      <c r="G155" s="435">
        <v>1087725</v>
      </c>
      <c r="H155" s="435">
        <v>9862366</v>
      </c>
      <c r="I155" s="435">
        <v>2134910</v>
      </c>
      <c r="J155" s="435">
        <v>0</v>
      </c>
      <c r="K155" s="435">
        <v>0</v>
      </c>
      <c r="L155" s="435">
        <v>0</v>
      </c>
      <c r="M155" s="435">
        <v>0</v>
      </c>
      <c r="N155" s="435">
        <v>0</v>
      </c>
      <c r="O155" s="435">
        <v>0</v>
      </c>
      <c r="P155" s="435">
        <v>0</v>
      </c>
      <c r="Q155" s="435">
        <v>0</v>
      </c>
      <c r="R155"/>
      <c r="S155"/>
      <c r="T155" s="334"/>
      <c r="U155" s="334"/>
      <c r="V155" s="334"/>
      <c r="W155" s="334"/>
      <c r="X155"/>
    </row>
    <row r="156" spans="1:24" ht="15" x14ac:dyDescent="0.25">
      <c r="A156" s="433" t="s">
        <v>191</v>
      </c>
      <c r="B156" s="433" t="s">
        <v>192</v>
      </c>
      <c r="C156" s="433">
        <v>85202</v>
      </c>
      <c r="D156" s="433" t="s">
        <v>242</v>
      </c>
      <c r="E156" s="436" t="s">
        <v>103</v>
      </c>
      <c r="F156" s="435">
        <v>1231130</v>
      </c>
      <c r="G156" s="435">
        <v>0</v>
      </c>
      <c r="H156" s="435">
        <v>0</v>
      </c>
      <c r="I156" s="435">
        <v>1231130</v>
      </c>
      <c r="J156" s="435">
        <v>0</v>
      </c>
      <c r="K156" s="435">
        <v>0</v>
      </c>
      <c r="L156" s="435">
        <v>0</v>
      </c>
      <c r="M156" s="435">
        <v>0</v>
      </c>
      <c r="N156" s="435">
        <v>0</v>
      </c>
      <c r="O156" s="435">
        <v>0</v>
      </c>
      <c r="P156" s="435">
        <v>0</v>
      </c>
      <c r="Q156" s="435">
        <v>0</v>
      </c>
      <c r="R156"/>
      <c r="S156"/>
      <c r="T156" s="334"/>
      <c r="U156" s="334"/>
      <c r="V156" s="334"/>
      <c r="W156" s="334"/>
      <c r="X156"/>
    </row>
    <row r="157" spans="1:24" ht="15" x14ac:dyDescent="0.25">
      <c r="A157" s="433" t="s">
        <v>191</v>
      </c>
      <c r="B157" s="433" t="s">
        <v>192</v>
      </c>
      <c r="C157" s="433">
        <v>85202</v>
      </c>
      <c r="D157" s="433" t="s">
        <v>242</v>
      </c>
      <c r="E157" s="436" t="s">
        <v>104</v>
      </c>
      <c r="F157" s="435">
        <v>11853871</v>
      </c>
      <c r="G157" s="435">
        <v>1087725</v>
      </c>
      <c r="H157" s="435">
        <v>9862366</v>
      </c>
      <c r="I157" s="435">
        <v>903780</v>
      </c>
      <c r="J157" s="435">
        <v>0</v>
      </c>
      <c r="K157" s="435">
        <v>0</v>
      </c>
      <c r="L157" s="435">
        <v>0</v>
      </c>
      <c r="M157" s="435">
        <v>0</v>
      </c>
      <c r="N157" s="435">
        <v>0</v>
      </c>
      <c r="O157" s="435">
        <v>0</v>
      </c>
      <c r="P157" s="435">
        <v>0</v>
      </c>
      <c r="Q157" s="435">
        <v>0</v>
      </c>
      <c r="R157"/>
      <c r="S157"/>
      <c r="T157" s="334"/>
      <c r="U157" s="334"/>
      <c r="V157" s="334"/>
      <c r="W157" s="334"/>
      <c r="X157"/>
    </row>
    <row r="158" spans="1:24" ht="15" x14ac:dyDescent="0.25">
      <c r="A158" s="433" t="s">
        <v>195</v>
      </c>
      <c r="B158" s="433" t="s">
        <v>196</v>
      </c>
      <c r="C158" s="433">
        <v>92116</v>
      </c>
      <c r="D158" s="433" t="s">
        <v>242</v>
      </c>
      <c r="E158" s="436" t="s">
        <v>102</v>
      </c>
      <c r="F158" s="435">
        <v>3717350</v>
      </c>
      <c r="G158" s="435">
        <v>0</v>
      </c>
      <c r="H158" s="435">
        <v>116850</v>
      </c>
      <c r="I158" s="435">
        <v>3383150</v>
      </c>
      <c r="J158" s="435">
        <v>217350</v>
      </c>
      <c r="K158" s="435">
        <v>0</v>
      </c>
      <c r="L158" s="435">
        <v>0</v>
      </c>
      <c r="M158" s="435">
        <v>0</v>
      </c>
      <c r="N158" s="435">
        <v>0</v>
      </c>
      <c r="O158" s="435">
        <v>0</v>
      </c>
      <c r="P158" s="435">
        <v>0</v>
      </c>
      <c r="Q158" s="435">
        <v>0</v>
      </c>
      <c r="R158"/>
      <c r="S158"/>
      <c r="T158" s="334"/>
      <c r="U158" s="334"/>
      <c r="V158" s="334"/>
      <c r="W158" s="334"/>
      <c r="X158"/>
    </row>
    <row r="159" spans="1:24" ht="15" x14ac:dyDescent="0.25">
      <c r="A159" s="433" t="s">
        <v>195</v>
      </c>
      <c r="B159" s="433" t="s">
        <v>196</v>
      </c>
      <c r="C159" s="433">
        <v>92116</v>
      </c>
      <c r="D159" s="433" t="s">
        <v>242</v>
      </c>
      <c r="E159" s="436" t="s">
        <v>103</v>
      </c>
      <c r="F159" s="435">
        <v>3592505</v>
      </c>
      <c r="G159" s="435">
        <v>0</v>
      </c>
      <c r="H159" s="435">
        <v>0</v>
      </c>
      <c r="I159" s="435">
        <v>3375155</v>
      </c>
      <c r="J159" s="435">
        <v>217350</v>
      </c>
      <c r="K159" s="435">
        <v>0</v>
      </c>
      <c r="L159" s="435">
        <v>0</v>
      </c>
      <c r="M159" s="435">
        <v>0</v>
      </c>
      <c r="N159" s="435">
        <v>0</v>
      </c>
      <c r="O159" s="435">
        <v>0</v>
      </c>
      <c r="P159" s="435">
        <v>0</v>
      </c>
      <c r="Q159" s="435">
        <v>0</v>
      </c>
      <c r="R159"/>
      <c r="S159"/>
      <c r="T159" s="334"/>
      <c r="U159" s="334"/>
      <c r="V159" s="334"/>
      <c r="W159" s="334"/>
      <c r="X159"/>
    </row>
    <row r="160" spans="1:24" ht="15" x14ac:dyDescent="0.25">
      <c r="A160" s="433" t="s">
        <v>195</v>
      </c>
      <c r="B160" s="433" t="s">
        <v>196</v>
      </c>
      <c r="C160" s="433">
        <v>92116</v>
      </c>
      <c r="D160" s="433" t="s">
        <v>242</v>
      </c>
      <c r="E160" s="436" t="s">
        <v>104</v>
      </c>
      <c r="F160" s="435">
        <v>124845</v>
      </c>
      <c r="G160" s="435">
        <v>0</v>
      </c>
      <c r="H160" s="435">
        <v>116850</v>
      </c>
      <c r="I160" s="435">
        <v>7995</v>
      </c>
      <c r="J160" s="435">
        <v>0</v>
      </c>
      <c r="K160" s="435">
        <v>0</v>
      </c>
      <c r="L160" s="435">
        <v>0</v>
      </c>
      <c r="M160" s="435">
        <v>0</v>
      </c>
      <c r="N160" s="435">
        <v>0</v>
      </c>
      <c r="O160" s="435">
        <v>0</v>
      </c>
      <c r="P160" s="435">
        <v>0</v>
      </c>
      <c r="Q160" s="435">
        <v>0</v>
      </c>
      <c r="R160"/>
      <c r="S160"/>
      <c r="T160" s="334"/>
      <c r="U160" s="334"/>
      <c r="V160" s="334"/>
      <c r="W160" s="334"/>
      <c r="X160"/>
    </row>
    <row r="161" spans="1:24" ht="15" x14ac:dyDescent="0.25">
      <c r="A161" s="433" t="s">
        <v>193</v>
      </c>
      <c r="B161" s="433" t="s">
        <v>194</v>
      </c>
      <c r="C161" s="433">
        <v>92109</v>
      </c>
      <c r="D161" s="433" t="s">
        <v>249</v>
      </c>
      <c r="E161" s="436" t="s">
        <v>102</v>
      </c>
      <c r="F161" s="435">
        <v>3426248</v>
      </c>
      <c r="G161" s="435">
        <v>2560438</v>
      </c>
      <c r="H161" s="435">
        <v>848998</v>
      </c>
      <c r="I161" s="435">
        <v>16812</v>
      </c>
      <c r="J161" s="435">
        <v>0</v>
      </c>
      <c r="K161" s="435">
        <v>0</v>
      </c>
      <c r="L161" s="435">
        <v>0</v>
      </c>
      <c r="M161" s="435">
        <v>0</v>
      </c>
      <c r="N161" s="435">
        <v>0</v>
      </c>
      <c r="O161" s="435">
        <v>0</v>
      </c>
      <c r="P161" s="435">
        <v>0</v>
      </c>
      <c r="Q161" s="435">
        <v>0</v>
      </c>
      <c r="R161"/>
      <c r="S161"/>
      <c r="T161" s="334"/>
      <c r="U161" s="334"/>
      <c r="V161" s="334"/>
      <c r="W161" s="334"/>
      <c r="X161"/>
    </row>
    <row r="162" spans="1:24" ht="15" x14ac:dyDescent="0.25">
      <c r="A162" s="433" t="s">
        <v>193</v>
      </c>
      <c r="B162" s="433" t="s">
        <v>194</v>
      </c>
      <c r="C162" s="433">
        <v>92109</v>
      </c>
      <c r="D162" s="433" t="s">
        <v>249</v>
      </c>
      <c r="E162" s="436" t="s">
        <v>103</v>
      </c>
      <c r="F162" s="435">
        <v>16812</v>
      </c>
      <c r="G162" s="435">
        <v>0</v>
      </c>
      <c r="H162" s="435">
        <v>0</v>
      </c>
      <c r="I162" s="435">
        <v>16812</v>
      </c>
      <c r="J162" s="435">
        <v>0</v>
      </c>
      <c r="K162" s="435">
        <v>0</v>
      </c>
      <c r="L162" s="435">
        <v>0</v>
      </c>
      <c r="M162" s="435">
        <v>0</v>
      </c>
      <c r="N162" s="435">
        <v>0</v>
      </c>
      <c r="O162" s="435">
        <v>0</v>
      </c>
      <c r="P162" s="435">
        <v>0</v>
      </c>
      <c r="Q162" s="435">
        <v>0</v>
      </c>
      <c r="R162"/>
      <c r="S162"/>
      <c r="T162" s="334"/>
      <c r="U162" s="334"/>
      <c r="V162" s="334"/>
      <c r="W162" s="334"/>
      <c r="X162"/>
    </row>
    <row r="163" spans="1:24" ht="15" x14ac:dyDescent="0.25">
      <c r="A163" s="433" t="s">
        <v>193</v>
      </c>
      <c r="B163" s="433" t="s">
        <v>194</v>
      </c>
      <c r="C163" s="433">
        <v>92109</v>
      </c>
      <c r="D163" s="433" t="s">
        <v>249</v>
      </c>
      <c r="E163" s="436" t="s">
        <v>104</v>
      </c>
      <c r="F163" s="435">
        <v>3409436</v>
      </c>
      <c r="G163" s="435">
        <v>2560438</v>
      </c>
      <c r="H163" s="435">
        <v>848998</v>
      </c>
      <c r="I163" s="435">
        <v>0</v>
      </c>
      <c r="J163" s="435">
        <v>0</v>
      </c>
      <c r="K163" s="435">
        <v>0</v>
      </c>
      <c r="L163" s="435">
        <v>0</v>
      </c>
      <c r="M163" s="435">
        <v>0</v>
      </c>
      <c r="N163" s="435">
        <v>0</v>
      </c>
      <c r="O163" s="435">
        <v>0</v>
      </c>
      <c r="P163" s="435">
        <v>0</v>
      </c>
      <c r="Q163" s="435">
        <v>0</v>
      </c>
      <c r="R163"/>
      <c r="S163"/>
      <c r="T163" s="334"/>
      <c r="U163" s="334"/>
      <c r="V163" s="334"/>
      <c r="W163" s="334"/>
      <c r="X163"/>
    </row>
    <row r="164" spans="1:24" ht="15" x14ac:dyDescent="0.25">
      <c r="A164" s="433" t="s">
        <v>198</v>
      </c>
      <c r="B164" s="433" t="s">
        <v>199</v>
      </c>
      <c r="C164" s="433">
        <v>92601</v>
      </c>
      <c r="D164" s="433" t="s">
        <v>250</v>
      </c>
      <c r="E164" s="436" t="s">
        <v>102</v>
      </c>
      <c r="F164" s="435">
        <v>3400000</v>
      </c>
      <c r="G164" s="435">
        <v>0</v>
      </c>
      <c r="H164" s="435">
        <v>241161</v>
      </c>
      <c r="I164" s="435">
        <v>3158839</v>
      </c>
      <c r="J164" s="435">
        <v>0</v>
      </c>
      <c r="K164" s="435">
        <v>0</v>
      </c>
      <c r="L164" s="435">
        <v>0</v>
      </c>
      <c r="M164" s="435">
        <v>0</v>
      </c>
      <c r="N164" s="435">
        <v>0</v>
      </c>
      <c r="O164" s="435">
        <v>0</v>
      </c>
      <c r="P164" s="435">
        <v>0</v>
      </c>
      <c r="Q164" s="435">
        <v>0</v>
      </c>
      <c r="R164"/>
      <c r="S164"/>
      <c r="T164" s="334"/>
      <c r="U164" s="334"/>
      <c r="V164" s="334"/>
      <c r="W164" s="334"/>
      <c r="X164"/>
    </row>
    <row r="165" spans="1:24" ht="15" x14ac:dyDescent="0.25">
      <c r="A165" s="433" t="s">
        <v>198</v>
      </c>
      <c r="B165" s="433" t="s">
        <v>199</v>
      </c>
      <c r="C165" s="433">
        <v>92601</v>
      </c>
      <c r="D165" s="433" t="s">
        <v>250</v>
      </c>
      <c r="E165" s="436" t="s">
        <v>103</v>
      </c>
      <c r="F165" s="435">
        <v>3158839</v>
      </c>
      <c r="G165" s="435">
        <v>0</v>
      </c>
      <c r="H165" s="435">
        <v>0</v>
      </c>
      <c r="I165" s="435">
        <v>3158839</v>
      </c>
      <c r="J165" s="435">
        <v>0</v>
      </c>
      <c r="K165" s="435">
        <v>0</v>
      </c>
      <c r="L165" s="435">
        <v>0</v>
      </c>
      <c r="M165" s="435">
        <v>0</v>
      </c>
      <c r="N165" s="435">
        <v>0</v>
      </c>
      <c r="O165" s="435">
        <v>0</v>
      </c>
      <c r="P165" s="435">
        <v>0</v>
      </c>
      <c r="Q165" s="435">
        <v>0</v>
      </c>
      <c r="R165"/>
      <c r="S165"/>
      <c r="T165" s="334"/>
      <c r="U165" s="334"/>
      <c r="V165" s="334"/>
      <c r="W165" s="334"/>
      <c r="X165"/>
    </row>
    <row r="166" spans="1:24" ht="15" x14ac:dyDescent="0.25">
      <c r="A166" s="433" t="s">
        <v>198</v>
      </c>
      <c r="B166" s="433" t="s">
        <v>199</v>
      </c>
      <c r="C166" s="433">
        <v>92601</v>
      </c>
      <c r="D166" s="433" t="s">
        <v>250</v>
      </c>
      <c r="E166" s="436" t="s">
        <v>104</v>
      </c>
      <c r="F166" s="435">
        <v>241161</v>
      </c>
      <c r="G166" s="435">
        <v>0</v>
      </c>
      <c r="H166" s="435">
        <v>241161</v>
      </c>
      <c r="I166" s="435">
        <v>0</v>
      </c>
      <c r="J166" s="435">
        <v>0</v>
      </c>
      <c r="K166" s="435">
        <v>0</v>
      </c>
      <c r="L166" s="435">
        <v>0</v>
      </c>
      <c r="M166" s="435">
        <v>0</v>
      </c>
      <c r="N166" s="435">
        <v>0</v>
      </c>
      <c r="O166" s="435">
        <v>0</v>
      </c>
      <c r="P166" s="435">
        <v>0</v>
      </c>
      <c r="Q166" s="435">
        <v>0</v>
      </c>
      <c r="R166"/>
      <c r="S166"/>
      <c r="T166" s="334"/>
      <c r="U166" s="334"/>
      <c r="V166" s="334"/>
      <c r="W166" s="334"/>
      <c r="X166"/>
    </row>
    <row r="167" spans="1:24" ht="15" x14ac:dyDescent="0.25">
      <c r="A167" s="433" t="s">
        <v>200</v>
      </c>
      <c r="B167" s="433" t="s">
        <v>201</v>
      </c>
      <c r="C167" s="433">
        <v>75023</v>
      </c>
      <c r="D167" s="433" t="s">
        <v>242</v>
      </c>
      <c r="E167" s="436" t="s">
        <v>102</v>
      </c>
      <c r="F167" s="435">
        <v>1501730</v>
      </c>
      <c r="G167" s="435">
        <v>0</v>
      </c>
      <c r="H167" s="435">
        <v>241010</v>
      </c>
      <c r="I167" s="435">
        <v>1260720</v>
      </c>
      <c r="J167" s="435">
        <v>0</v>
      </c>
      <c r="K167" s="435">
        <v>0</v>
      </c>
      <c r="L167" s="435">
        <v>0</v>
      </c>
      <c r="M167" s="435">
        <v>0</v>
      </c>
      <c r="N167" s="435">
        <v>0</v>
      </c>
      <c r="O167" s="435">
        <v>0</v>
      </c>
      <c r="P167" s="435">
        <v>0</v>
      </c>
      <c r="Q167" s="435">
        <v>0</v>
      </c>
      <c r="R167"/>
      <c r="S167"/>
      <c r="T167" s="334"/>
      <c r="U167" s="334"/>
      <c r="V167" s="334"/>
      <c r="W167" s="334"/>
      <c r="X167"/>
    </row>
    <row r="168" spans="1:24" ht="15" x14ac:dyDescent="0.25">
      <c r="A168" s="433" t="s">
        <v>200</v>
      </c>
      <c r="B168" s="433" t="s">
        <v>201</v>
      </c>
      <c r="C168" s="433">
        <v>75023</v>
      </c>
      <c r="D168" s="433" t="s">
        <v>242</v>
      </c>
      <c r="E168" s="436" t="s">
        <v>103</v>
      </c>
      <c r="F168" s="435">
        <v>1260720</v>
      </c>
      <c r="G168" s="435">
        <v>0</v>
      </c>
      <c r="H168" s="435">
        <v>0</v>
      </c>
      <c r="I168" s="435">
        <v>1260720</v>
      </c>
      <c r="J168" s="435">
        <v>0</v>
      </c>
      <c r="K168" s="435">
        <v>0</v>
      </c>
      <c r="L168" s="435">
        <v>0</v>
      </c>
      <c r="M168" s="435">
        <v>0</v>
      </c>
      <c r="N168" s="435">
        <v>0</v>
      </c>
      <c r="O168" s="435">
        <v>0</v>
      </c>
      <c r="P168" s="435">
        <v>0</v>
      </c>
      <c r="Q168" s="435">
        <v>0</v>
      </c>
      <c r="R168"/>
      <c r="S168"/>
      <c r="T168" s="334"/>
      <c r="U168" s="334"/>
      <c r="V168" s="334"/>
      <c r="W168" s="334"/>
      <c r="X168"/>
    </row>
    <row r="169" spans="1:24" ht="15" x14ac:dyDescent="0.25">
      <c r="A169" s="433" t="s">
        <v>200</v>
      </c>
      <c r="B169" s="433" t="s">
        <v>201</v>
      </c>
      <c r="C169" s="433">
        <v>75023</v>
      </c>
      <c r="D169" s="433" t="s">
        <v>242</v>
      </c>
      <c r="E169" s="437" t="s">
        <v>104</v>
      </c>
      <c r="F169" s="435">
        <v>241010</v>
      </c>
      <c r="G169" s="435">
        <v>0</v>
      </c>
      <c r="H169" s="435">
        <v>241010</v>
      </c>
      <c r="I169" s="435">
        <v>0</v>
      </c>
      <c r="J169" s="435">
        <v>0</v>
      </c>
      <c r="K169" s="435">
        <v>0</v>
      </c>
      <c r="L169" s="435">
        <v>0</v>
      </c>
      <c r="M169" s="435">
        <v>0</v>
      </c>
      <c r="N169" s="435">
        <v>0</v>
      </c>
      <c r="O169" s="435">
        <v>0</v>
      </c>
      <c r="P169" s="435">
        <v>0</v>
      </c>
      <c r="Q169" s="435">
        <v>0</v>
      </c>
      <c r="R169"/>
      <c r="S169"/>
      <c r="T169" s="334"/>
      <c r="U169" s="334"/>
      <c r="V169" s="334"/>
      <c r="W169" s="334"/>
      <c r="X169"/>
    </row>
    <row r="170" spans="1:24" ht="15" x14ac:dyDescent="0.25">
      <c r="A170" s="433" t="s">
        <v>263</v>
      </c>
      <c r="B170" s="433"/>
      <c r="C170" s="433"/>
      <c r="D170" s="433"/>
      <c r="E170" s="433"/>
      <c r="F170" s="435">
        <v>427728154</v>
      </c>
      <c r="G170" s="435">
        <v>114610810</v>
      </c>
      <c r="H170" s="435">
        <v>88871098</v>
      </c>
      <c r="I170" s="435">
        <v>113455846</v>
      </c>
      <c r="J170" s="435">
        <v>79871630</v>
      </c>
      <c r="K170" s="435">
        <v>30918770</v>
      </c>
      <c r="L170" s="435">
        <v>0</v>
      </c>
      <c r="M170" s="435">
        <v>0</v>
      </c>
      <c r="N170" s="435">
        <v>0</v>
      </c>
      <c r="O170" s="435">
        <v>0</v>
      </c>
      <c r="P170" s="435">
        <v>0</v>
      </c>
      <c r="Q170" s="435">
        <v>0</v>
      </c>
      <c r="R170"/>
      <c r="S170"/>
      <c r="T170" s="334"/>
      <c r="U170" s="334"/>
      <c r="V170" s="334"/>
      <c r="W170" s="334"/>
      <c r="X170"/>
    </row>
    <row r="171" spans="1:24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 s="334"/>
      <c r="U171" s="334"/>
      <c r="V171" s="334"/>
      <c r="W171" s="334"/>
      <c r="X171"/>
    </row>
    <row r="172" spans="1:24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 s="334"/>
      <c r="U172" s="334"/>
      <c r="V172" s="334"/>
      <c r="W172" s="334"/>
      <c r="X172"/>
    </row>
    <row r="173" spans="1:24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 s="334"/>
      <c r="U173" s="334"/>
      <c r="V173" s="334"/>
      <c r="W173" s="334"/>
      <c r="X173"/>
    </row>
    <row r="174" spans="1:24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 s="334"/>
      <c r="U174" s="334"/>
      <c r="V174" s="334"/>
      <c r="W174" s="334"/>
      <c r="X174"/>
    </row>
    <row r="175" spans="1:24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 s="334"/>
      <c r="U175" s="334"/>
      <c r="V175" s="334"/>
      <c r="W175" s="334"/>
      <c r="X175"/>
    </row>
    <row r="176" spans="1:24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 s="334"/>
      <c r="U176" s="334"/>
      <c r="V176" s="334"/>
      <c r="W176" s="334"/>
      <c r="X176"/>
    </row>
    <row r="177" spans="1:24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 s="334"/>
      <c r="U177" s="334"/>
      <c r="V177" s="334"/>
      <c r="W177" s="334"/>
      <c r="X177"/>
    </row>
    <row r="178" spans="1:24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 s="334"/>
      <c r="U178" s="334"/>
      <c r="V178" s="334"/>
      <c r="W178" s="334"/>
      <c r="X178"/>
    </row>
    <row r="179" spans="1:24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 s="334"/>
      <c r="U179" s="334"/>
      <c r="V179" s="334"/>
      <c r="W179" s="334"/>
      <c r="X179"/>
    </row>
    <row r="180" spans="1:24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 s="334"/>
      <c r="U180" s="334"/>
      <c r="V180" s="334"/>
      <c r="W180" s="334"/>
      <c r="X180"/>
    </row>
    <row r="181" spans="1:24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 s="334"/>
      <c r="U181" s="334"/>
      <c r="V181" s="334"/>
      <c r="W181" s="334"/>
      <c r="X181"/>
    </row>
    <row r="182" spans="1:24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 s="334"/>
      <c r="U182" s="334"/>
      <c r="V182" s="334"/>
      <c r="W182" s="334"/>
      <c r="X182"/>
    </row>
    <row r="183" spans="1:24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 s="334"/>
      <c r="U183" s="334"/>
      <c r="V183" s="334"/>
      <c r="W183" s="334"/>
      <c r="X183"/>
    </row>
    <row r="184" spans="1:24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 s="334"/>
      <c r="U184" s="334"/>
      <c r="V184" s="334"/>
      <c r="W184" s="334"/>
      <c r="X184"/>
    </row>
    <row r="185" spans="1:24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 s="334"/>
      <c r="U185" s="334"/>
      <c r="V185" s="334"/>
      <c r="W185" s="334"/>
      <c r="X185"/>
    </row>
    <row r="186" spans="1:24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 s="334"/>
      <c r="U186" s="334"/>
      <c r="V186" s="334"/>
      <c r="W186" s="334"/>
      <c r="X186"/>
    </row>
    <row r="187" spans="1:24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 s="334"/>
      <c r="U187" s="334"/>
      <c r="V187" s="334"/>
      <c r="W187" s="334"/>
      <c r="X187"/>
    </row>
    <row r="188" spans="1:24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 s="334"/>
      <c r="U188" s="334"/>
      <c r="V188" s="334"/>
      <c r="W188" s="334"/>
      <c r="X188"/>
    </row>
    <row r="189" spans="1:24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 s="334"/>
      <c r="U189" s="334"/>
      <c r="V189" s="334"/>
      <c r="W189" s="334"/>
      <c r="X189"/>
    </row>
    <row r="190" spans="1:24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 s="334"/>
      <c r="U190" s="334"/>
      <c r="V190" s="334"/>
      <c r="W190" s="334"/>
      <c r="X190"/>
    </row>
    <row r="191" spans="1:24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 s="334"/>
      <c r="U191" s="334"/>
      <c r="V191" s="334"/>
      <c r="W191" s="334"/>
      <c r="X191"/>
    </row>
    <row r="192" spans="1:24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 s="334"/>
      <c r="U192" s="334"/>
      <c r="V192" s="334"/>
      <c r="W192" s="334"/>
      <c r="X192"/>
    </row>
    <row r="193" spans="1:24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 s="334"/>
      <c r="U193" s="334"/>
      <c r="V193" s="334"/>
      <c r="W193" s="334"/>
      <c r="X193"/>
    </row>
    <row r="194" spans="1:24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 s="334"/>
      <c r="U194" s="334"/>
      <c r="V194" s="334"/>
      <c r="W194" s="334"/>
      <c r="X194"/>
    </row>
    <row r="195" spans="1:24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 s="334"/>
      <c r="U195" s="334"/>
      <c r="V195" s="334"/>
      <c r="W195" s="334"/>
      <c r="X195"/>
    </row>
    <row r="196" spans="1:24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 s="334"/>
      <c r="U196" s="334"/>
      <c r="V196" s="334"/>
      <c r="W196" s="334"/>
      <c r="X196"/>
    </row>
    <row r="197" spans="1:24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 s="334"/>
      <c r="U197" s="334"/>
      <c r="V197" s="334"/>
      <c r="W197" s="334"/>
      <c r="X197"/>
    </row>
    <row r="198" spans="1:24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 s="334"/>
      <c r="U198" s="334"/>
      <c r="V198" s="334"/>
      <c r="W198" s="334"/>
      <c r="X198"/>
    </row>
    <row r="199" spans="1:24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 s="334"/>
      <c r="U199" s="334"/>
      <c r="V199" s="334"/>
      <c r="W199" s="334"/>
      <c r="X199"/>
    </row>
    <row r="200" spans="1:24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 s="334"/>
      <c r="U200" s="334"/>
      <c r="V200" s="334"/>
      <c r="W200" s="334"/>
      <c r="X200"/>
    </row>
    <row r="201" spans="1:24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 s="334"/>
      <c r="U201" s="334"/>
      <c r="V201" s="334"/>
      <c r="W201" s="334"/>
      <c r="X201"/>
    </row>
    <row r="202" spans="1:24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 s="334"/>
      <c r="U202" s="334"/>
      <c r="V202" s="334"/>
      <c r="W202" s="334"/>
      <c r="X202"/>
    </row>
    <row r="203" spans="1:24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 s="334"/>
      <c r="U203" s="334"/>
      <c r="V203" s="334"/>
      <c r="W203" s="334"/>
      <c r="X203"/>
    </row>
    <row r="204" spans="1:24" s="312" customFormat="1" ht="15" x14ac:dyDescent="0.25">
      <c r="A204" s="385"/>
      <c r="B204" s="385"/>
      <c r="C204" s="385"/>
      <c r="D204" s="385"/>
      <c r="E204" s="385"/>
      <c r="F204" s="385"/>
      <c r="G204" s="385"/>
      <c r="H204" s="385"/>
      <c r="I204" s="385"/>
      <c r="J204" s="385"/>
      <c r="K204" s="385"/>
      <c r="L204" s="385"/>
      <c r="M204" s="385"/>
      <c r="N204" s="385"/>
      <c r="O204" s="385"/>
      <c r="P204" s="385"/>
      <c r="Q204" s="385"/>
      <c r="R204" s="385"/>
      <c r="S204" s="385"/>
      <c r="T204" s="386"/>
      <c r="U204" s="386"/>
      <c r="V204" s="386"/>
      <c r="W204" s="386"/>
      <c r="X204" s="385"/>
    </row>
    <row r="205" spans="1:24" s="312" customFormat="1" ht="15" x14ac:dyDescent="0.25">
      <c r="A205" s="385"/>
      <c r="B205" s="385"/>
      <c r="C205" s="385"/>
      <c r="D205" s="385"/>
      <c r="E205" s="385"/>
      <c r="F205" s="385"/>
      <c r="G205" s="385"/>
      <c r="H205" s="385"/>
      <c r="I205" s="385"/>
      <c r="J205" s="385"/>
      <c r="K205" s="385"/>
      <c r="L205" s="385"/>
      <c r="M205" s="385"/>
      <c r="N205" s="385"/>
      <c r="O205" s="385"/>
      <c r="P205" s="385"/>
      <c r="Q205" s="385"/>
      <c r="R205" s="385"/>
      <c r="S205" s="385"/>
      <c r="T205" s="386"/>
      <c r="U205" s="386"/>
      <c r="V205" s="386"/>
      <c r="W205" s="386"/>
      <c r="X205" s="385"/>
    </row>
    <row r="206" spans="1:24" s="312" customFormat="1" ht="15" x14ac:dyDescent="0.25">
      <c r="A206" s="385"/>
      <c r="B206" s="385"/>
      <c r="C206" s="385"/>
      <c r="D206" s="385"/>
      <c r="E206" s="385"/>
      <c r="F206" s="385"/>
      <c r="G206" s="385"/>
      <c r="H206" s="385"/>
      <c r="I206" s="385"/>
      <c r="J206" s="385"/>
      <c r="K206" s="385"/>
      <c r="L206" s="385"/>
      <c r="M206" s="385"/>
      <c r="N206" s="385"/>
      <c r="O206" s="385"/>
      <c r="P206" s="385"/>
      <c r="Q206" s="385"/>
      <c r="R206" s="385"/>
      <c r="S206" s="385"/>
      <c r="T206" s="386"/>
      <c r="U206" s="386"/>
      <c r="V206" s="386"/>
      <c r="W206" s="386"/>
      <c r="X206" s="385"/>
    </row>
    <row r="207" spans="1:24" s="312" customFormat="1" ht="15" x14ac:dyDescent="0.25">
      <c r="A207" s="385"/>
      <c r="B207" s="385"/>
      <c r="C207" s="385"/>
      <c r="D207" s="385"/>
      <c r="E207" s="385"/>
      <c r="F207" s="385"/>
      <c r="G207" s="385"/>
      <c r="H207" s="385"/>
      <c r="I207" s="385"/>
      <c r="J207" s="385"/>
      <c r="K207" s="385"/>
      <c r="L207" s="385"/>
      <c r="M207" s="385"/>
      <c r="N207" s="385"/>
      <c r="O207" s="385"/>
      <c r="P207" s="385"/>
      <c r="Q207" s="385"/>
      <c r="R207" s="385"/>
      <c r="S207" s="385"/>
      <c r="T207" s="386"/>
      <c r="U207" s="386"/>
      <c r="V207" s="386"/>
      <c r="W207" s="386"/>
      <c r="X207" s="385"/>
    </row>
    <row r="208" spans="1:24" s="312" customFormat="1" ht="15" x14ac:dyDescent="0.25">
      <c r="A208" s="385"/>
      <c r="B208" s="385"/>
      <c r="C208" s="385"/>
      <c r="D208" s="385"/>
      <c r="E208" s="385"/>
      <c r="F208" s="385"/>
      <c r="G208" s="385"/>
      <c r="H208" s="385"/>
      <c r="I208" s="385"/>
      <c r="J208" s="385"/>
      <c r="K208" s="385"/>
      <c r="L208" s="385"/>
      <c r="M208" s="385"/>
      <c r="N208" s="385"/>
      <c r="O208" s="385"/>
      <c r="P208" s="385"/>
      <c r="Q208" s="385"/>
      <c r="R208" s="385"/>
      <c r="S208" s="385"/>
      <c r="T208" s="386"/>
      <c r="U208" s="386"/>
      <c r="V208" s="386"/>
      <c r="W208" s="386"/>
      <c r="X208" s="385"/>
    </row>
    <row r="209" spans="1:24" s="312" customFormat="1" ht="15" x14ac:dyDescent="0.25">
      <c r="A209" s="385"/>
      <c r="B209" s="385"/>
      <c r="C209" s="385"/>
      <c r="D209" s="385"/>
      <c r="E209" s="385"/>
      <c r="F209" s="385"/>
      <c r="G209" s="385"/>
      <c r="H209" s="385"/>
      <c r="I209" s="385"/>
      <c r="J209" s="385"/>
      <c r="K209" s="385"/>
      <c r="L209" s="385"/>
      <c r="M209" s="385"/>
      <c r="N209" s="385"/>
      <c r="O209" s="385"/>
      <c r="P209" s="385"/>
      <c r="Q209" s="385"/>
      <c r="R209" s="385"/>
      <c r="S209" s="385"/>
      <c r="T209" s="386"/>
      <c r="U209" s="386"/>
      <c r="V209" s="386"/>
      <c r="W209" s="386"/>
      <c r="X209" s="385"/>
    </row>
    <row r="210" spans="1:24" s="312" customFormat="1" ht="15" x14ac:dyDescent="0.25">
      <c r="A210" s="385"/>
      <c r="B210" s="385"/>
      <c r="C210" s="385"/>
      <c r="D210" s="385"/>
      <c r="E210" s="385"/>
      <c r="F210" s="385"/>
      <c r="G210" s="385"/>
      <c r="H210" s="385"/>
      <c r="I210" s="385"/>
      <c r="J210" s="385"/>
      <c r="K210" s="385"/>
      <c r="L210" s="385"/>
      <c r="M210" s="385"/>
      <c r="N210" s="385"/>
      <c r="O210" s="385"/>
      <c r="P210" s="385"/>
      <c r="Q210" s="385"/>
      <c r="R210" s="385"/>
      <c r="S210" s="385"/>
      <c r="T210" s="386"/>
      <c r="U210" s="386"/>
      <c r="V210" s="386"/>
      <c r="W210" s="386"/>
      <c r="X210" s="385"/>
    </row>
    <row r="211" spans="1:24" s="312" customFormat="1" ht="15" x14ac:dyDescent="0.25">
      <c r="A211" s="385"/>
      <c r="B211" s="385"/>
      <c r="C211" s="385"/>
      <c r="D211" s="385"/>
      <c r="E211" s="385"/>
      <c r="F211" s="385"/>
      <c r="G211" s="385"/>
      <c r="H211" s="385"/>
      <c r="I211" s="385"/>
      <c r="J211" s="385"/>
      <c r="K211" s="385"/>
      <c r="L211" s="385"/>
      <c r="M211" s="385"/>
      <c r="N211" s="385"/>
      <c r="O211" s="385"/>
      <c r="P211" s="385"/>
      <c r="Q211" s="385"/>
      <c r="R211" s="385"/>
      <c r="S211" s="385"/>
      <c r="T211" s="386"/>
      <c r="U211" s="386"/>
      <c r="V211" s="386"/>
      <c r="W211" s="386"/>
      <c r="X211" s="385"/>
    </row>
    <row r="212" spans="1:24" s="312" customFormat="1" ht="15" x14ac:dyDescent="0.25">
      <c r="A212" s="385"/>
      <c r="B212" s="385"/>
      <c r="C212" s="385"/>
      <c r="D212" s="385"/>
      <c r="E212" s="385"/>
      <c r="F212" s="385"/>
      <c r="G212" s="385"/>
      <c r="H212" s="385"/>
      <c r="I212" s="385"/>
      <c r="J212" s="385"/>
      <c r="K212" s="385"/>
      <c r="L212" s="385"/>
      <c r="M212" s="385"/>
      <c r="N212" s="385"/>
      <c r="O212" s="385"/>
      <c r="P212" s="385"/>
      <c r="Q212" s="385"/>
      <c r="R212" s="385"/>
      <c r="S212" s="385"/>
      <c r="T212" s="386"/>
      <c r="U212" s="386"/>
      <c r="V212" s="386"/>
      <c r="W212" s="386"/>
      <c r="X212" s="385"/>
    </row>
    <row r="213" spans="1:24" s="312" customFormat="1" ht="15" x14ac:dyDescent="0.25">
      <c r="A213" s="385"/>
      <c r="B213" s="385"/>
      <c r="C213" s="385"/>
      <c r="D213" s="385"/>
      <c r="E213" s="385"/>
      <c r="F213" s="385"/>
      <c r="G213" s="385"/>
      <c r="H213" s="385"/>
      <c r="I213" s="385"/>
      <c r="J213" s="385"/>
      <c r="K213" s="385"/>
      <c r="L213" s="385"/>
      <c r="M213" s="385"/>
      <c r="N213" s="385"/>
      <c r="O213" s="385"/>
      <c r="P213" s="385"/>
      <c r="Q213" s="385"/>
      <c r="R213" s="385"/>
      <c r="S213" s="385"/>
      <c r="T213" s="386"/>
      <c r="U213" s="386"/>
      <c r="V213" s="386"/>
      <c r="W213" s="386"/>
      <c r="X213" s="385"/>
    </row>
    <row r="214" spans="1:24" s="312" customFormat="1" ht="15" x14ac:dyDescent="0.25">
      <c r="A214" s="385"/>
      <c r="B214" s="385"/>
      <c r="C214" s="385"/>
      <c r="D214" s="385"/>
      <c r="E214" s="385"/>
      <c r="F214" s="385"/>
      <c r="G214" s="385"/>
      <c r="H214" s="385"/>
      <c r="I214" s="385"/>
      <c r="J214" s="385"/>
      <c r="K214" s="385"/>
      <c r="L214" s="385"/>
      <c r="M214" s="385"/>
      <c r="N214" s="385"/>
      <c r="O214" s="385"/>
      <c r="P214" s="385"/>
      <c r="Q214" s="385"/>
      <c r="R214" s="385"/>
      <c r="S214" s="385"/>
      <c r="T214" s="386"/>
      <c r="U214" s="386"/>
      <c r="V214" s="386"/>
      <c r="W214" s="386"/>
      <c r="X214" s="385"/>
    </row>
    <row r="215" spans="1:24" s="312" customFormat="1" ht="15" x14ac:dyDescent="0.25">
      <c r="A215" s="385"/>
      <c r="B215" s="385"/>
      <c r="C215" s="385"/>
      <c r="D215" s="385"/>
      <c r="E215" s="385"/>
      <c r="F215" s="385"/>
      <c r="G215" s="385"/>
      <c r="H215" s="385"/>
      <c r="I215" s="385"/>
      <c r="J215" s="385"/>
      <c r="K215" s="385"/>
      <c r="L215" s="385"/>
      <c r="M215" s="385"/>
      <c r="N215" s="385"/>
      <c r="O215" s="385"/>
      <c r="P215" s="385"/>
      <c r="Q215" s="385"/>
      <c r="R215" s="385"/>
      <c r="S215" s="385"/>
      <c r="T215" s="386"/>
      <c r="U215" s="386"/>
      <c r="V215" s="386"/>
      <c r="W215" s="386"/>
      <c r="X215" s="385"/>
    </row>
    <row r="216" spans="1:24" s="312" customFormat="1" ht="15" x14ac:dyDescent="0.25">
      <c r="A216" s="385"/>
      <c r="B216" s="385"/>
      <c r="C216" s="385"/>
      <c r="D216" s="385"/>
      <c r="E216" s="385"/>
      <c r="F216" s="385"/>
      <c r="G216" s="385"/>
      <c r="H216" s="385"/>
      <c r="I216" s="385"/>
      <c r="J216" s="385"/>
      <c r="K216" s="385"/>
      <c r="L216" s="385"/>
      <c r="M216" s="385"/>
      <c r="N216" s="385"/>
      <c r="O216" s="385"/>
      <c r="P216" s="385"/>
      <c r="Q216" s="385"/>
      <c r="R216" s="385"/>
      <c r="S216" s="385"/>
      <c r="T216" s="386"/>
      <c r="U216" s="386"/>
      <c r="V216" s="386"/>
      <c r="W216" s="386"/>
      <c r="X216" s="385"/>
    </row>
    <row r="217" spans="1:24" s="312" customFormat="1" ht="15" x14ac:dyDescent="0.25">
      <c r="A217" s="385"/>
      <c r="B217" s="385"/>
      <c r="C217" s="385"/>
      <c r="D217" s="385"/>
      <c r="E217" s="385"/>
      <c r="F217" s="385"/>
      <c r="G217" s="385"/>
      <c r="H217" s="385"/>
      <c r="I217" s="385"/>
      <c r="J217" s="385"/>
      <c r="K217" s="385"/>
      <c r="L217" s="385"/>
      <c r="M217" s="385"/>
      <c r="N217" s="385"/>
      <c r="O217" s="385"/>
      <c r="P217" s="385"/>
      <c r="Q217" s="385"/>
      <c r="R217" s="385"/>
      <c r="S217" s="385"/>
      <c r="T217" s="386"/>
      <c r="U217" s="386"/>
      <c r="V217" s="386"/>
      <c r="W217" s="386"/>
      <c r="X217" s="385"/>
    </row>
    <row r="218" spans="1:24" s="312" customFormat="1" ht="15" x14ac:dyDescent="0.25">
      <c r="A218" s="385"/>
      <c r="B218" s="385"/>
      <c r="C218" s="385"/>
      <c r="D218" s="385"/>
      <c r="E218" s="385"/>
      <c r="F218" s="385"/>
      <c r="G218" s="385"/>
      <c r="H218" s="385"/>
      <c r="I218" s="385"/>
      <c r="J218" s="385"/>
      <c r="K218" s="385"/>
      <c r="L218" s="385"/>
      <c r="M218" s="385"/>
      <c r="N218" s="385"/>
      <c r="O218" s="385"/>
      <c r="P218" s="385"/>
      <c r="Q218" s="385"/>
      <c r="R218" s="385"/>
      <c r="S218" s="385"/>
      <c r="T218" s="386"/>
      <c r="U218" s="386"/>
      <c r="V218" s="386"/>
      <c r="W218" s="386"/>
      <c r="X218" s="385"/>
    </row>
    <row r="219" spans="1:24" s="312" customFormat="1" ht="15" x14ac:dyDescent="0.25">
      <c r="A219" s="387"/>
      <c r="B219" s="387"/>
      <c r="C219" s="387"/>
      <c r="D219" s="387"/>
      <c r="E219" s="387"/>
      <c r="F219" s="387"/>
      <c r="G219" s="386"/>
      <c r="H219" s="386"/>
      <c r="I219" s="386"/>
      <c r="J219" s="386"/>
      <c r="K219" s="386"/>
      <c r="L219" s="386"/>
      <c r="M219" s="386"/>
      <c r="N219" s="386"/>
      <c r="O219" s="386"/>
      <c r="P219" s="386"/>
      <c r="Q219" s="386"/>
      <c r="R219" s="386"/>
      <c r="S219" s="386"/>
      <c r="T219" s="386"/>
      <c r="U219" s="386"/>
      <c r="V219" s="386"/>
      <c r="W219" s="386"/>
      <c r="X219" s="385"/>
    </row>
    <row r="220" spans="1:24" s="312" customFormat="1" ht="15" x14ac:dyDescent="0.25">
      <c r="A220" s="387"/>
      <c r="B220" s="387"/>
      <c r="C220" s="387"/>
      <c r="D220" s="387"/>
      <c r="E220" s="387"/>
      <c r="F220" s="387"/>
      <c r="G220" s="386"/>
      <c r="H220" s="386"/>
      <c r="I220" s="386"/>
      <c r="J220" s="386"/>
      <c r="K220" s="386"/>
      <c r="L220" s="386"/>
      <c r="M220" s="386"/>
      <c r="N220" s="386"/>
      <c r="O220" s="386"/>
      <c r="P220" s="386"/>
      <c r="Q220" s="386"/>
      <c r="R220" s="386"/>
      <c r="S220" s="386"/>
      <c r="T220" s="386"/>
      <c r="U220" s="386"/>
      <c r="V220" s="386"/>
      <c r="W220" s="386"/>
      <c r="X220" s="385"/>
    </row>
    <row r="221" spans="1:24" s="312" customFormat="1" ht="15" x14ac:dyDescent="0.25">
      <c r="A221" s="387"/>
      <c r="B221" s="387"/>
      <c r="C221" s="387"/>
      <c r="D221" s="387"/>
      <c r="E221" s="387"/>
      <c r="F221" s="387"/>
      <c r="G221" s="386"/>
      <c r="H221" s="386"/>
      <c r="I221" s="386"/>
      <c r="J221" s="386"/>
      <c r="K221" s="386"/>
      <c r="L221" s="386"/>
      <c r="M221" s="386"/>
      <c r="N221" s="386"/>
      <c r="O221" s="386"/>
      <c r="P221" s="386"/>
      <c r="Q221" s="386"/>
      <c r="R221" s="386"/>
      <c r="S221" s="386"/>
      <c r="T221" s="386"/>
      <c r="U221" s="386"/>
      <c r="V221" s="386"/>
      <c r="W221" s="386"/>
      <c r="X221" s="385"/>
    </row>
    <row r="222" spans="1:24" s="312" customFormat="1" ht="15" x14ac:dyDescent="0.25">
      <c r="A222" s="387"/>
      <c r="B222" s="387"/>
      <c r="C222" s="387"/>
      <c r="D222" s="387"/>
      <c r="E222" s="387"/>
      <c r="F222" s="387"/>
      <c r="G222" s="386"/>
      <c r="H222" s="386"/>
      <c r="I222" s="386"/>
      <c r="J222" s="386"/>
      <c r="K222" s="386"/>
      <c r="L222" s="386"/>
      <c r="M222" s="386"/>
      <c r="N222" s="386"/>
      <c r="O222" s="386"/>
      <c r="P222" s="386"/>
      <c r="Q222" s="386"/>
      <c r="R222" s="386"/>
      <c r="S222" s="386"/>
      <c r="T222" s="386"/>
      <c r="U222" s="386"/>
      <c r="V222" s="386"/>
      <c r="W222" s="386"/>
      <c r="X222" s="385"/>
    </row>
    <row r="223" spans="1:24" s="312" customFormat="1" ht="15" x14ac:dyDescent="0.25">
      <c r="A223" s="387"/>
      <c r="B223" s="387"/>
      <c r="C223" s="387"/>
      <c r="D223" s="387"/>
      <c r="E223" s="387"/>
      <c r="F223" s="387"/>
      <c r="G223" s="386"/>
      <c r="H223" s="386"/>
      <c r="I223" s="386"/>
      <c r="J223" s="386"/>
      <c r="K223" s="386"/>
      <c r="L223" s="386"/>
      <c r="M223" s="386"/>
      <c r="N223" s="386"/>
      <c r="O223" s="386"/>
      <c r="P223" s="386"/>
      <c r="Q223" s="386"/>
      <c r="R223" s="386"/>
      <c r="S223" s="386"/>
      <c r="T223" s="386"/>
      <c r="U223" s="386"/>
      <c r="V223" s="386"/>
      <c r="W223" s="386"/>
      <c r="X223" s="385"/>
    </row>
    <row r="224" spans="1:24" s="312" customFormat="1" ht="15" x14ac:dyDescent="0.25">
      <c r="A224" s="387"/>
      <c r="B224" s="387"/>
      <c r="C224" s="387"/>
      <c r="D224" s="387"/>
      <c r="E224" s="387"/>
      <c r="F224" s="387"/>
      <c r="G224" s="386"/>
      <c r="H224" s="386"/>
      <c r="I224" s="386"/>
      <c r="J224" s="386"/>
      <c r="K224" s="386"/>
      <c r="L224" s="386"/>
      <c r="M224" s="386"/>
      <c r="N224" s="386"/>
      <c r="O224" s="386"/>
      <c r="P224" s="386"/>
      <c r="Q224" s="386"/>
      <c r="R224" s="386"/>
      <c r="S224" s="386"/>
      <c r="T224" s="386"/>
      <c r="U224" s="386"/>
      <c r="V224" s="386"/>
      <c r="W224" s="386"/>
      <c r="X224" s="385"/>
    </row>
    <row r="225" spans="1:24" s="312" customFormat="1" ht="15" x14ac:dyDescent="0.25">
      <c r="A225" s="387"/>
      <c r="B225" s="387"/>
      <c r="C225" s="387"/>
      <c r="D225" s="387"/>
      <c r="E225" s="387"/>
      <c r="F225" s="387"/>
      <c r="G225" s="386"/>
      <c r="H225" s="386"/>
      <c r="I225" s="386"/>
      <c r="J225" s="386"/>
      <c r="K225" s="386"/>
      <c r="L225" s="386"/>
      <c r="M225" s="386"/>
      <c r="N225" s="386"/>
      <c r="O225" s="386"/>
      <c r="P225" s="386"/>
      <c r="Q225" s="386"/>
      <c r="R225" s="386"/>
      <c r="S225" s="386"/>
      <c r="T225" s="386"/>
      <c r="U225" s="386"/>
      <c r="V225" s="386"/>
      <c r="W225" s="386"/>
      <c r="X225" s="385"/>
    </row>
    <row r="226" spans="1:24" s="312" customFormat="1" ht="15" x14ac:dyDescent="0.25">
      <c r="A226" s="387"/>
      <c r="B226" s="387"/>
      <c r="C226" s="387"/>
      <c r="D226" s="387"/>
      <c r="E226" s="387"/>
      <c r="F226" s="387"/>
      <c r="G226" s="386"/>
      <c r="H226" s="386"/>
      <c r="I226" s="386"/>
      <c r="J226" s="386"/>
      <c r="K226" s="386"/>
      <c r="L226" s="386"/>
      <c r="M226" s="386"/>
      <c r="N226" s="386"/>
      <c r="O226" s="386"/>
      <c r="P226" s="386"/>
      <c r="Q226" s="386"/>
      <c r="R226" s="386"/>
      <c r="S226" s="386"/>
      <c r="T226" s="386"/>
      <c r="U226" s="386"/>
      <c r="V226" s="386"/>
      <c r="W226" s="386"/>
      <c r="X226" s="385"/>
    </row>
    <row r="227" spans="1:24" s="312" customFormat="1" ht="15" x14ac:dyDescent="0.25">
      <c r="A227" s="387"/>
      <c r="B227" s="387"/>
      <c r="C227" s="387"/>
      <c r="D227" s="387"/>
      <c r="E227" s="387"/>
      <c r="F227" s="387"/>
      <c r="G227" s="386"/>
      <c r="H227" s="386"/>
      <c r="I227" s="386"/>
      <c r="J227" s="386"/>
      <c r="K227" s="386"/>
      <c r="L227" s="386"/>
      <c r="M227" s="386"/>
      <c r="N227" s="386"/>
      <c r="O227" s="386"/>
      <c r="P227" s="386"/>
      <c r="Q227" s="386"/>
      <c r="R227" s="386"/>
      <c r="S227" s="386"/>
      <c r="T227" s="386"/>
      <c r="U227" s="386"/>
      <c r="V227" s="386"/>
      <c r="W227" s="386"/>
      <c r="X227" s="385"/>
    </row>
    <row r="228" spans="1:24" s="312" customFormat="1" ht="15" x14ac:dyDescent="0.25">
      <c r="A228" s="387"/>
      <c r="B228" s="387"/>
      <c r="C228" s="387"/>
      <c r="D228" s="387"/>
      <c r="E228" s="387"/>
      <c r="F228" s="387"/>
      <c r="G228" s="386"/>
      <c r="H228" s="386"/>
      <c r="I228" s="386"/>
      <c r="J228" s="386"/>
      <c r="K228" s="386"/>
      <c r="L228" s="386"/>
      <c r="M228" s="386"/>
      <c r="N228" s="386"/>
      <c r="O228" s="386"/>
      <c r="P228" s="386"/>
      <c r="Q228" s="386"/>
      <c r="R228" s="386"/>
      <c r="S228" s="386"/>
      <c r="T228" s="386"/>
      <c r="U228" s="386"/>
      <c r="V228" s="386"/>
      <c r="W228" s="386"/>
      <c r="X228" s="385"/>
    </row>
    <row r="229" spans="1:24" s="312" customFormat="1" ht="15" x14ac:dyDescent="0.25">
      <c r="A229" s="387"/>
      <c r="B229" s="387"/>
      <c r="C229" s="387"/>
      <c r="D229" s="387"/>
      <c r="E229" s="387"/>
      <c r="F229" s="387"/>
      <c r="G229" s="386"/>
      <c r="H229" s="386"/>
      <c r="I229" s="386"/>
      <c r="J229" s="386"/>
      <c r="K229" s="386"/>
      <c r="L229" s="386"/>
      <c r="M229" s="386"/>
      <c r="N229" s="386"/>
      <c r="O229" s="386"/>
      <c r="P229" s="386"/>
      <c r="Q229" s="386"/>
      <c r="R229" s="386"/>
      <c r="S229" s="386"/>
      <c r="T229" s="386"/>
      <c r="U229" s="386"/>
      <c r="V229" s="386"/>
      <c r="W229" s="386"/>
      <c r="X229" s="385"/>
    </row>
    <row r="230" spans="1:24" s="312" customFormat="1" ht="15" x14ac:dyDescent="0.25">
      <c r="A230" s="387"/>
      <c r="B230" s="387"/>
      <c r="C230" s="387"/>
      <c r="D230" s="387"/>
      <c r="E230" s="387"/>
      <c r="F230" s="387"/>
      <c r="G230" s="386"/>
      <c r="H230" s="386"/>
      <c r="I230" s="386"/>
      <c r="J230" s="386"/>
      <c r="K230" s="386"/>
      <c r="L230" s="386"/>
      <c r="M230" s="386"/>
      <c r="N230" s="386"/>
      <c r="O230" s="386"/>
      <c r="P230" s="386"/>
      <c r="Q230" s="386"/>
      <c r="R230" s="386"/>
      <c r="S230" s="386"/>
      <c r="T230" s="386"/>
      <c r="U230" s="386"/>
      <c r="V230" s="386"/>
      <c r="W230" s="386"/>
      <c r="X230" s="385"/>
    </row>
    <row r="231" spans="1:24" s="312" customFormat="1" ht="15" x14ac:dyDescent="0.25">
      <c r="A231" s="387"/>
      <c r="B231" s="387"/>
      <c r="C231" s="387"/>
      <c r="D231" s="387"/>
      <c r="E231" s="387"/>
      <c r="F231" s="387"/>
      <c r="G231" s="386"/>
      <c r="H231" s="386"/>
      <c r="I231" s="386"/>
      <c r="J231" s="386"/>
      <c r="K231" s="386"/>
      <c r="L231" s="386"/>
      <c r="M231" s="386"/>
      <c r="N231" s="386"/>
      <c r="O231" s="386"/>
      <c r="P231" s="386"/>
      <c r="Q231" s="386"/>
      <c r="R231" s="386"/>
      <c r="S231" s="386"/>
      <c r="T231" s="386"/>
      <c r="U231" s="386"/>
      <c r="V231" s="386"/>
      <c r="W231" s="386"/>
      <c r="X231" s="385"/>
    </row>
    <row r="232" spans="1:24" s="312" customFormat="1" ht="15" x14ac:dyDescent="0.25">
      <c r="A232" s="387"/>
      <c r="B232" s="387"/>
      <c r="C232" s="387"/>
      <c r="D232" s="387"/>
      <c r="E232" s="387"/>
      <c r="F232" s="387"/>
      <c r="G232" s="386"/>
      <c r="H232" s="386"/>
      <c r="I232" s="386"/>
      <c r="J232" s="386"/>
      <c r="K232" s="386"/>
      <c r="L232" s="386"/>
      <c r="M232" s="386"/>
      <c r="N232" s="386"/>
      <c r="O232" s="386"/>
      <c r="P232" s="386"/>
      <c r="Q232" s="386"/>
      <c r="R232" s="386"/>
      <c r="S232" s="386"/>
      <c r="T232" s="386"/>
      <c r="U232" s="386"/>
      <c r="V232" s="386"/>
      <c r="W232" s="386"/>
      <c r="X232" s="385"/>
    </row>
    <row r="233" spans="1:24" s="312" customFormat="1" ht="15" x14ac:dyDescent="0.25">
      <c r="A233" s="387"/>
      <c r="B233" s="387"/>
      <c r="C233" s="387"/>
      <c r="D233" s="387"/>
      <c r="E233" s="387"/>
      <c r="F233" s="387"/>
      <c r="G233" s="386"/>
      <c r="H233" s="386"/>
      <c r="I233" s="386"/>
      <c r="J233" s="386"/>
      <c r="K233" s="386"/>
      <c r="L233" s="386"/>
      <c r="M233" s="386"/>
      <c r="N233" s="386"/>
      <c r="O233" s="386"/>
      <c r="P233" s="386"/>
      <c r="Q233" s="386"/>
      <c r="R233" s="386"/>
      <c r="S233" s="386"/>
      <c r="T233" s="386"/>
      <c r="U233" s="386"/>
      <c r="V233" s="386"/>
      <c r="W233" s="386"/>
      <c r="X233" s="385"/>
    </row>
    <row r="234" spans="1:24" s="312" customFormat="1" ht="15" x14ac:dyDescent="0.25">
      <c r="A234" s="387"/>
      <c r="B234" s="387"/>
      <c r="C234" s="387"/>
      <c r="D234" s="387"/>
      <c r="E234" s="387"/>
      <c r="F234" s="387"/>
      <c r="G234" s="386"/>
      <c r="H234" s="386"/>
      <c r="I234" s="386"/>
      <c r="J234" s="386"/>
      <c r="K234" s="386"/>
      <c r="L234" s="386"/>
      <c r="M234" s="386"/>
      <c r="N234" s="386"/>
      <c r="O234" s="386"/>
      <c r="P234" s="386"/>
      <c r="Q234" s="386"/>
      <c r="R234" s="386"/>
      <c r="S234" s="386"/>
      <c r="T234" s="386"/>
      <c r="U234" s="386"/>
      <c r="V234" s="386"/>
      <c r="W234" s="386"/>
      <c r="X234" s="385"/>
    </row>
    <row r="235" spans="1:24" s="312" customFormat="1" ht="15" x14ac:dyDescent="0.25">
      <c r="A235" s="387"/>
      <c r="B235" s="387"/>
      <c r="C235" s="387"/>
      <c r="D235" s="387"/>
      <c r="E235" s="387"/>
      <c r="F235" s="387"/>
      <c r="G235" s="386"/>
      <c r="H235" s="386"/>
      <c r="I235" s="386"/>
      <c r="J235" s="386"/>
      <c r="K235" s="386"/>
      <c r="L235" s="386"/>
      <c r="M235" s="386"/>
      <c r="N235" s="386"/>
      <c r="O235" s="386"/>
      <c r="P235" s="386"/>
      <c r="Q235" s="386"/>
      <c r="R235" s="386"/>
      <c r="S235" s="386"/>
      <c r="T235" s="386"/>
      <c r="U235" s="386"/>
      <c r="V235" s="386"/>
      <c r="W235" s="386"/>
      <c r="X235" s="385"/>
    </row>
    <row r="236" spans="1:24" s="312" customFormat="1" ht="15" x14ac:dyDescent="0.25">
      <c r="A236" s="387"/>
      <c r="B236" s="387"/>
      <c r="C236" s="387"/>
      <c r="D236" s="387"/>
      <c r="E236" s="387"/>
      <c r="F236" s="387"/>
      <c r="G236" s="386"/>
      <c r="H236" s="386"/>
      <c r="I236" s="386"/>
      <c r="J236" s="386"/>
      <c r="K236" s="386"/>
      <c r="L236" s="386"/>
      <c r="M236" s="386"/>
      <c r="N236" s="386"/>
      <c r="O236" s="386"/>
      <c r="P236" s="386"/>
      <c r="Q236" s="386"/>
      <c r="R236" s="386"/>
      <c r="S236" s="386"/>
      <c r="T236" s="386"/>
      <c r="U236" s="386"/>
      <c r="V236" s="386"/>
      <c r="W236" s="386"/>
      <c r="X236" s="385"/>
    </row>
    <row r="237" spans="1:24" s="312" customFormat="1" ht="15" x14ac:dyDescent="0.25">
      <c r="A237" s="387"/>
      <c r="B237" s="387"/>
      <c r="C237" s="387"/>
      <c r="D237" s="387"/>
      <c r="E237" s="387"/>
      <c r="F237" s="387"/>
      <c r="G237" s="386"/>
      <c r="H237" s="386"/>
      <c r="I237" s="386"/>
      <c r="J237" s="386"/>
      <c r="K237" s="386"/>
      <c r="L237" s="386"/>
      <c r="M237" s="386"/>
      <c r="N237" s="386"/>
      <c r="O237" s="386"/>
      <c r="P237" s="386"/>
      <c r="Q237" s="386"/>
      <c r="R237" s="386"/>
      <c r="S237" s="386"/>
      <c r="T237" s="386"/>
      <c r="U237" s="386"/>
      <c r="V237" s="386"/>
      <c r="W237" s="386"/>
      <c r="X237" s="385"/>
    </row>
    <row r="238" spans="1:24" s="312" customFormat="1" ht="15" x14ac:dyDescent="0.25">
      <c r="A238" s="387"/>
      <c r="B238" s="387"/>
      <c r="C238" s="387"/>
      <c r="D238" s="387"/>
      <c r="E238" s="387"/>
      <c r="F238" s="387"/>
      <c r="G238" s="386"/>
      <c r="H238" s="386"/>
      <c r="I238" s="386"/>
      <c r="J238" s="386"/>
      <c r="K238" s="386"/>
      <c r="L238" s="386"/>
      <c r="M238" s="386"/>
      <c r="N238" s="386"/>
      <c r="O238" s="386"/>
      <c r="P238" s="386"/>
      <c r="Q238" s="386"/>
      <c r="R238" s="386"/>
      <c r="S238" s="386"/>
      <c r="T238" s="386"/>
      <c r="U238" s="386"/>
      <c r="V238" s="386"/>
      <c r="W238" s="386"/>
      <c r="X238" s="385"/>
    </row>
    <row r="239" spans="1:24" s="312" customFormat="1" ht="15" x14ac:dyDescent="0.25">
      <c r="A239" s="387"/>
      <c r="B239" s="387"/>
      <c r="C239" s="387"/>
      <c r="D239" s="387"/>
      <c r="E239" s="387"/>
      <c r="F239" s="387"/>
      <c r="G239" s="386"/>
      <c r="H239" s="386"/>
      <c r="I239" s="386"/>
      <c r="J239" s="386"/>
      <c r="K239" s="386"/>
      <c r="L239" s="386"/>
      <c r="M239" s="386"/>
      <c r="N239" s="386"/>
      <c r="O239" s="386"/>
      <c r="P239" s="386"/>
      <c r="Q239" s="386"/>
      <c r="R239" s="386"/>
      <c r="S239" s="386"/>
      <c r="T239" s="386"/>
      <c r="U239" s="386"/>
      <c r="V239" s="386"/>
      <c r="W239" s="386"/>
      <c r="X239" s="385"/>
    </row>
    <row r="240" spans="1:24" s="312" customFormat="1" ht="15" x14ac:dyDescent="0.25">
      <c r="A240" s="387"/>
      <c r="B240" s="387"/>
      <c r="C240" s="387"/>
      <c r="D240" s="387"/>
      <c r="E240" s="387"/>
      <c r="F240" s="387"/>
      <c r="G240" s="386"/>
      <c r="H240" s="386"/>
      <c r="I240" s="386"/>
      <c r="J240" s="386"/>
      <c r="K240" s="386"/>
      <c r="L240" s="386"/>
      <c r="M240" s="386"/>
      <c r="N240" s="386"/>
      <c r="O240" s="386"/>
      <c r="P240" s="386"/>
      <c r="Q240" s="386"/>
      <c r="R240" s="386"/>
      <c r="S240" s="386"/>
      <c r="T240" s="386"/>
      <c r="U240" s="386"/>
      <c r="V240" s="386"/>
      <c r="W240" s="386"/>
      <c r="X240" s="385"/>
    </row>
    <row r="241" spans="2:7" s="312" customFormat="1" x14ac:dyDescent="0.25">
      <c r="B241" s="388"/>
      <c r="C241" s="388"/>
      <c r="D241" s="301"/>
      <c r="E241" s="301"/>
      <c r="G241" s="310"/>
    </row>
    <row r="242" spans="2:7" s="312" customFormat="1" x14ac:dyDescent="0.25">
      <c r="B242" s="388"/>
      <c r="C242" s="388"/>
      <c r="D242" s="301"/>
      <c r="E242" s="301"/>
      <c r="G242" s="310"/>
    </row>
  </sheetData>
  <conditionalFormatting sqref="AA17">
    <cfRule type="expression" dxfId="2783" priority="5">
      <formula>COUNTIF($AB$17:$AF$17,"prawda")=5</formula>
    </cfRule>
    <cfRule type="expression" dxfId="2782" priority="6">
      <formula>COUNTIF($AB$17:$AF$17,"fałsz")&gt;0</formula>
    </cfRule>
  </conditionalFormatting>
  <conditionalFormatting sqref="C1:M1">
    <cfRule type="expression" dxfId="2781" priority="3">
      <formula>COUNTIF($C$1,"*nie zgadzają się*")&gt;0</formula>
    </cfRule>
    <cfRule type="expression" dxfId="2780" priority="4">
      <formula>COUNTIF($C$1,"*tabeli zgadzają się*")&gt;0</formula>
    </cfRule>
  </conditionalFormatting>
  <conditionalFormatting sqref="AB17:AF17">
    <cfRule type="expression" dxfId="2779" priority="1">
      <formula>COUNTIF(AB17,"prawda")&gt;0</formula>
    </cfRule>
    <cfRule type="expression" dxfId="2778" priority="2">
      <formula>COUNTIF(AB17,"fałsz")&gt;0</formula>
    </cfRule>
  </conditionalFormatting>
  <pageMargins left="0.19685039370078741" right="0.19685039370078741" top="0.59055118110236227" bottom="0.59055118110236227" header="0.19685039370078741" footer="0.19685039370078741"/>
  <pageSetup paperSize="9" scale="75" orientation="landscape" horizontalDpi="4294967293" verticalDpi="4294967293" r:id="rId3"/>
  <headerFooter>
    <oddFooter>&amp;R&amp;P /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0E395-2CA6-432D-80B7-CADA26BD4553}">
  <sheetPr>
    <tabColor rgb="FFCCFF99"/>
  </sheetPr>
  <dimension ref="A1:U179"/>
  <sheetViews>
    <sheetView view="pageBreakPreview" zoomScaleNormal="100" zoomScaleSheetLayoutView="100" workbookViewId="0">
      <pane ySplit="5" topLeftCell="A6" activePane="bottomLeft" state="frozen"/>
      <selection activeCell="B7" sqref="B7"/>
      <selection pane="bottomLeft" activeCell="B7" sqref="B7"/>
    </sheetView>
  </sheetViews>
  <sheetFormatPr defaultColWidth="9.140625" defaultRowHeight="15" x14ac:dyDescent="0.25"/>
  <cols>
    <col min="1" max="1" width="16.140625" style="341" customWidth="1"/>
    <col min="2" max="2" width="16" style="341" bestFit="1" customWidth="1"/>
    <col min="3" max="3" width="7.85546875" style="342" customWidth="1"/>
    <col min="4" max="4" width="7" style="342" customWidth="1"/>
    <col min="5" max="5" width="38.140625" style="341" bestFit="1" customWidth="1"/>
    <col min="6" max="7" width="11.42578125" style="341" customWidth="1"/>
    <col min="8" max="12" width="11.42578125" style="360" customWidth="1"/>
    <col min="13" max="13" width="15.7109375" style="360" customWidth="1"/>
    <col min="14" max="14" width="16.7109375" style="344" customWidth="1"/>
    <col min="15" max="15" width="9.85546875" style="344" customWidth="1"/>
    <col min="16" max="16" width="12.140625" style="344" customWidth="1"/>
    <col min="17" max="17" width="11.85546875" style="344" customWidth="1"/>
    <col min="18" max="18" width="8.85546875" style="344" bestFit="1" customWidth="1"/>
    <col min="19" max="20" width="9.140625" style="344"/>
    <col min="21" max="16384" width="9.140625" style="341"/>
  </cols>
  <sheetData>
    <row r="1" spans="1:21" s="336" customFormat="1" x14ac:dyDescent="0.25">
      <c r="A1" s="335" t="s">
        <v>464</v>
      </c>
      <c r="C1" s="337"/>
      <c r="D1" s="337"/>
      <c r="H1" s="338"/>
      <c r="I1" s="338"/>
      <c r="J1" s="338"/>
      <c r="K1" s="338"/>
      <c r="L1" s="338"/>
      <c r="M1" s="339" t="s">
        <v>264</v>
      </c>
      <c r="N1" s="340">
        <f t="shared" ref="N1:T1" si="0">COUNTIF(N6:N179,"&gt;=0,01")+COUNTIF(N6:N179,"&lt;=-0,01")+COUNTIFS(N6:N179,"#N/D!",F6:F179,"&gt;0")</f>
        <v>0</v>
      </c>
      <c r="O1" s="340">
        <f t="shared" si="0"/>
        <v>0</v>
      </c>
      <c r="P1" s="340">
        <f t="shared" si="0"/>
        <v>0</v>
      </c>
      <c r="Q1" s="340">
        <f t="shared" si="0"/>
        <v>0</v>
      </c>
      <c r="R1" s="340">
        <f t="shared" si="0"/>
        <v>0</v>
      </c>
      <c r="S1" s="340">
        <f t="shared" si="0"/>
        <v>0</v>
      </c>
      <c r="T1" s="340">
        <f t="shared" si="0"/>
        <v>0</v>
      </c>
    </row>
    <row r="2" spans="1:21" x14ac:dyDescent="0.25">
      <c r="E2" s="297" t="s">
        <v>224</v>
      </c>
      <c r="F2" s="325">
        <f t="shared" ref="F2:L2" si="1">SUMIF($E$6:$E$179,"*w tym*",F$6:F$179)</f>
        <v>213864077</v>
      </c>
      <c r="G2" s="325">
        <f t="shared" si="1"/>
        <v>57305405</v>
      </c>
      <c r="H2" s="325">
        <f t="shared" si="1"/>
        <v>44435549</v>
      </c>
      <c r="I2" s="325">
        <f t="shared" si="1"/>
        <v>56727923</v>
      </c>
      <c r="J2" s="325">
        <f t="shared" si="1"/>
        <v>39935815</v>
      </c>
      <c r="K2" s="325">
        <f t="shared" si="1"/>
        <v>15459385</v>
      </c>
      <c r="L2" s="325">
        <f t="shared" si="1"/>
        <v>0</v>
      </c>
      <c r="M2" s="343"/>
      <c r="N2" s="344">
        <f>ROUND('tp inwestycje do spr.'!F4-F2,2)</f>
        <v>0</v>
      </c>
      <c r="O2" s="344">
        <f>ROUND('tp inwestycje do spr.'!G4-G2,2)</f>
        <v>0</v>
      </c>
      <c r="P2" s="344">
        <f>ROUND('tp inwestycje do spr.'!H4-H2,2)</f>
        <v>0</v>
      </c>
      <c r="Q2" s="344">
        <f>ROUND('tp inwestycje do spr.'!I4-I2,2)</f>
        <v>0</v>
      </c>
      <c r="R2" s="344">
        <f>ROUND('tp inwestycje do spr.'!J4-J2,2)</f>
        <v>0</v>
      </c>
      <c r="S2" s="344">
        <f>ROUND('tp inwestycje do spr.'!K4-K2,2)</f>
        <v>0</v>
      </c>
      <c r="T2" s="344">
        <f>ROUND('tp inwestycje do spr.'!L4-L2,2)</f>
        <v>0</v>
      </c>
    </row>
    <row r="3" spans="1:21" x14ac:dyDescent="0.25">
      <c r="E3" s="297" t="s">
        <v>225</v>
      </c>
      <c r="F3" s="298">
        <f t="shared" ref="F3:L3" si="2">SUMIF($E$6:$E$179,"*/PM*",F$6:F$179)</f>
        <v>108395766</v>
      </c>
      <c r="G3" s="298">
        <f t="shared" si="2"/>
        <v>0</v>
      </c>
      <c r="H3" s="298">
        <f t="shared" si="2"/>
        <v>0</v>
      </c>
      <c r="I3" s="298">
        <f t="shared" si="2"/>
        <v>53023136</v>
      </c>
      <c r="J3" s="298">
        <f t="shared" si="2"/>
        <v>39913245</v>
      </c>
      <c r="K3" s="298">
        <f t="shared" si="2"/>
        <v>15459385</v>
      </c>
      <c r="L3" s="298">
        <f t="shared" si="2"/>
        <v>0</v>
      </c>
      <c r="M3" s="343"/>
      <c r="N3" s="344">
        <f>ROUND('tp inwestycje do spr.'!F5-F3,2)</f>
        <v>0</v>
      </c>
      <c r="O3" s="344">
        <f>ROUND('tp inwestycje do spr.'!G5-G3,2)</f>
        <v>0</v>
      </c>
      <c r="P3" s="344">
        <f>ROUND('tp inwestycje do spr.'!H5-H3,2)</f>
        <v>0</v>
      </c>
      <c r="Q3" s="344">
        <f>ROUND('tp inwestycje do spr.'!I5-I3,2)</f>
        <v>0</v>
      </c>
      <c r="R3" s="344">
        <f>ROUND('tp inwestycje do spr.'!J5-J3,2)</f>
        <v>0</v>
      </c>
      <c r="S3" s="344">
        <f>ROUND('tp inwestycje do spr.'!K5-K3,2)</f>
        <v>0</v>
      </c>
      <c r="T3" s="344">
        <f>ROUND('tp inwestycje do spr.'!L5-L3,2)</f>
        <v>0</v>
      </c>
    </row>
    <row r="4" spans="1:21" x14ac:dyDescent="0.25">
      <c r="E4" s="297" t="s">
        <v>226</v>
      </c>
      <c r="F4" s="298">
        <f t="shared" ref="F4:L4" si="3">SUMIF($E$6:$E$179,"*/UM*",F$6:F$179)</f>
        <v>105468311</v>
      </c>
      <c r="G4" s="298">
        <f t="shared" si="3"/>
        <v>57305405</v>
      </c>
      <c r="H4" s="298">
        <f t="shared" si="3"/>
        <v>44435549</v>
      </c>
      <c r="I4" s="298">
        <f t="shared" si="3"/>
        <v>3704787</v>
      </c>
      <c r="J4" s="298">
        <f t="shared" si="3"/>
        <v>22570</v>
      </c>
      <c r="K4" s="298">
        <f t="shared" si="3"/>
        <v>0</v>
      </c>
      <c r="L4" s="298">
        <f t="shared" si="3"/>
        <v>0</v>
      </c>
      <c r="M4" s="343"/>
      <c r="N4" s="344">
        <f>ROUND('tp inwestycje do spr.'!F6-F4,2)</f>
        <v>0</v>
      </c>
      <c r="O4" s="344">
        <f>ROUND('tp inwestycje do spr.'!G6-G4,2)</f>
        <v>0</v>
      </c>
      <c r="P4" s="344">
        <f>ROUND('tp inwestycje do spr.'!H6-H4,2)</f>
        <v>0</v>
      </c>
      <c r="Q4" s="344">
        <f>ROUND('tp inwestycje do spr.'!I6-I4,2)</f>
        <v>0</v>
      </c>
      <c r="R4" s="344">
        <f>ROUND('tp inwestycje do spr.'!J6-J4,2)</f>
        <v>0</v>
      </c>
      <c r="S4" s="344">
        <f>ROUND('tp inwestycje do spr.'!K6-K4,2)</f>
        <v>0</v>
      </c>
      <c r="T4" s="344">
        <f>ROUND('tp inwestycje do spr.'!L6-L4,2)</f>
        <v>0</v>
      </c>
    </row>
    <row r="5" spans="1:21" s="351" customFormat="1" ht="45.75" thickBot="1" x14ac:dyDescent="0.3">
      <c r="A5" s="345" t="s">
        <v>265</v>
      </c>
      <c r="B5" s="346" t="s">
        <v>266</v>
      </c>
      <c r="C5" s="346" t="s">
        <v>267</v>
      </c>
      <c r="D5" s="346" t="s">
        <v>62</v>
      </c>
      <c r="E5" s="346" t="s">
        <v>268</v>
      </c>
      <c r="F5" s="346" t="s">
        <v>86</v>
      </c>
      <c r="G5" s="346" t="s">
        <v>87</v>
      </c>
      <c r="H5" s="347" t="s">
        <v>269</v>
      </c>
      <c r="I5" s="347" t="s">
        <v>270</v>
      </c>
      <c r="J5" s="347" t="s">
        <v>271</v>
      </c>
      <c r="K5" s="347" t="s">
        <v>272</v>
      </c>
      <c r="L5" s="347" t="s">
        <v>395</v>
      </c>
      <c r="M5" s="348" t="s">
        <v>273</v>
      </c>
      <c r="N5" s="350" t="s">
        <v>86</v>
      </c>
      <c r="O5" s="349" t="s">
        <v>87</v>
      </c>
      <c r="P5" s="350" t="s">
        <v>269</v>
      </c>
      <c r="Q5" s="350" t="s">
        <v>270</v>
      </c>
      <c r="R5" s="350" t="s">
        <v>271</v>
      </c>
      <c r="S5" s="350" t="s">
        <v>272</v>
      </c>
      <c r="T5" s="350" t="s">
        <v>395</v>
      </c>
      <c r="U5" s="395" t="s">
        <v>463</v>
      </c>
    </row>
    <row r="6" spans="1:21" x14ac:dyDescent="0.25">
      <c r="A6" s="352" t="s">
        <v>102</v>
      </c>
      <c r="B6" s="352" t="s">
        <v>92</v>
      </c>
      <c r="C6" s="353" t="s">
        <v>274</v>
      </c>
      <c r="D6" s="353" t="s">
        <v>242</v>
      </c>
      <c r="E6" s="352" t="s">
        <v>275</v>
      </c>
      <c r="F6" s="354">
        <v>4810713</v>
      </c>
      <c r="G6" s="354">
        <v>3550900</v>
      </c>
      <c r="H6" s="354">
        <v>0</v>
      </c>
      <c r="I6" s="354">
        <v>215642</v>
      </c>
      <c r="J6" s="354">
        <v>1044171</v>
      </c>
      <c r="K6" s="354">
        <v>0</v>
      </c>
      <c r="L6" s="354"/>
      <c r="M6" s="355"/>
      <c r="N6" s="344">
        <f>IF(A6="","",ROUND(SUMIFS('tp inwestycje do spr.'!F$7:F$250,'tp inwestycje do spr.'!$A$7:$A$250,$B6,'tp inwestycje do spr.'!$C$7:$C$250,$C6,'tp inwestycje do spr.'!$D$7:$D$250,$D6,'tp inwestycje do spr.'!$E$7:$E$250,$A6)-F6,2))</f>
        <v>0</v>
      </c>
      <c r="O6" s="344">
        <f>IF(B6="","",ROUND(SUMIFS('tp inwestycje do spr.'!G$7:G$250,'tp inwestycje do spr.'!$A$7:$A$250,$B6,'tp inwestycje do spr.'!$C$7:$C$250,$C6,'tp inwestycje do spr.'!$D$7:$D$250,$D6,'tp inwestycje do spr.'!$E$7:$E$250,$A6)-G6,2))</f>
        <v>0</v>
      </c>
      <c r="P6" s="344">
        <f>IF(C6="","",ROUND(SUMIFS('tp inwestycje do spr.'!H$7:H$250,'tp inwestycje do spr.'!$A$7:$A$250,$B6,'tp inwestycje do spr.'!$C$7:$C$250,$C6,'tp inwestycje do spr.'!$D$7:$D$250,$D6,'tp inwestycje do spr.'!$E$7:$E$250,$A6)-H6,2))</f>
        <v>0</v>
      </c>
      <c r="Q6" s="344">
        <f>IF(D6="","",ROUND(SUMIFS('tp inwestycje do spr.'!I$7:I$250,'tp inwestycje do spr.'!$A$7:$A$250,$B6,'tp inwestycje do spr.'!$C$7:$C$250,$C6,'tp inwestycje do spr.'!$D$7:$D$250,$D6,'tp inwestycje do spr.'!$E$7:$E$250,$A6)-I6,2))</f>
        <v>0</v>
      </c>
      <c r="R6" s="344">
        <f>IF(E6="","",ROUND(SUMIFS('tp inwestycje do spr.'!J$7:J$250,'tp inwestycje do spr.'!$A$7:$A$250,$B6,'tp inwestycje do spr.'!$C$7:$C$250,$C6,'tp inwestycje do spr.'!$D$7:$D$250,$D6,'tp inwestycje do spr.'!$E$7:$E$250,$A6)-J6,2))</f>
        <v>0</v>
      </c>
      <c r="S6" s="344">
        <f>IF(F6="","",ROUND(SUMIFS('tp inwestycje do spr.'!K$7:K$250,'tp inwestycje do spr.'!$A$7:$A$250,$B6,'tp inwestycje do spr.'!$C$7:$C$250,$C6,'tp inwestycje do spr.'!$D$7:$D$250,$D6,'tp inwestycje do spr.'!$E$7:$E$250,$A6)-K6,2))</f>
        <v>0</v>
      </c>
      <c r="T6" s="344">
        <f>IF(G6="","",ROUND(SUMIFS('tp inwestycje do spr.'!L$7:L$250,'tp inwestycje do spr.'!$A$7:$A$250,$B6,'tp inwestycje do spr.'!$C$7:$C$250,$C6,'tp inwestycje do spr.'!$D$7:$D$250,$D6,'tp inwestycje do spr.'!$E$7:$E$250,$A6)-L6,2))</f>
        <v>0</v>
      </c>
      <c r="U6" s="342" t="str">
        <f>IF(COUNTIF(N6:T6,"&gt;0")+COUNTIF(N6:T6,"&lt;0")&gt;0,"tak","nie")</f>
        <v>nie</v>
      </c>
    </row>
    <row r="7" spans="1:21" x14ac:dyDescent="0.25">
      <c r="A7" s="356" t="s">
        <v>103</v>
      </c>
      <c r="B7" s="356" t="s">
        <v>92</v>
      </c>
      <c r="C7" s="357" t="s">
        <v>274</v>
      </c>
      <c r="D7" s="357" t="s">
        <v>242</v>
      </c>
      <c r="E7" s="356" t="s">
        <v>276</v>
      </c>
      <c r="F7" s="358">
        <v>1259813</v>
      </c>
      <c r="G7" s="358">
        <v>0</v>
      </c>
      <c r="H7" s="358">
        <v>0</v>
      </c>
      <c r="I7" s="358">
        <v>215642</v>
      </c>
      <c r="J7" s="358">
        <v>1044171</v>
      </c>
      <c r="K7" s="358">
        <v>0</v>
      </c>
      <c r="L7" s="358"/>
      <c r="M7" s="355"/>
      <c r="N7" s="344">
        <f>IF(A7="","",ROUND(SUMIFS('tp inwestycje do spr.'!F$7:F$250,'tp inwestycje do spr.'!$A$7:$A$250,$B7,'tp inwestycje do spr.'!$C$7:$C$250,$C7,'tp inwestycje do spr.'!$D$7:$D$250,$D7,'tp inwestycje do spr.'!$E$7:$E$250,$A7)-F7,2))</f>
        <v>0</v>
      </c>
      <c r="O7" s="344">
        <f>IF(B7="","",ROUND(SUMIFS('tp inwestycje do spr.'!G$7:G$250,'tp inwestycje do spr.'!$A$7:$A$250,$B7,'tp inwestycje do spr.'!$C$7:$C$250,$C7,'tp inwestycje do spr.'!$D$7:$D$250,$D7,'tp inwestycje do spr.'!$E$7:$E$250,$A7)-G7,2))</f>
        <v>0</v>
      </c>
      <c r="P7" s="344">
        <f>IF(C7="","",ROUND(SUMIFS('tp inwestycje do spr.'!H$7:H$250,'tp inwestycje do spr.'!$A$7:$A$250,$B7,'tp inwestycje do spr.'!$C$7:$C$250,$C7,'tp inwestycje do spr.'!$D$7:$D$250,$D7,'tp inwestycje do spr.'!$E$7:$E$250,$A7)-H7,2))</f>
        <v>0</v>
      </c>
      <c r="Q7" s="344">
        <f>IF(D7="","",ROUND(SUMIFS('tp inwestycje do spr.'!I$7:I$250,'tp inwestycje do spr.'!$A$7:$A$250,$B7,'tp inwestycje do spr.'!$C$7:$C$250,$C7,'tp inwestycje do spr.'!$D$7:$D$250,$D7,'tp inwestycje do spr.'!$E$7:$E$250,$A7)-I7,2))</f>
        <v>0</v>
      </c>
      <c r="R7" s="344">
        <f>IF(E7="","",ROUND(SUMIFS('tp inwestycje do spr.'!J$7:J$250,'tp inwestycje do spr.'!$A$7:$A$250,$B7,'tp inwestycje do spr.'!$C$7:$C$250,$C7,'tp inwestycje do spr.'!$D$7:$D$250,$D7,'tp inwestycje do spr.'!$E$7:$E$250,$A7)-J7,2))</f>
        <v>0</v>
      </c>
      <c r="S7" s="344">
        <f>IF(F7="","",ROUND(SUMIFS('tp inwestycje do spr.'!K$7:K$250,'tp inwestycje do spr.'!$A$7:$A$250,$B7,'tp inwestycje do spr.'!$C$7:$C$250,$C7,'tp inwestycje do spr.'!$D$7:$D$250,$D7,'tp inwestycje do spr.'!$E$7:$E$250,$A7)-K7,2))</f>
        <v>0</v>
      </c>
      <c r="T7" s="344">
        <f>IF(G7="","",ROUND(SUMIFS('tp inwestycje do spr.'!L$7:L$250,'tp inwestycje do spr.'!$A$7:$A$250,$B7,'tp inwestycje do spr.'!$C$7:$C$250,$C7,'tp inwestycje do spr.'!$D$7:$D$250,$D7,'tp inwestycje do spr.'!$E$7:$E$250,$A7)-L7,2))</f>
        <v>0</v>
      </c>
      <c r="U7" s="342" t="str">
        <f t="shared" ref="U7:U70" si="4">IF(COUNTIF(N7:T7,"&gt;0")+COUNTIF(N7:T7,"&lt;0")&gt;0,"tak","nie")</f>
        <v>nie</v>
      </c>
    </row>
    <row r="8" spans="1:21" x14ac:dyDescent="0.25">
      <c r="A8" s="356" t="s">
        <v>104</v>
      </c>
      <c r="B8" s="356" t="s">
        <v>92</v>
      </c>
      <c r="C8" s="357" t="s">
        <v>274</v>
      </c>
      <c r="D8" s="357" t="s">
        <v>242</v>
      </c>
      <c r="E8" s="356" t="s">
        <v>277</v>
      </c>
      <c r="F8" s="358">
        <v>3550900</v>
      </c>
      <c r="G8" s="358">
        <v>3550900</v>
      </c>
      <c r="H8" s="358">
        <v>0</v>
      </c>
      <c r="I8" s="358">
        <v>0</v>
      </c>
      <c r="J8" s="358">
        <v>0</v>
      </c>
      <c r="K8" s="358">
        <v>0</v>
      </c>
      <c r="L8" s="358"/>
      <c r="M8" s="355"/>
      <c r="N8" s="344">
        <f>IF(A8="","",ROUND(SUMIFS('tp inwestycje do spr.'!F$7:F$250,'tp inwestycje do spr.'!$A$7:$A$250,$B8,'tp inwestycje do spr.'!$C$7:$C$250,$C8,'tp inwestycje do spr.'!$D$7:$D$250,$D8,'tp inwestycje do spr.'!$E$7:$E$250,$A8)-F8,2))</f>
        <v>0</v>
      </c>
      <c r="O8" s="344">
        <f>IF(B8="","",ROUND(SUMIFS('tp inwestycje do spr.'!G$7:G$250,'tp inwestycje do spr.'!$A$7:$A$250,$B8,'tp inwestycje do spr.'!$C$7:$C$250,$C8,'tp inwestycje do spr.'!$D$7:$D$250,$D8,'tp inwestycje do spr.'!$E$7:$E$250,$A8)-G8,2))</f>
        <v>0</v>
      </c>
      <c r="P8" s="344">
        <f>IF(C8="","",ROUND(SUMIFS('tp inwestycje do spr.'!H$7:H$250,'tp inwestycje do spr.'!$A$7:$A$250,$B8,'tp inwestycje do spr.'!$C$7:$C$250,$C8,'tp inwestycje do spr.'!$D$7:$D$250,$D8,'tp inwestycje do spr.'!$E$7:$E$250,$A8)-H8,2))</f>
        <v>0</v>
      </c>
      <c r="Q8" s="344">
        <f>IF(D8="","",ROUND(SUMIFS('tp inwestycje do spr.'!I$7:I$250,'tp inwestycje do spr.'!$A$7:$A$250,$B8,'tp inwestycje do spr.'!$C$7:$C$250,$C8,'tp inwestycje do spr.'!$D$7:$D$250,$D8,'tp inwestycje do spr.'!$E$7:$E$250,$A8)-I8,2))</f>
        <v>0</v>
      </c>
      <c r="R8" s="344">
        <f>IF(E8="","",ROUND(SUMIFS('tp inwestycje do spr.'!J$7:J$250,'tp inwestycje do spr.'!$A$7:$A$250,$B8,'tp inwestycje do spr.'!$C$7:$C$250,$C8,'tp inwestycje do spr.'!$D$7:$D$250,$D8,'tp inwestycje do spr.'!$E$7:$E$250,$A8)-J8,2))</f>
        <v>0</v>
      </c>
      <c r="S8" s="344">
        <f>IF(F8="","",ROUND(SUMIFS('tp inwestycje do spr.'!K$7:K$250,'tp inwestycje do spr.'!$A$7:$A$250,$B8,'tp inwestycje do spr.'!$C$7:$C$250,$C8,'tp inwestycje do spr.'!$D$7:$D$250,$D8,'tp inwestycje do spr.'!$E$7:$E$250,$A8)-K8,2))</f>
        <v>0</v>
      </c>
      <c r="T8" s="344">
        <f>IF(G8="","",ROUND(SUMIFS('tp inwestycje do spr.'!L$7:L$250,'tp inwestycje do spr.'!$A$7:$A$250,$B8,'tp inwestycje do spr.'!$C$7:$C$250,$C8,'tp inwestycje do spr.'!$D$7:$D$250,$D8,'tp inwestycje do spr.'!$E$7:$E$250,$A8)-L8,2))</f>
        <v>0</v>
      </c>
      <c r="U8" s="342" t="str">
        <f t="shared" si="4"/>
        <v>nie</v>
      </c>
    </row>
    <row r="9" spans="1:21" x14ac:dyDescent="0.25">
      <c r="A9" s="356" t="s">
        <v>102</v>
      </c>
      <c r="B9" s="356" t="s">
        <v>105</v>
      </c>
      <c r="C9" s="357" t="s">
        <v>274</v>
      </c>
      <c r="D9" s="357" t="s">
        <v>242</v>
      </c>
      <c r="E9" s="356" t="s">
        <v>423</v>
      </c>
      <c r="F9" s="358">
        <v>13951425</v>
      </c>
      <c r="G9" s="358">
        <v>13946038</v>
      </c>
      <c r="H9" s="358">
        <v>0</v>
      </c>
      <c r="I9" s="358">
        <v>5387</v>
      </c>
      <c r="J9" s="358">
        <v>0</v>
      </c>
      <c r="K9" s="358">
        <v>0</v>
      </c>
      <c r="L9" s="358"/>
      <c r="M9" s="355"/>
      <c r="N9" s="344">
        <f>IF(A9="","",ROUND(SUMIFS('tp inwestycje do spr.'!F$7:F$250,'tp inwestycje do spr.'!$A$7:$A$250,$B9,'tp inwestycje do spr.'!$C$7:$C$250,$C9,'tp inwestycje do spr.'!$D$7:$D$250,$D9,'tp inwestycje do spr.'!$E$7:$E$250,$A9)-F9,2))</f>
        <v>0</v>
      </c>
      <c r="O9" s="344">
        <f>IF(B9="","",ROUND(SUMIFS('tp inwestycje do spr.'!G$7:G$250,'tp inwestycje do spr.'!$A$7:$A$250,$B9,'tp inwestycje do spr.'!$C$7:$C$250,$C9,'tp inwestycje do spr.'!$D$7:$D$250,$D9,'tp inwestycje do spr.'!$E$7:$E$250,$A9)-G9,2))</f>
        <v>0</v>
      </c>
      <c r="P9" s="344">
        <f>IF(C9="","",ROUND(SUMIFS('tp inwestycje do spr.'!H$7:H$250,'tp inwestycje do spr.'!$A$7:$A$250,$B9,'tp inwestycje do spr.'!$C$7:$C$250,$C9,'tp inwestycje do spr.'!$D$7:$D$250,$D9,'tp inwestycje do spr.'!$E$7:$E$250,$A9)-H9,2))</f>
        <v>0</v>
      </c>
      <c r="Q9" s="344">
        <f>IF(D9="","",ROUND(SUMIFS('tp inwestycje do spr.'!I$7:I$250,'tp inwestycje do spr.'!$A$7:$A$250,$B9,'tp inwestycje do spr.'!$C$7:$C$250,$C9,'tp inwestycje do spr.'!$D$7:$D$250,$D9,'tp inwestycje do spr.'!$E$7:$E$250,$A9)-I9,2))</f>
        <v>0</v>
      </c>
      <c r="R9" s="344">
        <f>IF(E9="","",ROUND(SUMIFS('tp inwestycje do spr.'!J$7:J$250,'tp inwestycje do spr.'!$A$7:$A$250,$B9,'tp inwestycje do spr.'!$C$7:$C$250,$C9,'tp inwestycje do spr.'!$D$7:$D$250,$D9,'tp inwestycje do spr.'!$E$7:$E$250,$A9)-J9,2))</f>
        <v>0</v>
      </c>
      <c r="S9" s="344">
        <f>IF(F9="","",ROUND(SUMIFS('tp inwestycje do spr.'!K$7:K$250,'tp inwestycje do spr.'!$A$7:$A$250,$B9,'tp inwestycje do spr.'!$C$7:$C$250,$C9,'tp inwestycje do spr.'!$D$7:$D$250,$D9,'tp inwestycje do spr.'!$E$7:$E$250,$A9)-K9,2))</f>
        <v>0</v>
      </c>
      <c r="T9" s="344">
        <f>IF(G9="","",ROUND(SUMIFS('tp inwestycje do spr.'!L$7:L$250,'tp inwestycje do spr.'!$A$7:$A$250,$B9,'tp inwestycje do spr.'!$C$7:$C$250,$C9,'tp inwestycje do spr.'!$D$7:$D$250,$D9,'tp inwestycje do spr.'!$E$7:$E$250,$A9)-L9,2))</f>
        <v>0</v>
      </c>
      <c r="U9" s="342" t="str">
        <f t="shared" si="4"/>
        <v>nie</v>
      </c>
    </row>
    <row r="10" spans="1:21" x14ac:dyDescent="0.25">
      <c r="A10" s="356" t="s">
        <v>103</v>
      </c>
      <c r="B10" s="356" t="s">
        <v>105</v>
      </c>
      <c r="C10" s="357" t="s">
        <v>274</v>
      </c>
      <c r="D10" s="357" t="s">
        <v>242</v>
      </c>
      <c r="E10" s="356" t="s">
        <v>424</v>
      </c>
      <c r="F10" s="358">
        <v>5387</v>
      </c>
      <c r="G10" s="358">
        <v>0</v>
      </c>
      <c r="H10" s="358">
        <v>0</v>
      </c>
      <c r="I10" s="358">
        <v>5387</v>
      </c>
      <c r="J10" s="358">
        <v>0</v>
      </c>
      <c r="K10" s="358">
        <v>0</v>
      </c>
      <c r="L10" s="358"/>
      <c r="M10" s="355"/>
      <c r="N10" s="344">
        <f>IF(A10="","",ROUND(SUMIFS('tp inwestycje do spr.'!F$7:F$250,'tp inwestycje do spr.'!$A$7:$A$250,$B10,'tp inwestycje do spr.'!$C$7:$C$250,$C10,'tp inwestycje do spr.'!$D$7:$D$250,$D10,'tp inwestycje do spr.'!$E$7:$E$250,$A10)-F10,2))</f>
        <v>0</v>
      </c>
      <c r="O10" s="344">
        <f>IF(B10="","",ROUND(SUMIFS('tp inwestycje do spr.'!G$7:G$250,'tp inwestycje do spr.'!$A$7:$A$250,$B10,'tp inwestycje do spr.'!$C$7:$C$250,$C10,'tp inwestycje do spr.'!$D$7:$D$250,$D10,'tp inwestycje do spr.'!$E$7:$E$250,$A10)-G10,2))</f>
        <v>0</v>
      </c>
      <c r="P10" s="344">
        <f>IF(C10="","",ROUND(SUMIFS('tp inwestycje do spr.'!H$7:H$250,'tp inwestycje do spr.'!$A$7:$A$250,$B10,'tp inwestycje do spr.'!$C$7:$C$250,$C10,'tp inwestycje do spr.'!$D$7:$D$250,$D10,'tp inwestycje do spr.'!$E$7:$E$250,$A10)-H10,2))</f>
        <v>0</v>
      </c>
      <c r="Q10" s="344">
        <f>IF(D10="","",ROUND(SUMIFS('tp inwestycje do spr.'!I$7:I$250,'tp inwestycje do spr.'!$A$7:$A$250,$B10,'tp inwestycje do spr.'!$C$7:$C$250,$C10,'tp inwestycje do spr.'!$D$7:$D$250,$D10,'tp inwestycje do spr.'!$E$7:$E$250,$A10)-I10,2))</f>
        <v>0</v>
      </c>
      <c r="R10" s="344">
        <f>IF(E10="","",ROUND(SUMIFS('tp inwestycje do spr.'!J$7:J$250,'tp inwestycje do spr.'!$A$7:$A$250,$B10,'tp inwestycje do spr.'!$C$7:$C$250,$C10,'tp inwestycje do spr.'!$D$7:$D$250,$D10,'tp inwestycje do spr.'!$E$7:$E$250,$A10)-J10,2))</f>
        <v>0</v>
      </c>
      <c r="S10" s="344">
        <f>IF(F10="","",ROUND(SUMIFS('tp inwestycje do spr.'!K$7:K$250,'tp inwestycje do spr.'!$A$7:$A$250,$B10,'tp inwestycje do spr.'!$C$7:$C$250,$C10,'tp inwestycje do spr.'!$D$7:$D$250,$D10,'tp inwestycje do spr.'!$E$7:$E$250,$A10)-K10,2))</f>
        <v>0</v>
      </c>
      <c r="T10" s="344">
        <f>IF(G10="","",ROUND(SUMIFS('tp inwestycje do spr.'!L$7:L$250,'tp inwestycje do spr.'!$A$7:$A$250,$B10,'tp inwestycje do spr.'!$C$7:$C$250,$C10,'tp inwestycje do spr.'!$D$7:$D$250,$D10,'tp inwestycje do spr.'!$E$7:$E$250,$A10)-L10,2))</f>
        <v>0</v>
      </c>
      <c r="U10" s="342" t="str">
        <f t="shared" si="4"/>
        <v>nie</v>
      </c>
    </row>
    <row r="11" spans="1:21" x14ac:dyDescent="0.25">
      <c r="A11" s="356" t="s">
        <v>104</v>
      </c>
      <c r="B11" s="356" t="s">
        <v>105</v>
      </c>
      <c r="C11" s="357" t="s">
        <v>274</v>
      </c>
      <c r="D11" s="357" t="s">
        <v>242</v>
      </c>
      <c r="E11" s="356" t="s">
        <v>425</v>
      </c>
      <c r="F11" s="358">
        <v>13946038</v>
      </c>
      <c r="G11" s="358">
        <v>13946038</v>
      </c>
      <c r="H11" s="358">
        <v>0</v>
      </c>
      <c r="I11" s="358">
        <v>0</v>
      </c>
      <c r="J11" s="358">
        <v>0</v>
      </c>
      <c r="K11" s="358">
        <v>0</v>
      </c>
      <c r="L11" s="358"/>
      <c r="M11" s="355"/>
      <c r="N11" s="344">
        <f>IF(A11="","",ROUND(SUMIFS('tp inwestycje do spr.'!F$7:F$250,'tp inwestycje do spr.'!$A$7:$A$250,$B11,'tp inwestycje do spr.'!$C$7:$C$250,$C11,'tp inwestycje do spr.'!$D$7:$D$250,$D11,'tp inwestycje do spr.'!$E$7:$E$250,$A11)-F11,2))</f>
        <v>0</v>
      </c>
      <c r="O11" s="344">
        <f>IF(B11="","",ROUND(SUMIFS('tp inwestycje do spr.'!G$7:G$250,'tp inwestycje do spr.'!$A$7:$A$250,$B11,'tp inwestycje do spr.'!$C$7:$C$250,$C11,'tp inwestycje do spr.'!$D$7:$D$250,$D11,'tp inwestycje do spr.'!$E$7:$E$250,$A11)-G11,2))</f>
        <v>0</v>
      </c>
      <c r="P11" s="344">
        <f>IF(C11="","",ROUND(SUMIFS('tp inwestycje do spr.'!H$7:H$250,'tp inwestycje do spr.'!$A$7:$A$250,$B11,'tp inwestycje do spr.'!$C$7:$C$250,$C11,'tp inwestycje do spr.'!$D$7:$D$250,$D11,'tp inwestycje do spr.'!$E$7:$E$250,$A11)-H11,2))</f>
        <v>0</v>
      </c>
      <c r="Q11" s="344">
        <f>IF(D11="","",ROUND(SUMIFS('tp inwestycje do spr.'!I$7:I$250,'tp inwestycje do spr.'!$A$7:$A$250,$B11,'tp inwestycje do spr.'!$C$7:$C$250,$C11,'tp inwestycje do spr.'!$D$7:$D$250,$D11,'tp inwestycje do spr.'!$E$7:$E$250,$A11)-I11,2))</f>
        <v>0</v>
      </c>
      <c r="R11" s="344">
        <f>IF(E11="","",ROUND(SUMIFS('tp inwestycje do spr.'!J$7:J$250,'tp inwestycje do spr.'!$A$7:$A$250,$B11,'tp inwestycje do spr.'!$C$7:$C$250,$C11,'tp inwestycje do spr.'!$D$7:$D$250,$D11,'tp inwestycje do spr.'!$E$7:$E$250,$A11)-J11,2))</f>
        <v>0</v>
      </c>
      <c r="S11" s="344">
        <f>IF(F11="","",ROUND(SUMIFS('tp inwestycje do spr.'!K$7:K$250,'tp inwestycje do spr.'!$A$7:$A$250,$B11,'tp inwestycje do spr.'!$C$7:$C$250,$C11,'tp inwestycje do spr.'!$D$7:$D$250,$D11,'tp inwestycje do spr.'!$E$7:$E$250,$A11)-K11,2))</f>
        <v>0</v>
      </c>
      <c r="T11" s="344">
        <f>IF(G11="","",ROUND(SUMIFS('tp inwestycje do spr.'!L$7:L$250,'tp inwestycje do spr.'!$A$7:$A$250,$B11,'tp inwestycje do spr.'!$C$7:$C$250,$C11,'tp inwestycje do spr.'!$D$7:$D$250,$D11,'tp inwestycje do spr.'!$E$7:$E$250,$A11)-L11,2))</f>
        <v>0</v>
      </c>
      <c r="U11" s="342" t="str">
        <f t="shared" si="4"/>
        <v>nie</v>
      </c>
    </row>
    <row r="12" spans="1:21" x14ac:dyDescent="0.25">
      <c r="A12" s="356" t="s">
        <v>102</v>
      </c>
      <c r="B12" s="356" t="s">
        <v>107</v>
      </c>
      <c r="C12" s="357" t="s">
        <v>278</v>
      </c>
      <c r="D12" s="357" t="s">
        <v>242</v>
      </c>
      <c r="E12" s="356" t="s">
        <v>426</v>
      </c>
      <c r="F12" s="358">
        <v>66382</v>
      </c>
      <c r="G12" s="358">
        <v>21614</v>
      </c>
      <c r="H12" s="358">
        <v>0</v>
      </c>
      <c r="I12" s="358">
        <v>4768</v>
      </c>
      <c r="J12" s="358">
        <v>40000</v>
      </c>
      <c r="K12" s="358">
        <v>0</v>
      </c>
      <c r="L12" s="358"/>
      <c r="M12" s="355"/>
      <c r="N12" s="344">
        <f>IF(A12="","",ROUND(SUMIFS('tp inwestycje do spr.'!F$7:F$250,'tp inwestycje do spr.'!$A$7:$A$250,$B12,'tp inwestycje do spr.'!$C$7:$C$250,$C12,'tp inwestycje do spr.'!$D$7:$D$250,$D12,'tp inwestycje do spr.'!$E$7:$E$250,$A12)-F12,2))</f>
        <v>0</v>
      </c>
      <c r="O12" s="344">
        <f>IF(B12="","",ROUND(SUMIFS('tp inwestycje do spr.'!G$7:G$250,'tp inwestycje do spr.'!$A$7:$A$250,$B12,'tp inwestycje do spr.'!$C$7:$C$250,$C12,'tp inwestycje do spr.'!$D$7:$D$250,$D12,'tp inwestycje do spr.'!$E$7:$E$250,$A12)-G12,2))</f>
        <v>0</v>
      </c>
      <c r="P12" s="344">
        <f>IF(C12="","",ROUND(SUMIFS('tp inwestycje do spr.'!H$7:H$250,'tp inwestycje do spr.'!$A$7:$A$250,$B12,'tp inwestycje do spr.'!$C$7:$C$250,$C12,'tp inwestycje do spr.'!$D$7:$D$250,$D12,'tp inwestycje do spr.'!$E$7:$E$250,$A12)-H12,2))</f>
        <v>0</v>
      </c>
      <c r="Q12" s="344">
        <f>IF(D12="","",ROUND(SUMIFS('tp inwestycje do spr.'!I$7:I$250,'tp inwestycje do spr.'!$A$7:$A$250,$B12,'tp inwestycje do spr.'!$C$7:$C$250,$C12,'tp inwestycje do spr.'!$D$7:$D$250,$D12,'tp inwestycje do spr.'!$E$7:$E$250,$A12)-I12,2))</f>
        <v>0</v>
      </c>
      <c r="R12" s="344">
        <f>IF(E12="","",ROUND(SUMIFS('tp inwestycje do spr.'!J$7:J$250,'tp inwestycje do spr.'!$A$7:$A$250,$B12,'tp inwestycje do spr.'!$C$7:$C$250,$C12,'tp inwestycje do spr.'!$D$7:$D$250,$D12,'tp inwestycje do spr.'!$E$7:$E$250,$A12)-J12,2))</f>
        <v>0</v>
      </c>
      <c r="S12" s="344">
        <f>IF(F12="","",ROUND(SUMIFS('tp inwestycje do spr.'!K$7:K$250,'tp inwestycje do spr.'!$A$7:$A$250,$B12,'tp inwestycje do spr.'!$C$7:$C$250,$C12,'tp inwestycje do spr.'!$D$7:$D$250,$D12,'tp inwestycje do spr.'!$E$7:$E$250,$A12)-K12,2))</f>
        <v>0</v>
      </c>
      <c r="T12" s="344">
        <f>IF(G12="","",ROUND(SUMIFS('tp inwestycje do spr.'!L$7:L$250,'tp inwestycje do spr.'!$A$7:$A$250,$B12,'tp inwestycje do spr.'!$C$7:$C$250,$C12,'tp inwestycje do spr.'!$D$7:$D$250,$D12,'tp inwestycje do spr.'!$E$7:$E$250,$A12)-L12,2))</f>
        <v>0</v>
      </c>
      <c r="U12" s="342" t="str">
        <f t="shared" si="4"/>
        <v>nie</v>
      </c>
    </row>
    <row r="13" spans="1:21" x14ac:dyDescent="0.25">
      <c r="A13" s="356" t="s">
        <v>103</v>
      </c>
      <c r="B13" s="356" t="s">
        <v>107</v>
      </c>
      <c r="C13" s="357" t="s">
        <v>278</v>
      </c>
      <c r="D13" s="357" t="s">
        <v>242</v>
      </c>
      <c r="E13" s="356" t="s">
        <v>427</v>
      </c>
      <c r="F13" s="358">
        <v>44768</v>
      </c>
      <c r="G13" s="358">
        <v>0</v>
      </c>
      <c r="H13" s="358">
        <v>0</v>
      </c>
      <c r="I13" s="358">
        <v>4768</v>
      </c>
      <c r="J13" s="358">
        <v>40000</v>
      </c>
      <c r="K13" s="358">
        <v>0</v>
      </c>
      <c r="L13" s="358"/>
      <c r="M13" s="355"/>
      <c r="N13" s="344">
        <f>IF(A13="","",ROUND(SUMIFS('tp inwestycje do spr.'!F$7:F$250,'tp inwestycje do spr.'!$A$7:$A$250,$B13,'tp inwestycje do spr.'!$C$7:$C$250,$C13,'tp inwestycje do spr.'!$D$7:$D$250,$D13,'tp inwestycje do spr.'!$E$7:$E$250,$A13)-F13,2))</f>
        <v>0</v>
      </c>
      <c r="O13" s="344">
        <f>IF(B13="","",ROUND(SUMIFS('tp inwestycje do spr.'!G$7:G$250,'tp inwestycje do spr.'!$A$7:$A$250,$B13,'tp inwestycje do spr.'!$C$7:$C$250,$C13,'tp inwestycje do spr.'!$D$7:$D$250,$D13,'tp inwestycje do spr.'!$E$7:$E$250,$A13)-G13,2))</f>
        <v>0</v>
      </c>
      <c r="P13" s="344">
        <f>IF(C13="","",ROUND(SUMIFS('tp inwestycje do spr.'!H$7:H$250,'tp inwestycje do spr.'!$A$7:$A$250,$B13,'tp inwestycje do spr.'!$C$7:$C$250,$C13,'tp inwestycje do spr.'!$D$7:$D$250,$D13,'tp inwestycje do spr.'!$E$7:$E$250,$A13)-H13,2))</f>
        <v>0</v>
      </c>
      <c r="Q13" s="344">
        <f>IF(D13="","",ROUND(SUMIFS('tp inwestycje do spr.'!I$7:I$250,'tp inwestycje do spr.'!$A$7:$A$250,$B13,'tp inwestycje do spr.'!$C$7:$C$250,$C13,'tp inwestycje do spr.'!$D$7:$D$250,$D13,'tp inwestycje do spr.'!$E$7:$E$250,$A13)-I13,2))</f>
        <v>0</v>
      </c>
      <c r="R13" s="344">
        <f>IF(E13="","",ROUND(SUMIFS('tp inwestycje do spr.'!J$7:J$250,'tp inwestycje do spr.'!$A$7:$A$250,$B13,'tp inwestycje do spr.'!$C$7:$C$250,$C13,'tp inwestycje do spr.'!$D$7:$D$250,$D13,'tp inwestycje do spr.'!$E$7:$E$250,$A13)-J13,2))</f>
        <v>0</v>
      </c>
      <c r="S13" s="344">
        <f>IF(F13="","",ROUND(SUMIFS('tp inwestycje do spr.'!K$7:K$250,'tp inwestycje do spr.'!$A$7:$A$250,$B13,'tp inwestycje do spr.'!$C$7:$C$250,$C13,'tp inwestycje do spr.'!$D$7:$D$250,$D13,'tp inwestycje do spr.'!$E$7:$E$250,$A13)-K13,2))</f>
        <v>0</v>
      </c>
      <c r="T13" s="344">
        <f>IF(G13="","",ROUND(SUMIFS('tp inwestycje do spr.'!L$7:L$250,'tp inwestycje do spr.'!$A$7:$A$250,$B13,'tp inwestycje do spr.'!$C$7:$C$250,$C13,'tp inwestycje do spr.'!$D$7:$D$250,$D13,'tp inwestycje do spr.'!$E$7:$E$250,$A13)-L13,2))</f>
        <v>0</v>
      </c>
      <c r="U13" s="342" t="str">
        <f t="shared" si="4"/>
        <v>nie</v>
      </c>
    </row>
    <row r="14" spans="1:21" x14ac:dyDescent="0.25">
      <c r="A14" s="356" t="s">
        <v>104</v>
      </c>
      <c r="B14" s="356" t="s">
        <v>107</v>
      </c>
      <c r="C14" s="357" t="s">
        <v>278</v>
      </c>
      <c r="D14" s="357" t="s">
        <v>242</v>
      </c>
      <c r="E14" s="356" t="s">
        <v>428</v>
      </c>
      <c r="F14" s="358">
        <v>21614</v>
      </c>
      <c r="G14" s="358">
        <v>21614</v>
      </c>
      <c r="H14" s="358">
        <v>0</v>
      </c>
      <c r="I14" s="358">
        <v>0</v>
      </c>
      <c r="J14" s="358">
        <v>0</v>
      </c>
      <c r="K14" s="358">
        <v>0</v>
      </c>
      <c r="L14" s="358"/>
      <c r="M14" s="355"/>
      <c r="N14" s="344">
        <f>IF(A14="","",ROUND(SUMIFS('tp inwestycje do spr.'!F$7:F$250,'tp inwestycje do spr.'!$A$7:$A$250,$B14,'tp inwestycje do spr.'!$C$7:$C$250,$C14,'tp inwestycje do spr.'!$D$7:$D$250,$D14,'tp inwestycje do spr.'!$E$7:$E$250,$A14)-F14,2))</f>
        <v>0</v>
      </c>
      <c r="O14" s="344">
        <f>IF(B14="","",ROUND(SUMIFS('tp inwestycje do spr.'!G$7:G$250,'tp inwestycje do spr.'!$A$7:$A$250,$B14,'tp inwestycje do spr.'!$C$7:$C$250,$C14,'tp inwestycje do spr.'!$D$7:$D$250,$D14,'tp inwestycje do spr.'!$E$7:$E$250,$A14)-G14,2))</f>
        <v>0</v>
      </c>
      <c r="P14" s="344">
        <f>IF(C14="","",ROUND(SUMIFS('tp inwestycje do spr.'!H$7:H$250,'tp inwestycje do spr.'!$A$7:$A$250,$B14,'tp inwestycje do spr.'!$C$7:$C$250,$C14,'tp inwestycje do spr.'!$D$7:$D$250,$D14,'tp inwestycje do spr.'!$E$7:$E$250,$A14)-H14,2))</f>
        <v>0</v>
      </c>
      <c r="Q14" s="344">
        <f>IF(D14="","",ROUND(SUMIFS('tp inwestycje do spr.'!I$7:I$250,'tp inwestycje do spr.'!$A$7:$A$250,$B14,'tp inwestycje do spr.'!$C$7:$C$250,$C14,'tp inwestycje do spr.'!$D$7:$D$250,$D14,'tp inwestycje do spr.'!$E$7:$E$250,$A14)-I14,2))</f>
        <v>0</v>
      </c>
      <c r="R14" s="344">
        <f>IF(E14="","",ROUND(SUMIFS('tp inwestycje do spr.'!J$7:J$250,'tp inwestycje do spr.'!$A$7:$A$250,$B14,'tp inwestycje do spr.'!$C$7:$C$250,$C14,'tp inwestycje do spr.'!$D$7:$D$250,$D14,'tp inwestycje do spr.'!$E$7:$E$250,$A14)-J14,2))</f>
        <v>0</v>
      </c>
      <c r="S14" s="344">
        <f>IF(F14="","",ROUND(SUMIFS('tp inwestycje do spr.'!K$7:K$250,'tp inwestycje do spr.'!$A$7:$A$250,$B14,'tp inwestycje do spr.'!$C$7:$C$250,$C14,'tp inwestycje do spr.'!$D$7:$D$250,$D14,'tp inwestycje do spr.'!$E$7:$E$250,$A14)-K14,2))</f>
        <v>0</v>
      </c>
      <c r="T14" s="344">
        <f>IF(G14="","",ROUND(SUMIFS('tp inwestycje do spr.'!L$7:L$250,'tp inwestycje do spr.'!$A$7:$A$250,$B14,'tp inwestycje do spr.'!$C$7:$C$250,$C14,'tp inwestycje do spr.'!$D$7:$D$250,$D14,'tp inwestycje do spr.'!$E$7:$E$250,$A14)-L14,2))</f>
        <v>0</v>
      </c>
      <c r="U14" s="342" t="str">
        <f t="shared" si="4"/>
        <v>nie</v>
      </c>
    </row>
    <row r="15" spans="1:21" x14ac:dyDescent="0.25">
      <c r="A15" s="356" t="s">
        <v>102</v>
      </c>
      <c r="B15" s="356" t="s">
        <v>109</v>
      </c>
      <c r="C15" s="357" t="s">
        <v>278</v>
      </c>
      <c r="D15" s="357" t="s">
        <v>245</v>
      </c>
      <c r="E15" s="356" t="s">
        <v>429</v>
      </c>
      <c r="F15" s="358">
        <v>856197</v>
      </c>
      <c r="G15" s="358">
        <v>850879</v>
      </c>
      <c r="H15" s="358">
        <v>0</v>
      </c>
      <c r="I15" s="358">
        <v>5318</v>
      </c>
      <c r="J15" s="358">
        <v>0</v>
      </c>
      <c r="K15" s="358">
        <v>0</v>
      </c>
      <c r="L15" s="358"/>
      <c r="M15" s="355"/>
      <c r="N15" s="344">
        <f>IF(A15="","",ROUND(SUMIFS('tp inwestycje do spr.'!F$7:F$250,'tp inwestycje do spr.'!$A$7:$A$250,$B15,'tp inwestycje do spr.'!$C$7:$C$250,$C15,'tp inwestycje do spr.'!$D$7:$D$250,$D15,'tp inwestycje do spr.'!$E$7:$E$250,$A15)-F15,2))</f>
        <v>0</v>
      </c>
      <c r="O15" s="344">
        <f>IF(B15="","",ROUND(SUMIFS('tp inwestycje do spr.'!G$7:G$250,'tp inwestycje do spr.'!$A$7:$A$250,$B15,'tp inwestycje do spr.'!$C$7:$C$250,$C15,'tp inwestycje do spr.'!$D$7:$D$250,$D15,'tp inwestycje do spr.'!$E$7:$E$250,$A15)-G15,2))</f>
        <v>0</v>
      </c>
      <c r="P15" s="344">
        <f>IF(C15="","",ROUND(SUMIFS('tp inwestycje do spr.'!H$7:H$250,'tp inwestycje do spr.'!$A$7:$A$250,$B15,'tp inwestycje do spr.'!$C$7:$C$250,$C15,'tp inwestycje do spr.'!$D$7:$D$250,$D15,'tp inwestycje do spr.'!$E$7:$E$250,$A15)-H15,2))</f>
        <v>0</v>
      </c>
      <c r="Q15" s="344">
        <f>IF(D15="","",ROUND(SUMIFS('tp inwestycje do spr.'!I$7:I$250,'tp inwestycje do spr.'!$A$7:$A$250,$B15,'tp inwestycje do spr.'!$C$7:$C$250,$C15,'tp inwestycje do spr.'!$D$7:$D$250,$D15,'tp inwestycje do spr.'!$E$7:$E$250,$A15)-I15,2))</f>
        <v>0</v>
      </c>
      <c r="R15" s="344">
        <f>IF(E15="","",ROUND(SUMIFS('tp inwestycje do spr.'!J$7:J$250,'tp inwestycje do spr.'!$A$7:$A$250,$B15,'tp inwestycje do spr.'!$C$7:$C$250,$C15,'tp inwestycje do spr.'!$D$7:$D$250,$D15,'tp inwestycje do spr.'!$E$7:$E$250,$A15)-J15,2))</f>
        <v>0</v>
      </c>
      <c r="S15" s="344">
        <f>IF(F15="","",ROUND(SUMIFS('tp inwestycje do spr.'!K$7:K$250,'tp inwestycje do spr.'!$A$7:$A$250,$B15,'tp inwestycje do spr.'!$C$7:$C$250,$C15,'tp inwestycje do spr.'!$D$7:$D$250,$D15,'tp inwestycje do spr.'!$E$7:$E$250,$A15)-K15,2))</f>
        <v>0</v>
      </c>
      <c r="T15" s="344">
        <f>IF(G15="","",ROUND(SUMIFS('tp inwestycje do spr.'!L$7:L$250,'tp inwestycje do spr.'!$A$7:$A$250,$B15,'tp inwestycje do spr.'!$C$7:$C$250,$C15,'tp inwestycje do spr.'!$D$7:$D$250,$D15,'tp inwestycje do spr.'!$E$7:$E$250,$A15)-L15,2))</f>
        <v>0</v>
      </c>
      <c r="U15" s="342" t="str">
        <f t="shared" si="4"/>
        <v>nie</v>
      </c>
    </row>
    <row r="16" spans="1:21" x14ac:dyDescent="0.25">
      <c r="A16" s="356" t="s">
        <v>103</v>
      </c>
      <c r="B16" s="356" t="s">
        <v>109</v>
      </c>
      <c r="C16" s="357" t="s">
        <v>278</v>
      </c>
      <c r="D16" s="357" t="s">
        <v>245</v>
      </c>
      <c r="E16" s="356" t="s">
        <v>430</v>
      </c>
      <c r="F16" s="358">
        <v>5318</v>
      </c>
      <c r="G16" s="358">
        <v>0</v>
      </c>
      <c r="H16" s="358">
        <v>0</v>
      </c>
      <c r="I16" s="358">
        <v>5318</v>
      </c>
      <c r="J16" s="358">
        <v>0</v>
      </c>
      <c r="K16" s="358">
        <v>0</v>
      </c>
      <c r="L16" s="358"/>
      <c r="M16" s="355"/>
      <c r="N16" s="344">
        <f>IF(A16="","",ROUND(SUMIFS('tp inwestycje do spr.'!F$7:F$250,'tp inwestycje do spr.'!$A$7:$A$250,$B16,'tp inwestycje do spr.'!$C$7:$C$250,$C16,'tp inwestycje do spr.'!$D$7:$D$250,$D16,'tp inwestycje do spr.'!$E$7:$E$250,$A16)-F16,2))</f>
        <v>0</v>
      </c>
      <c r="O16" s="344">
        <f>IF(B16="","",ROUND(SUMIFS('tp inwestycje do spr.'!G$7:G$250,'tp inwestycje do spr.'!$A$7:$A$250,$B16,'tp inwestycje do spr.'!$C$7:$C$250,$C16,'tp inwestycje do spr.'!$D$7:$D$250,$D16,'tp inwestycje do spr.'!$E$7:$E$250,$A16)-G16,2))</f>
        <v>0</v>
      </c>
      <c r="P16" s="344">
        <f>IF(C16="","",ROUND(SUMIFS('tp inwestycje do spr.'!H$7:H$250,'tp inwestycje do spr.'!$A$7:$A$250,$B16,'tp inwestycje do spr.'!$C$7:$C$250,$C16,'tp inwestycje do spr.'!$D$7:$D$250,$D16,'tp inwestycje do spr.'!$E$7:$E$250,$A16)-H16,2))</f>
        <v>0</v>
      </c>
      <c r="Q16" s="344">
        <f>IF(D16="","",ROUND(SUMIFS('tp inwestycje do spr.'!I$7:I$250,'tp inwestycje do spr.'!$A$7:$A$250,$B16,'tp inwestycje do spr.'!$C$7:$C$250,$C16,'tp inwestycje do spr.'!$D$7:$D$250,$D16,'tp inwestycje do spr.'!$E$7:$E$250,$A16)-I16,2))</f>
        <v>0</v>
      </c>
      <c r="R16" s="344">
        <f>IF(E16="","",ROUND(SUMIFS('tp inwestycje do spr.'!J$7:J$250,'tp inwestycje do spr.'!$A$7:$A$250,$B16,'tp inwestycje do spr.'!$C$7:$C$250,$C16,'tp inwestycje do spr.'!$D$7:$D$250,$D16,'tp inwestycje do spr.'!$E$7:$E$250,$A16)-J16,2))</f>
        <v>0</v>
      </c>
      <c r="S16" s="344">
        <f>IF(F16="","",ROUND(SUMIFS('tp inwestycje do spr.'!K$7:K$250,'tp inwestycje do spr.'!$A$7:$A$250,$B16,'tp inwestycje do spr.'!$C$7:$C$250,$C16,'tp inwestycje do spr.'!$D$7:$D$250,$D16,'tp inwestycje do spr.'!$E$7:$E$250,$A16)-K16,2))</f>
        <v>0</v>
      </c>
      <c r="T16" s="344">
        <f>IF(G16="","",ROUND(SUMIFS('tp inwestycje do spr.'!L$7:L$250,'tp inwestycje do spr.'!$A$7:$A$250,$B16,'tp inwestycje do spr.'!$C$7:$C$250,$C16,'tp inwestycje do spr.'!$D$7:$D$250,$D16,'tp inwestycje do spr.'!$E$7:$E$250,$A16)-L16,2))</f>
        <v>0</v>
      </c>
      <c r="U16" s="342" t="str">
        <f t="shared" si="4"/>
        <v>nie</v>
      </c>
    </row>
    <row r="17" spans="1:21" x14ac:dyDescent="0.25">
      <c r="A17" s="356" t="s">
        <v>104</v>
      </c>
      <c r="B17" s="356" t="s">
        <v>109</v>
      </c>
      <c r="C17" s="357" t="s">
        <v>278</v>
      </c>
      <c r="D17" s="357" t="s">
        <v>245</v>
      </c>
      <c r="E17" s="356" t="s">
        <v>431</v>
      </c>
      <c r="F17" s="358">
        <v>850879</v>
      </c>
      <c r="G17" s="358">
        <v>850879</v>
      </c>
      <c r="H17" s="358">
        <v>0</v>
      </c>
      <c r="I17" s="358">
        <v>0</v>
      </c>
      <c r="J17" s="358">
        <v>0</v>
      </c>
      <c r="K17" s="358">
        <v>0</v>
      </c>
      <c r="L17" s="358"/>
      <c r="M17" s="355"/>
      <c r="N17" s="344">
        <f>IF(A17="","",ROUND(SUMIFS('tp inwestycje do spr.'!F$7:F$250,'tp inwestycje do spr.'!$A$7:$A$250,$B17,'tp inwestycje do spr.'!$C$7:$C$250,$C17,'tp inwestycje do spr.'!$D$7:$D$250,$D17,'tp inwestycje do spr.'!$E$7:$E$250,$A17)-F17,2))</f>
        <v>0</v>
      </c>
      <c r="O17" s="344">
        <f>IF(B17="","",ROUND(SUMIFS('tp inwestycje do spr.'!G$7:G$250,'tp inwestycje do spr.'!$A$7:$A$250,$B17,'tp inwestycje do spr.'!$C$7:$C$250,$C17,'tp inwestycje do spr.'!$D$7:$D$250,$D17,'tp inwestycje do spr.'!$E$7:$E$250,$A17)-G17,2))</f>
        <v>0</v>
      </c>
      <c r="P17" s="344">
        <f>IF(C17="","",ROUND(SUMIFS('tp inwestycje do spr.'!H$7:H$250,'tp inwestycje do spr.'!$A$7:$A$250,$B17,'tp inwestycje do spr.'!$C$7:$C$250,$C17,'tp inwestycje do spr.'!$D$7:$D$250,$D17,'tp inwestycje do spr.'!$E$7:$E$250,$A17)-H17,2))</f>
        <v>0</v>
      </c>
      <c r="Q17" s="344">
        <f>IF(D17="","",ROUND(SUMIFS('tp inwestycje do spr.'!I$7:I$250,'tp inwestycje do spr.'!$A$7:$A$250,$B17,'tp inwestycje do spr.'!$C$7:$C$250,$C17,'tp inwestycje do spr.'!$D$7:$D$250,$D17,'tp inwestycje do spr.'!$E$7:$E$250,$A17)-I17,2))</f>
        <v>0</v>
      </c>
      <c r="R17" s="344">
        <f>IF(E17="","",ROUND(SUMIFS('tp inwestycje do spr.'!J$7:J$250,'tp inwestycje do spr.'!$A$7:$A$250,$B17,'tp inwestycje do spr.'!$C$7:$C$250,$C17,'tp inwestycje do spr.'!$D$7:$D$250,$D17,'tp inwestycje do spr.'!$E$7:$E$250,$A17)-J17,2))</f>
        <v>0</v>
      </c>
      <c r="S17" s="344">
        <f>IF(F17="","",ROUND(SUMIFS('tp inwestycje do spr.'!K$7:K$250,'tp inwestycje do spr.'!$A$7:$A$250,$B17,'tp inwestycje do spr.'!$C$7:$C$250,$C17,'tp inwestycje do spr.'!$D$7:$D$250,$D17,'tp inwestycje do spr.'!$E$7:$E$250,$A17)-K17,2))</f>
        <v>0</v>
      </c>
      <c r="T17" s="344">
        <f>IF(G17="","",ROUND(SUMIFS('tp inwestycje do spr.'!L$7:L$250,'tp inwestycje do spr.'!$A$7:$A$250,$B17,'tp inwestycje do spr.'!$C$7:$C$250,$C17,'tp inwestycje do spr.'!$D$7:$D$250,$D17,'tp inwestycje do spr.'!$E$7:$E$250,$A17)-L17,2))</f>
        <v>0</v>
      </c>
      <c r="U17" s="342" t="str">
        <f t="shared" si="4"/>
        <v>nie</v>
      </c>
    </row>
    <row r="18" spans="1:21" x14ac:dyDescent="0.25">
      <c r="A18" s="356" t="s">
        <v>102</v>
      </c>
      <c r="B18" s="356" t="s">
        <v>111</v>
      </c>
      <c r="C18" s="357" t="s">
        <v>278</v>
      </c>
      <c r="D18" s="357" t="s">
        <v>242</v>
      </c>
      <c r="E18" s="356" t="s">
        <v>432</v>
      </c>
      <c r="F18" s="358">
        <v>801710</v>
      </c>
      <c r="G18" s="358">
        <v>715003</v>
      </c>
      <c r="H18" s="358">
        <v>0</v>
      </c>
      <c r="I18" s="358">
        <v>30000</v>
      </c>
      <c r="J18" s="358">
        <v>56707</v>
      </c>
      <c r="K18" s="358">
        <v>0</v>
      </c>
      <c r="L18" s="358"/>
      <c r="M18" s="355"/>
      <c r="N18" s="344">
        <f>IF(A18="","",ROUND(SUMIFS('tp inwestycje do spr.'!F$7:F$250,'tp inwestycje do spr.'!$A$7:$A$250,$B18,'tp inwestycje do spr.'!$C$7:$C$250,$C18,'tp inwestycje do spr.'!$D$7:$D$250,$D18,'tp inwestycje do spr.'!$E$7:$E$250,$A18)-F18,2))</f>
        <v>0</v>
      </c>
      <c r="O18" s="344">
        <f>IF(B18="","",ROUND(SUMIFS('tp inwestycje do spr.'!G$7:G$250,'tp inwestycje do spr.'!$A$7:$A$250,$B18,'tp inwestycje do spr.'!$C$7:$C$250,$C18,'tp inwestycje do spr.'!$D$7:$D$250,$D18,'tp inwestycje do spr.'!$E$7:$E$250,$A18)-G18,2))</f>
        <v>0</v>
      </c>
      <c r="P18" s="344">
        <f>IF(C18="","",ROUND(SUMIFS('tp inwestycje do spr.'!H$7:H$250,'tp inwestycje do spr.'!$A$7:$A$250,$B18,'tp inwestycje do spr.'!$C$7:$C$250,$C18,'tp inwestycje do spr.'!$D$7:$D$250,$D18,'tp inwestycje do spr.'!$E$7:$E$250,$A18)-H18,2))</f>
        <v>0</v>
      </c>
      <c r="Q18" s="344">
        <f>IF(D18="","",ROUND(SUMIFS('tp inwestycje do spr.'!I$7:I$250,'tp inwestycje do spr.'!$A$7:$A$250,$B18,'tp inwestycje do spr.'!$C$7:$C$250,$C18,'tp inwestycje do spr.'!$D$7:$D$250,$D18,'tp inwestycje do spr.'!$E$7:$E$250,$A18)-I18,2))</f>
        <v>0</v>
      </c>
      <c r="R18" s="344">
        <f>IF(E18="","",ROUND(SUMIFS('tp inwestycje do spr.'!J$7:J$250,'tp inwestycje do spr.'!$A$7:$A$250,$B18,'tp inwestycje do spr.'!$C$7:$C$250,$C18,'tp inwestycje do spr.'!$D$7:$D$250,$D18,'tp inwestycje do spr.'!$E$7:$E$250,$A18)-J18,2))</f>
        <v>0</v>
      </c>
      <c r="S18" s="344">
        <f>IF(F18="","",ROUND(SUMIFS('tp inwestycje do spr.'!K$7:K$250,'tp inwestycje do spr.'!$A$7:$A$250,$B18,'tp inwestycje do spr.'!$C$7:$C$250,$C18,'tp inwestycje do spr.'!$D$7:$D$250,$D18,'tp inwestycje do spr.'!$E$7:$E$250,$A18)-K18,2))</f>
        <v>0</v>
      </c>
      <c r="T18" s="344">
        <f>IF(G18="","",ROUND(SUMIFS('tp inwestycje do spr.'!L$7:L$250,'tp inwestycje do spr.'!$A$7:$A$250,$B18,'tp inwestycje do spr.'!$C$7:$C$250,$C18,'tp inwestycje do spr.'!$D$7:$D$250,$D18,'tp inwestycje do spr.'!$E$7:$E$250,$A18)-L18,2))</f>
        <v>0</v>
      </c>
      <c r="U18" s="342" t="str">
        <f t="shared" si="4"/>
        <v>nie</v>
      </c>
    </row>
    <row r="19" spans="1:21" x14ac:dyDescent="0.25">
      <c r="A19" s="356" t="s">
        <v>103</v>
      </c>
      <c r="B19" s="356" t="s">
        <v>111</v>
      </c>
      <c r="C19" s="357" t="s">
        <v>278</v>
      </c>
      <c r="D19" s="357" t="s">
        <v>242</v>
      </c>
      <c r="E19" s="356" t="s">
        <v>433</v>
      </c>
      <c r="F19" s="358">
        <v>86707</v>
      </c>
      <c r="G19" s="358">
        <v>0</v>
      </c>
      <c r="H19" s="358">
        <v>0</v>
      </c>
      <c r="I19" s="358">
        <v>30000</v>
      </c>
      <c r="J19" s="358">
        <v>56707</v>
      </c>
      <c r="K19" s="358">
        <v>0</v>
      </c>
      <c r="L19" s="358"/>
      <c r="M19" s="355"/>
      <c r="N19" s="344">
        <f>IF(A19="","",ROUND(SUMIFS('tp inwestycje do spr.'!F$7:F$250,'tp inwestycje do spr.'!$A$7:$A$250,$B19,'tp inwestycje do spr.'!$C$7:$C$250,$C19,'tp inwestycje do spr.'!$D$7:$D$250,$D19,'tp inwestycje do spr.'!$E$7:$E$250,$A19)-F19,2))</f>
        <v>0</v>
      </c>
      <c r="O19" s="344">
        <f>IF(B19="","",ROUND(SUMIFS('tp inwestycje do spr.'!G$7:G$250,'tp inwestycje do spr.'!$A$7:$A$250,$B19,'tp inwestycje do spr.'!$C$7:$C$250,$C19,'tp inwestycje do spr.'!$D$7:$D$250,$D19,'tp inwestycje do spr.'!$E$7:$E$250,$A19)-G19,2))</f>
        <v>0</v>
      </c>
      <c r="P19" s="344">
        <f>IF(C19="","",ROUND(SUMIFS('tp inwestycje do spr.'!H$7:H$250,'tp inwestycje do spr.'!$A$7:$A$250,$B19,'tp inwestycje do spr.'!$C$7:$C$250,$C19,'tp inwestycje do spr.'!$D$7:$D$250,$D19,'tp inwestycje do spr.'!$E$7:$E$250,$A19)-H19,2))</f>
        <v>0</v>
      </c>
      <c r="Q19" s="344">
        <f>IF(D19="","",ROUND(SUMIFS('tp inwestycje do spr.'!I$7:I$250,'tp inwestycje do spr.'!$A$7:$A$250,$B19,'tp inwestycje do spr.'!$C$7:$C$250,$C19,'tp inwestycje do spr.'!$D$7:$D$250,$D19,'tp inwestycje do spr.'!$E$7:$E$250,$A19)-I19,2))</f>
        <v>0</v>
      </c>
      <c r="R19" s="344">
        <f>IF(E19="","",ROUND(SUMIFS('tp inwestycje do spr.'!J$7:J$250,'tp inwestycje do spr.'!$A$7:$A$250,$B19,'tp inwestycje do spr.'!$C$7:$C$250,$C19,'tp inwestycje do spr.'!$D$7:$D$250,$D19,'tp inwestycje do spr.'!$E$7:$E$250,$A19)-J19,2))</f>
        <v>0</v>
      </c>
      <c r="S19" s="344">
        <f>IF(F19="","",ROUND(SUMIFS('tp inwestycje do spr.'!K$7:K$250,'tp inwestycje do spr.'!$A$7:$A$250,$B19,'tp inwestycje do spr.'!$C$7:$C$250,$C19,'tp inwestycje do spr.'!$D$7:$D$250,$D19,'tp inwestycje do spr.'!$E$7:$E$250,$A19)-K19,2))</f>
        <v>0</v>
      </c>
      <c r="T19" s="344">
        <f>IF(G19="","",ROUND(SUMIFS('tp inwestycje do spr.'!L$7:L$250,'tp inwestycje do spr.'!$A$7:$A$250,$B19,'tp inwestycje do spr.'!$C$7:$C$250,$C19,'tp inwestycje do spr.'!$D$7:$D$250,$D19,'tp inwestycje do spr.'!$E$7:$E$250,$A19)-L19,2))</f>
        <v>0</v>
      </c>
      <c r="U19" s="342" t="str">
        <f t="shared" si="4"/>
        <v>nie</v>
      </c>
    </row>
    <row r="20" spans="1:21" x14ac:dyDescent="0.25">
      <c r="A20" s="356" t="s">
        <v>104</v>
      </c>
      <c r="B20" s="356" t="s">
        <v>111</v>
      </c>
      <c r="C20" s="357" t="s">
        <v>278</v>
      </c>
      <c r="D20" s="357" t="s">
        <v>242</v>
      </c>
      <c r="E20" s="356" t="s">
        <v>434</v>
      </c>
      <c r="F20" s="358">
        <v>715003</v>
      </c>
      <c r="G20" s="358">
        <v>715003</v>
      </c>
      <c r="H20" s="358">
        <v>0</v>
      </c>
      <c r="I20" s="358">
        <v>0</v>
      </c>
      <c r="J20" s="358">
        <v>0</v>
      </c>
      <c r="K20" s="358">
        <v>0</v>
      </c>
      <c r="L20" s="358"/>
      <c r="M20" s="355"/>
      <c r="N20" s="344">
        <f>IF(A20="","",ROUND(SUMIFS('tp inwestycje do spr.'!F$7:F$250,'tp inwestycje do spr.'!$A$7:$A$250,$B20,'tp inwestycje do spr.'!$C$7:$C$250,$C20,'tp inwestycje do spr.'!$D$7:$D$250,$D20,'tp inwestycje do spr.'!$E$7:$E$250,$A20)-F20,2))</f>
        <v>0</v>
      </c>
      <c r="O20" s="344">
        <f>IF(B20="","",ROUND(SUMIFS('tp inwestycje do spr.'!G$7:G$250,'tp inwestycje do spr.'!$A$7:$A$250,$B20,'tp inwestycje do spr.'!$C$7:$C$250,$C20,'tp inwestycje do spr.'!$D$7:$D$250,$D20,'tp inwestycje do spr.'!$E$7:$E$250,$A20)-G20,2))</f>
        <v>0</v>
      </c>
      <c r="P20" s="344">
        <f>IF(C20="","",ROUND(SUMIFS('tp inwestycje do spr.'!H$7:H$250,'tp inwestycje do spr.'!$A$7:$A$250,$B20,'tp inwestycje do spr.'!$C$7:$C$250,$C20,'tp inwestycje do spr.'!$D$7:$D$250,$D20,'tp inwestycje do spr.'!$E$7:$E$250,$A20)-H20,2))</f>
        <v>0</v>
      </c>
      <c r="Q20" s="344">
        <f>IF(D20="","",ROUND(SUMIFS('tp inwestycje do spr.'!I$7:I$250,'tp inwestycje do spr.'!$A$7:$A$250,$B20,'tp inwestycje do spr.'!$C$7:$C$250,$C20,'tp inwestycje do spr.'!$D$7:$D$250,$D20,'tp inwestycje do spr.'!$E$7:$E$250,$A20)-I20,2))</f>
        <v>0</v>
      </c>
      <c r="R20" s="344">
        <f>IF(E20="","",ROUND(SUMIFS('tp inwestycje do spr.'!J$7:J$250,'tp inwestycje do spr.'!$A$7:$A$250,$B20,'tp inwestycje do spr.'!$C$7:$C$250,$C20,'tp inwestycje do spr.'!$D$7:$D$250,$D20,'tp inwestycje do spr.'!$E$7:$E$250,$A20)-J20,2))</f>
        <v>0</v>
      </c>
      <c r="S20" s="344">
        <f>IF(F20="","",ROUND(SUMIFS('tp inwestycje do spr.'!K$7:K$250,'tp inwestycje do spr.'!$A$7:$A$250,$B20,'tp inwestycje do spr.'!$C$7:$C$250,$C20,'tp inwestycje do spr.'!$D$7:$D$250,$D20,'tp inwestycje do spr.'!$E$7:$E$250,$A20)-K20,2))</f>
        <v>0</v>
      </c>
      <c r="T20" s="344">
        <f>IF(G20="","",ROUND(SUMIFS('tp inwestycje do spr.'!L$7:L$250,'tp inwestycje do spr.'!$A$7:$A$250,$B20,'tp inwestycje do spr.'!$C$7:$C$250,$C20,'tp inwestycje do spr.'!$D$7:$D$250,$D20,'tp inwestycje do spr.'!$E$7:$E$250,$A20)-L20,2))</f>
        <v>0</v>
      </c>
      <c r="U20" s="342" t="str">
        <f t="shared" si="4"/>
        <v>nie</v>
      </c>
    </row>
    <row r="21" spans="1:21" x14ac:dyDescent="0.25">
      <c r="A21" s="356" t="s">
        <v>102</v>
      </c>
      <c r="B21" s="356" t="s">
        <v>113</v>
      </c>
      <c r="C21" s="357" t="s">
        <v>278</v>
      </c>
      <c r="D21" s="357" t="s">
        <v>245</v>
      </c>
      <c r="E21" s="356" t="s">
        <v>279</v>
      </c>
      <c r="F21" s="358">
        <v>4227894</v>
      </c>
      <c r="G21" s="358">
        <v>0</v>
      </c>
      <c r="H21" s="358">
        <v>0</v>
      </c>
      <c r="I21" s="358">
        <v>200000</v>
      </c>
      <c r="J21" s="358">
        <v>4027894</v>
      </c>
      <c r="K21" s="358">
        <v>0</v>
      </c>
      <c r="L21" s="358"/>
      <c r="M21" s="355"/>
      <c r="N21" s="344">
        <f>IF(A21="","",ROUND(SUMIFS('tp inwestycje do spr.'!F$7:F$250,'tp inwestycje do spr.'!$A$7:$A$250,$B21,'tp inwestycje do spr.'!$C$7:$C$250,$C21,'tp inwestycje do spr.'!$D$7:$D$250,$D21,'tp inwestycje do spr.'!$E$7:$E$250,$A21)-F21,2))</f>
        <v>0</v>
      </c>
      <c r="O21" s="344">
        <f>IF(B21="","",ROUND(SUMIFS('tp inwestycje do spr.'!G$7:G$250,'tp inwestycje do spr.'!$A$7:$A$250,$B21,'tp inwestycje do spr.'!$C$7:$C$250,$C21,'tp inwestycje do spr.'!$D$7:$D$250,$D21,'tp inwestycje do spr.'!$E$7:$E$250,$A21)-G21,2))</f>
        <v>0</v>
      </c>
      <c r="P21" s="344">
        <f>IF(C21="","",ROUND(SUMIFS('tp inwestycje do spr.'!H$7:H$250,'tp inwestycje do spr.'!$A$7:$A$250,$B21,'tp inwestycje do spr.'!$C$7:$C$250,$C21,'tp inwestycje do spr.'!$D$7:$D$250,$D21,'tp inwestycje do spr.'!$E$7:$E$250,$A21)-H21,2))</f>
        <v>0</v>
      </c>
      <c r="Q21" s="344">
        <f>IF(D21="","",ROUND(SUMIFS('tp inwestycje do spr.'!I$7:I$250,'tp inwestycje do spr.'!$A$7:$A$250,$B21,'tp inwestycje do spr.'!$C$7:$C$250,$C21,'tp inwestycje do spr.'!$D$7:$D$250,$D21,'tp inwestycje do spr.'!$E$7:$E$250,$A21)-I21,2))</f>
        <v>0</v>
      </c>
      <c r="R21" s="344">
        <f>IF(E21="","",ROUND(SUMIFS('tp inwestycje do spr.'!J$7:J$250,'tp inwestycje do spr.'!$A$7:$A$250,$B21,'tp inwestycje do spr.'!$C$7:$C$250,$C21,'tp inwestycje do spr.'!$D$7:$D$250,$D21,'tp inwestycje do spr.'!$E$7:$E$250,$A21)-J21,2))</f>
        <v>0</v>
      </c>
      <c r="S21" s="344">
        <f>IF(F21="","",ROUND(SUMIFS('tp inwestycje do spr.'!K$7:K$250,'tp inwestycje do spr.'!$A$7:$A$250,$B21,'tp inwestycje do spr.'!$C$7:$C$250,$C21,'tp inwestycje do spr.'!$D$7:$D$250,$D21,'tp inwestycje do spr.'!$E$7:$E$250,$A21)-K21,2))</f>
        <v>0</v>
      </c>
      <c r="T21" s="344">
        <f>IF(G21="","",ROUND(SUMIFS('tp inwestycje do spr.'!L$7:L$250,'tp inwestycje do spr.'!$A$7:$A$250,$B21,'tp inwestycje do spr.'!$C$7:$C$250,$C21,'tp inwestycje do spr.'!$D$7:$D$250,$D21,'tp inwestycje do spr.'!$E$7:$E$250,$A21)-L21,2))</f>
        <v>0</v>
      </c>
      <c r="U21" s="342" t="str">
        <f t="shared" si="4"/>
        <v>nie</v>
      </c>
    </row>
    <row r="22" spans="1:21" x14ac:dyDescent="0.25">
      <c r="A22" s="356" t="s">
        <v>103</v>
      </c>
      <c r="B22" s="356" t="s">
        <v>113</v>
      </c>
      <c r="C22" s="357" t="s">
        <v>278</v>
      </c>
      <c r="D22" s="357" t="s">
        <v>245</v>
      </c>
      <c r="E22" s="356" t="s">
        <v>280</v>
      </c>
      <c r="F22" s="358">
        <v>4227894</v>
      </c>
      <c r="G22" s="358">
        <v>0</v>
      </c>
      <c r="H22" s="358">
        <v>0</v>
      </c>
      <c r="I22" s="358">
        <v>200000</v>
      </c>
      <c r="J22" s="358">
        <v>4027894</v>
      </c>
      <c r="K22" s="358">
        <v>0</v>
      </c>
      <c r="L22" s="358"/>
      <c r="M22" s="355"/>
      <c r="N22" s="344">
        <f>IF(A22="","",ROUND(SUMIFS('tp inwestycje do spr.'!F$7:F$250,'tp inwestycje do spr.'!$A$7:$A$250,$B22,'tp inwestycje do spr.'!$C$7:$C$250,$C22,'tp inwestycje do spr.'!$D$7:$D$250,$D22,'tp inwestycje do spr.'!$E$7:$E$250,$A22)-F22,2))</f>
        <v>0</v>
      </c>
      <c r="O22" s="344">
        <f>IF(B22="","",ROUND(SUMIFS('tp inwestycje do spr.'!G$7:G$250,'tp inwestycje do spr.'!$A$7:$A$250,$B22,'tp inwestycje do spr.'!$C$7:$C$250,$C22,'tp inwestycje do spr.'!$D$7:$D$250,$D22,'tp inwestycje do spr.'!$E$7:$E$250,$A22)-G22,2))</f>
        <v>0</v>
      </c>
      <c r="P22" s="344">
        <f>IF(C22="","",ROUND(SUMIFS('tp inwestycje do spr.'!H$7:H$250,'tp inwestycje do spr.'!$A$7:$A$250,$B22,'tp inwestycje do spr.'!$C$7:$C$250,$C22,'tp inwestycje do spr.'!$D$7:$D$250,$D22,'tp inwestycje do spr.'!$E$7:$E$250,$A22)-H22,2))</f>
        <v>0</v>
      </c>
      <c r="Q22" s="344">
        <f>IF(D22="","",ROUND(SUMIFS('tp inwestycje do spr.'!I$7:I$250,'tp inwestycje do spr.'!$A$7:$A$250,$B22,'tp inwestycje do spr.'!$C$7:$C$250,$C22,'tp inwestycje do spr.'!$D$7:$D$250,$D22,'tp inwestycje do spr.'!$E$7:$E$250,$A22)-I22,2))</f>
        <v>0</v>
      </c>
      <c r="R22" s="344">
        <f>IF(E22="","",ROUND(SUMIFS('tp inwestycje do spr.'!J$7:J$250,'tp inwestycje do spr.'!$A$7:$A$250,$B22,'tp inwestycje do spr.'!$C$7:$C$250,$C22,'tp inwestycje do spr.'!$D$7:$D$250,$D22,'tp inwestycje do spr.'!$E$7:$E$250,$A22)-J22,2))</f>
        <v>0</v>
      </c>
      <c r="S22" s="344">
        <f>IF(F22="","",ROUND(SUMIFS('tp inwestycje do spr.'!K$7:K$250,'tp inwestycje do spr.'!$A$7:$A$250,$B22,'tp inwestycje do spr.'!$C$7:$C$250,$C22,'tp inwestycje do spr.'!$D$7:$D$250,$D22,'tp inwestycje do spr.'!$E$7:$E$250,$A22)-K22,2))</f>
        <v>0</v>
      </c>
      <c r="T22" s="344">
        <f>IF(G22="","",ROUND(SUMIFS('tp inwestycje do spr.'!L$7:L$250,'tp inwestycje do spr.'!$A$7:$A$250,$B22,'tp inwestycje do spr.'!$C$7:$C$250,$C22,'tp inwestycje do spr.'!$D$7:$D$250,$D22,'tp inwestycje do spr.'!$E$7:$E$250,$A22)-L22,2))</f>
        <v>0</v>
      </c>
      <c r="U22" s="342" t="str">
        <f t="shared" si="4"/>
        <v>nie</v>
      </c>
    </row>
    <row r="23" spans="1:21" x14ac:dyDescent="0.25">
      <c r="A23" s="356" t="s">
        <v>102</v>
      </c>
      <c r="B23" s="356" t="s">
        <v>115</v>
      </c>
      <c r="C23" s="357" t="s">
        <v>278</v>
      </c>
      <c r="D23" s="357" t="s">
        <v>245</v>
      </c>
      <c r="E23" s="356" t="s">
        <v>281</v>
      </c>
      <c r="F23" s="358">
        <v>315000</v>
      </c>
      <c r="G23" s="358">
        <v>0</v>
      </c>
      <c r="H23" s="358">
        <v>0</v>
      </c>
      <c r="I23" s="358">
        <v>265000</v>
      </c>
      <c r="J23" s="358">
        <v>50000</v>
      </c>
      <c r="K23" s="358">
        <v>0</v>
      </c>
      <c r="L23" s="358"/>
      <c r="M23" s="355"/>
      <c r="N23" s="344">
        <f>IF(A23="","",ROUND(SUMIFS('tp inwestycje do spr.'!F$7:F$250,'tp inwestycje do spr.'!$A$7:$A$250,$B23,'tp inwestycje do spr.'!$C$7:$C$250,$C23,'tp inwestycje do spr.'!$D$7:$D$250,$D23,'tp inwestycje do spr.'!$E$7:$E$250,$A23)-F23,2))</f>
        <v>0</v>
      </c>
      <c r="O23" s="344">
        <f>IF(B23="","",ROUND(SUMIFS('tp inwestycje do spr.'!G$7:G$250,'tp inwestycje do spr.'!$A$7:$A$250,$B23,'tp inwestycje do spr.'!$C$7:$C$250,$C23,'tp inwestycje do spr.'!$D$7:$D$250,$D23,'tp inwestycje do spr.'!$E$7:$E$250,$A23)-G23,2))</f>
        <v>0</v>
      </c>
      <c r="P23" s="344">
        <f>IF(C23="","",ROUND(SUMIFS('tp inwestycje do spr.'!H$7:H$250,'tp inwestycje do spr.'!$A$7:$A$250,$B23,'tp inwestycje do spr.'!$C$7:$C$250,$C23,'tp inwestycje do spr.'!$D$7:$D$250,$D23,'tp inwestycje do spr.'!$E$7:$E$250,$A23)-H23,2))</f>
        <v>0</v>
      </c>
      <c r="Q23" s="344">
        <f>IF(D23="","",ROUND(SUMIFS('tp inwestycje do spr.'!I$7:I$250,'tp inwestycje do spr.'!$A$7:$A$250,$B23,'tp inwestycje do spr.'!$C$7:$C$250,$C23,'tp inwestycje do spr.'!$D$7:$D$250,$D23,'tp inwestycje do spr.'!$E$7:$E$250,$A23)-I23,2))</f>
        <v>0</v>
      </c>
      <c r="R23" s="344">
        <f>IF(E23="","",ROUND(SUMIFS('tp inwestycje do spr.'!J$7:J$250,'tp inwestycje do spr.'!$A$7:$A$250,$B23,'tp inwestycje do spr.'!$C$7:$C$250,$C23,'tp inwestycje do spr.'!$D$7:$D$250,$D23,'tp inwestycje do spr.'!$E$7:$E$250,$A23)-J23,2))</f>
        <v>0</v>
      </c>
      <c r="S23" s="344">
        <f>IF(F23="","",ROUND(SUMIFS('tp inwestycje do spr.'!K$7:K$250,'tp inwestycje do spr.'!$A$7:$A$250,$B23,'tp inwestycje do spr.'!$C$7:$C$250,$C23,'tp inwestycje do spr.'!$D$7:$D$250,$D23,'tp inwestycje do spr.'!$E$7:$E$250,$A23)-K23,2))</f>
        <v>0</v>
      </c>
      <c r="T23" s="344">
        <f>IF(G23="","",ROUND(SUMIFS('tp inwestycje do spr.'!L$7:L$250,'tp inwestycje do spr.'!$A$7:$A$250,$B23,'tp inwestycje do spr.'!$C$7:$C$250,$C23,'tp inwestycje do spr.'!$D$7:$D$250,$D23,'tp inwestycje do spr.'!$E$7:$E$250,$A23)-L23,2))</f>
        <v>0</v>
      </c>
      <c r="U23" s="342" t="str">
        <f t="shared" si="4"/>
        <v>nie</v>
      </c>
    </row>
    <row r="24" spans="1:21" x14ac:dyDescent="0.25">
      <c r="A24" s="356" t="s">
        <v>103</v>
      </c>
      <c r="B24" s="356" t="s">
        <v>115</v>
      </c>
      <c r="C24" s="357" t="s">
        <v>278</v>
      </c>
      <c r="D24" s="357" t="s">
        <v>245</v>
      </c>
      <c r="E24" s="356" t="s">
        <v>282</v>
      </c>
      <c r="F24" s="358">
        <v>315000</v>
      </c>
      <c r="G24" s="358">
        <v>0</v>
      </c>
      <c r="H24" s="358">
        <v>0</v>
      </c>
      <c r="I24" s="358">
        <v>265000</v>
      </c>
      <c r="J24" s="358">
        <v>50000</v>
      </c>
      <c r="K24" s="358">
        <v>0</v>
      </c>
      <c r="L24" s="358"/>
      <c r="M24" s="355"/>
      <c r="N24" s="344">
        <f>IF(A24="","",ROUND(SUMIFS('tp inwestycje do spr.'!F$7:F$250,'tp inwestycje do spr.'!$A$7:$A$250,$B24,'tp inwestycje do spr.'!$C$7:$C$250,$C24,'tp inwestycje do spr.'!$D$7:$D$250,$D24,'tp inwestycje do spr.'!$E$7:$E$250,$A24)-F24,2))</f>
        <v>0</v>
      </c>
      <c r="O24" s="344">
        <f>IF(B24="","",ROUND(SUMIFS('tp inwestycje do spr.'!G$7:G$250,'tp inwestycje do spr.'!$A$7:$A$250,$B24,'tp inwestycje do spr.'!$C$7:$C$250,$C24,'tp inwestycje do spr.'!$D$7:$D$250,$D24,'tp inwestycje do spr.'!$E$7:$E$250,$A24)-G24,2))</f>
        <v>0</v>
      </c>
      <c r="P24" s="344">
        <f>IF(C24="","",ROUND(SUMIFS('tp inwestycje do spr.'!H$7:H$250,'tp inwestycje do spr.'!$A$7:$A$250,$B24,'tp inwestycje do spr.'!$C$7:$C$250,$C24,'tp inwestycje do spr.'!$D$7:$D$250,$D24,'tp inwestycje do spr.'!$E$7:$E$250,$A24)-H24,2))</f>
        <v>0</v>
      </c>
      <c r="Q24" s="344">
        <f>IF(D24="","",ROUND(SUMIFS('tp inwestycje do spr.'!I$7:I$250,'tp inwestycje do spr.'!$A$7:$A$250,$B24,'tp inwestycje do spr.'!$C$7:$C$250,$C24,'tp inwestycje do spr.'!$D$7:$D$250,$D24,'tp inwestycje do spr.'!$E$7:$E$250,$A24)-I24,2))</f>
        <v>0</v>
      </c>
      <c r="R24" s="344">
        <f>IF(E24="","",ROUND(SUMIFS('tp inwestycje do spr.'!J$7:J$250,'tp inwestycje do spr.'!$A$7:$A$250,$B24,'tp inwestycje do spr.'!$C$7:$C$250,$C24,'tp inwestycje do spr.'!$D$7:$D$250,$D24,'tp inwestycje do spr.'!$E$7:$E$250,$A24)-J24,2))</f>
        <v>0</v>
      </c>
      <c r="S24" s="344">
        <f>IF(F24="","",ROUND(SUMIFS('tp inwestycje do spr.'!K$7:K$250,'tp inwestycje do spr.'!$A$7:$A$250,$B24,'tp inwestycje do spr.'!$C$7:$C$250,$C24,'tp inwestycje do spr.'!$D$7:$D$250,$D24,'tp inwestycje do spr.'!$E$7:$E$250,$A24)-K24,2))</f>
        <v>0</v>
      </c>
      <c r="T24" s="344">
        <f>IF(G24="","",ROUND(SUMIFS('tp inwestycje do spr.'!L$7:L$250,'tp inwestycje do spr.'!$A$7:$A$250,$B24,'tp inwestycje do spr.'!$C$7:$C$250,$C24,'tp inwestycje do spr.'!$D$7:$D$250,$D24,'tp inwestycje do spr.'!$E$7:$E$250,$A24)-L24,2))</f>
        <v>0</v>
      </c>
      <c r="U24" s="342" t="str">
        <f t="shared" si="4"/>
        <v>nie</v>
      </c>
    </row>
    <row r="25" spans="1:21" x14ac:dyDescent="0.25">
      <c r="A25" s="356" t="s">
        <v>102</v>
      </c>
      <c r="B25" s="356" t="s">
        <v>117</v>
      </c>
      <c r="C25" s="357" t="s">
        <v>278</v>
      </c>
      <c r="D25" s="357" t="s">
        <v>242</v>
      </c>
      <c r="E25" s="356" t="s">
        <v>283</v>
      </c>
      <c r="F25" s="358">
        <v>22222322</v>
      </c>
      <c r="G25" s="358">
        <v>50381</v>
      </c>
      <c r="H25" s="358">
        <v>1241453</v>
      </c>
      <c r="I25" s="358">
        <v>2741188</v>
      </c>
      <c r="J25" s="358">
        <v>12301215</v>
      </c>
      <c r="K25" s="358">
        <v>5888085</v>
      </c>
      <c r="L25" s="358"/>
      <c r="M25" s="355"/>
      <c r="N25" s="344">
        <f>IF(A25="","",ROUND(SUMIFS('tp inwestycje do spr.'!F$7:F$250,'tp inwestycje do spr.'!$A$7:$A$250,$B25,'tp inwestycje do spr.'!$C$7:$C$250,$C25,'tp inwestycje do spr.'!$D$7:$D$250,$D25,'tp inwestycje do spr.'!$E$7:$E$250,$A25)-F25,2))</f>
        <v>0</v>
      </c>
      <c r="O25" s="344">
        <f>IF(B25="","",ROUND(SUMIFS('tp inwestycje do spr.'!G$7:G$250,'tp inwestycje do spr.'!$A$7:$A$250,$B25,'tp inwestycje do spr.'!$C$7:$C$250,$C25,'tp inwestycje do spr.'!$D$7:$D$250,$D25,'tp inwestycje do spr.'!$E$7:$E$250,$A25)-G25,2))</f>
        <v>0</v>
      </c>
      <c r="P25" s="344">
        <f>IF(C25="","",ROUND(SUMIFS('tp inwestycje do spr.'!H$7:H$250,'tp inwestycje do spr.'!$A$7:$A$250,$B25,'tp inwestycje do spr.'!$C$7:$C$250,$C25,'tp inwestycje do spr.'!$D$7:$D$250,$D25,'tp inwestycje do spr.'!$E$7:$E$250,$A25)-H25,2))</f>
        <v>0</v>
      </c>
      <c r="Q25" s="344">
        <f>IF(D25="","",ROUND(SUMIFS('tp inwestycje do spr.'!I$7:I$250,'tp inwestycje do spr.'!$A$7:$A$250,$B25,'tp inwestycje do spr.'!$C$7:$C$250,$C25,'tp inwestycje do spr.'!$D$7:$D$250,$D25,'tp inwestycje do spr.'!$E$7:$E$250,$A25)-I25,2))</f>
        <v>0</v>
      </c>
      <c r="R25" s="344">
        <f>IF(E25="","",ROUND(SUMIFS('tp inwestycje do spr.'!J$7:J$250,'tp inwestycje do spr.'!$A$7:$A$250,$B25,'tp inwestycje do spr.'!$C$7:$C$250,$C25,'tp inwestycje do spr.'!$D$7:$D$250,$D25,'tp inwestycje do spr.'!$E$7:$E$250,$A25)-J25,2))</f>
        <v>0</v>
      </c>
      <c r="S25" s="344">
        <f>IF(F25="","",ROUND(SUMIFS('tp inwestycje do spr.'!K$7:K$250,'tp inwestycje do spr.'!$A$7:$A$250,$B25,'tp inwestycje do spr.'!$C$7:$C$250,$C25,'tp inwestycje do spr.'!$D$7:$D$250,$D25,'tp inwestycje do spr.'!$E$7:$E$250,$A25)-K25,2))</f>
        <v>0</v>
      </c>
      <c r="T25" s="344">
        <f>IF(G25="","",ROUND(SUMIFS('tp inwestycje do spr.'!L$7:L$250,'tp inwestycje do spr.'!$A$7:$A$250,$B25,'tp inwestycje do spr.'!$C$7:$C$250,$C25,'tp inwestycje do spr.'!$D$7:$D$250,$D25,'tp inwestycje do spr.'!$E$7:$E$250,$A25)-L25,2))</f>
        <v>0</v>
      </c>
      <c r="U25" s="342" t="str">
        <f t="shared" si="4"/>
        <v>nie</v>
      </c>
    </row>
    <row r="26" spans="1:21" x14ac:dyDescent="0.25">
      <c r="A26" s="356" t="s">
        <v>103</v>
      </c>
      <c r="B26" s="356" t="s">
        <v>117</v>
      </c>
      <c r="C26" s="357" t="s">
        <v>278</v>
      </c>
      <c r="D26" s="357" t="s">
        <v>242</v>
      </c>
      <c r="E26" s="356" t="s">
        <v>284</v>
      </c>
      <c r="F26" s="358">
        <v>19583424</v>
      </c>
      <c r="G26" s="358">
        <v>0</v>
      </c>
      <c r="H26" s="358">
        <v>0</v>
      </c>
      <c r="I26" s="358">
        <v>1416694</v>
      </c>
      <c r="J26" s="358">
        <v>12278645</v>
      </c>
      <c r="K26" s="358">
        <v>5888085</v>
      </c>
      <c r="L26" s="358"/>
      <c r="M26" s="355"/>
      <c r="N26" s="344">
        <f>IF(A26="","",ROUND(SUMIFS('tp inwestycje do spr.'!F$7:F$250,'tp inwestycje do spr.'!$A$7:$A$250,$B26,'tp inwestycje do spr.'!$C$7:$C$250,$C26,'tp inwestycje do spr.'!$D$7:$D$250,$D26,'tp inwestycje do spr.'!$E$7:$E$250,$A26)-F26,2))</f>
        <v>0</v>
      </c>
      <c r="O26" s="344">
        <f>IF(B26="","",ROUND(SUMIFS('tp inwestycje do spr.'!G$7:G$250,'tp inwestycje do spr.'!$A$7:$A$250,$B26,'tp inwestycje do spr.'!$C$7:$C$250,$C26,'tp inwestycje do spr.'!$D$7:$D$250,$D26,'tp inwestycje do spr.'!$E$7:$E$250,$A26)-G26,2))</f>
        <v>0</v>
      </c>
      <c r="P26" s="344">
        <f>IF(C26="","",ROUND(SUMIFS('tp inwestycje do spr.'!H$7:H$250,'tp inwestycje do spr.'!$A$7:$A$250,$B26,'tp inwestycje do spr.'!$C$7:$C$250,$C26,'tp inwestycje do spr.'!$D$7:$D$250,$D26,'tp inwestycje do spr.'!$E$7:$E$250,$A26)-H26,2))</f>
        <v>0</v>
      </c>
      <c r="Q26" s="344">
        <f>IF(D26="","",ROUND(SUMIFS('tp inwestycje do spr.'!I$7:I$250,'tp inwestycje do spr.'!$A$7:$A$250,$B26,'tp inwestycje do spr.'!$C$7:$C$250,$C26,'tp inwestycje do spr.'!$D$7:$D$250,$D26,'tp inwestycje do spr.'!$E$7:$E$250,$A26)-I26,2))</f>
        <v>0</v>
      </c>
      <c r="R26" s="344">
        <f>IF(E26="","",ROUND(SUMIFS('tp inwestycje do spr.'!J$7:J$250,'tp inwestycje do spr.'!$A$7:$A$250,$B26,'tp inwestycje do spr.'!$C$7:$C$250,$C26,'tp inwestycje do spr.'!$D$7:$D$250,$D26,'tp inwestycje do spr.'!$E$7:$E$250,$A26)-J26,2))</f>
        <v>0</v>
      </c>
      <c r="S26" s="344">
        <f>IF(F26="","",ROUND(SUMIFS('tp inwestycje do spr.'!K$7:K$250,'tp inwestycje do spr.'!$A$7:$A$250,$B26,'tp inwestycje do spr.'!$C$7:$C$250,$C26,'tp inwestycje do spr.'!$D$7:$D$250,$D26,'tp inwestycje do spr.'!$E$7:$E$250,$A26)-K26,2))</f>
        <v>0</v>
      </c>
      <c r="T26" s="344">
        <f>IF(G26="","",ROUND(SUMIFS('tp inwestycje do spr.'!L$7:L$250,'tp inwestycje do spr.'!$A$7:$A$250,$B26,'tp inwestycje do spr.'!$C$7:$C$250,$C26,'tp inwestycje do spr.'!$D$7:$D$250,$D26,'tp inwestycje do spr.'!$E$7:$E$250,$A26)-L26,2))</f>
        <v>0</v>
      </c>
      <c r="U26" s="342" t="str">
        <f t="shared" si="4"/>
        <v>nie</v>
      </c>
    </row>
    <row r="27" spans="1:21" x14ac:dyDescent="0.25">
      <c r="A27" s="356" t="s">
        <v>104</v>
      </c>
      <c r="B27" s="356" t="s">
        <v>117</v>
      </c>
      <c r="C27" s="357" t="s">
        <v>278</v>
      </c>
      <c r="D27" s="357" t="s">
        <v>242</v>
      </c>
      <c r="E27" s="356" t="s">
        <v>285</v>
      </c>
      <c r="F27" s="358">
        <v>2638898</v>
      </c>
      <c r="G27" s="358">
        <v>50381</v>
      </c>
      <c r="H27" s="358">
        <v>1241453</v>
      </c>
      <c r="I27" s="358">
        <v>1324494</v>
      </c>
      <c r="J27" s="358">
        <v>22570</v>
      </c>
      <c r="K27" s="358">
        <v>0</v>
      </c>
      <c r="L27" s="358"/>
      <c r="M27" s="355"/>
      <c r="N27" s="344">
        <f>IF(A27="","",ROUND(SUMIFS('tp inwestycje do spr.'!F$7:F$250,'tp inwestycje do spr.'!$A$7:$A$250,$B27,'tp inwestycje do spr.'!$C$7:$C$250,$C27,'tp inwestycje do spr.'!$D$7:$D$250,$D27,'tp inwestycje do spr.'!$E$7:$E$250,$A27)-F27,2))</f>
        <v>0</v>
      </c>
      <c r="O27" s="344">
        <f>IF(B27="","",ROUND(SUMIFS('tp inwestycje do spr.'!G$7:G$250,'tp inwestycje do spr.'!$A$7:$A$250,$B27,'tp inwestycje do spr.'!$C$7:$C$250,$C27,'tp inwestycje do spr.'!$D$7:$D$250,$D27,'tp inwestycje do spr.'!$E$7:$E$250,$A27)-G27,2))</f>
        <v>0</v>
      </c>
      <c r="P27" s="344">
        <f>IF(C27="","",ROUND(SUMIFS('tp inwestycje do spr.'!H$7:H$250,'tp inwestycje do spr.'!$A$7:$A$250,$B27,'tp inwestycje do spr.'!$C$7:$C$250,$C27,'tp inwestycje do spr.'!$D$7:$D$250,$D27,'tp inwestycje do spr.'!$E$7:$E$250,$A27)-H27,2))</f>
        <v>0</v>
      </c>
      <c r="Q27" s="344">
        <f>IF(D27="","",ROUND(SUMIFS('tp inwestycje do spr.'!I$7:I$250,'tp inwestycje do spr.'!$A$7:$A$250,$B27,'tp inwestycje do spr.'!$C$7:$C$250,$C27,'tp inwestycje do spr.'!$D$7:$D$250,$D27,'tp inwestycje do spr.'!$E$7:$E$250,$A27)-I27,2))</f>
        <v>0</v>
      </c>
      <c r="R27" s="344">
        <f>IF(E27="","",ROUND(SUMIFS('tp inwestycje do spr.'!J$7:J$250,'tp inwestycje do spr.'!$A$7:$A$250,$B27,'tp inwestycje do spr.'!$C$7:$C$250,$C27,'tp inwestycje do spr.'!$D$7:$D$250,$D27,'tp inwestycje do spr.'!$E$7:$E$250,$A27)-J27,2))</f>
        <v>0</v>
      </c>
      <c r="S27" s="344">
        <f>IF(F27="","",ROUND(SUMIFS('tp inwestycje do spr.'!K$7:K$250,'tp inwestycje do spr.'!$A$7:$A$250,$B27,'tp inwestycje do spr.'!$C$7:$C$250,$C27,'tp inwestycje do spr.'!$D$7:$D$250,$D27,'tp inwestycje do spr.'!$E$7:$E$250,$A27)-K27,2))</f>
        <v>0</v>
      </c>
      <c r="T27" s="344">
        <f>IF(G27="","",ROUND(SUMIFS('tp inwestycje do spr.'!L$7:L$250,'tp inwestycje do spr.'!$A$7:$A$250,$B27,'tp inwestycje do spr.'!$C$7:$C$250,$C27,'tp inwestycje do spr.'!$D$7:$D$250,$D27,'tp inwestycje do spr.'!$E$7:$E$250,$A27)-L27,2))</f>
        <v>0</v>
      </c>
      <c r="U27" s="342" t="str">
        <f t="shared" si="4"/>
        <v>nie</v>
      </c>
    </row>
    <row r="28" spans="1:21" x14ac:dyDescent="0.25">
      <c r="A28" s="356" t="s">
        <v>102</v>
      </c>
      <c r="B28" s="356" t="s">
        <v>119</v>
      </c>
      <c r="C28" s="357" t="s">
        <v>286</v>
      </c>
      <c r="D28" s="357" t="s">
        <v>242</v>
      </c>
      <c r="E28" s="356" t="s">
        <v>287</v>
      </c>
      <c r="F28" s="358">
        <v>2910001</v>
      </c>
      <c r="G28" s="358">
        <v>209124</v>
      </c>
      <c r="H28" s="358">
        <v>217069</v>
      </c>
      <c r="I28" s="358">
        <v>1983808</v>
      </c>
      <c r="J28" s="358">
        <v>500000</v>
      </c>
      <c r="K28" s="358">
        <v>0</v>
      </c>
      <c r="L28" s="358"/>
      <c r="M28" s="355"/>
      <c r="N28" s="344">
        <f>IF(A28="","",ROUND(SUMIFS('tp inwestycje do spr.'!F$7:F$250,'tp inwestycje do spr.'!$A$7:$A$250,$B28,'tp inwestycje do spr.'!$C$7:$C$250,$C28,'tp inwestycje do spr.'!$D$7:$D$250,$D28,'tp inwestycje do spr.'!$E$7:$E$250,$A28)-F28,2))</f>
        <v>0</v>
      </c>
      <c r="O28" s="344">
        <f>IF(B28="","",ROUND(SUMIFS('tp inwestycje do spr.'!G$7:G$250,'tp inwestycje do spr.'!$A$7:$A$250,$B28,'tp inwestycje do spr.'!$C$7:$C$250,$C28,'tp inwestycje do spr.'!$D$7:$D$250,$D28,'tp inwestycje do spr.'!$E$7:$E$250,$A28)-G28,2))</f>
        <v>0</v>
      </c>
      <c r="P28" s="344">
        <f>IF(C28="","",ROUND(SUMIFS('tp inwestycje do spr.'!H$7:H$250,'tp inwestycje do spr.'!$A$7:$A$250,$B28,'tp inwestycje do spr.'!$C$7:$C$250,$C28,'tp inwestycje do spr.'!$D$7:$D$250,$D28,'tp inwestycje do spr.'!$E$7:$E$250,$A28)-H28,2))</f>
        <v>0</v>
      </c>
      <c r="Q28" s="344">
        <f>IF(D28="","",ROUND(SUMIFS('tp inwestycje do spr.'!I$7:I$250,'tp inwestycje do spr.'!$A$7:$A$250,$B28,'tp inwestycje do spr.'!$C$7:$C$250,$C28,'tp inwestycje do spr.'!$D$7:$D$250,$D28,'tp inwestycje do spr.'!$E$7:$E$250,$A28)-I28,2))</f>
        <v>0</v>
      </c>
      <c r="R28" s="344">
        <f>IF(E28="","",ROUND(SUMIFS('tp inwestycje do spr.'!J$7:J$250,'tp inwestycje do spr.'!$A$7:$A$250,$B28,'tp inwestycje do spr.'!$C$7:$C$250,$C28,'tp inwestycje do spr.'!$D$7:$D$250,$D28,'tp inwestycje do spr.'!$E$7:$E$250,$A28)-J28,2))</f>
        <v>0</v>
      </c>
      <c r="S28" s="344">
        <f>IF(F28="","",ROUND(SUMIFS('tp inwestycje do spr.'!K$7:K$250,'tp inwestycje do spr.'!$A$7:$A$250,$B28,'tp inwestycje do spr.'!$C$7:$C$250,$C28,'tp inwestycje do spr.'!$D$7:$D$250,$D28,'tp inwestycje do spr.'!$E$7:$E$250,$A28)-K28,2))</f>
        <v>0</v>
      </c>
      <c r="T28" s="344">
        <f>IF(G28="","",ROUND(SUMIFS('tp inwestycje do spr.'!L$7:L$250,'tp inwestycje do spr.'!$A$7:$A$250,$B28,'tp inwestycje do spr.'!$C$7:$C$250,$C28,'tp inwestycje do spr.'!$D$7:$D$250,$D28,'tp inwestycje do spr.'!$E$7:$E$250,$A28)-L28,2))</f>
        <v>0</v>
      </c>
      <c r="U28" s="342" t="str">
        <f t="shared" si="4"/>
        <v>nie</v>
      </c>
    </row>
    <row r="29" spans="1:21" x14ac:dyDescent="0.25">
      <c r="A29" s="356" t="s">
        <v>103</v>
      </c>
      <c r="B29" s="356" t="s">
        <v>119</v>
      </c>
      <c r="C29" s="357" t="s">
        <v>286</v>
      </c>
      <c r="D29" s="357" t="s">
        <v>242</v>
      </c>
      <c r="E29" s="356" t="s">
        <v>288</v>
      </c>
      <c r="F29" s="358">
        <v>2467732</v>
      </c>
      <c r="G29" s="358">
        <v>0</v>
      </c>
      <c r="H29" s="358">
        <v>0</v>
      </c>
      <c r="I29" s="358">
        <v>1967732</v>
      </c>
      <c r="J29" s="358">
        <v>500000</v>
      </c>
      <c r="K29" s="358">
        <v>0</v>
      </c>
      <c r="L29" s="358"/>
      <c r="M29" s="355"/>
      <c r="N29" s="344">
        <f>IF(A29="","",ROUND(SUMIFS('tp inwestycje do spr.'!F$7:F$250,'tp inwestycje do spr.'!$A$7:$A$250,$B29,'tp inwestycje do spr.'!$C$7:$C$250,$C29,'tp inwestycje do spr.'!$D$7:$D$250,$D29,'tp inwestycje do spr.'!$E$7:$E$250,$A29)-F29,2))</f>
        <v>0</v>
      </c>
      <c r="O29" s="344">
        <f>IF(B29="","",ROUND(SUMIFS('tp inwestycje do spr.'!G$7:G$250,'tp inwestycje do spr.'!$A$7:$A$250,$B29,'tp inwestycje do spr.'!$C$7:$C$250,$C29,'tp inwestycje do spr.'!$D$7:$D$250,$D29,'tp inwestycje do spr.'!$E$7:$E$250,$A29)-G29,2))</f>
        <v>0</v>
      </c>
      <c r="P29" s="344">
        <f>IF(C29="","",ROUND(SUMIFS('tp inwestycje do spr.'!H$7:H$250,'tp inwestycje do spr.'!$A$7:$A$250,$B29,'tp inwestycje do spr.'!$C$7:$C$250,$C29,'tp inwestycje do spr.'!$D$7:$D$250,$D29,'tp inwestycje do spr.'!$E$7:$E$250,$A29)-H29,2))</f>
        <v>0</v>
      </c>
      <c r="Q29" s="344">
        <f>IF(D29="","",ROUND(SUMIFS('tp inwestycje do spr.'!I$7:I$250,'tp inwestycje do spr.'!$A$7:$A$250,$B29,'tp inwestycje do spr.'!$C$7:$C$250,$C29,'tp inwestycje do spr.'!$D$7:$D$250,$D29,'tp inwestycje do spr.'!$E$7:$E$250,$A29)-I29,2))</f>
        <v>0</v>
      </c>
      <c r="R29" s="344">
        <f>IF(E29="","",ROUND(SUMIFS('tp inwestycje do spr.'!J$7:J$250,'tp inwestycje do spr.'!$A$7:$A$250,$B29,'tp inwestycje do spr.'!$C$7:$C$250,$C29,'tp inwestycje do spr.'!$D$7:$D$250,$D29,'tp inwestycje do spr.'!$E$7:$E$250,$A29)-J29,2))</f>
        <v>0</v>
      </c>
      <c r="S29" s="344">
        <f>IF(F29="","",ROUND(SUMIFS('tp inwestycje do spr.'!K$7:K$250,'tp inwestycje do spr.'!$A$7:$A$250,$B29,'tp inwestycje do spr.'!$C$7:$C$250,$C29,'tp inwestycje do spr.'!$D$7:$D$250,$D29,'tp inwestycje do spr.'!$E$7:$E$250,$A29)-K29,2))</f>
        <v>0</v>
      </c>
      <c r="T29" s="344">
        <f>IF(G29="","",ROUND(SUMIFS('tp inwestycje do spr.'!L$7:L$250,'tp inwestycje do spr.'!$A$7:$A$250,$B29,'tp inwestycje do spr.'!$C$7:$C$250,$C29,'tp inwestycje do spr.'!$D$7:$D$250,$D29,'tp inwestycje do spr.'!$E$7:$E$250,$A29)-L29,2))</f>
        <v>0</v>
      </c>
      <c r="U29" s="342" t="str">
        <f t="shared" si="4"/>
        <v>nie</v>
      </c>
    </row>
    <row r="30" spans="1:21" x14ac:dyDescent="0.25">
      <c r="A30" s="356" t="s">
        <v>104</v>
      </c>
      <c r="B30" s="356" t="s">
        <v>119</v>
      </c>
      <c r="C30" s="357" t="s">
        <v>286</v>
      </c>
      <c r="D30" s="357" t="s">
        <v>242</v>
      </c>
      <c r="E30" s="356" t="s">
        <v>289</v>
      </c>
      <c r="F30" s="358">
        <v>442269</v>
      </c>
      <c r="G30" s="358">
        <v>209124</v>
      </c>
      <c r="H30" s="358">
        <v>217069</v>
      </c>
      <c r="I30" s="358">
        <v>16076</v>
      </c>
      <c r="J30" s="358">
        <v>0</v>
      </c>
      <c r="K30" s="358">
        <v>0</v>
      </c>
      <c r="L30" s="358"/>
      <c r="M30" s="355"/>
      <c r="N30" s="344">
        <f>IF(A30="","",ROUND(SUMIFS('tp inwestycje do spr.'!F$7:F$250,'tp inwestycje do spr.'!$A$7:$A$250,$B30,'tp inwestycje do spr.'!$C$7:$C$250,$C30,'tp inwestycje do spr.'!$D$7:$D$250,$D30,'tp inwestycje do spr.'!$E$7:$E$250,$A30)-F30,2))</f>
        <v>0</v>
      </c>
      <c r="O30" s="344">
        <f>IF(B30="","",ROUND(SUMIFS('tp inwestycje do spr.'!G$7:G$250,'tp inwestycje do spr.'!$A$7:$A$250,$B30,'tp inwestycje do spr.'!$C$7:$C$250,$C30,'tp inwestycje do spr.'!$D$7:$D$250,$D30,'tp inwestycje do spr.'!$E$7:$E$250,$A30)-G30,2))</f>
        <v>0</v>
      </c>
      <c r="P30" s="344">
        <f>IF(C30="","",ROUND(SUMIFS('tp inwestycje do spr.'!H$7:H$250,'tp inwestycje do spr.'!$A$7:$A$250,$B30,'tp inwestycje do spr.'!$C$7:$C$250,$C30,'tp inwestycje do spr.'!$D$7:$D$250,$D30,'tp inwestycje do spr.'!$E$7:$E$250,$A30)-H30,2))</f>
        <v>0</v>
      </c>
      <c r="Q30" s="344">
        <f>IF(D30="","",ROUND(SUMIFS('tp inwestycje do spr.'!I$7:I$250,'tp inwestycje do spr.'!$A$7:$A$250,$B30,'tp inwestycje do spr.'!$C$7:$C$250,$C30,'tp inwestycje do spr.'!$D$7:$D$250,$D30,'tp inwestycje do spr.'!$E$7:$E$250,$A30)-I30,2))</f>
        <v>0</v>
      </c>
      <c r="R30" s="344">
        <f>IF(E30="","",ROUND(SUMIFS('tp inwestycje do spr.'!J$7:J$250,'tp inwestycje do spr.'!$A$7:$A$250,$B30,'tp inwestycje do spr.'!$C$7:$C$250,$C30,'tp inwestycje do spr.'!$D$7:$D$250,$D30,'tp inwestycje do spr.'!$E$7:$E$250,$A30)-J30,2))</f>
        <v>0</v>
      </c>
      <c r="S30" s="344">
        <f>IF(F30="","",ROUND(SUMIFS('tp inwestycje do spr.'!K$7:K$250,'tp inwestycje do spr.'!$A$7:$A$250,$B30,'tp inwestycje do spr.'!$C$7:$C$250,$C30,'tp inwestycje do spr.'!$D$7:$D$250,$D30,'tp inwestycje do spr.'!$E$7:$E$250,$A30)-K30,2))</f>
        <v>0</v>
      </c>
      <c r="T30" s="344">
        <f>IF(G30="","",ROUND(SUMIFS('tp inwestycje do spr.'!L$7:L$250,'tp inwestycje do spr.'!$A$7:$A$250,$B30,'tp inwestycje do spr.'!$C$7:$C$250,$C30,'tp inwestycje do spr.'!$D$7:$D$250,$D30,'tp inwestycje do spr.'!$E$7:$E$250,$A30)-L30,2))</f>
        <v>0</v>
      </c>
      <c r="U30" s="342" t="str">
        <f t="shared" si="4"/>
        <v>nie</v>
      </c>
    </row>
    <row r="31" spans="1:21" x14ac:dyDescent="0.25">
      <c r="A31" s="356" t="s">
        <v>102</v>
      </c>
      <c r="B31" s="356" t="s">
        <v>122</v>
      </c>
      <c r="C31" s="357" t="s">
        <v>435</v>
      </c>
      <c r="D31" s="357" t="s">
        <v>242</v>
      </c>
      <c r="E31" s="356" t="s">
        <v>436</v>
      </c>
      <c r="F31" s="358">
        <v>574000</v>
      </c>
      <c r="G31" s="358">
        <v>163277</v>
      </c>
      <c r="H31" s="358">
        <v>367159</v>
      </c>
      <c r="I31" s="358">
        <v>3564</v>
      </c>
      <c r="J31" s="358">
        <v>40000</v>
      </c>
      <c r="K31" s="358">
        <v>0</v>
      </c>
      <c r="L31" s="358"/>
      <c r="M31" s="355"/>
      <c r="N31" s="344">
        <f>IF(A31="","",ROUND(SUMIFS('tp inwestycje do spr.'!F$7:F$250,'tp inwestycje do spr.'!$A$7:$A$250,$B31,'tp inwestycje do spr.'!$C$7:$C$250,$C31,'tp inwestycje do spr.'!$D$7:$D$250,$D31,'tp inwestycje do spr.'!$E$7:$E$250,$A31)-F31,2))</f>
        <v>0</v>
      </c>
      <c r="O31" s="344">
        <f>IF(B31="","",ROUND(SUMIFS('tp inwestycje do spr.'!G$7:G$250,'tp inwestycje do spr.'!$A$7:$A$250,$B31,'tp inwestycje do spr.'!$C$7:$C$250,$C31,'tp inwestycje do spr.'!$D$7:$D$250,$D31,'tp inwestycje do spr.'!$E$7:$E$250,$A31)-G31,2))</f>
        <v>0</v>
      </c>
      <c r="P31" s="344">
        <f>IF(C31="","",ROUND(SUMIFS('tp inwestycje do spr.'!H$7:H$250,'tp inwestycje do spr.'!$A$7:$A$250,$B31,'tp inwestycje do spr.'!$C$7:$C$250,$C31,'tp inwestycje do spr.'!$D$7:$D$250,$D31,'tp inwestycje do spr.'!$E$7:$E$250,$A31)-H31,2))</f>
        <v>0</v>
      </c>
      <c r="Q31" s="344">
        <f>IF(D31="","",ROUND(SUMIFS('tp inwestycje do spr.'!I$7:I$250,'tp inwestycje do spr.'!$A$7:$A$250,$B31,'tp inwestycje do spr.'!$C$7:$C$250,$C31,'tp inwestycje do spr.'!$D$7:$D$250,$D31,'tp inwestycje do spr.'!$E$7:$E$250,$A31)-I31,2))</f>
        <v>0</v>
      </c>
      <c r="R31" s="344">
        <f>IF(E31="","",ROUND(SUMIFS('tp inwestycje do spr.'!J$7:J$250,'tp inwestycje do spr.'!$A$7:$A$250,$B31,'tp inwestycje do spr.'!$C$7:$C$250,$C31,'tp inwestycje do spr.'!$D$7:$D$250,$D31,'tp inwestycje do spr.'!$E$7:$E$250,$A31)-J31,2))</f>
        <v>0</v>
      </c>
      <c r="S31" s="344">
        <f>IF(F31="","",ROUND(SUMIFS('tp inwestycje do spr.'!K$7:K$250,'tp inwestycje do spr.'!$A$7:$A$250,$B31,'tp inwestycje do spr.'!$C$7:$C$250,$C31,'tp inwestycje do spr.'!$D$7:$D$250,$D31,'tp inwestycje do spr.'!$E$7:$E$250,$A31)-K31,2))</f>
        <v>0</v>
      </c>
      <c r="T31" s="344">
        <f>IF(G31="","",ROUND(SUMIFS('tp inwestycje do spr.'!L$7:L$250,'tp inwestycje do spr.'!$A$7:$A$250,$B31,'tp inwestycje do spr.'!$C$7:$C$250,$C31,'tp inwestycje do spr.'!$D$7:$D$250,$D31,'tp inwestycje do spr.'!$E$7:$E$250,$A31)-L31,2))</f>
        <v>0</v>
      </c>
      <c r="U31" s="342" t="str">
        <f t="shared" si="4"/>
        <v>nie</v>
      </c>
    </row>
    <row r="32" spans="1:21" x14ac:dyDescent="0.25">
      <c r="A32" s="356" t="s">
        <v>103</v>
      </c>
      <c r="B32" s="356" t="s">
        <v>122</v>
      </c>
      <c r="C32" s="357" t="s">
        <v>435</v>
      </c>
      <c r="D32" s="357" t="s">
        <v>242</v>
      </c>
      <c r="E32" s="356" t="s">
        <v>437</v>
      </c>
      <c r="F32" s="358">
        <v>43564</v>
      </c>
      <c r="G32" s="358">
        <v>0</v>
      </c>
      <c r="H32" s="358">
        <v>0</v>
      </c>
      <c r="I32" s="358">
        <v>3564</v>
      </c>
      <c r="J32" s="358">
        <v>40000</v>
      </c>
      <c r="K32" s="358">
        <v>0</v>
      </c>
      <c r="L32" s="358"/>
      <c r="M32" s="355"/>
      <c r="N32" s="344">
        <f>IF(A32="","",ROUND(SUMIFS('tp inwestycje do spr.'!F$7:F$250,'tp inwestycje do spr.'!$A$7:$A$250,$B32,'tp inwestycje do spr.'!$C$7:$C$250,$C32,'tp inwestycje do spr.'!$D$7:$D$250,$D32,'tp inwestycje do spr.'!$E$7:$E$250,$A32)-F32,2))</f>
        <v>0</v>
      </c>
      <c r="O32" s="344">
        <f>IF(B32="","",ROUND(SUMIFS('tp inwestycje do spr.'!G$7:G$250,'tp inwestycje do spr.'!$A$7:$A$250,$B32,'tp inwestycje do spr.'!$C$7:$C$250,$C32,'tp inwestycje do spr.'!$D$7:$D$250,$D32,'tp inwestycje do spr.'!$E$7:$E$250,$A32)-G32,2))</f>
        <v>0</v>
      </c>
      <c r="P32" s="344">
        <f>IF(C32="","",ROUND(SUMIFS('tp inwestycje do spr.'!H$7:H$250,'tp inwestycje do spr.'!$A$7:$A$250,$B32,'tp inwestycje do spr.'!$C$7:$C$250,$C32,'tp inwestycje do spr.'!$D$7:$D$250,$D32,'tp inwestycje do spr.'!$E$7:$E$250,$A32)-H32,2))</f>
        <v>0</v>
      </c>
      <c r="Q32" s="344">
        <f>IF(D32="","",ROUND(SUMIFS('tp inwestycje do spr.'!I$7:I$250,'tp inwestycje do spr.'!$A$7:$A$250,$B32,'tp inwestycje do spr.'!$C$7:$C$250,$C32,'tp inwestycje do spr.'!$D$7:$D$250,$D32,'tp inwestycje do spr.'!$E$7:$E$250,$A32)-I32,2))</f>
        <v>0</v>
      </c>
      <c r="R32" s="344">
        <f>IF(E32="","",ROUND(SUMIFS('tp inwestycje do spr.'!J$7:J$250,'tp inwestycje do spr.'!$A$7:$A$250,$B32,'tp inwestycje do spr.'!$C$7:$C$250,$C32,'tp inwestycje do spr.'!$D$7:$D$250,$D32,'tp inwestycje do spr.'!$E$7:$E$250,$A32)-J32,2))</f>
        <v>0</v>
      </c>
      <c r="S32" s="344">
        <f>IF(F32="","",ROUND(SUMIFS('tp inwestycje do spr.'!K$7:K$250,'tp inwestycje do spr.'!$A$7:$A$250,$B32,'tp inwestycje do spr.'!$C$7:$C$250,$C32,'tp inwestycje do spr.'!$D$7:$D$250,$D32,'tp inwestycje do spr.'!$E$7:$E$250,$A32)-K32,2))</f>
        <v>0</v>
      </c>
      <c r="T32" s="344">
        <f>IF(G32="","",ROUND(SUMIFS('tp inwestycje do spr.'!L$7:L$250,'tp inwestycje do spr.'!$A$7:$A$250,$B32,'tp inwestycje do spr.'!$C$7:$C$250,$C32,'tp inwestycje do spr.'!$D$7:$D$250,$D32,'tp inwestycje do spr.'!$E$7:$E$250,$A32)-L32,2))</f>
        <v>0</v>
      </c>
      <c r="U32" s="342" t="str">
        <f t="shared" si="4"/>
        <v>nie</v>
      </c>
    </row>
    <row r="33" spans="1:21" x14ac:dyDescent="0.25">
      <c r="A33" s="356" t="s">
        <v>104</v>
      </c>
      <c r="B33" s="356" t="s">
        <v>122</v>
      </c>
      <c r="C33" s="357" t="s">
        <v>435</v>
      </c>
      <c r="D33" s="357" t="s">
        <v>242</v>
      </c>
      <c r="E33" s="356" t="s">
        <v>438</v>
      </c>
      <c r="F33" s="358">
        <v>530436</v>
      </c>
      <c r="G33" s="358">
        <v>163277</v>
      </c>
      <c r="H33" s="358">
        <v>367159</v>
      </c>
      <c r="I33" s="358">
        <v>0</v>
      </c>
      <c r="J33" s="358">
        <v>0</v>
      </c>
      <c r="K33" s="358">
        <v>0</v>
      </c>
      <c r="L33" s="358"/>
      <c r="M33" s="355"/>
      <c r="N33" s="344">
        <f>IF(A33="","",ROUND(SUMIFS('tp inwestycje do spr.'!F$7:F$250,'tp inwestycje do spr.'!$A$7:$A$250,$B33,'tp inwestycje do spr.'!$C$7:$C$250,$C33,'tp inwestycje do spr.'!$D$7:$D$250,$D33,'tp inwestycje do spr.'!$E$7:$E$250,$A33)-F33,2))</f>
        <v>0</v>
      </c>
      <c r="O33" s="344">
        <f>IF(B33="","",ROUND(SUMIFS('tp inwestycje do spr.'!G$7:G$250,'tp inwestycje do spr.'!$A$7:$A$250,$B33,'tp inwestycje do spr.'!$C$7:$C$250,$C33,'tp inwestycje do spr.'!$D$7:$D$250,$D33,'tp inwestycje do spr.'!$E$7:$E$250,$A33)-G33,2))</f>
        <v>0</v>
      </c>
      <c r="P33" s="344">
        <f>IF(C33="","",ROUND(SUMIFS('tp inwestycje do spr.'!H$7:H$250,'tp inwestycje do spr.'!$A$7:$A$250,$B33,'tp inwestycje do spr.'!$C$7:$C$250,$C33,'tp inwestycje do spr.'!$D$7:$D$250,$D33,'tp inwestycje do spr.'!$E$7:$E$250,$A33)-H33,2))</f>
        <v>0</v>
      </c>
      <c r="Q33" s="344">
        <f>IF(D33="","",ROUND(SUMIFS('tp inwestycje do spr.'!I$7:I$250,'tp inwestycje do spr.'!$A$7:$A$250,$B33,'tp inwestycje do spr.'!$C$7:$C$250,$C33,'tp inwestycje do spr.'!$D$7:$D$250,$D33,'tp inwestycje do spr.'!$E$7:$E$250,$A33)-I33,2))</f>
        <v>0</v>
      </c>
      <c r="R33" s="344">
        <f>IF(E33="","",ROUND(SUMIFS('tp inwestycje do spr.'!J$7:J$250,'tp inwestycje do spr.'!$A$7:$A$250,$B33,'tp inwestycje do spr.'!$C$7:$C$250,$C33,'tp inwestycje do spr.'!$D$7:$D$250,$D33,'tp inwestycje do spr.'!$E$7:$E$250,$A33)-J33,2))</f>
        <v>0</v>
      </c>
      <c r="S33" s="344">
        <f>IF(F33="","",ROUND(SUMIFS('tp inwestycje do spr.'!K$7:K$250,'tp inwestycje do spr.'!$A$7:$A$250,$B33,'tp inwestycje do spr.'!$C$7:$C$250,$C33,'tp inwestycje do spr.'!$D$7:$D$250,$D33,'tp inwestycje do spr.'!$E$7:$E$250,$A33)-K33,2))</f>
        <v>0</v>
      </c>
      <c r="T33" s="344">
        <f>IF(G33="","",ROUND(SUMIFS('tp inwestycje do spr.'!L$7:L$250,'tp inwestycje do spr.'!$A$7:$A$250,$B33,'tp inwestycje do spr.'!$C$7:$C$250,$C33,'tp inwestycje do spr.'!$D$7:$D$250,$D33,'tp inwestycje do spr.'!$E$7:$E$250,$A33)-L33,2))</f>
        <v>0</v>
      </c>
      <c r="U33" s="342" t="str">
        <f t="shared" si="4"/>
        <v>nie</v>
      </c>
    </row>
    <row r="34" spans="1:21" x14ac:dyDescent="0.25">
      <c r="A34" s="356" t="s">
        <v>102</v>
      </c>
      <c r="B34" s="356" t="s">
        <v>124</v>
      </c>
      <c r="C34" s="357" t="s">
        <v>278</v>
      </c>
      <c r="D34" s="357" t="s">
        <v>242</v>
      </c>
      <c r="E34" s="356" t="s">
        <v>290</v>
      </c>
      <c r="F34" s="358">
        <v>1134794</v>
      </c>
      <c r="G34" s="358">
        <v>590027</v>
      </c>
      <c r="H34" s="358">
        <v>329081</v>
      </c>
      <c r="I34" s="358">
        <v>215686</v>
      </c>
      <c r="J34" s="358">
        <v>0</v>
      </c>
      <c r="K34" s="358">
        <v>0</v>
      </c>
      <c r="L34" s="358"/>
      <c r="M34" s="355"/>
      <c r="N34" s="344">
        <f>IF(A34="","",ROUND(SUMIFS('tp inwestycje do spr.'!F$7:F$250,'tp inwestycje do spr.'!$A$7:$A$250,$B34,'tp inwestycje do spr.'!$C$7:$C$250,$C34,'tp inwestycje do spr.'!$D$7:$D$250,$D34,'tp inwestycje do spr.'!$E$7:$E$250,$A34)-F34,2))</f>
        <v>0</v>
      </c>
      <c r="O34" s="344">
        <f>IF(B34="","",ROUND(SUMIFS('tp inwestycje do spr.'!G$7:G$250,'tp inwestycje do spr.'!$A$7:$A$250,$B34,'tp inwestycje do spr.'!$C$7:$C$250,$C34,'tp inwestycje do spr.'!$D$7:$D$250,$D34,'tp inwestycje do spr.'!$E$7:$E$250,$A34)-G34,2))</f>
        <v>0</v>
      </c>
      <c r="P34" s="344">
        <f>IF(C34="","",ROUND(SUMIFS('tp inwestycje do spr.'!H$7:H$250,'tp inwestycje do spr.'!$A$7:$A$250,$B34,'tp inwestycje do spr.'!$C$7:$C$250,$C34,'tp inwestycje do spr.'!$D$7:$D$250,$D34,'tp inwestycje do spr.'!$E$7:$E$250,$A34)-H34,2))</f>
        <v>0</v>
      </c>
      <c r="Q34" s="344">
        <f>IF(D34="","",ROUND(SUMIFS('tp inwestycje do spr.'!I$7:I$250,'tp inwestycje do spr.'!$A$7:$A$250,$B34,'tp inwestycje do spr.'!$C$7:$C$250,$C34,'tp inwestycje do spr.'!$D$7:$D$250,$D34,'tp inwestycje do spr.'!$E$7:$E$250,$A34)-I34,2))</f>
        <v>0</v>
      </c>
      <c r="R34" s="344">
        <f>IF(E34="","",ROUND(SUMIFS('tp inwestycje do spr.'!J$7:J$250,'tp inwestycje do spr.'!$A$7:$A$250,$B34,'tp inwestycje do spr.'!$C$7:$C$250,$C34,'tp inwestycje do spr.'!$D$7:$D$250,$D34,'tp inwestycje do spr.'!$E$7:$E$250,$A34)-J34,2))</f>
        <v>0</v>
      </c>
      <c r="S34" s="344">
        <f>IF(F34="","",ROUND(SUMIFS('tp inwestycje do spr.'!K$7:K$250,'tp inwestycje do spr.'!$A$7:$A$250,$B34,'tp inwestycje do spr.'!$C$7:$C$250,$C34,'tp inwestycje do spr.'!$D$7:$D$250,$D34,'tp inwestycje do spr.'!$E$7:$E$250,$A34)-K34,2))</f>
        <v>0</v>
      </c>
      <c r="T34" s="344">
        <f>IF(G34="","",ROUND(SUMIFS('tp inwestycje do spr.'!L$7:L$250,'tp inwestycje do spr.'!$A$7:$A$250,$B34,'tp inwestycje do spr.'!$C$7:$C$250,$C34,'tp inwestycje do spr.'!$D$7:$D$250,$D34,'tp inwestycje do spr.'!$E$7:$E$250,$A34)-L34,2))</f>
        <v>0</v>
      </c>
      <c r="U34" s="342" t="str">
        <f t="shared" si="4"/>
        <v>nie</v>
      </c>
    </row>
    <row r="35" spans="1:21" x14ac:dyDescent="0.25">
      <c r="A35" s="356" t="s">
        <v>103</v>
      </c>
      <c r="B35" s="356" t="s">
        <v>124</v>
      </c>
      <c r="C35" s="357" t="s">
        <v>278</v>
      </c>
      <c r="D35" s="357" t="s">
        <v>242</v>
      </c>
      <c r="E35" s="356" t="s">
        <v>291</v>
      </c>
      <c r="F35" s="358">
        <v>215686</v>
      </c>
      <c r="G35" s="358">
        <v>0</v>
      </c>
      <c r="H35" s="358">
        <v>0</v>
      </c>
      <c r="I35" s="358">
        <v>215686</v>
      </c>
      <c r="J35" s="358">
        <v>0</v>
      </c>
      <c r="K35" s="358">
        <v>0</v>
      </c>
      <c r="L35" s="358"/>
      <c r="M35" s="355"/>
      <c r="N35" s="344">
        <f>IF(A35="","",ROUND(SUMIFS('tp inwestycje do spr.'!F$7:F$250,'tp inwestycje do spr.'!$A$7:$A$250,$B35,'tp inwestycje do spr.'!$C$7:$C$250,$C35,'tp inwestycje do spr.'!$D$7:$D$250,$D35,'tp inwestycje do spr.'!$E$7:$E$250,$A35)-F35,2))</f>
        <v>0</v>
      </c>
      <c r="O35" s="344">
        <f>IF(B35="","",ROUND(SUMIFS('tp inwestycje do spr.'!G$7:G$250,'tp inwestycje do spr.'!$A$7:$A$250,$B35,'tp inwestycje do spr.'!$C$7:$C$250,$C35,'tp inwestycje do spr.'!$D$7:$D$250,$D35,'tp inwestycje do spr.'!$E$7:$E$250,$A35)-G35,2))</f>
        <v>0</v>
      </c>
      <c r="P35" s="344">
        <f>IF(C35="","",ROUND(SUMIFS('tp inwestycje do spr.'!H$7:H$250,'tp inwestycje do spr.'!$A$7:$A$250,$B35,'tp inwestycje do spr.'!$C$7:$C$250,$C35,'tp inwestycje do spr.'!$D$7:$D$250,$D35,'tp inwestycje do spr.'!$E$7:$E$250,$A35)-H35,2))</f>
        <v>0</v>
      </c>
      <c r="Q35" s="344">
        <f>IF(D35="","",ROUND(SUMIFS('tp inwestycje do spr.'!I$7:I$250,'tp inwestycje do spr.'!$A$7:$A$250,$B35,'tp inwestycje do spr.'!$C$7:$C$250,$C35,'tp inwestycje do spr.'!$D$7:$D$250,$D35,'tp inwestycje do spr.'!$E$7:$E$250,$A35)-I35,2))</f>
        <v>0</v>
      </c>
      <c r="R35" s="344">
        <f>IF(E35="","",ROUND(SUMIFS('tp inwestycje do spr.'!J$7:J$250,'tp inwestycje do spr.'!$A$7:$A$250,$B35,'tp inwestycje do spr.'!$C$7:$C$250,$C35,'tp inwestycje do spr.'!$D$7:$D$250,$D35,'tp inwestycje do spr.'!$E$7:$E$250,$A35)-J35,2))</f>
        <v>0</v>
      </c>
      <c r="S35" s="344">
        <f>IF(F35="","",ROUND(SUMIFS('tp inwestycje do spr.'!K$7:K$250,'tp inwestycje do spr.'!$A$7:$A$250,$B35,'tp inwestycje do spr.'!$C$7:$C$250,$C35,'tp inwestycje do spr.'!$D$7:$D$250,$D35,'tp inwestycje do spr.'!$E$7:$E$250,$A35)-K35,2))</f>
        <v>0</v>
      </c>
      <c r="T35" s="344">
        <f>IF(G35="","",ROUND(SUMIFS('tp inwestycje do spr.'!L$7:L$250,'tp inwestycje do spr.'!$A$7:$A$250,$B35,'tp inwestycje do spr.'!$C$7:$C$250,$C35,'tp inwestycje do spr.'!$D$7:$D$250,$D35,'tp inwestycje do spr.'!$E$7:$E$250,$A35)-L35,2))</f>
        <v>0</v>
      </c>
      <c r="U35" s="342" t="str">
        <f t="shared" si="4"/>
        <v>nie</v>
      </c>
    </row>
    <row r="36" spans="1:21" x14ac:dyDescent="0.25">
      <c r="A36" s="356" t="s">
        <v>104</v>
      </c>
      <c r="B36" s="356" t="s">
        <v>124</v>
      </c>
      <c r="C36" s="357" t="s">
        <v>278</v>
      </c>
      <c r="D36" s="357" t="s">
        <v>242</v>
      </c>
      <c r="E36" s="356" t="s">
        <v>292</v>
      </c>
      <c r="F36" s="358">
        <v>919108</v>
      </c>
      <c r="G36" s="358">
        <v>590027</v>
      </c>
      <c r="H36" s="358">
        <v>329081</v>
      </c>
      <c r="I36" s="358">
        <v>0</v>
      </c>
      <c r="J36" s="358">
        <v>0</v>
      </c>
      <c r="K36" s="358">
        <v>0</v>
      </c>
      <c r="L36" s="358"/>
      <c r="M36" s="355"/>
      <c r="N36" s="344">
        <f>IF(A36="","",ROUND(SUMIFS('tp inwestycje do spr.'!F$7:F$250,'tp inwestycje do spr.'!$A$7:$A$250,$B36,'tp inwestycje do spr.'!$C$7:$C$250,$C36,'tp inwestycje do spr.'!$D$7:$D$250,$D36,'tp inwestycje do spr.'!$E$7:$E$250,$A36)-F36,2))</f>
        <v>0</v>
      </c>
      <c r="O36" s="344">
        <f>IF(B36="","",ROUND(SUMIFS('tp inwestycje do spr.'!G$7:G$250,'tp inwestycje do spr.'!$A$7:$A$250,$B36,'tp inwestycje do spr.'!$C$7:$C$250,$C36,'tp inwestycje do spr.'!$D$7:$D$250,$D36,'tp inwestycje do spr.'!$E$7:$E$250,$A36)-G36,2))</f>
        <v>0</v>
      </c>
      <c r="P36" s="344">
        <f>IF(C36="","",ROUND(SUMIFS('tp inwestycje do spr.'!H$7:H$250,'tp inwestycje do spr.'!$A$7:$A$250,$B36,'tp inwestycje do spr.'!$C$7:$C$250,$C36,'tp inwestycje do spr.'!$D$7:$D$250,$D36,'tp inwestycje do spr.'!$E$7:$E$250,$A36)-H36,2))</f>
        <v>0</v>
      </c>
      <c r="Q36" s="344">
        <f>IF(D36="","",ROUND(SUMIFS('tp inwestycje do spr.'!I$7:I$250,'tp inwestycje do spr.'!$A$7:$A$250,$B36,'tp inwestycje do spr.'!$C$7:$C$250,$C36,'tp inwestycje do spr.'!$D$7:$D$250,$D36,'tp inwestycje do spr.'!$E$7:$E$250,$A36)-I36,2))</f>
        <v>0</v>
      </c>
      <c r="R36" s="344">
        <f>IF(E36="","",ROUND(SUMIFS('tp inwestycje do spr.'!J$7:J$250,'tp inwestycje do spr.'!$A$7:$A$250,$B36,'tp inwestycje do spr.'!$C$7:$C$250,$C36,'tp inwestycje do spr.'!$D$7:$D$250,$D36,'tp inwestycje do spr.'!$E$7:$E$250,$A36)-J36,2))</f>
        <v>0</v>
      </c>
      <c r="S36" s="344">
        <f>IF(F36="","",ROUND(SUMIFS('tp inwestycje do spr.'!K$7:K$250,'tp inwestycje do spr.'!$A$7:$A$250,$B36,'tp inwestycje do spr.'!$C$7:$C$250,$C36,'tp inwestycje do spr.'!$D$7:$D$250,$D36,'tp inwestycje do spr.'!$E$7:$E$250,$A36)-K36,2))</f>
        <v>0</v>
      </c>
      <c r="T36" s="344">
        <f>IF(G36="","",ROUND(SUMIFS('tp inwestycje do spr.'!L$7:L$250,'tp inwestycje do spr.'!$A$7:$A$250,$B36,'tp inwestycje do spr.'!$C$7:$C$250,$C36,'tp inwestycje do spr.'!$D$7:$D$250,$D36,'tp inwestycje do spr.'!$E$7:$E$250,$A36)-L36,2))</f>
        <v>0</v>
      </c>
      <c r="U36" s="342" t="str">
        <f t="shared" si="4"/>
        <v>nie</v>
      </c>
    </row>
    <row r="37" spans="1:21" x14ac:dyDescent="0.25">
      <c r="A37" s="356" t="s">
        <v>102</v>
      </c>
      <c r="B37" s="356" t="s">
        <v>126</v>
      </c>
      <c r="C37" s="357" t="s">
        <v>278</v>
      </c>
      <c r="D37" s="357" t="s">
        <v>245</v>
      </c>
      <c r="E37" s="356" t="s">
        <v>293</v>
      </c>
      <c r="F37" s="358">
        <v>2418263</v>
      </c>
      <c r="G37" s="358">
        <v>0</v>
      </c>
      <c r="H37" s="358">
        <v>0</v>
      </c>
      <c r="I37" s="358">
        <v>40000</v>
      </c>
      <c r="J37" s="358">
        <v>2378263</v>
      </c>
      <c r="K37" s="358">
        <v>0</v>
      </c>
      <c r="L37" s="358"/>
      <c r="M37" s="355"/>
      <c r="N37" s="344">
        <f>IF(A37="","",ROUND(SUMIFS('tp inwestycje do spr.'!F$7:F$250,'tp inwestycje do spr.'!$A$7:$A$250,$B37,'tp inwestycje do spr.'!$C$7:$C$250,$C37,'tp inwestycje do spr.'!$D$7:$D$250,$D37,'tp inwestycje do spr.'!$E$7:$E$250,$A37)-F37,2))</f>
        <v>0</v>
      </c>
      <c r="O37" s="344">
        <f>IF(B37="","",ROUND(SUMIFS('tp inwestycje do spr.'!G$7:G$250,'tp inwestycje do spr.'!$A$7:$A$250,$B37,'tp inwestycje do spr.'!$C$7:$C$250,$C37,'tp inwestycje do spr.'!$D$7:$D$250,$D37,'tp inwestycje do spr.'!$E$7:$E$250,$A37)-G37,2))</f>
        <v>0</v>
      </c>
      <c r="P37" s="344">
        <f>IF(C37="","",ROUND(SUMIFS('tp inwestycje do spr.'!H$7:H$250,'tp inwestycje do spr.'!$A$7:$A$250,$B37,'tp inwestycje do spr.'!$C$7:$C$250,$C37,'tp inwestycje do spr.'!$D$7:$D$250,$D37,'tp inwestycje do spr.'!$E$7:$E$250,$A37)-H37,2))</f>
        <v>0</v>
      </c>
      <c r="Q37" s="344">
        <f>IF(D37="","",ROUND(SUMIFS('tp inwestycje do spr.'!I$7:I$250,'tp inwestycje do spr.'!$A$7:$A$250,$B37,'tp inwestycje do spr.'!$C$7:$C$250,$C37,'tp inwestycje do spr.'!$D$7:$D$250,$D37,'tp inwestycje do spr.'!$E$7:$E$250,$A37)-I37,2))</f>
        <v>0</v>
      </c>
      <c r="R37" s="344">
        <f>IF(E37="","",ROUND(SUMIFS('tp inwestycje do spr.'!J$7:J$250,'tp inwestycje do spr.'!$A$7:$A$250,$B37,'tp inwestycje do spr.'!$C$7:$C$250,$C37,'tp inwestycje do spr.'!$D$7:$D$250,$D37,'tp inwestycje do spr.'!$E$7:$E$250,$A37)-J37,2))</f>
        <v>0</v>
      </c>
      <c r="S37" s="344">
        <f>IF(F37="","",ROUND(SUMIFS('tp inwestycje do spr.'!K$7:K$250,'tp inwestycje do spr.'!$A$7:$A$250,$B37,'tp inwestycje do spr.'!$C$7:$C$250,$C37,'tp inwestycje do spr.'!$D$7:$D$250,$D37,'tp inwestycje do spr.'!$E$7:$E$250,$A37)-K37,2))</f>
        <v>0</v>
      </c>
      <c r="T37" s="344">
        <f>IF(G37="","",ROUND(SUMIFS('tp inwestycje do spr.'!L$7:L$250,'tp inwestycje do spr.'!$A$7:$A$250,$B37,'tp inwestycje do spr.'!$C$7:$C$250,$C37,'tp inwestycje do spr.'!$D$7:$D$250,$D37,'tp inwestycje do spr.'!$E$7:$E$250,$A37)-L37,2))</f>
        <v>0</v>
      </c>
      <c r="U37" s="342" t="str">
        <f t="shared" si="4"/>
        <v>nie</v>
      </c>
    </row>
    <row r="38" spans="1:21" x14ac:dyDescent="0.25">
      <c r="A38" s="356" t="s">
        <v>103</v>
      </c>
      <c r="B38" s="356" t="s">
        <v>126</v>
      </c>
      <c r="C38" s="357" t="s">
        <v>278</v>
      </c>
      <c r="D38" s="357" t="s">
        <v>245</v>
      </c>
      <c r="E38" s="356" t="s">
        <v>294</v>
      </c>
      <c r="F38" s="358">
        <v>2418263</v>
      </c>
      <c r="G38" s="358">
        <v>0</v>
      </c>
      <c r="H38" s="358">
        <v>0</v>
      </c>
      <c r="I38" s="358">
        <v>40000</v>
      </c>
      <c r="J38" s="358">
        <v>2378263</v>
      </c>
      <c r="K38" s="358">
        <v>0</v>
      </c>
      <c r="L38" s="358"/>
      <c r="M38" s="355"/>
      <c r="N38" s="344">
        <f>IF(A38="","",ROUND(SUMIFS('tp inwestycje do spr.'!F$7:F$250,'tp inwestycje do spr.'!$A$7:$A$250,$B38,'tp inwestycje do spr.'!$C$7:$C$250,$C38,'tp inwestycje do spr.'!$D$7:$D$250,$D38,'tp inwestycje do spr.'!$E$7:$E$250,$A38)-F38,2))</f>
        <v>0</v>
      </c>
      <c r="O38" s="344">
        <f>IF(B38="","",ROUND(SUMIFS('tp inwestycje do spr.'!G$7:G$250,'tp inwestycje do spr.'!$A$7:$A$250,$B38,'tp inwestycje do spr.'!$C$7:$C$250,$C38,'tp inwestycje do spr.'!$D$7:$D$250,$D38,'tp inwestycje do spr.'!$E$7:$E$250,$A38)-G38,2))</f>
        <v>0</v>
      </c>
      <c r="P38" s="344">
        <f>IF(C38="","",ROUND(SUMIFS('tp inwestycje do spr.'!H$7:H$250,'tp inwestycje do spr.'!$A$7:$A$250,$B38,'tp inwestycje do spr.'!$C$7:$C$250,$C38,'tp inwestycje do spr.'!$D$7:$D$250,$D38,'tp inwestycje do spr.'!$E$7:$E$250,$A38)-H38,2))</f>
        <v>0</v>
      </c>
      <c r="Q38" s="344">
        <f>IF(D38="","",ROUND(SUMIFS('tp inwestycje do spr.'!I$7:I$250,'tp inwestycje do spr.'!$A$7:$A$250,$B38,'tp inwestycje do spr.'!$C$7:$C$250,$C38,'tp inwestycje do spr.'!$D$7:$D$250,$D38,'tp inwestycje do spr.'!$E$7:$E$250,$A38)-I38,2))</f>
        <v>0</v>
      </c>
      <c r="R38" s="344">
        <f>IF(E38="","",ROUND(SUMIFS('tp inwestycje do spr.'!J$7:J$250,'tp inwestycje do spr.'!$A$7:$A$250,$B38,'tp inwestycje do spr.'!$C$7:$C$250,$C38,'tp inwestycje do spr.'!$D$7:$D$250,$D38,'tp inwestycje do spr.'!$E$7:$E$250,$A38)-J38,2))</f>
        <v>0</v>
      </c>
      <c r="S38" s="344">
        <f>IF(F38="","",ROUND(SUMIFS('tp inwestycje do spr.'!K$7:K$250,'tp inwestycje do spr.'!$A$7:$A$250,$B38,'tp inwestycje do spr.'!$C$7:$C$250,$C38,'tp inwestycje do spr.'!$D$7:$D$250,$D38,'tp inwestycje do spr.'!$E$7:$E$250,$A38)-K38,2))</f>
        <v>0</v>
      </c>
      <c r="T38" s="344">
        <f>IF(G38="","",ROUND(SUMIFS('tp inwestycje do spr.'!L$7:L$250,'tp inwestycje do spr.'!$A$7:$A$250,$B38,'tp inwestycje do spr.'!$C$7:$C$250,$C38,'tp inwestycje do spr.'!$D$7:$D$250,$D38,'tp inwestycje do spr.'!$E$7:$E$250,$A38)-L38,2))</f>
        <v>0</v>
      </c>
      <c r="U38" s="342" t="str">
        <f t="shared" si="4"/>
        <v>nie</v>
      </c>
    </row>
    <row r="39" spans="1:21" x14ac:dyDescent="0.25">
      <c r="A39" s="356" t="s">
        <v>102</v>
      </c>
      <c r="B39" s="356" t="s">
        <v>406</v>
      </c>
      <c r="C39" s="357" t="s">
        <v>286</v>
      </c>
      <c r="D39" s="357" t="s">
        <v>242</v>
      </c>
      <c r="E39" s="356" t="s">
        <v>439</v>
      </c>
      <c r="F39" s="358">
        <v>190000</v>
      </c>
      <c r="G39" s="358">
        <v>0</v>
      </c>
      <c r="H39" s="358">
        <v>0</v>
      </c>
      <c r="I39" s="358">
        <v>90000</v>
      </c>
      <c r="J39" s="358">
        <v>100000</v>
      </c>
      <c r="K39" s="358">
        <v>0</v>
      </c>
      <c r="L39" s="358"/>
      <c r="M39" s="355"/>
      <c r="N39" s="344">
        <f>IF(A39="","",ROUND(SUMIFS('tp inwestycje do spr.'!F$7:F$250,'tp inwestycje do spr.'!$A$7:$A$250,$B39,'tp inwestycje do spr.'!$C$7:$C$250,$C39,'tp inwestycje do spr.'!$D$7:$D$250,$D39,'tp inwestycje do spr.'!$E$7:$E$250,$A39)-F39,2))</f>
        <v>0</v>
      </c>
      <c r="O39" s="344">
        <f>IF(B39="","",ROUND(SUMIFS('tp inwestycje do spr.'!G$7:G$250,'tp inwestycje do spr.'!$A$7:$A$250,$B39,'tp inwestycje do spr.'!$C$7:$C$250,$C39,'tp inwestycje do spr.'!$D$7:$D$250,$D39,'tp inwestycje do spr.'!$E$7:$E$250,$A39)-G39,2))</f>
        <v>0</v>
      </c>
      <c r="P39" s="344">
        <f>IF(C39="","",ROUND(SUMIFS('tp inwestycje do spr.'!H$7:H$250,'tp inwestycje do spr.'!$A$7:$A$250,$B39,'tp inwestycje do spr.'!$C$7:$C$250,$C39,'tp inwestycje do spr.'!$D$7:$D$250,$D39,'tp inwestycje do spr.'!$E$7:$E$250,$A39)-H39,2))</f>
        <v>0</v>
      </c>
      <c r="Q39" s="344">
        <f>IF(D39="","",ROUND(SUMIFS('tp inwestycje do spr.'!I$7:I$250,'tp inwestycje do spr.'!$A$7:$A$250,$B39,'tp inwestycje do spr.'!$C$7:$C$250,$C39,'tp inwestycje do spr.'!$D$7:$D$250,$D39,'tp inwestycje do spr.'!$E$7:$E$250,$A39)-I39,2))</f>
        <v>0</v>
      </c>
      <c r="R39" s="344">
        <f>IF(E39="","",ROUND(SUMIFS('tp inwestycje do spr.'!J$7:J$250,'tp inwestycje do spr.'!$A$7:$A$250,$B39,'tp inwestycje do spr.'!$C$7:$C$250,$C39,'tp inwestycje do spr.'!$D$7:$D$250,$D39,'tp inwestycje do spr.'!$E$7:$E$250,$A39)-J39,2))</f>
        <v>0</v>
      </c>
      <c r="S39" s="344">
        <f>IF(F39="","",ROUND(SUMIFS('tp inwestycje do spr.'!K$7:K$250,'tp inwestycje do spr.'!$A$7:$A$250,$B39,'tp inwestycje do spr.'!$C$7:$C$250,$C39,'tp inwestycje do spr.'!$D$7:$D$250,$D39,'tp inwestycje do spr.'!$E$7:$E$250,$A39)-K39,2))</f>
        <v>0</v>
      </c>
      <c r="T39" s="344">
        <f>IF(G39="","",ROUND(SUMIFS('tp inwestycje do spr.'!L$7:L$250,'tp inwestycje do spr.'!$A$7:$A$250,$B39,'tp inwestycje do spr.'!$C$7:$C$250,$C39,'tp inwestycje do spr.'!$D$7:$D$250,$D39,'tp inwestycje do spr.'!$E$7:$E$250,$A39)-L39,2))</f>
        <v>0</v>
      </c>
      <c r="U39" s="342" t="str">
        <f t="shared" si="4"/>
        <v>nie</v>
      </c>
    </row>
    <row r="40" spans="1:21" x14ac:dyDescent="0.25">
      <c r="A40" s="356" t="s">
        <v>103</v>
      </c>
      <c r="B40" s="356" t="s">
        <v>406</v>
      </c>
      <c r="C40" s="357" t="s">
        <v>286</v>
      </c>
      <c r="D40" s="357" t="s">
        <v>242</v>
      </c>
      <c r="E40" s="356" t="s">
        <v>440</v>
      </c>
      <c r="F40" s="358">
        <v>190000</v>
      </c>
      <c r="G40" s="358">
        <v>0</v>
      </c>
      <c r="H40" s="358">
        <v>0</v>
      </c>
      <c r="I40" s="358">
        <v>90000</v>
      </c>
      <c r="J40" s="358">
        <v>100000</v>
      </c>
      <c r="K40" s="358">
        <v>0</v>
      </c>
      <c r="L40" s="358"/>
      <c r="M40" s="355"/>
      <c r="N40" s="344">
        <f>IF(A40="","",ROUND(SUMIFS('tp inwestycje do spr.'!F$7:F$250,'tp inwestycje do spr.'!$A$7:$A$250,$B40,'tp inwestycje do spr.'!$C$7:$C$250,$C40,'tp inwestycje do spr.'!$D$7:$D$250,$D40,'tp inwestycje do spr.'!$E$7:$E$250,$A40)-F40,2))</f>
        <v>0</v>
      </c>
      <c r="O40" s="344">
        <f>IF(B40="","",ROUND(SUMIFS('tp inwestycje do spr.'!G$7:G$250,'tp inwestycje do spr.'!$A$7:$A$250,$B40,'tp inwestycje do spr.'!$C$7:$C$250,$C40,'tp inwestycje do spr.'!$D$7:$D$250,$D40,'tp inwestycje do spr.'!$E$7:$E$250,$A40)-G40,2))</f>
        <v>0</v>
      </c>
      <c r="P40" s="344">
        <f>IF(C40="","",ROUND(SUMIFS('tp inwestycje do spr.'!H$7:H$250,'tp inwestycje do spr.'!$A$7:$A$250,$B40,'tp inwestycje do spr.'!$C$7:$C$250,$C40,'tp inwestycje do spr.'!$D$7:$D$250,$D40,'tp inwestycje do spr.'!$E$7:$E$250,$A40)-H40,2))</f>
        <v>0</v>
      </c>
      <c r="Q40" s="344">
        <f>IF(D40="","",ROUND(SUMIFS('tp inwestycje do spr.'!I$7:I$250,'tp inwestycje do spr.'!$A$7:$A$250,$B40,'tp inwestycje do spr.'!$C$7:$C$250,$C40,'tp inwestycje do spr.'!$D$7:$D$250,$D40,'tp inwestycje do spr.'!$E$7:$E$250,$A40)-I40,2))</f>
        <v>0</v>
      </c>
      <c r="R40" s="344">
        <f>IF(E40="","",ROUND(SUMIFS('tp inwestycje do spr.'!J$7:J$250,'tp inwestycje do spr.'!$A$7:$A$250,$B40,'tp inwestycje do spr.'!$C$7:$C$250,$C40,'tp inwestycje do spr.'!$D$7:$D$250,$D40,'tp inwestycje do spr.'!$E$7:$E$250,$A40)-J40,2))</f>
        <v>0</v>
      </c>
      <c r="S40" s="344">
        <f>IF(F40="","",ROUND(SUMIFS('tp inwestycje do spr.'!K$7:K$250,'tp inwestycje do spr.'!$A$7:$A$250,$B40,'tp inwestycje do spr.'!$C$7:$C$250,$C40,'tp inwestycje do spr.'!$D$7:$D$250,$D40,'tp inwestycje do spr.'!$E$7:$E$250,$A40)-K40,2))</f>
        <v>0</v>
      </c>
      <c r="T40" s="344">
        <f>IF(G40="","",ROUND(SUMIFS('tp inwestycje do spr.'!L$7:L$250,'tp inwestycje do spr.'!$A$7:$A$250,$B40,'tp inwestycje do spr.'!$C$7:$C$250,$C40,'tp inwestycje do spr.'!$D$7:$D$250,$D40,'tp inwestycje do spr.'!$E$7:$E$250,$A40)-L40,2))</f>
        <v>0</v>
      </c>
      <c r="U40" s="342" t="str">
        <f t="shared" si="4"/>
        <v>nie</v>
      </c>
    </row>
    <row r="41" spans="1:21" x14ac:dyDescent="0.25">
      <c r="A41" s="356" t="s">
        <v>102</v>
      </c>
      <c r="B41" s="356" t="s">
        <v>128</v>
      </c>
      <c r="C41" s="357" t="s">
        <v>295</v>
      </c>
      <c r="D41" s="357" t="s">
        <v>242</v>
      </c>
      <c r="E41" s="356" t="s">
        <v>296</v>
      </c>
      <c r="F41" s="358">
        <v>2650000</v>
      </c>
      <c r="G41" s="358">
        <v>13653</v>
      </c>
      <c r="H41" s="358">
        <v>8303</v>
      </c>
      <c r="I41" s="358">
        <v>628044</v>
      </c>
      <c r="J41" s="358">
        <v>2000000</v>
      </c>
      <c r="K41" s="358">
        <v>0</v>
      </c>
      <c r="L41" s="358"/>
      <c r="M41" s="355"/>
      <c r="N41" s="344">
        <f>IF(A41="","",ROUND(SUMIFS('tp inwestycje do spr.'!F$7:F$250,'tp inwestycje do spr.'!$A$7:$A$250,$B41,'tp inwestycje do spr.'!$C$7:$C$250,$C41,'tp inwestycje do spr.'!$D$7:$D$250,$D41,'tp inwestycje do spr.'!$E$7:$E$250,$A41)-F41,2))</f>
        <v>0</v>
      </c>
      <c r="O41" s="344">
        <f>IF(B41="","",ROUND(SUMIFS('tp inwestycje do spr.'!G$7:G$250,'tp inwestycje do spr.'!$A$7:$A$250,$B41,'tp inwestycje do spr.'!$C$7:$C$250,$C41,'tp inwestycje do spr.'!$D$7:$D$250,$D41,'tp inwestycje do spr.'!$E$7:$E$250,$A41)-G41,2))</f>
        <v>0</v>
      </c>
      <c r="P41" s="344">
        <f>IF(C41="","",ROUND(SUMIFS('tp inwestycje do spr.'!H$7:H$250,'tp inwestycje do spr.'!$A$7:$A$250,$B41,'tp inwestycje do spr.'!$C$7:$C$250,$C41,'tp inwestycje do spr.'!$D$7:$D$250,$D41,'tp inwestycje do spr.'!$E$7:$E$250,$A41)-H41,2))</f>
        <v>0</v>
      </c>
      <c r="Q41" s="344">
        <f>IF(D41="","",ROUND(SUMIFS('tp inwestycje do spr.'!I$7:I$250,'tp inwestycje do spr.'!$A$7:$A$250,$B41,'tp inwestycje do spr.'!$C$7:$C$250,$C41,'tp inwestycje do spr.'!$D$7:$D$250,$D41,'tp inwestycje do spr.'!$E$7:$E$250,$A41)-I41,2))</f>
        <v>0</v>
      </c>
      <c r="R41" s="344">
        <f>IF(E41="","",ROUND(SUMIFS('tp inwestycje do spr.'!J$7:J$250,'tp inwestycje do spr.'!$A$7:$A$250,$B41,'tp inwestycje do spr.'!$C$7:$C$250,$C41,'tp inwestycje do spr.'!$D$7:$D$250,$D41,'tp inwestycje do spr.'!$E$7:$E$250,$A41)-J41,2))</f>
        <v>0</v>
      </c>
      <c r="S41" s="344">
        <f>IF(F41="","",ROUND(SUMIFS('tp inwestycje do spr.'!K$7:K$250,'tp inwestycje do spr.'!$A$7:$A$250,$B41,'tp inwestycje do spr.'!$C$7:$C$250,$C41,'tp inwestycje do spr.'!$D$7:$D$250,$D41,'tp inwestycje do spr.'!$E$7:$E$250,$A41)-K41,2))</f>
        <v>0</v>
      </c>
      <c r="T41" s="344">
        <f>IF(G41="","",ROUND(SUMIFS('tp inwestycje do spr.'!L$7:L$250,'tp inwestycje do spr.'!$A$7:$A$250,$B41,'tp inwestycje do spr.'!$C$7:$C$250,$C41,'tp inwestycje do spr.'!$D$7:$D$250,$D41,'tp inwestycje do spr.'!$E$7:$E$250,$A41)-L41,2))</f>
        <v>0</v>
      </c>
      <c r="U41" s="342" t="str">
        <f t="shared" si="4"/>
        <v>nie</v>
      </c>
    </row>
    <row r="42" spans="1:21" x14ac:dyDescent="0.25">
      <c r="A42" s="356" t="s">
        <v>103</v>
      </c>
      <c r="B42" s="356" t="s">
        <v>128</v>
      </c>
      <c r="C42" s="357" t="s">
        <v>295</v>
      </c>
      <c r="D42" s="357" t="s">
        <v>242</v>
      </c>
      <c r="E42" s="356" t="s">
        <v>297</v>
      </c>
      <c r="F42" s="358">
        <v>2628044</v>
      </c>
      <c r="G42" s="358">
        <v>0</v>
      </c>
      <c r="H42" s="358">
        <v>0</v>
      </c>
      <c r="I42" s="358">
        <v>628044</v>
      </c>
      <c r="J42" s="358">
        <v>2000000</v>
      </c>
      <c r="K42" s="358">
        <v>0</v>
      </c>
      <c r="L42" s="358"/>
      <c r="M42" s="355"/>
      <c r="N42" s="344">
        <f>IF(A42="","",ROUND(SUMIFS('tp inwestycje do spr.'!F$7:F$250,'tp inwestycje do spr.'!$A$7:$A$250,$B42,'tp inwestycje do spr.'!$C$7:$C$250,$C42,'tp inwestycje do spr.'!$D$7:$D$250,$D42,'tp inwestycje do spr.'!$E$7:$E$250,$A42)-F42,2))</f>
        <v>0</v>
      </c>
      <c r="O42" s="344">
        <f>IF(B42="","",ROUND(SUMIFS('tp inwestycje do spr.'!G$7:G$250,'tp inwestycje do spr.'!$A$7:$A$250,$B42,'tp inwestycje do spr.'!$C$7:$C$250,$C42,'tp inwestycje do spr.'!$D$7:$D$250,$D42,'tp inwestycje do spr.'!$E$7:$E$250,$A42)-G42,2))</f>
        <v>0</v>
      </c>
      <c r="P42" s="344">
        <f>IF(C42="","",ROUND(SUMIFS('tp inwestycje do spr.'!H$7:H$250,'tp inwestycje do spr.'!$A$7:$A$250,$B42,'tp inwestycje do spr.'!$C$7:$C$250,$C42,'tp inwestycje do spr.'!$D$7:$D$250,$D42,'tp inwestycje do spr.'!$E$7:$E$250,$A42)-H42,2))</f>
        <v>0</v>
      </c>
      <c r="Q42" s="344">
        <f>IF(D42="","",ROUND(SUMIFS('tp inwestycje do spr.'!I$7:I$250,'tp inwestycje do spr.'!$A$7:$A$250,$B42,'tp inwestycje do spr.'!$C$7:$C$250,$C42,'tp inwestycje do spr.'!$D$7:$D$250,$D42,'tp inwestycje do spr.'!$E$7:$E$250,$A42)-I42,2))</f>
        <v>0</v>
      </c>
      <c r="R42" s="344">
        <f>IF(E42="","",ROUND(SUMIFS('tp inwestycje do spr.'!J$7:J$250,'tp inwestycje do spr.'!$A$7:$A$250,$B42,'tp inwestycje do spr.'!$C$7:$C$250,$C42,'tp inwestycje do spr.'!$D$7:$D$250,$D42,'tp inwestycje do spr.'!$E$7:$E$250,$A42)-J42,2))</f>
        <v>0</v>
      </c>
      <c r="S42" s="344">
        <f>IF(F42="","",ROUND(SUMIFS('tp inwestycje do spr.'!K$7:K$250,'tp inwestycje do spr.'!$A$7:$A$250,$B42,'tp inwestycje do spr.'!$C$7:$C$250,$C42,'tp inwestycje do spr.'!$D$7:$D$250,$D42,'tp inwestycje do spr.'!$E$7:$E$250,$A42)-K42,2))</f>
        <v>0</v>
      </c>
      <c r="T42" s="344">
        <f>IF(G42="","",ROUND(SUMIFS('tp inwestycje do spr.'!L$7:L$250,'tp inwestycje do spr.'!$A$7:$A$250,$B42,'tp inwestycje do spr.'!$C$7:$C$250,$C42,'tp inwestycje do spr.'!$D$7:$D$250,$D42,'tp inwestycje do spr.'!$E$7:$E$250,$A42)-L42,2))</f>
        <v>0</v>
      </c>
      <c r="U42" s="342" t="str">
        <f t="shared" si="4"/>
        <v>nie</v>
      </c>
    </row>
    <row r="43" spans="1:21" x14ac:dyDescent="0.25">
      <c r="A43" s="356" t="s">
        <v>104</v>
      </c>
      <c r="B43" s="356" t="s">
        <v>128</v>
      </c>
      <c r="C43" s="357" t="s">
        <v>295</v>
      </c>
      <c r="D43" s="357" t="s">
        <v>242</v>
      </c>
      <c r="E43" s="356" t="s">
        <v>298</v>
      </c>
      <c r="F43" s="358">
        <v>21956</v>
      </c>
      <c r="G43" s="358">
        <v>13653</v>
      </c>
      <c r="H43" s="358">
        <v>8303</v>
      </c>
      <c r="I43" s="358">
        <v>0</v>
      </c>
      <c r="J43" s="358">
        <v>0</v>
      </c>
      <c r="K43" s="358">
        <v>0</v>
      </c>
      <c r="L43" s="358"/>
      <c r="M43" s="355"/>
      <c r="N43" s="344">
        <f>IF(A43="","",ROUND(SUMIFS('tp inwestycje do spr.'!F$7:F$250,'tp inwestycje do spr.'!$A$7:$A$250,$B43,'tp inwestycje do spr.'!$C$7:$C$250,$C43,'tp inwestycje do spr.'!$D$7:$D$250,$D43,'tp inwestycje do spr.'!$E$7:$E$250,$A43)-F43,2))</f>
        <v>0</v>
      </c>
      <c r="O43" s="344">
        <f>IF(B43="","",ROUND(SUMIFS('tp inwestycje do spr.'!G$7:G$250,'tp inwestycje do spr.'!$A$7:$A$250,$B43,'tp inwestycje do spr.'!$C$7:$C$250,$C43,'tp inwestycje do spr.'!$D$7:$D$250,$D43,'tp inwestycje do spr.'!$E$7:$E$250,$A43)-G43,2))</f>
        <v>0</v>
      </c>
      <c r="P43" s="344">
        <f>IF(C43="","",ROUND(SUMIFS('tp inwestycje do spr.'!H$7:H$250,'tp inwestycje do spr.'!$A$7:$A$250,$B43,'tp inwestycje do spr.'!$C$7:$C$250,$C43,'tp inwestycje do spr.'!$D$7:$D$250,$D43,'tp inwestycje do spr.'!$E$7:$E$250,$A43)-H43,2))</f>
        <v>0</v>
      </c>
      <c r="Q43" s="344">
        <f>IF(D43="","",ROUND(SUMIFS('tp inwestycje do spr.'!I$7:I$250,'tp inwestycje do spr.'!$A$7:$A$250,$B43,'tp inwestycje do spr.'!$C$7:$C$250,$C43,'tp inwestycje do spr.'!$D$7:$D$250,$D43,'tp inwestycje do spr.'!$E$7:$E$250,$A43)-I43,2))</f>
        <v>0</v>
      </c>
      <c r="R43" s="344">
        <f>IF(E43="","",ROUND(SUMIFS('tp inwestycje do spr.'!J$7:J$250,'tp inwestycje do spr.'!$A$7:$A$250,$B43,'tp inwestycje do spr.'!$C$7:$C$250,$C43,'tp inwestycje do spr.'!$D$7:$D$250,$D43,'tp inwestycje do spr.'!$E$7:$E$250,$A43)-J43,2))</f>
        <v>0</v>
      </c>
      <c r="S43" s="344">
        <f>IF(F43="","",ROUND(SUMIFS('tp inwestycje do spr.'!K$7:K$250,'tp inwestycje do spr.'!$A$7:$A$250,$B43,'tp inwestycje do spr.'!$C$7:$C$250,$C43,'tp inwestycje do spr.'!$D$7:$D$250,$D43,'tp inwestycje do spr.'!$E$7:$E$250,$A43)-K43,2))</f>
        <v>0</v>
      </c>
      <c r="T43" s="344">
        <f>IF(G43="","",ROUND(SUMIFS('tp inwestycje do spr.'!L$7:L$250,'tp inwestycje do spr.'!$A$7:$A$250,$B43,'tp inwestycje do spr.'!$C$7:$C$250,$C43,'tp inwestycje do spr.'!$D$7:$D$250,$D43,'tp inwestycje do spr.'!$E$7:$E$250,$A43)-L43,2))</f>
        <v>0</v>
      </c>
      <c r="U43" s="342" t="str">
        <f t="shared" si="4"/>
        <v>nie</v>
      </c>
    </row>
    <row r="44" spans="1:21" x14ac:dyDescent="0.25">
      <c r="A44" s="356" t="s">
        <v>102</v>
      </c>
      <c r="B44" s="356" t="s">
        <v>131</v>
      </c>
      <c r="C44" s="357" t="s">
        <v>299</v>
      </c>
      <c r="D44" s="357" t="s">
        <v>242</v>
      </c>
      <c r="E44" s="356" t="s">
        <v>300</v>
      </c>
      <c r="F44" s="358">
        <v>2144873</v>
      </c>
      <c r="G44" s="358">
        <v>432005</v>
      </c>
      <c r="H44" s="358">
        <v>17142</v>
      </c>
      <c r="I44" s="358">
        <v>292895</v>
      </c>
      <c r="J44" s="358">
        <v>1402831</v>
      </c>
      <c r="K44" s="358">
        <v>0</v>
      </c>
      <c r="L44" s="358"/>
      <c r="M44" s="355"/>
      <c r="N44" s="344">
        <f>IF(A44="","",ROUND(SUMIFS('tp inwestycje do spr.'!F$7:F$250,'tp inwestycje do spr.'!$A$7:$A$250,$B44,'tp inwestycje do spr.'!$C$7:$C$250,$C44,'tp inwestycje do spr.'!$D$7:$D$250,$D44,'tp inwestycje do spr.'!$E$7:$E$250,$A44)-F44,2))</f>
        <v>0</v>
      </c>
      <c r="O44" s="344">
        <f>IF(B44="","",ROUND(SUMIFS('tp inwestycje do spr.'!G$7:G$250,'tp inwestycje do spr.'!$A$7:$A$250,$B44,'tp inwestycje do spr.'!$C$7:$C$250,$C44,'tp inwestycje do spr.'!$D$7:$D$250,$D44,'tp inwestycje do spr.'!$E$7:$E$250,$A44)-G44,2))</f>
        <v>0</v>
      </c>
      <c r="P44" s="344">
        <f>IF(C44="","",ROUND(SUMIFS('tp inwestycje do spr.'!H$7:H$250,'tp inwestycje do spr.'!$A$7:$A$250,$B44,'tp inwestycje do spr.'!$C$7:$C$250,$C44,'tp inwestycje do spr.'!$D$7:$D$250,$D44,'tp inwestycje do spr.'!$E$7:$E$250,$A44)-H44,2))</f>
        <v>0</v>
      </c>
      <c r="Q44" s="344">
        <f>IF(D44="","",ROUND(SUMIFS('tp inwestycje do spr.'!I$7:I$250,'tp inwestycje do spr.'!$A$7:$A$250,$B44,'tp inwestycje do spr.'!$C$7:$C$250,$C44,'tp inwestycje do spr.'!$D$7:$D$250,$D44,'tp inwestycje do spr.'!$E$7:$E$250,$A44)-I44,2))</f>
        <v>0</v>
      </c>
      <c r="R44" s="344">
        <f>IF(E44="","",ROUND(SUMIFS('tp inwestycje do spr.'!J$7:J$250,'tp inwestycje do spr.'!$A$7:$A$250,$B44,'tp inwestycje do spr.'!$C$7:$C$250,$C44,'tp inwestycje do spr.'!$D$7:$D$250,$D44,'tp inwestycje do spr.'!$E$7:$E$250,$A44)-J44,2))</f>
        <v>0</v>
      </c>
      <c r="S44" s="344">
        <f>IF(F44="","",ROUND(SUMIFS('tp inwestycje do spr.'!K$7:K$250,'tp inwestycje do spr.'!$A$7:$A$250,$B44,'tp inwestycje do spr.'!$C$7:$C$250,$C44,'tp inwestycje do spr.'!$D$7:$D$250,$D44,'tp inwestycje do spr.'!$E$7:$E$250,$A44)-K44,2))</f>
        <v>0</v>
      </c>
      <c r="T44" s="344">
        <f>IF(G44="","",ROUND(SUMIFS('tp inwestycje do spr.'!L$7:L$250,'tp inwestycje do spr.'!$A$7:$A$250,$B44,'tp inwestycje do spr.'!$C$7:$C$250,$C44,'tp inwestycje do spr.'!$D$7:$D$250,$D44,'tp inwestycje do spr.'!$E$7:$E$250,$A44)-L44,2))</f>
        <v>0</v>
      </c>
      <c r="U44" s="342" t="str">
        <f t="shared" si="4"/>
        <v>nie</v>
      </c>
    </row>
    <row r="45" spans="1:21" x14ac:dyDescent="0.25">
      <c r="A45" s="356" t="s">
        <v>103</v>
      </c>
      <c r="B45" s="356" t="s">
        <v>131</v>
      </c>
      <c r="C45" s="357" t="s">
        <v>299</v>
      </c>
      <c r="D45" s="357" t="s">
        <v>242</v>
      </c>
      <c r="E45" s="356" t="s">
        <v>301</v>
      </c>
      <c r="F45" s="358">
        <v>1578224</v>
      </c>
      <c r="G45" s="358">
        <v>0</v>
      </c>
      <c r="H45" s="358">
        <v>0</v>
      </c>
      <c r="I45" s="358">
        <v>175393</v>
      </c>
      <c r="J45" s="358">
        <v>1402831</v>
      </c>
      <c r="K45" s="358">
        <v>0</v>
      </c>
      <c r="L45" s="358"/>
      <c r="M45" s="355"/>
      <c r="N45" s="344">
        <f>IF(A45="","",ROUND(SUMIFS('tp inwestycje do spr.'!F$7:F$250,'tp inwestycje do spr.'!$A$7:$A$250,$B45,'tp inwestycje do spr.'!$C$7:$C$250,$C45,'tp inwestycje do spr.'!$D$7:$D$250,$D45,'tp inwestycje do spr.'!$E$7:$E$250,$A45)-F45,2))</f>
        <v>0</v>
      </c>
      <c r="O45" s="344">
        <f>IF(B45="","",ROUND(SUMIFS('tp inwestycje do spr.'!G$7:G$250,'tp inwestycje do spr.'!$A$7:$A$250,$B45,'tp inwestycje do spr.'!$C$7:$C$250,$C45,'tp inwestycje do spr.'!$D$7:$D$250,$D45,'tp inwestycje do spr.'!$E$7:$E$250,$A45)-G45,2))</f>
        <v>0</v>
      </c>
      <c r="P45" s="344">
        <f>IF(C45="","",ROUND(SUMIFS('tp inwestycje do spr.'!H$7:H$250,'tp inwestycje do spr.'!$A$7:$A$250,$B45,'tp inwestycje do spr.'!$C$7:$C$250,$C45,'tp inwestycje do spr.'!$D$7:$D$250,$D45,'tp inwestycje do spr.'!$E$7:$E$250,$A45)-H45,2))</f>
        <v>0</v>
      </c>
      <c r="Q45" s="344">
        <f>IF(D45="","",ROUND(SUMIFS('tp inwestycje do spr.'!I$7:I$250,'tp inwestycje do spr.'!$A$7:$A$250,$B45,'tp inwestycje do spr.'!$C$7:$C$250,$C45,'tp inwestycje do spr.'!$D$7:$D$250,$D45,'tp inwestycje do spr.'!$E$7:$E$250,$A45)-I45,2))</f>
        <v>0</v>
      </c>
      <c r="R45" s="344">
        <f>IF(E45="","",ROUND(SUMIFS('tp inwestycje do spr.'!J$7:J$250,'tp inwestycje do spr.'!$A$7:$A$250,$B45,'tp inwestycje do spr.'!$C$7:$C$250,$C45,'tp inwestycje do spr.'!$D$7:$D$250,$D45,'tp inwestycje do spr.'!$E$7:$E$250,$A45)-J45,2))</f>
        <v>0</v>
      </c>
      <c r="S45" s="344">
        <f>IF(F45="","",ROUND(SUMIFS('tp inwestycje do spr.'!K$7:K$250,'tp inwestycje do spr.'!$A$7:$A$250,$B45,'tp inwestycje do spr.'!$C$7:$C$250,$C45,'tp inwestycje do spr.'!$D$7:$D$250,$D45,'tp inwestycje do spr.'!$E$7:$E$250,$A45)-K45,2))</f>
        <v>0</v>
      </c>
      <c r="T45" s="344">
        <f>IF(G45="","",ROUND(SUMIFS('tp inwestycje do spr.'!L$7:L$250,'tp inwestycje do spr.'!$A$7:$A$250,$B45,'tp inwestycje do spr.'!$C$7:$C$250,$C45,'tp inwestycje do spr.'!$D$7:$D$250,$D45,'tp inwestycje do spr.'!$E$7:$E$250,$A45)-L45,2))</f>
        <v>0</v>
      </c>
      <c r="U45" s="342" t="str">
        <f t="shared" si="4"/>
        <v>nie</v>
      </c>
    </row>
    <row r="46" spans="1:21" x14ac:dyDescent="0.25">
      <c r="A46" s="356" t="s">
        <v>104</v>
      </c>
      <c r="B46" s="356" t="s">
        <v>131</v>
      </c>
      <c r="C46" s="357" t="s">
        <v>299</v>
      </c>
      <c r="D46" s="357" t="s">
        <v>242</v>
      </c>
      <c r="E46" s="356" t="s">
        <v>302</v>
      </c>
      <c r="F46" s="358">
        <v>566649</v>
      </c>
      <c r="G46" s="358">
        <v>432005</v>
      </c>
      <c r="H46" s="358">
        <v>17142</v>
      </c>
      <c r="I46" s="358">
        <v>117502</v>
      </c>
      <c r="J46" s="358">
        <v>0</v>
      </c>
      <c r="K46" s="358">
        <v>0</v>
      </c>
      <c r="L46" s="358"/>
      <c r="M46" s="355"/>
      <c r="N46" s="344">
        <f>IF(A46="","",ROUND(SUMIFS('tp inwestycje do spr.'!F$7:F$250,'tp inwestycje do spr.'!$A$7:$A$250,$B46,'tp inwestycje do spr.'!$C$7:$C$250,$C46,'tp inwestycje do spr.'!$D$7:$D$250,$D46,'tp inwestycje do spr.'!$E$7:$E$250,$A46)-F46,2))</f>
        <v>0</v>
      </c>
      <c r="O46" s="344">
        <f>IF(B46="","",ROUND(SUMIFS('tp inwestycje do spr.'!G$7:G$250,'tp inwestycje do spr.'!$A$7:$A$250,$B46,'tp inwestycje do spr.'!$C$7:$C$250,$C46,'tp inwestycje do spr.'!$D$7:$D$250,$D46,'tp inwestycje do spr.'!$E$7:$E$250,$A46)-G46,2))</f>
        <v>0</v>
      </c>
      <c r="P46" s="344">
        <f>IF(C46="","",ROUND(SUMIFS('tp inwestycje do spr.'!H$7:H$250,'tp inwestycje do spr.'!$A$7:$A$250,$B46,'tp inwestycje do spr.'!$C$7:$C$250,$C46,'tp inwestycje do spr.'!$D$7:$D$250,$D46,'tp inwestycje do spr.'!$E$7:$E$250,$A46)-H46,2))</f>
        <v>0</v>
      </c>
      <c r="Q46" s="344">
        <f>IF(D46="","",ROUND(SUMIFS('tp inwestycje do spr.'!I$7:I$250,'tp inwestycje do spr.'!$A$7:$A$250,$B46,'tp inwestycje do spr.'!$C$7:$C$250,$C46,'tp inwestycje do spr.'!$D$7:$D$250,$D46,'tp inwestycje do spr.'!$E$7:$E$250,$A46)-I46,2))</f>
        <v>0</v>
      </c>
      <c r="R46" s="344">
        <f>IF(E46="","",ROUND(SUMIFS('tp inwestycje do spr.'!J$7:J$250,'tp inwestycje do spr.'!$A$7:$A$250,$B46,'tp inwestycje do spr.'!$C$7:$C$250,$C46,'tp inwestycje do spr.'!$D$7:$D$250,$D46,'tp inwestycje do spr.'!$E$7:$E$250,$A46)-J46,2))</f>
        <v>0</v>
      </c>
      <c r="S46" s="344">
        <f>IF(F46="","",ROUND(SUMIFS('tp inwestycje do spr.'!K$7:K$250,'tp inwestycje do spr.'!$A$7:$A$250,$B46,'tp inwestycje do spr.'!$C$7:$C$250,$C46,'tp inwestycje do spr.'!$D$7:$D$250,$D46,'tp inwestycje do spr.'!$E$7:$E$250,$A46)-K46,2))</f>
        <v>0</v>
      </c>
      <c r="T46" s="344">
        <f>IF(G46="","",ROUND(SUMIFS('tp inwestycje do spr.'!L$7:L$250,'tp inwestycje do spr.'!$A$7:$A$250,$B46,'tp inwestycje do spr.'!$C$7:$C$250,$C46,'tp inwestycje do spr.'!$D$7:$D$250,$D46,'tp inwestycje do spr.'!$E$7:$E$250,$A46)-L46,2))</f>
        <v>0</v>
      </c>
      <c r="U46" s="342" t="str">
        <f t="shared" si="4"/>
        <v>nie</v>
      </c>
    </row>
    <row r="47" spans="1:21" x14ac:dyDescent="0.25">
      <c r="A47" s="356" t="s">
        <v>102</v>
      </c>
      <c r="B47" s="356" t="s">
        <v>134</v>
      </c>
      <c r="C47" s="357" t="s">
        <v>299</v>
      </c>
      <c r="D47" s="357" t="s">
        <v>242</v>
      </c>
      <c r="E47" s="356" t="s">
        <v>303</v>
      </c>
      <c r="F47" s="358">
        <v>7025501</v>
      </c>
      <c r="G47" s="358">
        <v>919444</v>
      </c>
      <c r="H47" s="358">
        <v>5161386</v>
      </c>
      <c r="I47" s="358">
        <v>480000</v>
      </c>
      <c r="J47" s="358">
        <v>464671</v>
      </c>
      <c r="K47" s="358">
        <v>0</v>
      </c>
      <c r="L47" s="358"/>
      <c r="M47" s="355"/>
      <c r="N47" s="344">
        <f>IF(A47="","",ROUND(SUMIFS('tp inwestycje do spr.'!F$7:F$250,'tp inwestycje do spr.'!$A$7:$A$250,$B47,'tp inwestycje do spr.'!$C$7:$C$250,$C47,'tp inwestycje do spr.'!$D$7:$D$250,$D47,'tp inwestycje do spr.'!$E$7:$E$250,$A47)-F47,2))</f>
        <v>0</v>
      </c>
      <c r="O47" s="344">
        <f>IF(B47="","",ROUND(SUMIFS('tp inwestycje do spr.'!G$7:G$250,'tp inwestycje do spr.'!$A$7:$A$250,$B47,'tp inwestycje do spr.'!$C$7:$C$250,$C47,'tp inwestycje do spr.'!$D$7:$D$250,$D47,'tp inwestycje do spr.'!$E$7:$E$250,$A47)-G47,2))</f>
        <v>0</v>
      </c>
      <c r="P47" s="344">
        <f>IF(C47="","",ROUND(SUMIFS('tp inwestycje do spr.'!H$7:H$250,'tp inwestycje do spr.'!$A$7:$A$250,$B47,'tp inwestycje do spr.'!$C$7:$C$250,$C47,'tp inwestycje do spr.'!$D$7:$D$250,$D47,'tp inwestycje do spr.'!$E$7:$E$250,$A47)-H47,2))</f>
        <v>0</v>
      </c>
      <c r="Q47" s="344">
        <f>IF(D47="","",ROUND(SUMIFS('tp inwestycje do spr.'!I$7:I$250,'tp inwestycje do spr.'!$A$7:$A$250,$B47,'tp inwestycje do spr.'!$C$7:$C$250,$C47,'tp inwestycje do spr.'!$D$7:$D$250,$D47,'tp inwestycje do spr.'!$E$7:$E$250,$A47)-I47,2))</f>
        <v>0</v>
      </c>
      <c r="R47" s="344">
        <f>IF(E47="","",ROUND(SUMIFS('tp inwestycje do spr.'!J$7:J$250,'tp inwestycje do spr.'!$A$7:$A$250,$B47,'tp inwestycje do spr.'!$C$7:$C$250,$C47,'tp inwestycje do spr.'!$D$7:$D$250,$D47,'tp inwestycje do spr.'!$E$7:$E$250,$A47)-J47,2))</f>
        <v>0</v>
      </c>
      <c r="S47" s="344">
        <f>IF(F47="","",ROUND(SUMIFS('tp inwestycje do spr.'!K$7:K$250,'tp inwestycje do spr.'!$A$7:$A$250,$B47,'tp inwestycje do spr.'!$C$7:$C$250,$C47,'tp inwestycje do spr.'!$D$7:$D$250,$D47,'tp inwestycje do spr.'!$E$7:$E$250,$A47)-K47,2))</f>
        <v>0</v>
      </c>
      <c r="T47" s="344">
        <f>IF(G47="","",ROUND(SUMIFS('tp inwestycje do spr.'!L$7:L$250,'tp inwestycje do spr.'!$A$7:$A$250,$B47,'tp inwestycje do spr.'!$C$7:$C$250,$C47,'tp inwestycje do spr.'!$D$7:$D$250,$D47,'tp inwestycje do spr.'!$E$7:$E$250,$A47)-L47,2))</f>
        <v>0</v>
      </c>
      <c r="U47" s="342" t="str">
        <f t="shared" si="4"/>
        <v>nie</v>
      </c>
    </row>
    <row r="48" spans="1:21" x14ac:dyDescent="0.25">
      <c r="A48" s="356" t="s">
        <v>103</v>
      </c>
      <c r="B48" s="356" t="s">
        <v>134</v>
      </c>
      <c r="C48" s="357" t="s">
        <v>299</v>
      </c>
      <c r="D48" s="357" t="s">
        <v>242</v>
      </c>
      <c r="E48" s="356" t="s">
        <v>304</v>
      </c>
      <c r="F48" s="358">
        <v>944671</v>
      </c>
      <c r="G48" s="358">
        <v>0</v>
      </c>
      <c r="H48" s="358">
        <v>0</v>
      </c>
      <c r="I48" s="358">
        <v>480000</v>
      </c>
      <c r="J48" s="358">
        <v>464671</v>
      </c>
      <c r="K48" s="358">
        <v>0</v>
      </c>
      <c r="L48" s="358"/>
      <c r="M48" s="355"/>
      <c r="N48" s="344">
        <f>IF(A48="","",ROUND(SUMIFS('tp inwestycje do spr.'!F$7:F$250,'tp inwestycje do spr.'!$A$7:$A$250,$B48,'tp inwestycje do spr.'!$C$7:$C$250,$C48,'tp inwestycje do spr.'!$D$7:$D$250,$D48,'tp inwestycje do spr.'!$E$7:$E$250,$A48)-F48,2))</f>
        <v>0</v>
      </c>
      <c r="O48" s="344">
        <f>IF(B48="","",ROUND(SUMIFS('tp inwestycje do spr.'!G$7:G$250,'tp inwestycje do spr.'!$A$7:$A$250,$B48,'tp inwestycje do spr.'!$C$7:$C$250,$C48,'tp inwestycje do spr.'!$D$7:$D$250,$D48,'tp inwestycje do spr.'!$E$7:$E$250,$A48)-G48,2))</f>
        <v>0</v>
      </c>
      <c r="P48" s="344">
        <f>IF(C48="","",ROUND(SUMIFS('tp inwestycje do spr.'!H$7:H$250,'tp inwestycje do spr.'!$A$7:$A$250,$B48,'tp inwestycje do spr.'!$C$7:$C$250,$C48,'tp inwestycje do spr.'!$D$7:$D$250,$D48,'tp inwestycje do spr.'!$E$7:$E$250,$A48)-H48,2))</f>
        <v>0</v>
      </c>
      <c r="Q48" s="344">
        <f>IF(D48="","",ROUND(SUMIFS('tp inwestycje do spr.'!I$7:I$250,'tp inwestycje do spr.'!$A$7:$A$250,$B48,'tp inwestycje do spr.'!$C$7:$C$250,$C48,'tp inwestycje do spr.'!$D$7:$D$250,$D48,'tp inwestycje do spr.'!$E$7:$E$250,$A48)-I48,2))</f>
        <v>0</v>
      </c>
      <c r="R48" s="344">
        <f>IF(E48="","",ROUND(SUMIFS('tp inwestycje do spr.'!J$7:J$250,'tp inwestycje do spr.'!$A$7:$A$250,$B48,'tp inwestycje do spr.'!$C$7:$C$250,$C48,'tp inwestycje do spr.'!$D$7:$D$250,$D48,'tp inwestycje do spr.'!$E$7:$E$250,$A48)-J48,2))</f>
        <v>0</v>
      </c>
      <c r="S48" s="344">
        <f>IF(F48="","",ROUND(SUMIFS('tp inwestycje do spr.'!K$7:K$250,'tp inwestycje do spr.'!$A$7:$A$250,$B48,'tp inwestycje do spr.'!$C$7:$C$250,$C48,'tp inwestycje do spr.'!$D$7:$D$250,$D48,'tp inwestycje do spr.'!$E$7:$E$250,$A48)-K48,2))</f>
        <v>0</v>
      </c>
      <c r="T48" s="344">
        <f>IF(G48="","",ROUND(SUMIFS('tp inwestycje do spr.'!L$7:L$250,'tp inwestycje do spr.'!$A$7:$A$250,$B48,'tp inwestycje do spr.'!$C$7:$C$250,$C48,'tp inwestycje do spr.'!$D$7:$D$250,$D48,'tp inwestycje do spr.'!$E$7:$E$250,$A48)-L48,2))</f>
        <v>0</v>
      </c>
      <c r="U48" s="342" t="str">
        <f t="shared" si="4"/>
        <v>nie</v>
      </c>
    </row>
    <row r="49" spans="1:21" x14ac:dyDescent="0.25">
      <c r="A49" s="356" t="s">
        <v>104</v>
      </c>
      <c r="B49" s="356" t="s">
        <v>134</v>
      </c>
      <c r="C49" s="357" t="s">
        <v>299</v>
      </c>
      <c r="D49" s="357" t="s">
        <v>242</v>
      </c>
      <c r="E49" s="356" t="s">
        <v>305</v>
      </c>
      <c r="F49" s="358">
        <v>6080830</v>
      </c>
      <c r="G49" s="358">
        <v>919444</v>
      </c>
      <c r="H49" s="358">
        <v>5161386</v>
      </c>
      <c r="I49" s="358">
        <v>0</v>
      </c>
      <c r="J49" s="358">
        <v>0</v>
      </c>
      <c r="K49" s="358">
        <v>0</v>
      </c>
      <c r="L49" s="358"/>
      <c r="M49" s="355"/>
      <c r="N49" s="344">
        <f>IF(A49="","",ROUND(SUMIFS('tp inwestycje do spr.'!F$7:F$250,'tp inwestycje do spr.'!$A$7:$A$250,$B49,'tp inwestycje do spr.'!$C$7:$C$250,$C49,'tp inwestycje do spr.'!$D$7:$D$250,$D49,'tp inwestycje do spr.'!$E$7:$E$250,$A49)-F49,2))</f>
        <v>0</v>
      </c>
      <c r="O49" s="344">
        <f>IF(B49="","",ROUND(SUMIFS('tp inwestycje do spr.'!G$7:G$250,'tp inwestycje do spr.'!$A$7:$A$250,$B49,'tp inwestycje do spr.'!$C$7:$C$250,$C49,'tp inwestycje do spr.'!$D$7:$D$250,$D49,'tp inwestycje do spr.'!$E$7:$E$250,$A49)-G49,2))</f>
        <v>0</v>
      </c>
      <c r="P49" s="344">
        <f>IF(C49="","",ROUND(SUMIFS('tp inwestycje do spr.'!H$7:H$250,'tp inwestycje do spr.'!$A$7:$A$250,$B49,'tp inwestycje do spr.'!$C$7:$C$250,$C49,'tp inwestycje do spr.'!$D$7:$D$250,$D49,'tp inwestycje do spr.'!$E$7:$E$250,$A49)-H49,2))</f>
        <v>0</v>
      </c>
      <c r="Q49" s="344">
        <f>IF(D49="","",ROUND(SUMIFS('tp inwestycje do spr.'!I$7:I$250,'tp inwestycje do spr.'!$A$7:$A$250,$B49,'tp inwestycje do spr.'!$C$7:$C$250,$C49,'tp inwestycje do spr.'!$D$7:$D$250,$D49,'tp inwestycje do spr.'!$E$7:$E$250,$A49)-I49,2))</f>
        <v>0</v>
      </c>
      <c r="R49" s="344">
        <f>IF(E49="","",ROUND(SUMIFS('tp inwestycje do spr.'!J$7:J$250,'tp inwestycje do spr.'!$A$7:$A$250,$B49,'tp inwestycje do spr.'!$C$7:$C$250,$C49,'tp inwestycje do spr.'!$D$7:$D$250,$D49,'tp inwestycje do spr.'!$E$7:$E$250,$A49)-J49,2))</f>
        <v>0</v>
      </c>
      <c r="S49" s="344">
        <f>IF(F49="","",ROUND(SUMIFS('tp inwestycje do spr.'!K$7:K$250,'tp inwestycje do spr.'!$A$7:$A$250,$B49,'tp inwestycje do spr.'!$C$7:$C$250,$C49,'tp inwestycje do spr.'!$D$7:$D$250,$D49,'tp inwestycje do spr.'!$E$7:$E$250,$A49)-K49,2))</f>
        <v>0</v>
      </c>
      <c r="T49" s="344">
        <f>IF(G49="","",ROUND(SUMIFS('tp inwestycje do spr.'!L$7:L$250,'tp inwestycje do spr.'!$A$7:$A$250,$B49,'tp inwestycje do spr.'!$C$7:$C$250,$C49,'tp inwestycje do spr.'!$D$7:$D$250,$D49,'tp inwestycje do spr.'!$E$7:$E$250,$A49)-L49,2))</f>
        <v>0</v>
      </c>
      <c r="U49" s="342" t="str">
        <f t="shared" si="4"/>
        <v>nie</v>
      </c>
    </row>
    <row r="50" spans="1:21" x14ac:dyDescent="0.25">
      <c r="A50" s="356" t="s">
        <v>102</v>
      </c>
      <c r="B50" s="356" t="s">
        <v>136</v>
      </c>
      <c r="C50" s="357" t="s">
        <v>299</v>
      </c>
      <c r="D50" s="357" t="s">
        <v>242</v>
      </c>
      <c r="E50" s="356" t="s">
        <v>306</v>
      </c>
      <c r="F50" s="358">
        <v>2550000</v>
      </c>
      <c r="G50" s="358">
        <v>0</v>
      </c>
      <c r="H50" s="358">
        <v>106395</v>
      </c>
      <c r="I50" s="358">
        <v>2193605</v>
      </c>
      <c r="J50" s="358">
        <v>250000</v>
      </c>
      <c r="K50" s="358">
        <v>0</v>
      </c>
      <c r="L50" s="358"/>
      <c r="M50" s="355"/>
      <c r="N50" s="344">
        <f>IF(A50="","",ROUND(SUMIFS('tp inwestycje do spr.'!F$7:F$250,'tp inwestycje do spr.'!$A$7:$A$250,$B50,'tp inwestycje do spr.'!$C$7:$C$250,$C50,'tp inwestycje do spr.'!$D$7:$D$250,$D50,'tp inwestycje do spr.'!$E$7:$E$250,$A50)-F50,2))</f>
        <v>0</v>
      </c>
      <c r="O50" s="344">
        <f>IF(B50="","",ROUND(SUMIFS('tp inwestycje do spr.'!G$7:G$250,'tp inwestycje do spr.'!$A$7:$A$250,$B50,'tp inwestycje do spr.'!$C$7:$C$250,$C50,'tp inwestycje do spr.'!$D$7:$D$250,$D50,'tp inwestycje do spr.'!$E$7:$E$250,$A50)-G50,2))</f>
        <v>0</v>
      </c>
      <c r="P50" s="344">
        <f>IF(C50="","",ROUND(SUMIFS('tp inwestycje do spr.'!H$7:H$250,'tp inwestycje do spr.'!$A$7:$A$250,$B50,'tp inwestycje do spr.'!$C$7:$C$250,$C50,'tp inwestycje do spr.'!$D$7:$D$250,$D50,'tp inwestycje do spr.'!$E$7:$E$250,$A50)-H50,2))</f>
        <v>0</v>
      </c>
      <c r="Q50" s="344">
        <f>IF(D50="","",ROUND(SUMIFS('tp inwestycje do spr.'!I$7:I$250,'tp inwestycje do spr.'!$A$7:$A$250,$B50,'tp inwestycje do spr.'!$C$7:$C$250,$C50,'tp inwestycje do spr.'!$D$7:$D$250,$D50,'tp inwestycje do spr.'!$E$7:$E$250,$A50)-I50,2))</f>
        <v>0</v>
      </c>
      <c r="R50" s="344">
        <f>IF(E50="","",ROUND(SUMIFS('tp inwestycje do spr.'!J$7:J$250,'tp inwestycje do spr.'!$A$7:$A$250,$B50,'tp inwestycje do spr.'!$C$7:$C$250,$C50,'tp inwestycje do spr.'!$D$7:$D$250,$D50,'tp inwestycje do spr.'!$E$7:$E$250,$A50)-J50,2))</f>
        <v>0</v>
      </c>
      <c r="S50" s="344">
        <f>IF(F50="","",ROUND(SUMIFS('tp inwestycje do spr.'!K$7:K$250,'tp inwestycje do spr.'!$A$7:$A$250,$B50,'tp inwestycje do spr.'!$C$7:$C$250,$C50,'tp inwestycje do spr.'!$D$7:$D$250,$D50,'tp inwestycje do spr.'!$E$7:$E$250,$A50)-K50,2))</f>
        <v>0</v>
      </c>
      <c r="T50" s="344">
        <f>IF(G50="","",ROUND(SUMIFS('tp inwestycje do spr.'!L$7:L$250,'tp inwestycje do spr.'!$A$7:$A$250,$B50,'tp inwestycje do spr.'!$C$7:$C$250,$C50,'tp inwestycje do spr.'!$D$7:$D$250,$D50,'tp inwestycje do spr.'!$E$7:$E$250,$A50)-L50,2))</f>
        <v>0</v>
      </c>
      <c r="U50" s="342" t="str">
        <f t="shared" si="4"/>
        <v>nie</v>
      </c>
    </row>
    <row r="51" spans="1:21" x14ac:dyDescent="0.25">
      <c r="A51" s="356" t="s">
        <v>103</v>
      </c>
      <c r="B51" s="356" t="s">
        <v>136</v>
      </c>
      <c r="C51" s="357" t="s">
        <v>299</v>
      </c>
      <c r="D51" s="357" t="s">
        <v>242</v>
      </c>
      <c r="E51" s="356" t="s">
        <v>307</v>
      </c>
      <c r="F51" s="358">
        <v>2435622</v>
      </c>
      <c r="G51" s="358">
        <v>0</v>
      </c>
      <c r="H51" s="358">
        <v>0</v>
      </c>
      <c r="I51" s="358">
        <v>2185622</v>
      </c>
      <c r="J51" s="358">
        <v>250000</v>
      </c>
      <c r="K51" s="358">
        <v>0</v>
      </c>
      <c r="L51" s="358"/>
      <c r="M51" s="355"/>
      <c r="N51" s="344">
        <f>IF(A51="","",ROUND(SUMIFS('tp inwestycje do spr.'!F$7:F$250,'tp inwestycje do spr.'!$A$7:$A$250,$B51,'tp inwestycje do spr.'!$C$7:$C$250,$C51,'tp inwestycje do spr.'!$D$7:$D$250,$D51,'tp inwestycje do spr.'!$E$7:$E$250,$A51)-F51,2))</f>
        <v>0</v>
      </c>
      <c r="O51" s="344">
        <f>IF(B51="","",ROUND(SUMIFS('tp inwestycje do spr.'!G$7:G$250,'tp inwestycje do spr.'!$A$7:$A$250,$B51,'tp inwestycje do spr.'!$C$7:$C$250,$C51,'tp inwestycje do spr.'!$D$7:$D$250,$D51,'tp inwestycje do spr.'!$E$7:$E$250,$A51)-G51,2))</f>
        <v>0</v>
      </c>
      <c r="P51" s="344">
        <f>IF(C51="","",ROUND(SUMIFS('tp inwestycje do spr.'!H$7:H$250,'tp inwestycje do spr.'!$A$7:$A$250,$B51,'tp inwestycje do spr.'!$C$7:$C$250,$C51,'tp inwestycje do spr.'!$D$7:$D$250,$D51,'tp inwestycje do spr.'!$E$7:$E$250,$A51)-H51,2))</f>
        <v>0</v>
      </c>
      <c r="Q51" s="344">
        <f>IF(D51="","",ROUND(SUMIFS('tp inwestycje do spr.'!I$7:I$250,'tp inwestycje do spr.'!$A$7:$A$250,$B51,'tp inwestycje do spr.'!$C$7:$C$250,$C51,'tp inwestycje do spr.'!$D$7:$D$250,$D51,'tp inwestycje do spr.'!$E$7:$E$250,$A51)-I51,2))</f>
        <v>0</v>
      </c>
      <c r="R51" s="344">
        <f>IF(E51="","",ROUND(SUMIFS('tp inwestycje do spr.'!J$7:J$250,'tp inwestycje do spr.'!$A$7:$A$250,$B51,'tp inwestycje do spr.'!$C$7:$C$250,$C51,'tp inwestycje do spr.'!$D$7:$D$250,$D51,'tp inwestycje do spr.'!$E$7:$E$250,$A51)-J51,2))</f>
        <v>0</v>
      </c>
      <c r="S51" s="344">
        <f>IF(F51="","",ROUND(SUMIFS('tp inwestycje do spr.'!K$7:K$250,'tp inwestycje do spr.'!$A$7:$A$250,$B51,'tp inwestycje do spr.'!$C$7:$C$250,$C51,'tp inwestycje do spr.'!$D$7:$D$250,$D51,'tp inwestycje do spr.'!$E$7:$E$250,$A51)-K51,2))</f>
        <v>0</v>
      </c>
      <c r="T51" s="344">
        <f>IF(G51="","",ROUND(SUMIFS('tp inwestycje do spr.'!L$7:L$250,'tp inwestycje do spr.'!$A$7:$A$250,$B51,'tp inwestycje do spr.'!$C$7:$C$250,$C51,'tp inwestycje do spr.'!$D$7:$D$250,$D51,'tp inwestycje do spr.'!$E$7:$E$250,$A51)-L51,2))</f>
        <v>0</v>
      </c>
      <c r="U51" s="342" t="str">
        <f t="shared" si="4"/>
        <v>nie</v>
      </c>
    </row>
    <row r="52" spans="1:21" x14ac:dyDescent="0.25">
      <c r="A52" s="356" t="s">
        <v>104</v>
      </c>
      <c r="B52" s="356" t="s">
        <v>136</v>
      </c>
      <c r="C52" s="357" t="s">
        <v>299</v>
      </c>
      <c r="D52" s="357" t="s">
        <v>242</v>
      </c>
      <c r="E52" s="356" t="s">
        <v>308</v>
      </c>
      <c r="F52" s="358">
        <v>114378</v>
      </c>
      <c r="G52" s="358">
        <v>0</v>
      </c>
      <c r="H52" s="358">
        <v>106395</v>
      </c>
      <c r="I52" s="358">
        <v>7983</v>
      </c>
      <c r="J52" s="358">
        <v>0</v>
      </c>
      <c r="K52" s="358">
        <v>0</v>
      </c>
      <c r="L52" s="358"/>
      <c r="M52" s="355"/>
      <c r="N52" s="344">
        <f>IF(A52="","",ROUND(SUMIFS('tp inwestycje do spr.'!F$7:F$250,'tp inwestycje do spr.'!$A$7:$A$250,$B52,'tp inwestycje do spr.'!$C$7:$C$250,$C52,'tp inwestycje do spr.'!$D$7:$D$250,$D52,'tp inwestycje do spr.'!$E$7:$E$250,$A52)-F52,2))</f>
        <v>0</v>
      </c>
      <c r="O52" s="344">
        <f>IF(B52="","",ROUND(SUMIFS('tp inwestycje do spr.'!G$7:G$250,'tp inwestycje do spr.'!$A$7:$A$250,$B52,'tp inwestycje do spr.'!$C$7:$C$250,$C52,'tp inwestycje do spr.'!$D$7:$D$250,$D52,'tp inwestycje do spr.'!$E$7:$E$250,$A52)-G52,2))</f>
        <v>0</v>
      </c>
      <c r="P52" s="344">
        <f>IF(C52="","",ROUND(SUMIFS('tp inwestycje do spr.'!H$7:H$250,'tp inwestycje do spr.'!$A$7:$A$250,$B52,'tp inwestycje do spr.'!$C$7:$C$250,$C52,'tp inwestycje do spr.'!$D$7:$D$250,$D52,'tp inwestycje do spr.'!$E$7:$E$250,$A52)-H52,2))</f>
        <v>0</v>
      </c>
      <c r="Q52" s="344">
        <f>IF(D52="","",ROUND(SUMIFS('tp inwestycje do spr.'!I$7:I$250,'tp inwestycje do spr.'!$A$7:$A$250,$B52,'tp inwestycje do spr.'!$C$7:$C$250,$C52,'tp inwestycje do spr.'!$D$7:$D$250,$D52,'tp inwestycje do spr.'!$E$7:$E$250,$A52)-I52,2))</f>
        <v>0</v>
      </c>
      <c r="R52" s="344">
        <f>IF(E52="","",ROUND(SUMIFS('tp inwestycje do spr.'!J$7:J$250,'tp inwestycje do spr.'!$A$7:$A$250,$B52,'tp inwestycje do spr.'!$C$7:$C$250,$C52,'tp inwestycje do spr.'!$D$7:$D$250,$D52,'tp inwestycje do spr.'!$E$7:$E$250,$A52)-J52,2))</f>
        <v>0</v>
      </c>
      <c r="S52" s="344">
        <f>IF(F52="","",ROUND(SUMIFS('tp inwestycje do spr.'!K$7:K$250,'tp inwestycje do spr.'!$A$7:$A$250,$B52,'tp inwestycje do spr.'!$C$7:$C$250,$C52,'tp inwestycje do spr.'!$D$7:$D$250,$D52,'tp inwestycje do spr.'!$E$7:$E$250,$A52)-K52,2))</f>
        <v>0</v>
      </c>
      <c r="T52" s="344">
        <f>IF(G52="","",ROUND(SUMIFS('tp inwestycje do spr.'!L$7:L$250,'tp inwestycje do spr.'!$A$7:$A$250,$B52,'tp inwestycje do spr.'!$C$7:$C$250,$C52,'tp inwestycje do spr.'!$D$7:$D$250,$D52,'tp inwestycje do spr.'!$E$7:$E$250,$A52)-L52,2))</f>
        <v>0</v>
      </c>
      <c r="U52" s="342" t="str">
        <f t="shared" si="4"/>
        <v>nie</v>
      </c>
    </row>
    <row r="53" spans="1:21" x14ac:dyDescent="0.25">
      <c r="A53" s="356" t="s">
        <v>102</v>
      </c>
      <c r="B53" s="356" t="s">
        <v>138</v>
      </c>
      <c r="C53" s="357" t="s">
        <v>299</v>
      </c>
      <c r="D53" s="357" t="s">
        <v>242</v>
      </c>
      <c r="E53" s="356" t="s">
        <v>309</v>
      </c>
      <c r="F53" s="358">
        <v>1555875</v>
      </c>
      <c r="G53" s="358">
        <v>62577</v>
      </c>
      <c r="H53" s="358">
        <v>1035175</v>
      </c>
      <c r="I53" s="358">
        <v>458123</v>
      </c>
      <c r="J53" s="358">
        <v>0</v>
      </c>
      <c r="K53" s="358">
        <v>0</v>
      </c>
      <c r="L53" s="358"/>
      <c r="M53" s="355"/>
      <c r="N53" s="344">
        <f>IF(A53="","",ROUND(SUMIFS('tp inwestycje do spr.'!F$7:F$250,'tp inwestycje do spr.'!$A$7:$A$250,$B53,'tp inwestycje do spr.'!$C$7:$C$250,$C53,'tp inwestycje do spr.'!$D$7:$D$250,$D53,'tp inwestycje do spr.'!$E$7:$E$250,$A53)-F53,2))</f>
        <v>0</v>
      </c>
      <c r="O53" s="344">
        <f>IF(B53="","",ROUND(SUMIFS('tp inwestycje do spr.'!G$7:G$250,'tp inwestycje do spr.'!$A$7:$A$250,$B53,'tp inwestycje do spr.'!$C$7:$C$250,$C53,'tp inwestycje do spr.'!$D$7:$D$250,$D53,'tp inwestycje do spr.'!$E$7:$E$250,$A53)-G53,2))</f>
        <v>0</v>
      </c>
      <c r="P53" s="344">
        <f>IF(C53="","",ROUND(SUMIFS('tp inwestycje do spr.'!H$7:H$250,'tp inwestycje do spr.'!$A$7:$A$250,$B53,'tp inwestycje do spr.'!$C$7:$C$250,$C53,'tp inwestycje do spr.'!$D$7:$D$250,$D53,'tp inwestycje do spr.'!$E$7:$E$250,$A53)-H53,2))</f>
        <v>0</v>
      </c>
      <c r="Q53" s="344">
        <f>IF(D53="","",ROUND(SUMIFS('tp inwestycje do spr.'!I$7:I$250,'tp inwestycje do spr.'!$A$7:$A$250,$B53,'tp inwestycje do spr.'!$C$7:$C$250,$C53,'tp inwestycje do spr.'!$D$7:$D$250,$D53,'tp inwestycje do spr.'!$E$7:$E$250,$A53)-I53,2))</f>
        <v>0</v>
      </c>
      <c r="R53" s="344">
        <f>IF(E53="","",ROUND(SUMIFS('tp inwestycje do spr.'!J$7:J$250,'tp inwestycje do spr.'!$A$7:$A$250,$B53,'tp inwestycje do spr.'!$C$7:$C$250,$C53,'tp inwestycje do spr.'!$D$7:$D$250,$D53,'tp inwestycje do spr.'!$E$7:$E$250,$A53)-J53,2))</f>
        <v>0</v>
      </c>
      <c r="S53" s="344">
        <f>IF(F53="","",ROUND(SUMIFS('tp inwestycje do spr.'!K$7:K$250,'tp inwestycje do spr.'!$A$7:$A$250,$B53,'tp inwestycje do spr.'!$C$7:$C$250,$C53,'tp inwestycje do spr.'!$D$7:$D$250,$D53,'tp inwestycje do spr.'!$E$7:$E$250,$A53)-K53,2))</f>
        <v>0</v>
      </c>
      <c r="T53" s="344">
        <f>IF(G53="","",ROUND(SUMIFS('tp inwestycje do spr.'!L$7:L$250,'tp inwestycje do spr.'!$A$7:$A$250,$B53,'tp inwestycje do spr.'!$C$7:$C$250,$C53,'tp inwestycje do spr.'!$D$7:$D$250,$D53,'tp inwestycje do spr.'!$E$7:$E$250,$A53)-L53,2))</f>
        <v>0</v>
      </c>
      <c r="U53" s="342" t="str">
        <f t="shared" si="4"/>
        <v>nie</v>
      </c>
    </row>
    <row r="54" spans="1:21" x14ac:dyDescent="0.25">
      <c r="A54" s="356" t="s">
        <v>103</v>
      </c>
      <c r="B54" s="356" t="s">
        <v>138</v>
      </c>
      <c r="C54" s="357" t="s">
        <v>299</v>
      </c>
      <c r="D54" s="357" t="s">
        <v>242</v>
      </c>
      <c r="E54" s="356" t="s">
        <v>310</v>
      </c>
      <c r="F54" s="358">
        <v>458123</v>
      </c>
      <c r="G54" s="358">
        <v>0</v>
      </c>
      <c r="H54" s="358">
        <v>0</v>
      </c>
      <c r="I54" s="358">
        <v>458123</v>
      </c>
      <c r="J54" s="358">
        <v>0</v>
      </c>
      <c r="K54" s="358">
        <v>0</v>
      </c>
      <c r="L54" s="358"/>
      <c r="M54" s="355"/>
      <c r="N54" s="344">
        <f>IF(A54="","",ROUND(SUMIFS('tp inwestycje do spr.'!F$7:F$250,'tp inwestycje do spr.'!$A$7:$A$250,$B54,'tp inwestycje do spr.'!$C$7:$C$250,$C54,'tp inwestycje do spr.'!$D$7:$D$250,$D54,'tp inwestycje do spr.'!$E$7:$E$250,$A54)-F54,2))</f>
        <v>0</v>
      </c>
      <c r="O54" s="344">
        <f>IF(B54="","",ROUND(SUMIFS('tp inwestycje do spr.'!G$7:G$250,'tp inwestycje do spr.'!$A$7:$A$250,$B54,'tp inwestycje do spr.'!$C$7:$C$250,$C54,'tp inwestycje do spr.'!$D$7:$D$250,$D54,'tp inwestycje do spr.'!$E$7:$E$250,$A54)-G54,2))</f>
        <v>0</v>
      </c>
      <c r="P54" s="344">
        <f>IF(C54="","",ROUND(SUMIFS('tp inwestycje do spr.'!H$7:H$250,'tp inwestycje do spr.'!$A$7:$A$250,$B54,'tp inwestycje do spr.'!$C$7:$C$250,$C54,'tp inwestycje do spr.'!$D$7:$D$250,$D54,'tp inwestycje do spr.'!$E$7:$E$250,$A54)-H54,2))</f>
        <v>0</v>
      </c>
      <c r="Q54" s="344">
        <f>IF(D54="","",ROUND(SUMIFS('tp inwestycje do spr.'!I$7:I$250,'tp inwestycje do spr.'!$A$7:$A$250,$B54,'tp inwestycje do spr.'!$C$7:$C$250,$C54,'tp inwestycje do spr.'!$D$7:$D$250,$D54,'tp inwestycje do spr.'!$E$7:$E$250,$A54)-I54,2))</f>
        <v>0</v>
      </c>
      <c r="R54" s="344">
        <f>IF(E54="","",ROUND(SUMIFS('tp inwestycje do spr.'!J$7:J$250,'tp inwestycje do spr.'!$A$7:$A$250,$B54,'tp inwestycje do spr.'!$C$7:$C$250,$C54,'tp inwestycje do spr.'!$D$7:$D$250,$D54,'tp inwestycje do spr.'!$E$7:$E$250,$A54)-J54,2))</f>
        <v>0</v>
      </c>
      <c r="S54" s="344">
        <f>IF(F54="","",ROUND(SUMIFS('tp inwestycje do spr.'!K$7:K$250,'tp inwestycje do spr.'!$A$7:$A$250,$B54,'tp inwestycje do spr.'!$C$7:$C$250,$C54,'tp inwestycje do spr.'!$D$7:$D$250,$D54,'tp inwestycje do spr.'!$E$7:$E$250,$A54)-K54,2))</f>
        <v>0</v>
      </c>
      <c r="T54" s="344">
        <f>IF(G54="","",ROUND(SUMIFS('tp inwestycje do spr.'!L$7:L$250,'tp inwestycje do spr.'!$A$7:$A$250,$B54,'tp inwestycje do spr.'!$C$7:$C$250,$C54,'tp inwestycje do spr.'!$D$7:$D$250,$D54,'tp inwestycje do spr.'!$E$7:$E$250,$A54)-L54,2))</f>
        <v>0</v>
      </c>
      <c r="U54" s="342" t="str">
        <f t="shared" si="4"/>
        <v>nie</v>
      </c>
    </row>
    <row r="55" spans="1:21" x14ac:dyDescent="0.25">
      <c r="A55" s="356" t="s">
        <v>104</v>
      </c>
      <c r="B55" s="356" t="s">
        <v>138</v>
      </c>
      <c r="C55" s="357" t="s">
        <v>299</v>
      </c>
      <c r="D55" s="357" t="s">
        <v>242</v>
      </c>
      <c r="E55" s="356" t="s">
        <v>311</v>
      </c>
      <c r="F55" s="358">
        <v>1097752</v>
      </c>
      <c r="G55" s="358">
        <v>62577</v>
      </c>
      <c r="H55" s="358">
        <v>1035175</v>
      </c>
      <c r="I55" s="358">
        <v>0</v>
      </c>
      <c r="J55" s="358">
        <v>0</v>
      </c>
      <c r="K55" s="358">
        <v>0</v>
      </c>
      <c r="L55" s="358"/>
      <c r="M55" s="355"/>
      <c r="N55" s="344">
        <f>IF(A55="","",ROUND(SUMIFS('tp inwestycje do spr.'!F$7:F$250,'tp inwestycje do spr.'!$A$7:$A$250,$B55,'tp inwestycje do spr.'!$C$7:$C$250,$C55,'tp inwestycje do spr.'!$D$7:$D$250,$D55,'tp inwestycje do spr.'!$E$7:$E$250,$A55)-F55,2))</f>
        <v>0</v>
      </c>
      <c r="O55" s="344">
        <f>IF(B55="","",ROUND(SUMIFS('tp inwestycje do spr.'!G$7:G$250,'tp inwestycje do spr.'!$A$7:$A$250,$B55,'tp inwestycje do spr.'!$C$7:$C$250,$C55,'tp inwestycje do spr.'!$D$7:$D$250,$D55,'tp inwestycje do spr.'!$E$7:$E$250,$A55)-G55,2))</f>
        <v>0</v>
      </c>
      <c r="P55" s="344">
        <f>IF(C55="","",ROUND(SUMIFS('tp inwestycje do spr.'!H$7:H$250,'tp inwestycje do spr.'!$A$7:$A$250,$B55,'tp inwestycje do spr.'!$C$7:$C$250,$C55,'tp inwestycje do spr.'!$D$7:$D$250,$D55,'tp inwestycje do spr.'!$E$7:$E$250,$A55)-H55,2))</f>
        <v>0</v>
      </c>
      <c r="Q55" s="344">
        <f>IF(D55="","",ROUND(SUMIFS('tp inwestycje do spr.'!I$7:I$250,'tp inwestycje do spr.'!$A$7:$A$250,$B55,'tp inwestycje do spr.'!$C$7:$C$250,$C55,'tp inwestycje do spr.'!$D$7:$D$250,$D55,'tp inwestycje do spr.'!$E$7:$E$250,$A55)-I55,2))</f>
        <v>0</v>
      </c>
      <c r="R55" s="344">
        <f>IF(E55="","",ROUND(SUMIFS('tp inwestycje do spr.'!J$7:J$250,'tp inwestycje do spr.'!$A$7:$A$250,$B55,'tp inwestycje do spr.'!$C$7:$C$250,$C55,'tp inwestycje do spr.'!$D$7:$D$250,$D55,'tp inwestycje do spr.'!$E$7:$E$250,$A55)-J55,2))</f>
        <v>0</v>
      </c>
      <c r="S55" s="344">
        <f>IF(F55="","",ROUND(SUMIFS('tp inwestycje do spr.'!K$7:K$250,'tp inwestycje do spr.'!$A$7:$A$250,$B55,'tp inwestycje do spr.'!$C$7:$C$250,$C55,'tp inwestycje do spr.'!$D$7:$D$250,$D55,'tp inwestycje do spr.'!$E$7:$E$250,$A55)-K55,2))</f>
        <v>0</v>
      </c>
      <c r="T55" s="344">
        <f>IF(G55="","",ROUND(SUMIFS('tp inwestycje do spr.'!L$7:L$250,'tp inwestycje do spr.'!$A$7:$A$250,$B55,'tp inwestycje do spr.'!$C$7:$C$250,$C55,'tp inwestycje do spr.'!$D$7:$D$250,$D55,'tp inwestycje do spr.'!$E$7:$E$250,$A55)-L55,2))</f>
        <v>0</v>
      </c>
      <c r="U55" s="342" t="str">
        <f t="shared" si="4"/>
        <v>nie</v>
      </c>
    </row>
    <row r="56" spans="1:21" x14ac:dyDescent="0.25">
      <c r="A56" s="356" t="s">
        <v>102</v>
      </c>
      <c r="B56" s="356" t="s">
        <v>140</v>
      </c>
      <c r="C56" s="357" t="s">
        <v>299</v>
      </c>
      <c r="D56" s="357" t="s">
        <v>242</v>
      </c>
      <c r="E56" s="356" t="s">
        <v>312</v>
      </c>
      <c r="F56" s="358">
        <v>1578167</v>
      </c>
      <c r="G56" s="358">
        <v>0</v>
      </c>
      <c r="H56" s="358">
        <v>198163</v>
      </c>
      <c r="I56" s="358">
        <v>1380004</v>
      </c>
      <c r="J56" s="358">
        <v>0</v>
      </c>
      <c r="K56" s="358">
        <v>0</v>
      </c>
      <c r="L56" s="358"/>
      <c r="M56" s="355"/>
      <c r="N56" s="344">
        <f>IF(A56="","",ROUND(SUMIFS('tp inwestycje do spr.'!F$7:F$250,'tp inwestycje do spr.'!$A$7:$A$250,$B56,'tp inwestycje do spr.'!$C$7:$C$250,$C56,'tp inwestycje do spr.'!$D$7:$D$250,$D56,'tp inwestycje do spr.'!$E$7:$E$250,$A56)-F56,2))</f>
        <v>0</v>
      </c>
      <c r="O56" s="344">
        <f>IF(B56="","",ROUND(SUMIFS('tp inwestycje do spr.'!G$7:G$250,'tp inwestycje do spr.'!$A$7:$A$250,$B56,'tp inwestycje do spr.'!$C$7:$C$250,$C56,'tp inwestycje do spr.'!$D$7:$D$250,$D56,'tp inwestycje do spr.'!$E$7:$E$250,$A56)-G56,2))</f>
        <v>0</v>
      </c>
      <c r="P56" s="344">
        <f>IF(C56="","",ROUND(SUMIFS('tp inwestycje do spr.'!H$7:H$250,'tp inwestycje do spr.'!$A$7:$A$250,$B56,'tp inwestycje do spr.'!$C$7:$C$250,$C56,'tp inwestycje do spr.'!$D$7:$D$250,$D56,'tp inwestycje do spr.'!$E$7:$E$250,$A56)-H56,2))</f>
        <v>0</v>
      </c>
      <c r="Q56" s="344">
        <f>IF(D56="","",ROUND(SUMIFS('tp inwestycje do spr.'!I$7:I$250,'tp inwestycje do spr.'!$A$7:$A$250,$B56,'tp inwestycje do spr.'!$C$7:$C$250,$C56,'tp inwestycje do spr.'!$D$7:$D$250,$D56,'tp inwestycje do spr.'!$E$7:$E$250,$A56)-I56,2))</f>
        <v>0</v>
      </c>
      <c r="R56" s="344">
        <f>IF(E56="","",ROUND(SUMIFS('tp inwestycje do spr.'!J$7:J$250,'tp inwestycje do spr.'!$A$7:$A$250,$B56,'tp inwestycje do spr.'!$C$7:$C$250,$C56,'tp inwestycje do spr.'!$D$7:$D$250,$D56,'tp inwestycje do spr.'!$E$7:$E$250,$A56)-J56,2))</f>
        <v>0</v>
      </c>
      <c r="S56" s="344">
        <f>IF(F56="","",ROUND(SUMIFS('tp inwestycje do spr.'!K$7:K$250,'tp inwestycje do spr.'!$A$7:$A$250,$B56,'tp inwestycje do spr.'!$C$7:$C$250,$C56,'tp inwestycje do spr.'!$D$7:$D$250,$D56,'tp inwestycje do spr.'!$E$7:$E$250,$A56)-K56,2))</f>
        <v>0</v>
      </c>
      <c r="T56" s="344">
        <f>IF(G56="","",ROUND(SUMIFS('tp inwestycje do spr.'!L$7:L$250,'tp inwestycje do spr.'!$A$7:$A$250,$B56,'tp inwestycje do spr.'!$C$7:$C$250,$C56,'tp inwestycje do spr.'!$D$7:$D$250,$D56,'tp inwestycje do spr.'!$E$7:$E$250,$A56)-L56,2))</f>
        <v>0</v>
      </c>
      <c r="U56" s="342" t="str">
        <f t="shared" si="4"/>
        <v>nie</v>
      </c>
    </row>
    <row r="57" spans="1:21" x14ac:dyDescent="0.25">
      <c r="A57" s="356" t="s">
        <v>103</v>
      </c>
      <c r="B57" s="356" t="s">
        <v>140</v>
      </c>
      <c r="C57" s="357" t="s">
        <v>299</v>
      </c>
      <c r="D57" s="357" t="s">
        <v>242</v>
      </c>
      <c r="E57" s="356" t="s">
        <v>313</v>
      </c>
      <c r="F57" s="358">
        <v>219737</v>
      </c>
      <c r="G57" s="358">
        <v>0</v>
      </c>
      <c r="H57" s="358">
        <v>0</v>
      </c>
      <c r="I57" s="391">
        <v>219737</v>
      </c>
      <c r="J57" s="358">
        <v>0</v>
      </c>
      <c r="K57" s="358">
        <v>0</v>
      </c>
      <c r="L57" s="358"/>
      <c r="M57" s="355"/>
      <c r="N57" s="344">
        <f>IF(A57="","",ROUND(SUMIFS('tp inwestycje do spr.'!F$7:F$250,'tp inwestycje do spr.'!$A$7:$A$250,$B57,'tp inwestycje do spr.'!$C$7:$C$250,$C57,'tp inwestycje do spr.'!$D$7:$D$250,$D57,'tp inwestycje do spr.'!$E$7:$E$250,$A57)-F57,2))</f>
        <v>0</v>
      </c>
      <c r="O57" s="344">
        <f>IF(B57="","",ROUND(SUMIFS('tp inwestycje do spr.'!G$7:G$250,'tp inwestycje do spr.'!$A$7:$A$250,$B57,'tp inwestycje do spr.'!$C$7:$C$250,$C57,'tp inwestycje do spr.'!$D$7:$D$250,$D57,'tp inwestycje do spr.'!$E$7:$E$250,$A57)-G57,2))</f>
        <v>0</v>
      </c>
      <c r="P57" s="344">
        <f>IF(C57="","",ROUND(SUMIFS('tp inwestycje do spr.'!H$7:H$250,'tp inwestycje do spr.'!$A$7:$A$250,$B57,'tp inwestycje do spr.'!$C$7:$C$250,$C57,'tp inwestycje do spr.'!$D$7:$D$250,$D57,'tp inwestycje do spr.'!$E$7:$E$250,$A57)-H57,2))</f>
        <v>0</v>
      </c>
      <c r="Q57" s="344">
        <f>IF(D57="","",ROUND(SUMIFS('tp inwestycje do spr.'!I$7:I$250,'tp inwestycje do spr.'!$A$7:$A$250,$B57,'tp inwestycje do spr.'!$C$7:$C$250,$C57,'tp inwestycje do spr.'!$D$7:$D$250,$D57,'tp inwestycje do spr.'!$E$7:$E$250,$A57)-I57,2))</f>
        <v>0</v>
      </c>
      <c r="R57" s="344">
        <f>IF(E57="","",ROUND(SUMIFS('tp inwestycje do spr.'!J$7:J$250,'tp inwestycje do spr.'!$A$7:$A$250,$B57,'tp inwestycje do spr.'!$C$7:$C$250,$C57,'tp inwestycje do spr.'!$D$7:$D$250,$D57,'tp inwestycje do spr.'!$E$7:$E$250,$A57)-J57,2))</f>
        <v>0</v>
      </c>
      <c r="S57" s="344">
        <f>IF(F57="","",ROUND(SUMIFS('tp inwestycje do spr.'!K$7:K$250,'tp inwestycje do spr.'!$A$7:$A$250,$B57,'tp inwestycje do spr.'!$C$7:$C$250,$C57,'tp inwestycje do spr.'!$D$7:$D$250,$D57,'tp inwestycje do spr.'!$E$7:$E$250,$A57)-K57,2))</f>
        <v>0</v>
      </c>
      <c r="T57" s="344">
        <f>IF(G57="","",ROUND(SUMIFS('tp inwestycje do spr.'!L$7:L$250,'tp inwestycje do spr.'!$A$7:$A$250,$B57,'tp inwestycje do spr.'!$C$7:$C$250,$C57,'tp inwestycje do spr.'!$D$7:$D$250,$D57,'tp inwestycje do spr.'!$E$7:$E$250,$A57)-L57,2))</f>
        <v>0</v>
      </c>
      <c r="U57" s="342" t="str">
        <f t="shared" si="4"/>
        <v>nie</v>
      </c>
    </row>
    <row r="58" spans="1:21" x14ac:dyDescent="0.25">
      <c r="A58" s="356" t="s">
        <v>104</v>
      </c>
      <c r="B58" s="356" t="s">
        <v>140</v>
      </c>
      <c r="C58" s="357" t="s">
        <v>299</v>
      </c>
      <c r="D58" s="357" t="s">
        <v>242</v>
      </c>
      <c r="E58" s="356" t="s">
        <v>314</v>
      </c>
      <c r="F58" s="358">
        <v>1358430</v>
      </c>
      <c r="G58" s="358">
        <v>0</v>
      </c>
      <c r="H58" s="358">
        <v>198163</v>
      </c>
      <c r="I58" s="391">
        <v>1160267</v>
      </c>
      <c r="J58" s="358">
        <v>0</v>
      </c>
      <c r="K58" s="358">
        <v>0</v>
      </c>
      <c r="L58" s="358"/>
      <c r="M58" s="355"/>
      <c r="N58" s="344">
        <f>IF(A58="","",ROUND(SUMIFS('tp inwestycje do spr.'!F$7:F$250,'tp inwestycje do spr.'!$A$7:$A$250,$B58,'tp inwestycje do spr.'!$C$7:$C$250,$C58,'tp inwestycje do spr.'!$D$7:$D$250,$D58,'tp inwestycje do spr.'!$E$7:$E$250,$A58)-F58,2))</f>
        <v>0</v>
      </c>
      <c r="O58" s="344">
        <f>IF(B58="","",ROUND(SUMIFS('tp inwestycje do spr.'!G$7:G$250,'tp inwestycje do spr.'!$A$7:$A$250,$B58,'tp inwestycje do spr.'!$C$7:$C$250,$C58,'tp inwestycje do spr.'!$D$7:$D$250,$D58,'tp inwestycje do spr.'!$E$7:$E$250,$A58)-G58,2))</f>
        <v>0</v>
      </c>
      <c r="P58" s="344">
        <f>IF(C58="","",ROUND(SUMIFS('tp inwestycje do spr.'!H$7:H$250,'tp inwestycje do spr.'!$A$7:$A$250,$B58,'tp inwestycje do spr.'!$C$7:$C$250,$C58,'tp inwestycje do spr.'!$D$7:$D$250,$D58,'tp inwestycje do spr.'!$E$7:$E$250,$A58)-H58,2))</f>
        <v>0</v>
      </c>
      <c r="Q58" s="344">
        <f>IF(D58="","",ROUND(SUMIFS('tp inwestycje do spr.'!I$7:I$250,'tp inwestycje do spr.'!$A$7:$A$250,$B58,'tp inwestycje do spr.'!$C$7:$C$250,$C58,'tp inwestycje do spr.'!$D$7:$D$250,$D58,'tp inwestycje do spr.'!$E$7:$E$250,$A58)-I58,2))</f>
        <v>0</v>
      </c>
      <c r="R58" s="344">
        <f>IF(E58="","",ROUND(SUMIFS('tp inwestycje do spr.'!J$7:J$250,'tp inwestycje do spr.'!$A$7:$A$250,$B58,'tp inwestycje do spr.'!$C$7:$C$250,$C58,'tp inwestycje do spr.'!$D$7:$D$250,$D58,'tp inwestycje do spr.'!$E$7:$E$250,$A58)-J58,2))</f>
        <v>0</v>
      </c>
      <c r="S58" s="344">
        <f>IF(F58="","",ROUND(SUMIFS('tp inwestycje do spr.'!K$7:K$250,'tp inwestycje do spr.'!$A$7:$A$250,$B58,'tp inwestycje do spr.'!$C$7:$C$250,$C58,'tp inwestycje do spr.'!$D$7:$D$250,$D58,'tp inwestycje do spr.'!$E$7:$E$250,$A58)-K58,2))</f>
        <v>0</v>
      </c>
      <c r="T58" s="344">
        <f>IF(G58="","",ROUND(SUMIFS('tp inwestycje do spr.'!L$7:L$250,'tp inwestycje do spr.'!$A$7:$A$250,$B58,'tp inwestycje do spr.'!$C$7:$C$250,$C58,'tp inwestycje do spr.'!$D$7:$D$250,$D58,'tp inwestycje do spr.'!$E$7:$E$250,$A58)-L58,2))</f>
        <v>0</v>
      </c>
      <c r="U58" s="342" t="str">
        <f t="shared" si="4"/>
        <v>nie</v>
      </c>
    </row>
    <row r="59" spans="1:21" x14ac:dyDescent="0.25">
      <c r="A59" s="356" t="s">
        <v>102</v>
      </c>
      <c r="B59" s="356" t="s">
        <v>398</v>
      </c>
      <c r="C59" s="357" t="s">
        <v>299</v>
      </c>
      <c r="D59" s="357" t="s">
        <v>242</v>
      </c>
      <c r="E59" s="356" t="s">
        <v>441</v>
      </c>
      <c r="F59" s="358">
        <v>1606000</v>
      </c>
      <c r="G59" s="358">
        <v>0</v>
      </c>
      <c r="H59" s="358">
        <v>0</v>
      </c>
      <c r="I59" s="358">
        <v>1460000</v>
      </c>
      <c r="J59" s="358">
        <v>146000</v>
      </c>
      <c r="K59" s="358">
        <v>0</v>
      </c>
      <c r="L59" s="358"/>
      <c r="M59" s="355"/>
      <c r="N59" s="344">
        <f>IF(A59="","",ROUND(SUMIFS('tp inwestycje do spr.'!F$7:F$250,'tp inwestycje do spr.'!$A$7:$A$250,$B59,'tp inwestycje do spr.'!$C$7:$C$250,$C59,'tp inwestycje do spr.'!$D$7:$D$250,$D59,'tp inwestycje do spr.'!$E$7:$E$250,$A59)-F59,2))</f>
        <v>0</v>
      </c>
      <c r="O59" s="344">
        <f>IF(B59="","",ROUND(SUMIFS('tp inwestycje do spr.'!G$7:G$250,'tp inwestycje do spr.'!$A$7:$A$250,$B59,'tp inwestycje do spr.'!$C$7:$C$250,$C59,'tp inwestycje do spr.'!$D$7:$D$250,$D59,'tp inwestycje do spr.'!$E$7:$E$250,$A59)-G59,2))</f>
        <v>0</v>
      </c>
      <c r="P59" s="344">
        <f>IF(C59="","",ROUND(SUMIFS('tp inwestycje do spr.'!H$7:H$250,'tp inwestycje do spr.'!$A$7:$A$250,$B59,'tp inwestycje do spr.'!$C$7:$C$250,$C59,'tp inwestycje do spr.'!$D$7:$D$250,$D59,'tp inwestycje do spr.'!$E$7:$E$250,$A59)-H59,2))</f>
        <v>0</v>
      </c>
      <c r="Q59" s="344">
        <f>IF(D59="","",ROUND(SUMIFS('tp inwestycje do spr.'!I$7:I$250,'tp inwestycje do spr.'!$A$7:$A$250,$B59,'tp inwestycje do spr.'!$C$7:$C$250,$C59,'tp inwestycje do spr.'!$D$7:$D$250,$D59,'tp inwestycje do spr.'!$E$7:$E$250,$A59)-I59,2))</f>
        <v>0</v>
      </c>
      <c r="R59" s="344">
        <f>IF(E59="","",ROUND(SUMIFS('tp inwestycje do spr.'!J$7:J$250,'tp inwestycje do spr.'!$A$7:$A$250,$B59,'tp inwestycje do spr.'!$C$7:$C$250,$C59,'tp inwestycje do spr.'!$D$7:$D$250,$D59,'tp inwestycje do spr.'!$E$7:$E$250,$A59)-J59,2))</f>
        <v>0</v>
      </c>
      <c r="S59" s="344">
        <f>IF(F59="","",ROUND(SUMIFS('tp inwestycje do spr.'!K$7:K$250,'tp inwestycje do spr.'!$A$7:$A$250,$B59,'tp inwestycje do spr.'!$C$7:$C$250,$C59,'tp inwestycje do spr.'!$D$7:$D$250,$D59,'tp inwestycje do spr.'!$E$7:$E$250,$A59)-K59,2))</f>
        <v>0</v>
      </c>
      <c r="T59" s="344">
        <f>IF(G59="","",ROUND(SUMIFS('tp inwestycje do spr.'!L$7:L$250,'tp inwestycje do spr.'!$A$7:$A$250,$B59,'tp inwestycje do spr.'!$C$7:$C$250,$C59,'tp inwestycje do spr.'!$D$7:$D$250,$D59,'tp inwestycje do spr.'!$E$7:$E$250,$A59)-L59,2))</f>
        <v>0</v>
      </c>
      <c r="U59" s="342" t="str">
        <f t="shared" si="4"/>
        <v>nie</v>
      </c>
    </row>
    <row r="60" spans="1:21" x14ac:dyDescent="0.25">
      <c r="A60" s="356" t="s">
        <v>103</v>
      </c>
      <c r="B60" s="356" t="s">
        <v>398</v>
      </c>
      <c r="C60" s="357" t="s">
        <v>299</v>
      </c>
      <c r="D60" s="357" t="s">
        <v>242</v>
      </c>
      <c r="E60" s="356" t="s">
        <v>442</v>
      </c>
      <c r="F60" s="358">
        <v>1606000</v>
      </c>
      <c r="G60" s="358">
        <v>0</v>
      </c>
      <c r="H60" s="358">
        <v>0</v>
      </c>
      <c r="I60" s="358">
        <v>1460000</v>
      </c>
      <c r="J60" s="358">
        <v>146000</v>
      </c>
      <c r="K60" s="358">
        <v>0</v>
      </c>
      <c r="L60" s="358"/>
      <c r="M60" s="355"/>
      <c r="N60" s="344">
        <f>IF(A60="","",ROUND(SUMIFS('tp inwestycje do spr.'!F$7:F$250,'tp inwestycje do spr.'!$A$7:$A$250,$B60,'tp inwestycje do spr.'!$C$7:$C$250,$C60,'tp inwestycje do spr.'!$D$7:$D$250,$D60,'tp inwestycje do spr.'!$E$7:$E$250,$A60)-F60,2))</f>
        <v>0</v>
      </c>
      <c r="O60" s="344">
        <f>IF(B60="","",ROUND(SUMIFS('tp inwestycje do spr.'!G$7:G$250,'tp inwestycje do spr.'!$A$7:$A$250,$B60,'tp inwestycje do spr.'!$C$7:$C$250,$C60,'tp inwestycje do spr.'!$D$7:$D$250,$D60,'tp inwestycje do spr.'!$E$7:$E$250,$A60)-G60,2))</f>
        <v>0</v>
      </c>
      <c r="P60" s="344">
        <f>IF(C60="","",ROUND(SUMIFS('tp inwestycje do spr.'!H$7:H$250,'tp inwestycje do spr.'!$A$7:$A$250,$B60,'tp inwestycje do spr.'!$C$7:$C$250,$C60,'tp inwestycje do spr.'!$D$7:$D$250,$D60,'tp inwestycje do spr.'!$E$7:$E$250,$A60)-H60,2))</f>
        <v>0</v>
      </c>
      <c r="Q60" s="344">
        <f>IF(D60="","",ROUND(SUMIFS('tp inwestycje do spr.'!I$7:I$250,'tp inwestycje do spr.'!$A$7:$A$250,$B60,'tp inwestycje do spr.'!$C$7:$C$250,$C60,'tp inwestycje do spr.'!$D$7:$D$250,$D60,'tp inwestycje do spr.'!$E$7:$E$250,$A60)-I60,2))</f>
        <v>0</v>
      </c>
      <c r="R60" s="344">
        <f>IF(E60="","",ROUND(SUMIFS('tp inwestycje do spr.'!J$7:J$250,'tp inwestycje do spr.'!$A$7:$A$250,$B60,'tp inwestycje do spr.'!$C$7:$C$250,$C60,'tp inwestycje do spr.'!$D$7:$D$250,$D60,'tp inwestycje do spr.'!$E$7:$E$250,$A60)-J60,2))</f>
        <v>0</v>
      </c>
      <c r="S60" s="344">
        <f>IF(F60="","",ROUND(SUMIFS('tp inwestycje do spr.'!K$7:K$250,'tp inwestycje do spr.'!$A$7:$A$250,$B60,'tp inwestycje do spr.'!$C$7:$C$250,$C60,'tp inwestycje do spr.'!$D$7:$D$250,$D60,'tp inwestycje do spr.'!$E$7:$E$250,$A60)-K60,2))</f>
        <v>0</v>
      </c>
      <c r="T60" s="344">
        <f>IF(G60="","",ROUND(SUMIFS('tp inwestycje do spr.'!L$7:L$250,'tp inwestycje do spr.'!$A$7:$A$250,$B60,'tp inwestycje do spr.'!$C$7:$C$250,$C60,'tp inwestycje do spr.'!$D$7:$D$250,$D60,'tp inwestycje do spr.'!$E$7:$E$250,$A60)-L60,2))</f>
        <v>0</v>
      </c>
      <c r="U60" s="342" t="str">
        <f t="shared" si="4"/>
        <v>nie</v>
      </c>
    </row>
    <row r="61" spans="1:21" x14ac:dyDescent="0.25">
      <c r="A61" s="356" t="s">
        <v>102</v>
      </c>
      <c r="B61" s="356" t="s">
        <v>129</v>
      </c>
      <c r="C61" s="357" t="s">
        <v>315</v>
      </c>
      <c r="D61" s="357" t="s">
        <v>242</v>
      </c>
      <c r="E61" s="356" t="s">
        <v>316</v>
      </c>
      <c r="F61" s="358">
        <v>9753881</v>
      </c>
      <c r="G61" s="358">
        <v>5926558</v>
      </c>
      <c r="H61" s="358">
        <v>194728</v>
      </c>
      <c r="I61" s="358">
        <v>2455188</v>
      </c>
      <c r="J61" s="358">
        <v>1177407</v>
      </c>
      <c r="K61" s="358">
        <v>0</v>
      </c>
      <c r="L61" s="358"/>
      <c r="M61" s="355"/>
      <c r="N61" s="344">
        <f>IF(A61="","",ROUND(SUMIFS('tp inwestycje do spr.'!F$7:F$250,'tp inwestycje do spr.'!$A$7:$A$250,$B61,'tp inwestycje do spr.'!$C$7:$C$250,$C61,'tp inwestycje do spr.'!$D$7:$D$250,$D61,'tp inwestycje do spr.'!$E$7:$E$250,$A61)-F61,2))</f>
        <v>0</v>
      </c>
      <c r="O61" s="344">
        <f>IF(B61="","",ROUND(SUMIFS('tp inwestycje do spr.'!G$7:G$250,'tp inwestycje do spr.'!$A$7:$A$250,$B61,'tp inwestycje do spr.'!$C$7:$C$250,$C61,'tp inwestycje do spr.'!$D$7:$D$250,$D61,'tp inwestycje do spr.'!$E$7:$E$250,$A61)-G61,2))</f>
        <v>0</v>
      </c>
      <c r="P61" s="344">
        <f>IF(C61="","",ROUND(SUMIFS('tp inwestycje do spr.'!H$7:H$250,'tp inwestycje do spr.'!$A$7:$A$250,$B61,'tp inwestycje do spr.'!$C$7:$C$250,$C61,'tp inwestycje do spr.'!$D$7:$D$250,$D61,'tp inwestycje do spr.'!$E$7:$E$250,$A61)-H61,2))</f>
        <v>0</v>
      </c>
      <c r="Q61" s="344">
        <f>IF(D61="","",ROUND(SUMIFS('tp inwestycje do spr.'!I$7:I$250,'tp inwestycje do spr.'!$A$7:$A$250,$B61,'tp inwestycje do spr.'!$C$7:$C$250,$C61,'tp inwestycje do spr.'!$D$7:$D$250,$D61,'tp inwestycje do spr.'!$E$7:$E$250,$A61)-I61,2))</f>
        <v>0</v>
      </c>
      <c r="R61" s="344">
        <f>IF(E61="","",ROUND(SUMIFS('tp inwestycje do spr.'!J$7:J$250,'tp inwestycje do spr.'!$A$7:$A$250,$B61,'tp inwestycje do spr.'!$C$7:$C$250,$C61,'tp inwestycje do spr.'!$D$7:$D$250,$D61,'tp inwestycje do spr.'!$E$7:$E$250,$A61)-J61,2))</f>
        <v>0</v>
      </c>
      <c r="S61" s="344">
        <f>IF(F61="","",ROUND(SUMIFS('tp inwestycje do spr.'!K$7:K$250,'tp inwestycje do spr.'!$A$7:$A$250,$B61,'tp inwestycje do spr.'!$C$7:$C$250,$C61,'tp inwestycje do spr.'!$D$7:$D$250,$D61,'tp inwestycje do spr.'!$E$7:$E$250,$A61)-K61,2))</f>
        <v>0</v>
      </c>
      <c r="T61" s="344">
        <f>IF(G61="","",ROUND(SUMIFS('tp inwestycje do spr.'!L$7:L$250,'tp inwestycje do spr.'!$A$7:$A$250,$B61,'tp inwestycje do spr.'!$C$7:$C$250,$C61,'tp inwestycje do spr.'!$D$7:$D$250,$D61,'tp inwestycje do spr.'!$E$7:$E$250,$A61)-L61,2))</f>
        <v>0</v>
      </c>
      <c r="U61" s="342" t="str">
        <f t="shared" si="4"/>
        <v>nie</v>
      </c>
    </row>
    <row r="62" spans="1:21" x14ac:dyDescent="0.25">
      <c r="A62" s="356" t="s">
        <v>103</v>
      </c>
      <c r="B62" s="356" t="s">
        <v>129</v>
      </c>
      <c r="C62" s="357" t="s">
        <v>315</v>
      </c>
      <c r="D62" s="357" t="s">
        <v>242</v>
      </c>
      <c r="E62" s="356" t="s">
        <v>317</v>
      </c>
      <c r="F62" s="358">
        <v>3591812</v>
      </c>
      <c r="G62" s="358">
        <v>0</v>
      </c>
      <c r="H62" s="358">
        <v>0</v>
      </c>
      <c r="I62" s="358">
        <v>2414405</v>
      </c>
      <c r="J62" s="358">
        <v>1177407</v>
      </c>
      <c r="K62" s="358">
        <v>0</v>
      </c>
      <c r="L62" s="358"/>
      <c r="M62" s="355"/>
      <c r="N62" s="344">
        <f>IF(A62="","",ROUND(SUMIFS('tp inwestycje do spr.'!F$7:F$250,'tp inwestycje do spr.'!$A$7:$A$250,$B62,'tp inwestycje do spr.'!$C$7:$C$250,$C62,'tp inwestycje do spr.'!$D$7:$D$250,$D62,'tp inwestycje do spr.'!$E$7:$E$250,$A62)-F62,2))</f>
        <v>0</v>
      </c>
      <c r="O62" s="344">
        <f>IF(B62="","",ROUND(SUMIFS('tp inwestycje do spr.'!G$7:G$250,'tp inwestycje do spr.'!$A$7:$A$250,$B62,'tp inwestycje do spr.'!$C$7:$C$250,$C62,'tp inwestycje do spr.'!$D$7:$D$250,$D62,'tp inwestycje do spr.'!$E$7:$E$250,$A62)-G62,2))</f>
        <v>0</v>
      </c>
      <c r="P62" s="344">
        <f>IF(C62="","",ROUND(SUMIFS('tp inwestycje do spr.'!H$7:H$250,'tp inwestycje do spr.'!$A$7:$A$250,$B62,'tp inwestycje do spr.'!$C$7:$C$250,$C62,'tp inwestycje do spr.'!$D$7:$D$250,$D62,'tp inwestycje do spr.'!$E$7:$E$250,$A62)-H62,2))</f>
        <v>0</v>
      </c>
      <c r="Q62" s="344">
        <f>IF(D62="","",ROUND(SUMIFS('tp inwestycje do spr.'!I$7:I$250,'tp inwestycje do spr.'!$A$7:$A$250,$B62,'tp inwestycje do spr.'!$C$7:$C$250,$C62,'tp inwestycje do spr.'!$D$7:$D$250,$D62,'tp inwestycje do spr.'!$E$7:$E$250,$A62)-I62,2))</f>
        <v>0</v>
      </c>
      <c r="R62" s="344">
        <f>IF(E62="","",ROUND(SUMIFS('tp inwestycje do spr.'!J$7:J$250,'tp inwestycje do spr.'!$A$7:$A$250,$B62,'tp inwestycje do spr.'!$C$7:$C$250,$C62,'tp inwestycje do spr.'!$D$7:$D$250,$D62,'tp inwestycje do spr.'!$E$7:$E$250,$A62)-J62,2))</f>
        <v>0</v>
      </c>
      <c r="S62" s="344">
        <f>IF(F62="","",ROUND(SUMIFS('tp inwestycje do spr.'!K$7:K$250,'tp inwestycje do spr.'!$A$7:$A$250,$B62,'tp inwestycje do spr.'!$C$7:$C$250,$C62,'tp inwestycje do spr.'!$D$7:$D$250,$D62,'tp inwestycje do spr.'!$E$7:$E$250,$A62)-K62,2))</f>
        <v>0</v>
      </c>
      <c r="T62" s="344">
        <f>IF(G62="","",ROUND(SUMIFS('tp inwestycje do spr.'!L$7:L$250,'tp inwestycje do spr.'!$A$7:$A$250,$B62,'tp inwestycje do spr.'!$C$7:$C$250,$C62,'tp inwestycje do spr.'!$D$7:$D$250,$D62,'tp inwestycje do spr.'!$E$7:$E$250,$A62)-L62,2))</f>
        <v>0</v>
      </c>
      <c r="U62" s="342" t="str">
        <f t="shared" si="4"/>
        <v>nie</v>
      </c>
    </row>
    <row r="63" spans="1:21" x14ac:dyDescent="0.25">
      <c r="A63" s="356" t="s">
        <v>104</v>
      </c>
      <c r="B63" s="356" t="s">
        <v>129</v>
      </c>
      <c r="C63" s="357" t="s">
        <v>315</v>
      </c>
      <c r="D63" s="357" t="s">
        <v>242</v>
      </c>
      <c r="E63" s="356" t="s">
        <v>318</v>
      </c>
      <c r="F63" s="358">
        <v>6162069</v>
      </c>
      <c r="G63" s="358">
        <v>5926558</v>
      </c>
      <c r="H63" s="358">
        <v>194728</v>
      </c>
      <c r="I63" s="358">
        <v>40783</v>
      </c>
      <c r="J63" s="358">
        <v>0</v>
      </c>
      <c r="K63" s="358">
        <v>0</v>
      </c>
      <c r="L63" s="358"/>
      <c r="M63" s="355"/>
      <c r="N63" s="344">
        <f>IF(A63="","",ROUND(SUMIFS('tp inwestycje do spr.'!F$7:F$250,'tp inwestycje do spr.'!$A$7:$A$250,$B63,'tp inwestycje do spr.'!$C$7:$C$250,$C63,'tp inwestycje do spr.'!$D$7:$D$250,$D63,'tp inwestycje do spr.'!$E$7:$E$250,$A63)-F63,2))</f>
        <v>0</v>
      </c>
      <c r="O63" s="344">
        <f>IF(B63="","",ROUND(SUMIFS('tp inwestycje do spr.'!G$7:G$250,'tp inwestycje do spr.'!$A$7:$A$250,$B63,'tp inwestycje do spr.'!$C$7:$C$250,$C63,'tp inwestycje do spr.'!$D$7:$D$250,$D63,'tp inwestycje do spr.'!$E$7:$E$250,$A63)-G63,2))</f>
        <v>0</v>
      </c>
      <c r="P63" s="344">
        <f>IF(C63="","",ROUND(SUMIFS('tp inwestycje do spr.'!H$7:H$250,'tp inwestycje do spr.'!$A$7:$A$250,$B63,'tp inwestycje do spr.'!$C$7:$C$250,$C63,'tp inwestycje do spr.'!$D$7:$D$250,$D63,'tp inwestycje do spr.'!$E$7:$E$250,$A63)-H63,2))</f>
        <v>0</v>
      </c>
      <c r="Q63" s="344">
        <f>IF(D63="","",ROUND(SUMIFS('tp inwestycje do spr.'!I$7:I$250,'tp inwestycje do spr.'!$A$7:$A$250,$B63,'tp inwestycje do spr.'!$C$7:$C$250,$C63,'tp inwestycje do spr.'!$D$7:$D$250,$D63,'tp inwestycje do spr.'!$E$7:$E$250,$A63)-I63,2))</f>
        <v>0</v>
      </c>
      <c r="R63" s="344">
        <f>IF(E63="","",ROUND(SUMIFS('tp inwestycje do spr.'!J$7:J$250,'tp inwestycje do spr.'!$A$7:$A$250,$B63,'tp inwestycje do spr.'!$C$7:$C$250,$C63,'tp inwestycje do spr.'!$D$7:$D$250,$D63,'tp inwestycje do spr.'!$E$7:$E$250,$A63)-J63,2))</f>
        <v>0</v>
      </c>
      <c r="S63" s="344">
        <f>IF(F63="","",ROUND(SUMIFS('tp inwestycje do spr.'!K$7:K$250,'tp inwestycje do spr.'!$A$7:$A$250,$B63,'tp inwestycje do spr.'!$C$7:$C$250,$C63,'tp inwestycje do spr.'!$D$7:$D$250,$D63,'tp inwestycje do spr.'!$E$7:$E$250,$A63)-K63,2))</f>
        <v>0</v>
      </c>
      <c r="T63" s="344">
        <f>IF(G63="","",ROUND(SUMIFS('tp inwestycje do spr.'!L$7:L$250,'tp inwestycje do spr.'!$A$7:$A$250,$B63,'tp inwestycje do spr.'!$C$7:$C$250,$C63,'tp inwestycje do spr.'!$D$7:$D$250,$D63,'tp inwestycje do spr.'!$E$7:$E$250,$A63)-L63,2))</f>
        <v>0</v>
      </c>
      <c r="U63" s="342" t="str">
        <f t="shared" si="4"/>
        <v>nie</v>
      </c>
    </row>
    <row r="64" spans="1:21" x14ac:dyDescent="0.25">
      <c r="A64" s="356" t="s">
        <v>102</v>
      </c>
      <c r="B64" s="356" t="s">
        <v>143</v>
      </c>
      <c r="C64" s="357" t="s">
        <v>320</v>
      </c>
      <c r="D64" s="357" t="s">
        <v>242</v>
      </c>
      <c r="E64" s="356" t="s">
        <v>321</v>
      </c>
      <c r="F64" s="358">
        <v>880000</v>
      </c>
      <c r="G64" s="358">
        <v>17428</v>
      </c>
      <c r="H64" s="358">
        <v>0</v>
      </c>
      <c r="I64" s="358">
        <v>0</v>
      </c>
      <c r="J64" s="358">
        <v>862572</v>
      </c>
      <c r="K64" s="358">
        <v>0</v>
      </c>
      <c r="L64" s="358"/>
      <c r="M64" s="355"/>
      <c r="N64" s="344">
        <f>IF(A64="","",ROUND(SUMIFS('tp inwestycje do spr.'!F$7:F$250,'tp inwestycje do spr.'!$A$7:$A$250,$B64,'tp inwestycje do spr.'!$C$7:$C$250,$C64,'tp inwestycje do spr.'!$D$7:$D$250,$D64,'tp inwestycje do spr.'!$E$7:$E$250,$A64)-F64,2))</f>
        <v>0</v>
      </c>
      <c r="O64" s="344">
        <f>IF(B64="","",ROUND(SUMIFS('tp inwestycje do spr.'!G$7:G$250,'tp inwestycje do spr.'!$A$7:$A$250,$B64,'tp inwestycje do spr.'!$C$7:$C$250,$C64,'tp inwestycje do spr.'!$D$7:$D$250,$D64,'tp inwestycje do spr.'!$E$7:$E$250,$A64)-G64,2))</f>
        <v>0</v>
      </c>
      <c r="P64" s="344">
        <f>IF(C64="","",ROUND(SUMIFS('tp inwestycje do spr.'!H$7:H$250,'tp inwestycje do spr.'!$A$7:$A$250,$B64,'tp inwestycje do spr.'!$C$7:$C$250,$C64,'tp inwestycje do spr.'!$D$7:$D$250,$D64,'tp inwestycje do spr.'!$E$7:$E$250,$A64)-H64,2))</f>
        <v>0</v>
      </c>
      <c r="Q64" s="344">
        <f>IF(D64="","",ROUND(SUMIFS('tp inwestycje do spr.'!I$7:I$250,'tp inwestycje do spr.'!$A$7:$A$250,$B64,'tp inwestycje do spr.'!$C$7:$C$250,$C64,'tp inwestycje do spr.'!$D$7:$D$250,$D64,'tp inwestycje do spr.'!$E$7:$E$250,$A64)-I64,2))</f>
        <v>0</v>
      </c>
      <c r="R64" s="344">
        <f>IF(E64="","",ROUND(SUMIFS('tp inwestycje do spr.'!J$7:J$250,'tp inwestycje do spr.'!$A$7:$A$250,$B64,'tp inwestycje do spr.'!$C$7:$C$250,$C64,'tp inwestycje do spr.'!$D$7:$D$250,$D64,'tp inwestycje do spr.'!$E$7:$E$250,$A64)-J64,2))</f>
        <v>0</v>
      </c>
      <c r="S64" s="344">
        <f>IF(F64="","",ROUND(SUMIFS('tp inwestycje do spr.'!K$7:K$250,'tp inwestycje do spr.'!$A$7:$A$250,$B64,'tp inwestycje do spr.'!$C$7:$C$250,$C64,'tp inwestycje do spr.'!$D$7:$D$250,$D64,'tp inwestycje do spr.'!$E$7:$E$250,$A64)-K64,2))</f>
        <v>0</v>
      </c>
      <c r="T64" s="344">
        <f>IF(G64="","",ROUND(SUMIFS('tp inwestycje do spr.'!L$7:L$250,'tp inwestycje do spr.'!$A$7:$A$250,$B64,'tp inwestycje do spr.'!$C$7:$C$250,$C64,'tp inwestycje do spr.'!$D$7:$D$250,$D64,'tp inwestycje do spr.'!$E$7:$E$250,$A64)-L64,2))</f>
        <v>0</v>
      </c>
      <c r="U64" s="342" t="str">
        <f t="shared" si="4"/>
        <v>nie</v>
      </c>
    </row>
    <row r="65" spans="1:21" x14ac:dyDescent="0.25">
      <c r="A65" s="356" t="s">
        <v>103</v>
      </c>
      <c r="B65" s="356" t="s">
        <v>143</v>
      </c>
      <c r="C65" s="357" t="s">
        <v>320</v>
      </c>
      <c r="D65" s="357" t="s">
        <v>242</v>
      </c>
      <c r="E65" s="356" t="s">
        <v>322</v>
      </c>
      <c r="F65" s="358">
        <v>862572</v>
      </c>
      <c r="G65" s="358">
        <v>0</v>
      </c>
      <c r="H65" s="358">
        <v>0</v>
      </c>
      <c r="I65" s="358">
        <v>0</v>
      </c>
      <c r="J65" s="358">
        <v>862572</v>
      </c>
      <c r="K65" s="358">
        <v>0</v>
      </c>
      <c r="L65" s="358"/>
      <c r="M65" s="355"/>
      <c r="N65" s="344">
        <f>IF(A65="","",ROUND(SUMIFS('tp inwestycje do spr.'!F$7:F$250,'tp inwestycje do spr.'!$A$7:$A$250,$B65,'tp inwestycje do spr.'!$C$7:$C$250,$C65,'tp inwestycje do spr.'!$D$7:$D$250,$D65,'tp inwestycje do spr.'!$E$7:$E$250,$A65)-F65,2))</f>
        <v>0</v>
      </c>
      <c r="O65" s="344">
        <f>IF(B65="","",ROUND(SUMIFS('tp inwestycje do spr.'!G$7:G$250,'tp inwestycje do spr.'!$A$7:$A$250,$B65,'tp inwestycje do spr.'!$C$7:$C$250,$C65,'tp inwestycje do spr.'!$D$7:$D$250,$D65,'tp inwestycje do spr.'!$E$7:$E$250,$A65)-G65,2))</f>
        <v>0</v>
      </c>
      <c r="P65" s="344">
        <f>IF(C65="","",ROUND(SUMIFS('tp inwestycje do spr.'!H$7:H$250,'tp inwestycje do spr.'!$A$7:$A$250,$B65,'tp inwestycje do spr.'!$C$7:$C$250,$C65,'tp inwestycje do spr.'!$D$7:$D$250,$D65,'tp inwestycje do spr.'!$E$7:$E$250,$A65)-H65,2))</f>
        <v>0</v>
      </c>
      <c r="Q65" s="344">
        <f>IF(D65="","",ROUND(SUMIFS('tp inwestycje do spr.'!I$7:I$250,'tp inwestycje do spr.'!$A$7:$A$250,$B65,'tp inwestycje do spr.'!$C$7:$C$250,$C65,'tp inwestycje do spr.'!$D$7:$D$250,$D65,'tp inwestycje do spr.'!$E$7:$E$250,$A65)-I65,2))</f>
        <v>0</v>
      </c>
      <c r="R65" s="344">
        <f>IF(E65="","",ROUND(SUMIFS('tp inwestycje do spr.'!J$7:J$250,'tp inwestycje do spr.'!$A$7:$A$250,$B65,'tp inwestycje do spr.'!$C$7:$C$250,$C65,'tp inwestycje do spr.'!$D$7:$D$250,$D65,'tp inwestycje do spr.'!$E$7:$E$250,$A65)-J65,2))</f>
        <v>0</v>
      </c>
      <c r="S65" s="344">
        <f>IF(F65="","",ROUND(SUMIFS('tp inwestycje do spr.'!K$7:K$250,'tp inwestycje do spr.'!$A$7:$A$250,$B65,'tp inwestycje do spr.'!$C$7:$C$250,$C65,'tp inwestycje do spr.'!$D$7:$D$250,$D65,'tp inwestycje do spr.'!$E$7:$E$250,$A65)-K65,2))</f>
        <v>0</v>
      </c>
      <c r="T65" s="344">
        <f>IF(G65="","",ROUND(SUMIFS('tp inwestycje do spr.'!L$7:L$250,'tp inwestycje do spr.'!$A$7:$A$250,$B65,'tp inwestycje do spr.'!$C$7:$C$250,$C65,'tp inwestycje do spr.'!$D$7:$D$250,$D65,'tp inwestycje do spr.'!$E$7:$E$250,$A65)-L65,2))</f>
        <v>0</v>
      </c>
      <c r="U65" s="342" t="str">
        <f t="shared" si="4"/>
        <v>nie</v>
      </c>
    </row>
    <row r="66" spans="1:21" x14ac:dyDescent="0.25">
      <c r="A66" s="356" t="s">
        <v>104</v>
      </c>
      <c r="B66" s="356" t="s">
        <v>143</v>
      </c>
      <c r="C66" s="357" t="s">
        <v>320</v>
      </c>
      <c r="D66" s="357" t="s">
        <v>242</v>
      </c>
      <c r="E66" s="356" t="s">
        <v>323</v>
      </c>
      <c r="F66" s="358">
        <v>17428</v>
      </c>
      <c r="G66" s="358">
        <v>17428</v>
      </c>
      <c r="H66" s="358">
        <v>0</v>
      </c>
      <c r="I66" s="358">
        <v>0</v>
      </c>
      <c r="J66" s="358">
        <v>0</v>
      </c>
      <c r="K66" s="358">
        <v>0</v>
      </c>
      <c r="L66" s="358"/>
      <c r="M66" s="355"/>
      <c r="N66" s="344">
        <f>IF(A66="","",ROUND(SUMIFS('tp inwestycje do spr.'!F$7:F$250,'tp inwestycje do spr.'!$A$7:$A$250,$B66,'tp inwestycje do spr.'!$C$7:$C$250,$C66,'tp inwestycje do spr.'!$D$7:$D$250,$D66,'tp inwestycje do spr.'!$E$7:$E$250,$A66)-F66,2))</f>
        <v>0</v>
      </c>
      <c r="O66" s="344">
        <f>IF(B66="","",ROUND(SUMIFS('tp inwestycje do spr.'!G$7:G$250,'tp inwestycje do spr.'!$A$7:$A$250,$B66,'tp inwestycje do spr.'!$C$7:$C$250,$C66,'tp inwestycje do spr.'!$D$7:$D$250,$D66,'tp inwestycje do spr.'!$E$7:$E$250,$A66)-G66,2))</f>
        <v>0</v>
      </c>
      <c r="P66" s="344">
        <f>IF(C66="","",ROUND(SUMIFS('tp inwestycje do spr.'!H$7:H$250,'tp inwestycje do spr.'!$A$7:$A$250,$B66,'tp inwestycje do spr.'!$C$7:$C$250,$C66,'tp inwestycje do spr.'!$D$7:$D$250,$D66,'tp inwestycje do spr.'!$E$7:$E$250,$A66)-H66,2))</f>
        <v>0</v>
      </c>
      <c r="Q66" s="344">
        <f>IF(D66="","",ROUND(SUMIFS('tp inwestycje do spr.'!I$7:I$250,'tp inwestycje do spr.'!$A$7:$A$250,$B66,'tp inwestycje do spr.'!$C$7:$C$250,$C66,'tp inwestycje do spr.'!$D$7:$D$250,$D66,'tp inwestycje do spr.'!$E$7:$E$250,$A66)-I66,2))</f>
        <v>0</v>
      </c>
      <c r="R66" s="344">
        <f>IF(E66="","",ROUND(SUMIFS('tp inwestycje do spr.'!J$7:J$250,'tp inwestycje do spr.'!$A$7:$A$250,$B66,'tp inwestycje do spr.'!$C$7:$C$250,$C66,'tp inwestycje do spr.'!$D$7:$D$250,$D66,'tp inwestycje do spr.'!$E$7:$E$250,$A66)-J66,2))</f>
        <v>0</v>
      </c>
      <c r="S66" s="344">
        <f>IF(F66="","",ROUND(SUMIFS('tp inwestycje do spr.'!K$7:K$250,'tp inwestycje do spr.'!$A$7:$A$250,$B66,'tp inwestycje do spr.'!$C$7:$C$250,$C66,'tp inwestycje do spr.'!$D$7:$D$250,$D66,'tp inwestycje do spr.'!$E$7:$E$250,$A66)-K66,2))</f>
        <v>0</v>
      </c>
      <c r="T66" s="344">
        <f>IF(G66="","",ROUND(SUMIFS('tp inwestycje do spr.'!L$7:L$250,'tp inwestycje do spr.'!$A$7:$A$250,$B66,'tp inwestycje do spr.'!$C$7:$C$250,$C66,'tp inwestycje do spr.'!$D$7:$D$250,$D66,'tp inwestycje do spr.'!$E$7:$E$250,$A66)-L66,2))</f>
        <v>0</v>
      </c>
      <c r="U66" s="342" t="str">
        <f t="shared" si="4"/>
        <v>nie</v>
      </c>
    </row>
    <row r="67" spans="1:21" x14ac:dyDescent="0.25">
      <c r="A67" s="356" t="s">
        <v>102</v>
      </c>
      <c r="B67" s="356" t="s">
        <v>146</v>
      </c>
      <c r="C67" s="357" t="s">
        <v>319</v>
      </c>
      <c r="D67" s="357" t="s">
        <v>242</v>
      </c>
      <c r="E67" s="356" t="s">
        <v>324</v>
      </c>
      <c r="F67" s="358">
        <v>594300</v>
      </c>
      <c r="G67" s="358">
        <v>402100</v>
      </c>
      <c r="H67" s="358">
        <v>159378</v>
      </c>
      <c r="I67" s="358">
        <v>32822</v>
      </c>
      <c r="J67" s="358">
        <v>0</v>
      </c>
      <c r="K67" s="358">
        <v>0</v>
      </c>
      <c r="L67" s="358"/>
      <c r="M67" s="355"/>
      <c r="N67" s="344">
        <f>IF(A67="","",ROUND(SUMIFS('tp inwestycje do spr.'!F$7:F$250,'tp inwestycje do spr.'!$A$7:$A$250,$B67,'tp inwestycje do spr.'!$C$7:$C$250,$C67,'tp inwestycje do spr.'!$D$7:$D$250,$D67,'tp inwestycje do spr.'!$E$7:$E$250,$A67)-F67,2))</f>
        <v>0</v>
      </c>
      <c r="O67" s="344">
        <f>IF(B67="","",ROUND(SUMIFS('tp inwestycje do spr.'!G$7:G$250,'tp inwestycje do spr.'!$A$7:$A$250,$B67,'tp inwestycje do spr.'!$C$7:$C$250,$C67,'tp inwestycje do spr.'!$D$7:$D$250,$D67,'tp inwestycje do spr.'!$E$7:$E$250,$A67)-G67,2))</f>
        <v>0</v>
      </c>
      <c r="P67" s="344">
        <f>IF(C67="","",ROUND(SUMIFS('tp inwestycje do spr.'!H$7:H$250,'tp inwestycje do spr.'!$A$7:$A$250,$B67,'tp inwestycje do spr.'!$C$7:$C$250,$C67,'tp inwestycje do spr.'!$D$7:$D$250,$D67,'tp inwestycje do spr.'!$E$7:$E$250,$A67)-H67,2))</f>
        <v>0</v>
      </c>
      <c r="Q67" s="344">
        <f>IF(D67="","",ROUND(SUMIFS('tp inwestycje do spr.'!I$7:I$250,'tp inwestycje do spr.'!$A$7:$A$250,$B67,'tp inwestycje do spr.'!$C$7:$C$250,$C67,'tp inwestycje do spr.'!$D$7:$D$250,$D67,'tp inwestycje do spr.'!$E$7:$E$250,$A67)-I67,2))</f>
        <v>0</v>
      </c>
      <c r="R67" s="344">
        <f>IF(E67="","",ROUND(SUMIFS('tp inwestycje do spr.'!J$7:J$250,'tp inwestycje do spr.'!$A$7:$A$250,$B67,'tp inwestycje do spr.'!$C$7:$C$250,$C67,'tp inwestycje do spr.'!$D$7:$D$250,$D67,'tp inwestycje do spr.'!$E$7:$E$250,$A67)-J67,2))</f>
        <v>0</v>
      </c>
      <c r="S67" s="344">
        <f>IF(F67="","",ROUND(SUMIFS('tp inwestycje do spr.'!K$7:K$250,'tp inwestycje do spr.'!$A$7:$A$250,$B67,'tp inwestycje do spr.'!$C$7:$C$250,$C67,'tp inwestycje do spr.'!$D$7:$D$250,$D67,'tp inwestycje do spr.'!$E$7:$E$250,$A67)-K67,2))</f>
        <v>0</v>
      </c>
      <c r="T67" s="344">
        <f>IF(G67="","",ROUND(SUMIFS('tp inwestycje do spr.'!L$7:L$250,'tp inwestycje do spr.'!$A$7:$A$250,$B67,'tp inwestycje do spr.'!$C$7:$C$250,$C67,'tp inwestycje do spr.'!$D$7:$D$250,$D67,'tp inwestycje do spr.'!$E$7:$E$250,$A67)-L67,2))</f>
        <v>0</v>
      </c>
      <c r="U67" s="342" t="str">
        <f t="shared" si="4"/>
        <v>nie</v>
      </c>
    </row>
    <row r="68" spans="1:21" x14ac:dyDescent="0.25">
      <c r="A68" s="356" t="s">
        <v>103</v>
      </c>
      <c r="B68" s="356" t="s">
        <v>146</v>
      </c>
      <c r="C68" s="357" t="s">
        <v>319</v>
      </c>
      <c r="D68" s="357" t="s">
        <v>242</v>
      </c>
      <c r="E68" s="356" t="s">
        <v>325</v>
      </c>
      <c r="F68" s="358">
        <v>32822</v>
      </c>
      <c r="G68" s="358">
        <v>0</v>
      </c>
      <c r="H68" s="358">
        <v>0</v>
      </c>
      <c r="I68" s="358">
        <v>32822</v>
      </c>
      <c r="J68" s="358">
        <v>0</v>
      </c>
      <c r="K68" s="358">
        <v>0</v>
      </c>
      <c r="L68" s="358"/>
      <c r="M68" s="355"/>
      <c r="N68" s="344">
        <f>IF(A68="","",ROUND(SUMIFS('tp inwestycje do spr.'!F$7:F$250,'tp inwestycje do spr.'!$A$7:$A$250,$B68,'tp inwestycje do spr.'!$C$7:$C$250,$C68,'tp inwestycje do spr.'!$D$7:$D$250,$D68,'tp inwestycje do spr.'!$E$7:$E$250,$A68)-F68,2))</f>
        <v>0</v>
      </c>
      <c r="O68" s="344">
        <f>IF(B68="","",ROUND(SUMIFS('tp inwestycje do spr.'!G$7:G$250,'tp inwestycje do spr.'!$A$7:$A$250,$B68,'tp inwestycje do spr.'!$C$7:$C$250,$C68,'tp inwestycje do spr.'!$D$7:$D$250,$D68,'tp inwestycje do spr.'!$E$7:$E$250,$A68)-G68,2))</f>
        <v>0</v>
      </c>
      <c r="P68" s="344">
        <f>IF(C68="","",ROUND(SUMIFS('tp inwestycje do spr.'!H$7:H$250,'tp inwestycje do spr.'!$A$7:$A$250,$B68,'tp inwestycje do spr.'!$C$7:$C$250,$C68,'tp inwestycje do spr.'!$D$7:$D$250,$D68,'tp inwestycje do spr.'!$E$7:$E$250,$A68)-H68,2))</f>
        <v>0</v>
      </c>
      <c r="Q68" s="344">
        <f>IF(D68="","",ROUND(SUMIFS('tp inwestycje do spr.'!I$7:I$250,'tp inwestycje do spr.'!$A$7:$A$250,$B68,'tp inwestycje do spr.'!$C$7:$C$250,$C68,'tp inwestycje do spr.'!$D$7:$D$250,$D68,'tp inwestycje do spr.'!$E$7:$E$250,$A68)-I68,2))</f>
        <v>0</v>
      </c>
      <c r="R68" s="344">
        <f>IF(E68="","",ROUND(SUMIFS('tp inwestycje do spr.'!J$7:J$250,'tp inwestycje do spr.'!$A$7:$A$250,$B68,'tp inwestycje do spr.'!$C$7:$C$250,$C68,'tp inwestycje do spr.'!$D$7:$D$250,$D68,'tp inwestycje do spr.'!$E$7:$E$250,$A68)-J68,2))</f>
        <v>0</v>
      </c>
      <c r="S68" s="344">
        <f>IF(F68="","",ROUND(SUMIFS('tp inwestycje do spr.'!K$7:K$250,'tp inwestycje do spr.'!$A$7:$A$250,$B68,'tp inwestycje do spr.'!$C$7:$C$250,$C68,'tp inwestycje do spr.'!$D$7:$D$250,$D68,'tp inwestycje do spr.'!$E$7:$E$250,$A68)-K68,2))</f>
        <v>0</v>
      </c>
      <c r="T68" s="344">
        <f>IF(G68="","",ROUND(SUMIFS('tp inwestycje do spr.'!L$7:L$250,'tp inwestycje do spr.'!$A$7:$A$250,$B68,'tp inwestycje do spr.'!$C$7:$C$250,$C68,'tp inwestycje do spr.'!$D$7:$D$250,$D68,'tp inwestycje do spr.'!$E$7:$E$250,$A68)-L68,2))</f>
        <v>0</v>
      </c>
      <c r="U68" s="342" t="str">
        <f t="shared" si="4"/>
        <v>nie</v>
      </c>
    </row>
    <row r="69" spans="1:21" x14ac:dyDescent="0.25">
      <c r="A69" s="356" t="s">
        <v>104</v>
      </c>
      <c r="B69" s="356" t="s">
        <v>146</v>
      </c>
      <c r="C69" s="357" t="s">
        <v>319</v>
      </c>
      <c r="D69" s="357" t="s">
        <v>242</v>
      </c>
      <c r="E69" s="356" t="s">
        <v>326</v>
      </c>
      <c r="F69" s="358">
        <v>561478</v>
      </c>
      <c r="G69" s="358">
        <v>402100</v>
      </c>
      <c r="H69" s="358">
        <v>159378</v>
      </c>
      <c r="I69" s="358">
        <v>0</v>
      </c>
      <c r="J69" s="358">
        <v>0</v>
      </c>
      <c r="K69" s="358">
        <v>0</v>
      </c>
      <c r="L69" s="358"/>
      <c r="M69" s="355"/>
      <c r="N69" s="344">
        <f>IF(A69="","",ROUND(SUMIFS('tp inwestycje do spr.'!F$7:F$250,'tp inwestycje do spr.'!$A$7:$A$250,$B69,'tp inwestycje do spr.'!$C$7:$C$250,$C69,'tp inwestycje do spr.'!$D$7:$D$250,$D69,'tp inwestycje do spr.'!$E$7:$E$250,$A69)-F69,2))</f>
        <v>0</v>
      </c>
      <c r="O69" s="344">
        <f>IF(B69="","",ROUND(SUMIFS('tp inwestycje do spr.'!G$7:G$250,'tp inwestycje do spr.'!$A$7:$A$250,$B69,'tp inwestycje do spr.'!$C$7:$C$250,$C69,'tp inwestycje do spr.'!$D$7:$D$250,$D69,'tp inwestycje do spr.'!$E$7:$E$250,$A69)-G69,2))</f>
        <v>0</v>
      </c>
      <c r="P69" s="344">
        <f>IF(C69="","",ROUND(SUMIFS('tp inwestycje do spr.'!H$7:H$250,'tp inwestycje do spr.'!$A$7:$A$250,$B69,'tp inwestycje do spr.'!$C$7:$C$250,$C69,'tp inwestycje do spr.'!$D$7:$D$250,$D69,'tp inwestycje do spr.'!$E$7:$E$250,$A69)-H69,2))</f>
        <v>0</v>
      </c>
      <c r="Q69" s="344">
        <f>IF(D69="","",ROUND(SUMIFS('tp inwestycje do spr.'!I$7:I$250,'tp inwestycje do spr.'!$A$7:$A$250,$B69,'tp inwestycje do spr.'!$C$7:$C$250,$C69,'tp inwestycje do spr.'!$D$7:$D$250,$D69,'tp inwestycje do spr.'!$E$7:$E$250,$A69)-I69,2))</f>
        <v>0</v>
      </c>
      <c r="R69" s="344">
        <f>IF(E69="","",ROUND(SUMIFS('tp inwestycje do spr.'!J$7:J$250,'tp inwestycje do spr.'!$A$7:$A$250,$B69,'tp inwestycje do spr.'!$C$7:$C$250,$C69,'tp inwestycje do spr.'!$D$7:$D$250,$D69,'tp inwestycje do spr.'!$E$7:$E$250,$A69)-J69,2))</f>
        <v>0</v>
      </c>
      <c r="S69" s="344">
        <f>IF(F69="","",ROUND(SUMIFS('tp inwestycje do spr.'!K$7:K$250,'tp inwestycje do spr.'!$A$7:$A$250,$B69,'tp inwestycje do spr.'!$C$7:$C$250,$C69,'tp inwestycje do spr.'!$D$7:$D$250,$D69,'tp inwestycje do spr.'!$E$7:$E$250,$A69)-K69,2))</f>
        <v>0</v>
      </c>
      <c r="T69" s="344">
        <f>IF(G69="","",ROUND(SUMIFS('tp inwestycje do spr.'!L$7:L$250,'tp inwestycje do spr.'!$A$7:$A$250,$B69,'tp inwestycje do spr.'!$C$7:$C$250,$C69,'tp inwestycje do spr.'!$D$7:$D$250,$D69,'tp inwestycje do spr.'!$E$7:$E$250,$A69)-L69,2))</f>
        <v>0</v>
      </c>
      <c r="U69" s="342" t="str">
        <f t="shared" si="4"/>
        <v>nie</v>
      </c>
    </row>
    <row r="70" spans="1:21" x14ac:dyDescent="0.25">
      <c r="A70" s="356" t="s">
        <v>102</v>
      </c>
      <c r="B70" s="356" t="s">
        <v>148</v>
      </c>
      <c r="C70" s="357" t="s">
        <v>315</v>
      </c>
      <c r="D70" s="357" t="s">
        <v>242</v>
      </c>
      <c r="E70" s="356" t="s">
        <v>327</v>
      </c>
      <c r="F70" s="358">
        <v>1100000</v>
      </c>
      <c r="G70" s="358">
        <v>0</v>
      </c>
      <c r="H70" s="358">
        <v>15626</v>
      </c>
      <c r="I70" s="358">
        <v>1007424</v>
      </c>
      <c r="J70" s="358">
        <v>76950</v>
      </c>
      <c r="K70" s="358">
        <v>0</v>
      </c>
      <c r="L70" s="358"/>
      <c r="M70" s="355"/>
      <c r="N70" s="344">
        <f>IF(A70="","",ROUND(SUMIFS('tp inwestycje do spr.'!F$7:F$250,'tp inwestycje do spr.'!$A$7:$A$250,$B70,'tp inwestycje do spr.'!$C$7:$C$250,$C70,'tp inwestycje do spr.'!$D$7:$D$250,$D70,'tp inwestycje do spr.'!$E$7:$E$250,$A70)-F70,2))</f>
        <v>0</v>
      </c>
      <c r="O70" s="344">
        <f>IF(B70="","",ROUND(SUMIFS('tp inwestycje do spr.'!G$7:G$250,'tp inwestycje do spr.'!$A$7:$A$250,$B70,'tp inwestycje do spr.'!$C$7:$C$250,$C70,'tp inwestycje do spr.'!$D$7:$D$250,$D70,'tp inwestycje do spr.'!$E$7:$E$250,$A70)-G70,2))</f>
        <v>0</v>
      </c>
      <c r="P70" s="344">
        <f>IF(C70="","",ROUND(SUMIFS('tp inwestycje do spr.'!H$7:H$250,'tp inwestycje do spr.'!$A$7:$A$250,$B70,'tp inwestycje do spr.'!$C$7:$C$250,$C70,'tp inwestycje do spr.'!$D$7:$D$250,$D70,'tp inwestycje do spr.'!$E$7:$E$250,$A70)-H70,2))</f>
        <v>0</v>
      </c>
      <c r="Q70" s="344">
        <f>IF(D70="","",ROUND(SUMIFS('tp inwestycje do spr.'!I$7:I$250,'tp inwestycje do spr.'!$A$7:$A$250,$B70,'tp inwestycje do spr.'!$C$7:$C$250,$C70,'tp inwestycje do spr.'!$D$7:$D$250,$D70,'tp inwestycje do spr.'!$E$7:$E$250,$A70)-I70,2))</f>
        <v>0</v>
      </c>
      <c r="R70" s="344">
        <f>IF(E70="","",ROUND(SUMIFS('tp inwestycje do spr.'!J$7:J$250,'tp inwestycje do spr.'!$A$7:$A$250,$B70,'tp inwestycje do spr.'!$C$7:$C$250,$C70,'tp inwestycje do spr.'!$D$7:$D$250,$D70,'tp inwestycje do spr.'!$E$7:$E$250,$A70)-J70,2))</f>
        <v>0</v>
      </c>
      <c r="S70" s="344">
        <f>IF(F70="","",ROUND(SUMIFS('tp inwestycje do spr.'!K$7:K$250,'tp inwestycje do spr.'!$A$7:$A$250,$B70,'tp inwestycje do spr.'!$C$7:$C$250,$C70,'tp inwestycje do spr.'!$D$7:$D$250,$D70,'tp inwestycje do spr.'!$E$7:$E$250,$A70)-K70,2))</f>
        <v>0</v>
      </c>
      <c r="T70" s="344">
        <f>IF(G70="","",ROUND(SUMIFS('tp inwestycje do spr.'!L$7:L$250,'tp inwestycje do spr.'!$A$7:$A$250,$B70,'tp inwestycje do spr.'!$C$7:$C$250,$C70,'tp inwestycje do spr.'!$D$7:$D$250,$D70,'tp inwestycje do spr.'!$E$7:$E$250,$A70)-L70,2))</f>
        <v>0</v>
      </c>
      <c r="U70" s="342" t="str">
        <f t="shared" si="4"/>
        <v>nie</v>
      </c>
    </row>
    <row r="71" spans="1:21" x14ac:dyDescent="0.25">
      <c r="A71" s="356" t="s">
        <v>103</v>
      </c>
      <c r="B71" s="356" t="s">
        <v>148</v>
      </c>
      <c r="C71" s="357" t="s">
        <v>315</v>
      </c>
      <c r="D71" s="357" t="s">
        <v>242</v>
      </c>
      <c r="E71" s="356" t="s">
        <v>328</v>
      </c>
      <c r="F71" s="358">
        <v>1084374</v>
      </c>
      <c r="G71" s="358">
        <v>0</v>
      </c>
      <c r="H71" s="358">
        <v>0</v>
      </c>
      <c r="I71" s="358">
        <v>1007424</v>
      </c>
      <c r="J71" s="358">
        <v>76950</v>
      </c>
      <c r="K71" s="358">
        <v>0</v>
      </c>
      <c r="L71" s="358"/>
      <c r="M71" s="355"/>
      <c r="N71" s="344">
        <f>IF(A71="","",ROUND(SUMIFS('tp inwestycje do spr.'!F$7:F$250,'tp inwestycje do spr.'!$A$7:$A$250,$B71,'tp inwestycje do spr.'!$C$7:$C$250,$C71,'tp inwestycje do spr.'!$D$7:$D$250,$D71,'tp inwestycje do spr.'!$E$7:$E$250,$A71)-F71,2))</f>
        <v>0</v>
      </c>
      <c r="O71" s="344">
        <f>IF(B71="","",ROUND(SUMIFS('tp inwestycje do spr.'!G$7:G$250,'tp inwestycje do spr.'!$A$7:$A$250,$B71,'tp inwestycje do spr.'!$C$7:$C$250,$C71,'tp inwestycje do spr.'!$D$7:$D$250,$D71,'tp inwestycje do spr.'!$E$7:$E$250,$A71)-G71,2))</f>
        <v>0</v>
      </c>
      <c r="P71" s="344">
        <f>IF(C71="","",ROUND(SUMIFS('tp inwestycje do spr.'!H$7:H$250,'tp inwestycje do spr.'!$A$7:$A$250,$B71,'tp inwestycje do spr.'!$C$7:$C$250,$C71,'tp inwestycje do spr.'!$D$7:$D$250,$D71,'tp inwestycje do spr.'!$E$7:$E$250,$A71)-H71,2))</f>
        <v>0</v>
      </c>
      <c r="Q71" s="344">
        <f>IF(D71="","",ROUND(SUMIFS('tp inwestycje do spr.'!I$7:I$250,'tp inwestycje do spr.'!$A$7:$A$250,$B71,'tp inwestycje do spr.'!$C$7:$C$250,$C71,'tp inwestycje do spr.'!$D$7:$D$250,$D71,'tp inwestycje do spr.'!$E$7:$E$250,$A71)-I71,2))</f>
        <v>0</v>
      </c>
      <c r="R71" s="344">
        <f>IF(E71="","",ROUND(SUMIFS('tp inwestycje do spr.'!J$7:J$250,'tp inwestycje do spr.'!$A$7:$A$250,$B71,'tp inwestycje do spr.'!$C$7:$C$250,$C71,'tp inwestycje do spr.'!$D$7:$D$250,$D71,'tp inwestycje do spr.'!$E$7:$E$250,$A71)-J71,2))</f>
        <v>0</v>
      </c>
      <c r="S71" s="344">
        <f>IF(F71="","",ROUND(SUMIFS('tp inwestycje do spr.'!K$7:K$250,'tp inwestycje do spr.'!$A$7:$A$250,$B71,'tp inwestycje do spr.'!$C$7:$C$250,$C71,'tp inwestycje do spr.'!$D$7:$D$250,$D71,'tp inwestycje do spr.'!$E$7:$E$250,$A71)-K71,2))</f>
        <v>0</v>
      </c>
      <c r="T71" s="344">
        <f>IF(G71="","",ROUND(SUMIFS('tp inwestycje do spr.'!L$7:L$250,'tp inwestycje do spr.'!$A$7:$A$250,$B71,'tp inwestycje do spr.'!$C$7:$C$250,$C71,'tp inwestycje do spr.'!$D$7:$D$250,$D71,'tp inwestycje do spr.'!$E$7:$E$250,$A71)-L71,2))</f>
        <v>0</v>
      </c>
      <c r="U71" s="342" t="str">
        <f t="shared" ref="U71:U134" si="5">IF(COUNTIF(N71:T71,"&gt;0")+COUNTIF(N71:T71,"&lt;0")&gt;0,"tak","nie")</f>
        <v>nie</v>
      </c>
    </row>
    <row r="72" spans="1:21" x14ac:dyDescent="0.25">
      <c r="A72" s="356" t="s">
        <v>104</v>
      </c>
      <c r="B72" s="356" t="s">
        <v>148</v>
      </c>
      <c r="C72" s="357" t="s">
        <v>315</v>
      </c>
      <c r="D72" s="357" t="s">
        <v>242</v>
      </c>
      <c r="E72" s="356" t="s">
        <v>329</v>
      </c>
      <c r="F72" s="358">
        <v>15626</v>
      </c>
      <c r="G72" s="358">
        <v>0</v>
      </c>
      <c r="H72" s="358">
        <v>15626</v>
      </c>
      <c r="I72" s="358">
        <v>0</v>
      </c>
      <c r="J72" s="358">
        <v>0</v>
      </c>
      <c r="K72" s="358">
        <v>0</v>
      </c>
      <c r="L72" s="358"/>
      <c r="M72" s="355"/>
      <c r="N72" s="344">
        <f>IF(A72="","",ROUND(SUMIFS('tp inwestycje do spr.'!F$7:F$250,'tp inwestycje do spr.'!$A$7:$A$250,$B72,'tp inwestycje do spr.'!$C$7:$C$250,$C72,'tp inwestycje do spr.'!$D$7:$D$250,$D72,'tp inwestycje do spr.'!$E$7:$E$250,$A72)-F72,2))</f>
        <v>0</v>
      </c>
      <c r="O72" s="344">
        <f>IF(B72="","",ROUND(SUMIFS('tp inwestycje do spr.'!G$7:G$250,'tp inwestycje do spr.'!$A$7:$A$250,$B72,'tp inwestycje do spr.'!$C$7:$C$250,$C72,'tp inwestycje do spr.'!$D$7:$D$250,$D72,'tp inwestycje do spr.'!$E$7:$E$250,$A72)-G72,2))</f>
        <v>0</v>
      </c>
      <c r="P72" s="344">
        <f>IF(C72="","",ROUND(SUMIFS('tp inwestycje do spr.'!H$7:H$250,'tp inwestycje do spr.'!$A$7:$A$250,$B72,'tp inwestycje do spr.'!$C$7:$C$250,$C72,'tp inwestycje do spr.'!$D$7:$D$250,$D72,'tp inwestycje do spr.'!$E$7:$E$250,$A72)-H72,2))</f>
        <v>0</v>
      </c>
      <c r="Q72" s="344">
        <f>IF(D72="","",ROUND(SUMIFS('tp inwestycje do spr.'!I$7:I$250,'tp inwestycje do spr.'!$A$7:$A$250,$B72,'tp inwestycje do spr.'!$C$7:$C$250,$C72,'tp inwestycje do spr.'!$D$7:$D$250,$D72,'tp inwestycje do spr.'!$E$7:$E$250,$A72)-I72,2))</f>
        <v>0</v>
      </c>
      <c r="R72" s="344">
        <f>IF(E72="","",ROUND(SUMIFS('tp inwestycje do spr.'!J$7:J$250,'tp inwestycje do spr.'!$A$7:$A$250,$B72,'tp inwestycje do spr.'!$C$7:$C$250,$C72,'tp inwestycje do spr.'!$D$7:$D$250,$D72,'tp inwestycje do spr.'!$E$7:$E$250,$A72)-J72,2))</f>
        <v>0</v>
      </c>
      <c r="S72" s="344">
        <f>IF(F72="","",ROUND(SUMIFS('tp inwestycje do spr.'!K$7:K$250,'tp inwestycje do spr.'!$A$7:$A$250,$B72,'tp inwestycje do spr.'!$C$7:$C$250,$C72,'tp inwestycje do spr.'!$D$7:$D$250,$D72,'tp inwestycje do spr.'!$E$7:$E$250,$A72)-K72,2))</f>
        <v>0</v>
      </c>
      <c r="T72" s="344">
        <f>IF(G72="","",ROUND(SUMIFS('tp inwestycje do spr.'!L$7:L$250,'tp inwestycje do spr.'!$A$7:$A$250,$B72,'tp inwestycje do spr.'!$C$7:$C$250,$C72,'tp inwestycje do spr.'!$D$7:$D$250,$D72,'tp inwestycje do spr.'!$E$7:$E$250,$A72)-L72,2))</f>
        <v>0</v>
      </c>
      <c r="U72" s="342" t="str">
        <f t="shared" si="5"/>
        <v>nie</v>
      </c>
    </row>
    <row r="73" spans="1:21" x14ac:dyDescent="0.25">
      <c r="A73" s="356" t="s">
        <v>102</v>
      </c>
      <c r="B73" s="356" t="s">
        <v>151</v>
      </c>
      <c r="C73" s="357" t="s">
        <v>319</v>
      </c>
      <c r="D73" s="357" t="s">
        <v>242</v>
      </c>
      <c r="E73" s="356" t="s">
        <v>443</v>
      </c>
      <c r="F73" s="358">
        <v>529999</v>
      </c>
      <c r="G73" s="358">
        <v>43050</v>
      </c>
      <c r="H73" s="358">
        <v>381809</v>
      </c>
      <c r="I73" s="358">
        <v>105140</v>
      </c>
      <c r="J73" s="358">
        <v>0</v>
      </c>
      <c r="K73" s="358">
        <v>0</v>
      </c>
      <c r="L73" s="358"/>
      <c r="M73" s="355"/>
      <c r="N73" s="344">
        <f>IF(A73="","",ROUND(SUMIFS('tp inwestycje do spr.'!F$7:F$250,'tp inwestycje do spr.'!$A$7:$A$250,$B73,'tp inwestycje do spr.'!$C$7:$C$250,$C73,'tp inwestycje do spr.'!$D$7:$D$250,$D73,'tp inwestycje do spr.'!$E$7:$E$250,$A73)-F73,2))</f>
        <v>0</v>
      </c>
      <c r="O73" s="344">
        <f>IF(B73="","",ROUND(SUMIFS('tp inwestycje do spr.'!G$7:G$250,'tp inwestycje do spr.'!$A$7:$A$250,$B73,'tp inwestycje do spr.'!$C$7:$C$250,$C73,'tp inwestycje do spr.'!$D$7:$D$250,$D73,'tp inwestycje do spr.'!$E$7:$E$250,$A73)-G73,2))</f>
        <v>0</v>
      </c>
      <c r="P73" s="344">
        <f>IF(C73="","",ROUND(SUMIFS('tp inwestycje do spr.'!H$7:H$250,'tp inwestycje do spr.'!$A$7:$A$250,$B73,'tp inwestycje do spr.'!$C$7:$C$250,$C73,'tp inwestycje do spr.'!$D$7:$D$250,$D73,'tp inwestycje do spr.'!$E$7:$E$250,$A73)-H73,2))</f>
        <v>0</v>
      </c>
      <c r="Q73" s="344">
        <f>IF(D73="","",ROUND(SUMIFS('tp inwestycje do spr.'!I$7:I$250,'tp inwestycje do spr.'!$A$7:$A$250,$B73,'tp inwestycje do spr.'!$C$7:$C$250,$C73,'tp inwestycje do spr.'!$D$7:$D$250,$D73,'tp inwestycje do spr.'!$E$7:$E$250,$A73)-I73,2))</f>
        <v>0</v>
      </c>
      <c r="R73" s="344">
        <f>IF(E73="","",ROUND(SUMIFS('tp inwestycje do spr.'!J$7:J$250,'tp inwestycje do spr.'!$A$7:$A$250,$B73,'tp inwestycje do spr.'!$C$7:$C$250,$C73,'tp inwestycje do spr.'!$D$7:$D$250,$D73,'tp inwestycje do spr.'!$E$7:$E$250,$A73)-J73,2))</f>
        <v>0</v>
      </c>
      <c r="S73" s="344">
        <f>IF(F73="","",ROUND(SUMIFS('tp inwestycje do spr.'!K$7:K$250,'tp inwestycje do spr.'!$A$7:$A$250,$B73,'tp inwestycje do spr.'!$C$7:$C$250,$C73,'tp inwestycje do spr.'!$D$7:$D$250,$D73,'tp inwestycje do spr.'!$E$7:$E$250,$A73)-K73,2))</f>
        <v>0</v>
      </c>
      <c r="T73" s="344">
        <f>IF(G73="","",ROUND(SUMIFS('tp inwestycje do spr.'!L$7:L$250,'tp inwestycje do spr.'!$A$7:$A$250,$B73,'tp inwestycje do spr.'!$C$7:$C$250,$C73,'tp inwestycje do spr.'!$D$7:$D$250,$D73,'tp inwestycje do spr.'!$E$7:$E$250,$A73)-L73,2))</f>
        <v>0</v>
      </c>
      <c r="U73" s="342" t="str">
        <f t="shared" si="5"/>
        <v>nie</v>
      </c>
    </row>
    <row r="74" spans="1:21" x14ac:dyDescent="0.25">
      <c r="A74" s="356" t="s">
        <v>103</v>
      </c>
      <c r="B74" s="356" t="s">
        <v>151</v>
      </c>
      <c r="C74" s="357" t="s">
        <v>319</v>
      </c>
      <c r="D74" s="357" t="s">
        <v>242</v>
      </c>
      <c r="E74" s="356" t="s">
        <v>444</v>
      </c>
      <c r="F74" s="358">
        <v>105140</v>
      </c>
      <c r="G74" s="358">
        <v>0</v>
      </c>
      <c r="H74" s="358">
        <v>0</v>
      </c>
      <c r="I74" s="358">
        <v>105140</v>
      </c>
      <c r="J74" s="358">
        <v>0</v>
      </c>
      <c r="K74" s="358">
        <v>0</v>
      </c>
      <c r="L74" s="358"/>
      <c r="M74" s="355"/>
      <c r="N74" s="344">
        <f>IF(A74="","",ROUND(SUMIFS('tp inwestycje do spr.'!F$7:F$250,'tp inwestycje do spr.'!$A$7:$A$250,$B74,'tp inwestycje do spr.'!$C$7:$C$250,$C74,'tp inwestycje do spr.'!$D$7:$D$250,$D74,'tp inwestycje do spr.'!$E$7:$E$250,$A74)-F74,2))</f>
        <v>0</v>
      </c>
      <c r="O74" s="344">
        <f>IF(B74="","",ROUND(SUMIFS('tp inwestycje do spr.'!G$7:G$250,'tp inwestycje do spr.'!$A$7:$A$250,$B74,'tp inwestycje do spr.'!$C$7:$C$250,$C74,'tp inwestycje do spr.'!$D$7:$D$250,$D74,'tp inwestycje do spr.'!$E$7:$E$250,$A74)-G74,2))</f>
        <v>0</v>
      </c>
      <c r="P74" s="344">
        <f>IF(C74="","",ROUND(SUMIFS('tp inwestycje do spr.'!H$7:H$250,'tp inwestycje do spr.'!$A$7:$A$250,$B74,'tp inwestycje do spr.'!$C$7:$C$250,$C74,'tp inwestycje do spr.'!$D$7:$D$250,$D74,'tp inwestycje do spr.'!$E$7:$E$250,$A74)-H74,2))</f>
        <v>0</v>
      </c>
      <c r="Q74" s="344">
        <f>IF(D74="","",ROUND(SUMIFS('tp inwestycje do spr.'!I$7:I$250,'tp inwestycje do spr.'!$A$7:$A$250,$B74,'tp inwestycje do spr.'!$C$7:$C$250,$C74,'tp inwestycje do spr.'!$D$7:$D$250,$D74,'tp inwestycje do spr.'!$E$7:$E$250,$A74)-I74,2))</f>
        <v>0</v>
      </c>
      <c r="R74" s="344">
        <f>IF(E74="","",ROUND(SUMIFS('tp inwestycje do spr.'!J$7:J$250,'tp inwestycje do spr.'!$A$7:$A$250,$B74,'tp inwestycje do spr.'!$C$7:$C$250,$C74,'tp inwestycje do spr.'!$D$7:$D$250,$D74,'tp inwestycje do spr.'!$E$7:$E$250,$A74)-J74,2))</f>
        <v>0</v>
      </c>
      <c r="S74" s="344">
        <f>IF(F74="","",ROUND(SUMIFS('tp inwestycje do spr.'!K$7:K$250,'tp inwestycje do spr.'!$A$7:$A$250,$B74,'tp inwestycje do spr.'!$C$7:$C$250,$C74,'tp inwestycje do spr.'!$D$7:$D$250,$D74,'tp inwestycje do spr.'!$E$7:$E$250,$A74)-K74,2))</f>
        <v>0</v>
      </c>
      <c r="T74" s="344">
        <f>IF(G74="","",ROUND(SUMIFS('tp inwestycje do spr.'!L$7:L$250,'tp inwestycje do spr.'!$A$7:$A$250,$B74,'tp inwestycje do spr.'!$C$7:$C$250,$C74,'tp inwestycje do spr.'!$D$7:$D$250,$D74,'tp inwestycje do spr.'!$E$7:$E$250,$A74)-L74,2))</f>
        <v>0</v>
      </c>
      <c r="U74" s="342" t="str">
        <f t="shared" si="5"/>
        <v>nie</v>
      </c>
    </row>
    <row r="75" spans="1:21" x14ac:dyDescent="0.25">
      <c r="A75" s="356" t="s">
        <v>104</v>
      </c>
      <c r="B75" s="356" t="s">
        <v>151</v>
      </c>
      <c r="C75" s="357" t="s">
        <v>319</v>
      </c>
      <c r="D75" s="357" t="s">
        <v>242</v>
      </c>
      <c r="E75" s="356" t="s">
        <v>445</v>
      </c>
      <c r="F75" s="358">
        <v>424859</v>
      </c>
      <c r="G75" s="358">
        <v>43050</v>
      </c>
      <c r="H75" s="358">
        <v>381809</v>
      </c>
      <c r="I75" s="358">
        <v>0</v>
      </c>
      <c r="J75" s="358">
        <v>0</v>
      </c>
      <c r="K75" s="358">
        <v>0</v>
      </c>
      <c r="L75" s="358"/>
      <c r="M75" s="355"/>
      <c r="N75" s="344">
        <f>IF(A75="","",ROUND(SUMIFS('tp inwestycje do spr.'!F$7:F$250,'tp inwestycje do spr.'!$A$7:$A$250,$B75,'tp inwestycje do spr.'!$C$7:$C$250,$C75,'tp inwestycje do spr.'!$D$7:$D$250,$D75,'tp inwestycje do spr.'!$E$7:$E$250,$A75)-F75,2))</f>
        <v>0</v>
      </c>
      <c r="O75" s="344">
        <f>IF(B75="","",ROUND(SUMIFS('tp inwestycje do spr.'!G$7:G$250,'tp inwestycje do spr.'!$A$7:$A$250,$B75,'tp inwestycje do spr.'!$C$7:$C$250,$C75,'tp inwestycje do spr.'!$D$7:$D$250,$D75,'tp inwestycje do spr.'!$E$7:$E$250,$A75)-G75,2))</f>
        <v>0</v>
      </c>
      <c r="P75" s="344">
        <f>IF(C75="","",ROUND(SUMIFS('tp inwestycje do spr.'!H$7:H$250,'tp inwestycje do spr.'!$A$7:$A$250,$B75,'tp inwestycje do spr.'!$C$7:$C$250,$C75,'tp inwestycje do spr.'!$D$7:$D$250,$D75,'tp inwestycje do spr.'!$E$7:$E$250,$A75)-H75,2))</f>
        <v>0</v>
      </c>
      <c r="Q75" s="344">
        <f>IF(D75="","",ROUND(SUMIFS('tp inwestycje do spr.'!I$7:I$250,'tp inwestycje do spr.'!$A$7:$A$250,$B75,'tp inwestycje do spr.'!$C$7:$C$250,$C75,'tp inwestycje do spr.'!$D$7:$D$250,$D75,'tp inwestycje do spr.'!$E$7:$E$250,$A75)-I75,2))</f>
        <v>0</v>
      </c>
      <c r="R75" s="344">
        <f>IF(E75="","",ROUND(SUMIFS('tp inwestycje do spr.'!J$7:J$250,'tp inwestycje do spr.'!$A$7:$A$250,$B75,'tp inwestycje do spr.'!$C$7:$C$250,$C75,'tp inwestycje do spr.'!$D$7:$D$250,$D75,'tp inwestycje do spr.'!$E$7:$E$250,$A75)-J75,2))</f>
        <v>0</v>
      </c>
      <c r="S75" s="344">
        <f>IF(F75="","",ROUND(SUMIFS('tp inwestycje do spr.'!K$7:K$250,'tp inwestycje do spr.'!$A$7:$A$250,$B75,'tp inwestycje do spr.'!$C$7:$C$250,$C75,'tp inwestycje do spr.'!$D$7:$D$250,$D75,'tp inwestycje do spr.'!$E$7:$E$250,$A75)-K75,2))</f>
        <v>0</v>
      </c>
      <c r="T75" s="344">
        <f>IF(G75="","",ROUND(SUMIFS('tp inwestycje do spr.'!L$7:L$250,'tp inwestycje do spr.'!$A$7:$A$250,$B75,'tp inwestycje do spr.'!$C$7:$C$250,$C75,'tp inwestycje do spr.'!$D$7:$D$250,$D75,'tp inwestycje do spr.'!$E$7:$E$250,$A75)-L75,2))</f>
        <v>0</v>
      </c>
      <c r="U75" s="342" t="str">
        <f t="shared" si="5"/>
        <v>nie</v>
      </c>
    </row>
    <row r="76" spans="1:21" x14ac:dyDescent="0.25">
      <c r="A76" s="356" t="s">
        <v>102</v>
      </c>
      <c r="B76" s="356" t="s">
        <v>154</v>
      </c>
      <c r="C76" s="357" t="s">
        <v>319</v>
      </c>
      <c r="D76" s="357" t="s">
        <v>242</v>
      </c>
      <c r="E76" s="356" t="s">
        <v>330</v>
      </c>
      <c r="F76" s="358">
        <v>259335</v>
      </c>
      <c r="G76" s="358">
        <v>0</v>
      </c>
      <c r="H76" s="358">
        <v>7800</v>
      </c>
      <c r="I76" s="358">
        <v>251535</v>
      </c>
      <c r="J76" s="358">
        <v>0</v>
      </c>
      <c r="K76" s="358">
        <v>0</v>
      </c>
      <c r="L76" s="358"/>
      <c r="M76" s="355"/>
      <c r="N76" s="344">
        <f>IF(A76="","",ROUND(SUMIFS('tp inwestycje do spr.'!F$7:F$250,'tp inwestycje do spr.'!$A$7:$A$250,$B76,'tp inwestycje do spr.'!$C$7:$C$250,$C76,'tp inwestycje do spr.'!$D$7:$D$250,$D76,'tp inwestycje do spr.'!$E$7:$E$250,$A76)-F76,2))</f>
        <v>0</v>
      </c>
      <c r="O76" s="344">
        <f>IF(B76="","",ROUND(SUMIFS('tp inwestycje do spr.'!G$7:G$250,'tp inwestycje do spr.'!$A$7:$A$250,$B76,'tp inwestycje do spr.'!$C$7:$C$250,$C76,'tp inwestycje do spr.'!$D$7:$D$250,$D76,'tp inwestycje do spr.'!$E$7:$E$250,$A76)-G76,2))</f>
        <v>0</v>
      </c>
      <c r="P76" s="344">
        <f>IF(C76="","",ROUND(SUMIFS('tp inwestycje do spr.'!H$7:H$250,'tp inwestycje do spr.'!$A$7:$A$250,$B76,'tp inwestycje do spr.'!$C$7:$C$250,$C76,'tp inwestycje do spr.'!$D$7:$D$250,$D76,'tp inwestycje do spr.'!$E$7:$E$250,$A76)-H76,2))</f>
        <v>0</v>
      </c>
      <c r="Q76" s="344">
        <f>IF(D76="","",ROUND(SUMIFS('tp inwestycje do spr.'!I$7:I$250,'tp inwestycje do spr.'!$A$7:$A$250,$B76,'tp inwestycje do spr.'!$C$7:$C$250,$C76,'tp inwestycje do spr.'!$D$7:$D$250,$D76,'tp inwestycje do spr.'!$E$7:$E$250,$A76)-I76,2))</f>
        <v>0</v>
      </c>
      <c r="R76" s="344">
        <f>IF(E76="","",ROUND(SUMIFS('tp inwestycje do spr.'!J$7:J$250,'tp inwestycje do spr.'!$A$7:$A$250,$B76,'tp inwestycje do spr.'!$C$7:$C$250,$C76,'tp inwestycje do spr.'!$D$7:$D$250,$D76,'tp inwestycje do spr.'!$E$7:$E$250,$A76)-J76,2))</f>
        <v>0</v>
      </c>
      <c r="S76" s="344">
        <f>IF(F76="","",ROUND(SUMIFS('tp inwestycje do spr.'!K$7:K$250,'tp inwestycje do spr.'!$A$7:$A$250,$B76,'tp inwestycje do spr.'!$C$7:$C$250,$C76,'tp inwestycje do spr.'!$D$7:$D$250,$D76,'tp inwestycje do spr.'!$E$7:$E$250,$A76)-K76,2))</f>
        <v>0</v>
      </c>
      <c r="T76" s="344">
        <f>IF(G76="","",ROUND(SUMIFS('tp inwestycje do spr.'!L$7:L$250,'tp inwestycje do spr.'!$A$7:$A$250,$B76,'tp inwestycje do spr.'!$C$7:$C$250,$C76,'tp inwestycje do spr.'!$D$7:$D$250,$D76,'tp inwestycje do spr.'!$E$7:$E$250,$A76)-L76,2))</f>
        <v>0</v>
      </c>
      <c r="U76" s="342" t="str">
        <f t="shared" si="5"/>
        <v>nie</v>
      </c>
    </row>
    <row r="77" spans="1:21" x14ac:dyDescent="0.25">
      <c r="A77" s="356" t="s">
        <v>103</v>
      </c>
      <c r="B77" s="356" t="s">
        <v>154</v>
      </c>
      <c r="C77" s="357" t="s">
        <v>319</v>
      </c>
      <c r="D77" s="357" t="s">
        <v>242</v>
      </c>
      <c r="E77" s="356" t="s">
        <v>331</v>
      </c>
      <c r="F77" s="358">
        <v>251535</v>
      </c>
      <c r="G77" s="358">
        <v>0</v>
      </c>
      <c r="H77" s="358">
        <v>0</v>
      </c>
      <c r="I77" s="358">
        <v>251535</v>
      </c>
      <c r="J77" s="358">
        <v>0</v>
      </c>
      <c r="K77" s="358">
        <v>0</v>
      </c>
      <c r="L77" s="358"/>
      <c r="M77" s="355"/>
      <c r="N77" s="344">
        <f>IF(A77="","",ROUND(SUMIFS('tp inwestycje do spr.'!F$7:F$250,'tp inwestycje do spr.'!$A$7:$A$250,$B77,'tp inwestycje do spr.'!$C$7:$C$250,$C77,'tp inwestycje do spr.'!$D$7:$D$250,$D77,'tp inwestycje do spr.'!$E$7:$E$250,$A77)-F77,2))</f>
        <v>0</v>
      </c>
      <c r="O77" s="344">
        <f>IF(B77="","",ROUND(SUMIFS('tp inwestycje do spr.'!G$7:G$250,'tp inwestycje do spr.'!$A$7:$A$250,$B77,'tp inwestycje do spr.'!$C$7:$C$250,$C77,'tp inwestycje do spr.'!$D$7:$D$250,$D77,'tp inwestycje do spr.'!$E$7:$E$250,$A77)-G77,2))</f>
        <v>0</v>
      </c>
      <c r="P77" s="344">
        <f>IF(C77="","",ROUND(SUMIFS('tp inwestycje do spr.'!H$7:H$250,'tp inwestycje do spr.'!$A$7:$A$250,$B77,'tp inwestycje do spr.'!$C$7:$C$250,$C77,'tp inwestycje do spr.'!$D$7:$D$250,$D77,'tp inwestycje do spr.'!$E$7:$E$250,$A77)-H77,2))</f>
        <v>0</v>
      </c>
      <c r="Q77" s="344">
        <f>IF(D77="","",ROUND(SUMIFS('tp inwestycje do spr.'!I$7:I$250,'tp inwestycje do spr.'!$A$7:$A$250,$B77,'tp inwestycje do spr.'!$C$7:$C$250,$C77,'tp inwestycje do spr.'!$D$7:$D$250,$D77,'tp inwestycje do spr.'!$E$7:$E$250,$A77)-I77,2))</f>
        <v>0</v>
      </c>
      <c r="R77" s="344">
        <f>IF(E77="","",ROUND(SUMIFS('tp inwestycje do spr.'!J$7:J$250,'tp inwestycje do spr.'!$A$7:$A$250,$B77,'tp inwestycje do spr.'!$C$7:$C$250,$C77,'tp inwestycje do spr.'!$D$7:$D$250,$D77,'tp inwestycje do spr.'!$E$7:$E$250,$A77)-J77,2))</f>
        <v>0</v>
      </c>
      <c r="S77" s="344">
        <f>IF(F77="","",ROUND(SUMIFS('tp inwestycje do spr.'!K$7:K$250,'tp inwestycje do spr.'!$A$7:$A$250,$B77,'tp inwestycje do spr.'!$C$7:$C$250,$C77,'tp inwestycje do spr.'!$D$7:$D$250,$D77,'tp inwestycje do spr.'!$E$7:$E$250,$A77)-K77,2))</f>
        <v>0</v>
      </c>
      <c r="T77" s="344">
        <f>IF(G77="","",ROUND(SUMIFS('tp inwestycje do spr.'!L$7:L$250,'tp inwestycje do spr.'!$A$7:$A$250,$B77,'tp inwestycje do spr.'!$C$7:$C$250,$C77,'tp inwestycje do spr.'!$D$7:$D$250,$D77,'tp inwestycje do spr.'!$E$7:$E$250,$A77)-L77,2))</f>
        <v>0</v>
      </c>
      <c r="U77" s="342" t="str">
        <f t="shared" si="5"/>
        <v>nie</v>
      </c>
    </row>
    <row r="78" spans="1:21" x14ac:dyDescent="0.25">
      <c r="A78" s="356" t="s">
        <v>104</v>
      </c>
      <c r="B78" s="356" t="s">
        <v>154</v>
      </c>
      <c r="C78" s="357" t="s">
        <v>319</v>
      </c>
      <c r="D78" s="357" t="s">
        <v>242</v>
      </c>
      <c r="E78" s="356" t="s">
        <v>332</v>
      </c>
      <c r="F78" s="358">
        <v>7800</v>
      </c>
      <c r="G78" s="358">
        <v>0</v>
      </c>
      <c r="H78" s="358">
        <v>7800</v>
      </c>
      <c r="I78" s="358">
        <v>0</v>
      </c>
      <c r="J78" s="358">
        <v>0</v>
      </c>
      <c r="K78" s="358">
        <v>0</v>
      </c>
      <c r="L78" s="358"/>
      <c r="M78" s="355"/>
      <c r="N78" s="344">
        <f>IF(A78="","",ROUND(SUMIFS('tp inwestycje do spr.'!F$7:F$250,'tp inwestycje do spr.'!$A$7:$A$250,$B78,'tp inwestycje do spr.'!$C$7:$C$250,$C78,'tp inwestycje do spr.'!$D$7:$D$250,$D78,'tp inwestycje do spr.'!$E$7:$E$250,$A78)-F78,2))</f>
        <v>0</v>
      </c>
      <c r="O78" s="344">
        <f>IF(B78="","",ROUND(SUMIFS('tp inwestycje do spr.'!G$7:G$250,'tp inwestycje do spr.'!$A$7:$A$250,$B78,'tp inwestycje do spr.'!$C$7:$C$250,$C78,'tp inwestycje do spr.'!$D$7:$D$250,$D78,'tp inwestycje do spr.'!$E$7:$E$250,$A78)-G78,2))</f>
        <v>0</v>
      </c>
      <c r="P78" s="344">
        <f>IF(C78="","",ROUND(SUMIFS('tp inwestycje do spr.'!H$7:H$250,'tp inwestycje do spr.'!$A$7:$A$250,$B78,'tp inwestycje do spr.'!$C$7:$C$250,$C78,'tp inwestycje do spr.'!$D$7:$D$250,$D78,'tp inwestycje do spr.'!$E$7:$E$250,$A78)-H78,2))</f>
        <v>0</v>
      </c>
      <c r="Q78" s="344">
        <f>IF(D78="","",ROUND(SUMIFS('tp inwestycje do spr.'!I$7:I$250,'tp inwestycje do spr.'!$A$7:$A$250,$B78,'tp inwestycje do spr.'!$C$7:$C$250,$C78,'tp inwestycje do spr.'!$D$7:$D$250,$D78,'tp inwestycje do spr.'!$E$7:$E$250,$A78)-I78,2))</f>
        <v>0</v>
      </c>
      <c r="R78" s="344">
        <f>IF(E78="","",ROUND(SUMIFS('tp inwestycje do spr.'!J$7:J$250,'tp inwestycje do spr.'!$A$7:$A$250,$B78,'tp inwestycje do spr.'!$C$7:$C$250,$C78,'tp inwestycje do spr.'!$D$7:$D$250,$D78,'tp inwestycje do spr.'!$E$7:$E$250,$A78)-J78,2))</f>
        <v>0</v>
      </c>
      <c r="S78" s="344">
        <f>IF(F78="","",ROUND(SUMIFS('tp inwestycje do spr.'!K$7:K$250,'tp inwestycje do spr.'!$A$7:$A$250,$B78,'tp inwestycje do spr.'!$C$7:$C$250,$C78,'tp inwestycje do spr.'!$D$7:$D$250,$D78,'tp inwestycje do spr.'!$E$7:$E$250,$A78)-K78,2))</f>
        <v>0</v>
      </c>
      <c r="T78" s="344">
        <f>IF(G78="","",ROUND(SUMIFS('tp inwestycje do spr.'!L$7:L$250,'tp inwestycje do spr.'!$A$7:$A$250,$B78,'tp inwestycje do spr.'!$C$7:$C$250,$C78,'tp inwestycje do spr.'!$D$7:$D$250,$D78,'tp inwestycje do spr.'!$E$7:$E$250,$A78)-L78,2))</f>
        <v>0</v>
      </c>
      <c r="U78" s="342" t="str">
        <f t="shared" si="5"/>
        <v>nie</v>
      </c>
    </row>
    <row r="79" spans="1:21" x14ac:dyDescent="0.25">
      <c r="A79" s="356" t="s">
        <v>102</v>
      </c>
      <c r="B79" s="356" t="s">
        <v>155</v>
      </c>
      <c r="C79" s="357" t="s">
        <v>333</v>
      </c>
      <c r="D79" s="357" t="s">
        <v>242</v>
      </c>
      <c r="E79" s="356" t="s">
        <v>334</v>
      </c>
      <c r="F79" s="358">
        <v>3470001</v>
      </c>
      <c r="G79" s="358">
        <v>158747</v>
      </c>
      <c r="H79" s="358">
        <v>0</v>
      </c>
      <c r="I79" s="358">
        <v>911254</v>
      </c>
      <c r="J79" s="358">
        <v>2400000</v>
      </c>
      <c r="K79" s="358">
        <v>0</v>
      </c>
      <c r="L79" s="358"/>
      <c r="M79" s="355"/>
      <c r="N79" s="344">
        <f>IF(A79="","",ROUND(SUMIFS('tp inwestycje do spr.'!F$7:F$250,'tp inwestycje do spr.'!$A$7:$A$250,$B79,'tp inwestycje do spr.'!$C$7:$C$250,$C79,'tp inwestycje do spr.'!$D$7:$D$250,$D79,'tp inwestycje do spr.'!$E$7:$E$250,$A79)-F79,2))</f>
        <v>0</v>
      </c>
      <c r="O79" s="344">
        <f>IF(B79="","",ROUND(SUMIFS('tp inwestycje do spr.'!G$7:G$250,'tp inwestycje do spr.'!$A$7:$A$250,$B79,'tp inwestycje do spr.'!$C$7:$C$250,$C79,'tp inwestycje do spr.'!$D$7:$D$250,$D79,'tp inwestycje do spr.'!$E$7:$E$250,$A79)-G79,2))</f>
        <v>0</v>
      </c>
      <c r="P79" s="344">
        <f>IF(C79="","",ROUND(SUMIFS('tp inwestycje do spr.'!H$7:H$250,'tp inwestycje do spr.'!$A$7:$A$250,$B79,'tp inwestycje do spr.'!$C$7:$C$250,$C79,'tp inwestycje do spr.'!$D$7:$D$250,$D79,'tp inwestycje do spr.'!$E$7:$E$250,$A79)-H79,2))</f>
        <v>0</v>
      </c>
      <c r="Q79" s="344">
        <f>IF(D79="","",ROUND(SUMIFS('tp inwestycje do spr.'!I$7:I$250,'tp inwestycje do spr.'!$A$7:$A$250,$B79,'tp inwestycje do spr.'!$C$7:$C$250,$C79,'tp inwestycje do spr.'!$D$7:$D$250,$D79,'tp inwestycje do spr.'!$E$7:$E$250,$A79)-I79,2))</f>
        <v>0</v>
      </c>
      <c r="R79" s="344">
        <f>IF(E79="","",ROUND(SUMIFS('tp inwestycje do spr.'!J$7:J$250,'tp inwestycje do spr.'!$A$7:$A$250,$B79,'tp inwestycje do spr.'!$C$7:$C$250,$C79,'tp inwestycje do spr.'!$D$7:$D$250,$D79,'tp inwestycje do spr.'!$E$7:$E$250,$A79)-J79,2))</f>
        <v>0</v>
      </c>
      <c r="S79" s="344">
        <f>IF(F79="","",ROUND(SUMIFS('tp inwestycje do spr.'!K$7:K$250,'tp inwestycje do spr.'!$A$7:$A$250,$B79,'tp inwestycje do spr.'!$C$7:$C$250,$C79,'tp inwestycje do spr.'!$D$7:$D$250,$D79,'tp inwestycje do spr.'!$E$7:$E$250,$A79)-K79,2))</f>
        <v>0</v>
      </c>
      <c r="T79" s="344">
        <f>IF(G79="","",ROUND(SUMIFS('tp inwestycje do spr.'!L$7:L$250,'tp inwestycje do spr.'!$A$7:$A$250,$B79,'tp inwestycje do spr.'!$C$7:$C$250,$C79,'tp inwestycje do spr.'!$D$7:$D$250,$D79,'tp inwestycje do spr.'!$E$7:$E$250,$A79)-L79,2))</f>
        <v>0</v>
      </c>
      <c r="U79" s="342" t="str">
        <f t="shared" si="5"/>
        <v>nie</v>
      </c>
    </row>
    <row r="80" spans="1:21" x14ac:dyDescent="0.25">
      <c r="A80" s="356" t="s">
        <v>103</v>
      </c>
      <c r="B80" s="356" t="s">
        <v>155</v>
      </c>
      <c r="C80" s="357" t="s">
        <v>333</v>
      </c>
      <c r="D80" s="357" t="s">
        <v>242</v>
      </c>
      <c r="E80" s="356" t="s">
        <v>335</v>
      </c>
      <c r="F80" s="358">
        <v>3307487</v>
      </c>
      <c r="G80" s="358">
        <v>0</v>
      </c>
      <c r="H80" s="358">
        <v>0</v>
      </c>
      <c r="I80" s="358">
        <v>907487</v>
      </c>
      <c r="J80" s="358">
        <v>2400000</v>
      </c>
      <c r="K80" s="358">
        <v>0</v>
      </c>
      <c r="L80" s="358"/>
      <c r="M80" s="355"/>
      <c r="N80" s="344">
        <f>IF(A80="","",ROUND(SUMIFS('tp inwestycje do spr.'!F$7:F$250,'tp inwestycje do spr.'!$A$7:$A$250,$B80,'tp inwestycje do spr.'!$C$7:$C$250,$C80,'tp inwestycje do spr.'!$D$7:$D$250,$D80,'tp inwestycje do spr.'!$E$7:$E$250,$A80)-F80,2))</f>
        <v>0</v>
      </c>
      <c r="O80" s="344">
        <f>IF(B80="","",ROUND(SUMIFS('tp inwestycje do spr.'!G$7:G$250,'tp inwestycje do spr.'!$A$7:$A$250,$B80,'tp inwestycje do spr.'!$C$7:$C$250,$C80,'tp inwestycje do spr.'!$D$7:$D$250,$D80,'tp inwestycje do spr.'!$E$7:$E$250,$A80)-G80,2))</f>
        <v>0</v>
      </c>
      <c r="P80" s="344">
        <f>IF(C80="","",ROUND(SUMIFS('tp inwestycje do spr.'!H$7:H$250,'tp inwestycje do spr.'!$A$7:$A$250,$B80,'tp inwestycje do spr.'!$C$7:$C$250,$C80,'tp inwestycje do spr.'!$D$7:$D$250,$D80,'tp inwestycje do spr.'!$E$7:$E$250,$A80)-H80,2))</f>
        <v>0</v>
      </c>
      <c r="Q80" s="344">
        <f>IF(D80="","",ROUND(SUMIFS('tp inwestycje do spr.'!I$7:I$250,'tp inwestycje do spr.'!$A$7:$A$250,$B80,'tp inwestycje do spr.'!$C$7:$C$250,$C80,'tp inwestycje do spr.'!$D$7:$D$250,$D80,'tp inwestycje do spr.'!$E$7:$E$250,$A80)-I80,2))</f>
        <v>0</v>
      </c>
      <c r="R80" s="344">
        <f>IF(E80="","",ROUND(SUMIFS('tp inwestycje do spr.'!J$7:J$250,'tp inwestycje do spr.'!$A$7:$A$250,$B80,'tp inwestycje do spr.'!$C$7:$C$250,$C80,'tp inwestycje do spr.'!$D$7:$D$250,$D80,'tp inwestycje do spr.'!$E$7:$E$250,$A80)-J80,2))</f>
        <v>0</v>
      </c>
      <c r="S80" s="344">
        <f>IF(F80="","",ROUND(SUMIFS('tp inwestycje do spr.'!K$7:K$250,'tp inwestycje do spr.'!$A$7:$A$250,$B80,'tp inwestycje do spr.'!$C$7:$C$250,$C80,'tp inwestycje do spr.'!$D$7:$D$250,$D80,'tp inwestycje do spr.'!$E$7:$E$250,$A80)-K80,2))</f>
        <v>0</v>
      </c>
      <c r="T80" s="344">
        <f>IF(G80="","",ROUND(SUMIFS('tp inwestycje do spr.'!L$7:L$250,'tp inwestycje do spr.'!$A$7:$A$250,$B80,'tp inwestycje do spr.'!$C$7:$C$250,$C80,'tp inwestycje do spr.'!$D$7:$D$250,$D80,'tp inwestycje do spr.'!$E$7:$E$250,$A80)-L80,2))</f>
        <v>0</v>
      </c>
      <c r="U80" s="342" t="str">
        <f t="shared" si="5"/>
        <v>nie</v>
      </c>
    </row>
    <row r="81" spans="1:21" x14ac:dyDescent="0.25">
      <c r="A81" s="356" t="s">
        <v>104</v>
      </c>
      <c r="B81" s="356" t="s">
        <v>155</v>
      </c>
      <c r="C81" s="357" t="s">
        <v>333</v>
      </c>
      <c r="D81" s="357" t="s">
        <v>242</v>
      </c>
      <c r="E81" s="356" t="s">
        <v>336</v>
      </c>
      <c r="F81" s="358">
        <v>162514</v>
      </c>
      <c r="G81" s="358">
        <v>158747</v>
      </c>
      <c r="H81" s="358">
        <v>0</v>
      </c>
      <c r="I81" s="358">
        <v>3767</v>
      </c>
      <c r="J81" s="358">
        <v>0</v>
      </c>
      <c r="K81" s="358">
        <v>0</v>
      </c>
      <c r="L81" s="358"/>
      <c r="M81" s="355"/>
      <c r="N81" s="344">
        <f>IF(A81="","",ROUND(SUMIFS('tp inwestycje do spr.'!F$7:F$250,'tp inwestycje do spr.'!$A$7:$A$250,$B81,'tp inwestycje do spr.'!$C$7:$C$250,$C81,'tp inwestycje do spr.'!$D$7:$D$250,$D81,'tp inwestycje do spr.'!$E$7:$E$250,$A81)-F81,2))</f>
        <v>0</v>
      </c>
      <c r="O81" s="344">
        <f>IF(B81="","",ROUND(SUMIFS('tp inwestycje do spr.'!G$7:G$250,'tp inwestycje do spr.'!$A$7:$A$250,$B81,'tp inwestycje do spr.'!$C$7:$C$250,$C81,'tp inwestycje do spr.'!$D$7:$D$250,$D81,'tp inwestycje do spr.'!$E$7:$E$250,$A81)-G81,2))</f>
        <v>0</v>
      </c>
      <c r="P81" s="344">
        <f>IF(C81="","",ROUND(SUMIFS('tp inwestycje do spr.'!H$7:H$250,'tp inwestycje do spr.'!$A$7:$A$250,$B81,'tp inwestycje do spr.'!$C$7:$C$250,$C81,'tp inwestycje do spr.'!$D$7:$D$250,$D81,'tp inwestycje do spr.'!$E$7:$E$250,$A81)-H81,2))</f>
        <v>0</v>
      </c>
      <c r="Q81" s="344">
        <f>IF(D81="","",ROUND(SUMIFS('tp inwestycje do spr.'!I$7:I$250,'tp inwestycje do spr.'!$A$7:$A$250,$B81,'tp inwestycje do spr.'!$C$7:$C$250,$C81,'tp inwestycje do spr.'!$D$7:$D$250,$D81,'tp inwestycje do spr.'!$E$7:$E$250,$A81)-I81,2))</f>
        <v>0</v>
      </c>
      <c r="R81" s="344">
        <f>IF(E81="","",ROUND(SUMIFS('tp inwestycje do spr.'!J$7:J$250,'tp inwestycje do spr.'!$A$7:$A$250,$B81,'tp inwestycje do spr.'!$C$7:$C$250,$C81,'tp inwestycje do spr.'!$D$7:$D$250,$D81,'tp inwestycje do spr.'!$E$7:$E$250,$A81)-J81,2))</f>
        <v>0</v>
      </c>
      <c r="S81" s="344">
        <f>IF(F81="","",ROUND(SUMIFS('tp inwestycje do spr.'!K$7:K$250,'tp inwestycje do spr.'!$A$7:$A$250,$B81,'tp inwestycje do spr.'!$C$7:$C$250,$C81,'tp inwestycje do spr.'!$D$7:$D$250,$D81,'tp inwestycje do spr.'!$E$7:$E$250,$A81)-K81,2))</f>
        <v>0</v>
      </c>
      <c r="T81" s="344">
        <f>IF(G81="","",ROUND(SUMIFS('tp inwestycje do spr.'!L$7:L$250,'tp inwestycje do spr.'!$A$7:$A$250,$B81,'tp inwestycje do spr.'!$C$7:$C$250,$C81,'tp inwestycje do spr.'!$D$7:$D$250,$D81,'tp inwestycje do spr.'!$E$7:$E$250,$A81)-L81,2))</f>
        <v>0</v>
      </c>
      <c r="U81" s="342" t="str">
        <f t="shared" si="5"/>
        <v>nie</v>
      </c>
    </row>
    <row r="82" spans="1:21" x14ac:dyDescent="0.25">
      <c r="A82" s="356" t="s">
        <v>102</v>
      </c>
      <c r="B82" s="356" t="s">
        <v>410</v>
      </c>
      <c r="C82" s="357" t="s">
        <v>319</v>
      </c>
      <c r="D82" s="357" t="s">
        <v>242</v>
      </c>
      <c r="E82" s="356" t="s">
        <v>446</v>
      </c>
      <c r="F82" s="358">
        <v>450250</v>
      </c>
      <c r="G82" s="358">
        <v>0</v>
      </c>
      <c r="H82" s="358">
        <v>92760</v>
      </c>
      <c r="I82" s="358">
        <v>357490</v>
      </c>
      <c r="J82" s="358">
        <v>0</v>
      </c>
      <c r="K82" s="358">
        <v>0</v>
      </c>
      <c r="L82" s="358"/>
      <c r="M82" s="355"/>
      <c r="N82" s="344">
        <f>IF(A82="","",ROUND(SUMIFS('tp inwestycje do spr.'!F$7:F$250,'tp inwestycje do spr.'!$A$7:$A$250,$B82,'tp inwestycje do spr.'!$C$7:$C$250,$C82,'tp inwestycje do spr.'!$D$7:$D$250,$D82,'tp inwestycje do spr.'!$E$7:$E$250,$A82)-F82,2))</f>
        <v>0</v>
      </c>
      <c r="O82" s="344">
        <f>IF(B82="","",ROUND(SUMIFS('tp inwestycje do spr.'!G$7:G$250,'tp inwestycje do spr.'!$A$7:$A$250,$B82,'tp inwestycje do spr.'!$C$7:$C$250,$C82,'tp inwestycje do spr.'!$D$7:$D$250,$D82,'tp inwestycje do spr.'!$E$7:$E$250,$A82)-G82,2))</f>
        <v>0</v>
      </c>
      <c r="P82" s="344">
        <f>IF(C82="","",ROUND(SUMIFS('tp inwestycje do spr.'!H$7:H$250,'tp inwestycje do spr.'!$A$7:$A$250,$B82,'tp inwestycje do spr.'!$C$7:$C$250,$C82,'tp inwestycje do spr.'!$D$7:$D$250,$D82,'tp inwestycje do spr.'!$E$7:$E$250,$A82)-H82,2))</f>
        <v>0</v>
      </c>
      <c r="Q82" s="344">
        <f>IF(D82="","",ROUND(SUMIFS('tp inwestycje do spr.'!I$7:I$250,'tp inwestycje do spr.'!$A$7:$A$250,$B82,'tp inwestycje do spr.'!$C$7:$C$250,$C82,'tp inwestycje do spr.'!$D$7:$D$250,$D82,'tp inwestycje do spr.'!$E$7:$E$250,$A82)-I82,2))</f>
        <v>0</v>
      </c>
      <c r="R82" s="344">
        <f>IF(E82="","",ROUND(SUMIFS('tp inwestycje do spr.'!J$7:J$250,'tp inwestycje do spr.'!$A$7:$A$250,$B82,'tp inwestycje do spr.'!$C$7:$C$250,$C82,'tp inwestycje do spr.'!$D$7:$D$250,$D82,'tp inwestycje do spr.'!$E$7:$E$250,$A82)-J82,2))</f>
        <v>0</v>
      </c>
      <c r="S82" s="344">
        <f>IF(F82="","",ROUND(SUMIFS('tp inwestycje do spr.'!K$7:K$250,'tp inwestycje do spr.'!$A$7:$A$250,$B82,'tp inwestycje do spr.'!$C$7:$C$250,$C82,'tp inwestycje do spr.'!$D$7:$D$250,$D82,'tp inwestycje do spr.'!$E$7:$E$250,$A82)-K82,2))</f>
        <v>0</v>
      </c>
      <c r="T82" s="344">
        <f>IF(G82="","",ROUND(SUMIFS('tp inwestycje do spr.'!L$7:L$250,'tp inwestycje do spr.'!$A$7:$A$250,$B82,'tp inwestycje do spr.'!$C$7:$C$250,$C82,'tp inwestycje do spr.'!$D$7:$D$250,$D82,'tp inwestycje do spr.'!$E$7:$E$250,$A82)-L82,2))</f>
        <v>0</v>
      </c>
      <c r="U82" s="342" t="str">
        <f t="shared" si="5"/>
        <v>nie</v>
      </c>
    </row>
    <row r="83" spans="1:21" x14ac:dyDescent="0.25">
      <c r="A83" s="356" t="s">
        <v>103</v>
      </c>
      <c r="B83" s="356" t="s">
        <v>410</v>
      </c>
      <c r="C83" s="357" t="s">
        <v>319</v>
      </c>
      <c r="D83" s="357" t="s">
        <v>242</v>
      </c>
      <c r="E83" s="356" t="s">
        <v>447</v>
      </c>
      <c r="F83" s="358">
        <v>357490</v>
      </c>
      <c r="G83" s="358">
        <v>0</v>
      </c>
      <c r="H83" s="358">
        <v>0</v>
      </c>
      <c r="I83" s="358">
        <v>357490</v>
      </c>
      <c r="J83" s="358">
        <v>0</v>
      </c>
      <c r="K83" s="358">
        <v>0</v>
      </c>
      <c r="L83" s="358"/>
      <c r="M83" s="355"/>
      <c r="N83" s="344">
        <f>IF(A83="","",ROUND(SUMIFS('tp inwestycje do spr.'!F$7:F$250,'tp inwestycje do spr.'!$A$7:$A$250,$B83,'tp inwestycje do spr.'!$C$7:$C$250,$C83,'tp inwestycje do spr.'!$D$7:$D$250,$D83,'tp inwestycje do spr.'!$E$7:$E$250,$A83)-F83,2))</f>
        <v>0</v>
      </c>
      <c r="O83" s="344">
        <f>IF(B83="","",ROUND(SUMIFS('tp inwestycje do spr.'!G$7:G$250,'tp inwestycje do spr.'!$A$7:$A$250,$B83,'tp inwestycje do spr.'!$C$7:$C$250,$C83,'tp inwestycje do spr.'!$D$7:$D$250,$D83,'tp inwestycje do spr.'!$E$7:$E$250,$A83)-G83,2))</f>
        <v>0</v>
      </c>
      <c r="P83" s="344">
        <f>IF(C83="","",ROUND(SUMIFS('tp inwestycje do spr.'!H$7:H$250,'tp inwestycje do spr.'!$A$7:$A$250,$B83,'tp inwestycje do spr.'!$C$7:$C$250,$C83,'tp inwestycje do spr.'!$D$7:$D$250,$D83,'tp inwestycje do spr.'!$E$7:$E$250,$A83)-H83,2))</f>
        <v>0</v>
      </c>
      <c r="Q83" s="344">
        <f>IF(D83="","",ROUND(SUMIFS('tp inwestycje do spr.'!I$7:I$250,'tp inwestycje do spr.'!$A$7:$A$250,$B83,'tp inwestycje do spr.'!$C$7:$C$250,$C83,'tp inwestycje do spr.'!$D$7:$D$250,$D83,'tp inwestycje do spr.'!$E$7:$E$250,$A83)-I83,2))</f>
        <v>0</v>
      </c>
      <c r="R83" s="344">
        <f>IF(E83="","",ROUND(SUMIFS('tp inwestycje do spr.'!J$7:J$250,'tp inwestycje do spr.'!$A$7:$A$250,$B83,'tp inwestycje do spr.'!$C$7:$C$250,$C83,'tp inwestycje do spr.'!$D$7:$D$250,$D83,'tp inwestycje do spr.'!$E$7:$E$250,$A83)-J83,2))</f>
        <v>0</v>
      </c>
      <c r="S83" s="344">
        <f>IF(F83="","",ROUND(SUMIFS('tp inwestycje do spr.'!K$7:K$250,'tp inwestycje do spr.'!$A$7:$A$250,$B83,'tp inwestycje do spr.'!$C$7:$C$250,$C83,'tp inwestycje do spr.'!$D$7:$D$250,$D83,'tp inwestycje do spr.'!$E$7:$E$250,$A83)-K83,2))</f>
        <v>0</v>
      </c>
      <c r="T83" s="344">
        <f>IF(G83="","",ROUND(SUMIFS('tp inwestycje do spr.'!L$7:L$250,'tp inwestycje do spr.'!$A$7:$A$250,$B83,'tp inwestycje do spr.'!$C$7:$C$250,$C83,'tp inwestycje do spr.'!$D$7:$D$250,$D83,'tp inwestycje do spr.'!$E$7:$E$250,$A83)-L83,2))</f>
        <v>0</v>
      </c>
      <c r="U83" s="342" t="str">
        <f t="shared" si="5"/>
        <v>nie</v>
      </c>
    </row>
    <row r="84" spans="1:21" x14ac:dyDescent="0.25">
      <c r="A84" s="389" t="s">
        <v>104</v>
      </c>
      <c r="B84" s="389" t="s">
        <v>410</v>
      </c>
      <c r="C84" s="390" t="s">
        <v>319</v>
      </c>
      <c r="D84" s="390" t="s">
        <v>242</v>
      </c>
      <c r="E84" s="389" t="s">
        <v>448</v>
      </c>
      <c r="F84" s="391">
        <v>92760</v>
      </c>
      <c r="G84" s="391">
        <v>0</v>
      </c>
      <c r="H84" s="391">
        <v>92760</v>
      </c>
      <c r="I84" s="391">
        <v>0</v>
      </c>
      <c r="J84" s="391">
        <v>0</v>
      </c>
      <c r="K84" s="391">
        <v>0</v>
      </c>
      <c r="L84" s="391"/>
      <c r="M84" s="369"/>
      <c r="N84" s="344">
        <f>IF(A84="","",ROUND(SUMIFS('tp inwestycje do spr.'!F$7:F$250,'tp inwestycje do spr.'!$A$7:$A$250,$B84,'tp inwestycje do spr.'!$C$7:$C$250,$C84,'tp inwestycje do spr.'!$D$7:$D$250,$D84,'tp inwestycje do spr.'!$E$7:$E$250,$A84)-F84,2))</f>
        <v>0</v>
      </c>
      <c r="O84" s="344">
        <f>IF(B84="","",ROUND(SUMIFS('tp inwestycje do spr.'!G$7:G$250,'tp inwestycje do spr.'!$A$7:$A$250,$B84,'tp inwestycje do spr.'!$C$7:$C$250,$C84,'tp inwestycje do spr.'!$D$7:$D$250,$D84,'tp inwestycje do spr.'!$E$7:$E$250,$A84)-G84,2))</f>
        <v>0</v>
      </c>
      <c r="P84" s="344">
        <f>IF(C84="","",ROUND(SUMIFS('tp inwestycje do spr.'!H$7:H$250,'tp inwestycje do spr.'!$A$7:$A$250,$B84,'tp inwestycje do spr.'!$C$7:$C$250,$C84,'tp inwestycje do spr.'!$D$7:$D$250,$D84,'tp inwestycje do spr.'!$E$7:$E$250,$A84)-H84,2))</f>
        <v>0</v>
      </c>
      <c r="Q84" s="344">
        <f>IF(D84="","",ROUND(SUMIFS('tp inwestycje do spr.'!I$7:I$250,'tp inwestycje do spr.'!$A$7:$A$250,$B84,'tp inwestycje do spr.'!$C$7:$C$250,$C84,'tp inwestycje do spr.'!$D$7:$D$250,$D84,'tp inwestycje do spr.'!$E$7:$E$250,$A84)-I84,2))</f>
        <v>0</v>
      </c>
      <c r="R84" s="344">
        <f>IF(E84="","",ROUND(SUMIFS('tp inwestycje do spr.'!J$7:J$250,'tp inwestycje do spr.'!$A$7:$A$250,$B84,'tp inwestycje do spr.'!$C$7:$C$250,$C84,'tp inwestycje do spr.'!$D$7:$D$250,$D84,'tp inwestycje do spr.'!$E$7:$E$250,$A84)-J84,2))</f>
        <v>0</v>
      </c>
      <c r="S84" s="344">
        <f>IF(F84="","",ROUND(SUMIFS('tp inwestycje do spr.'!K$7:K$250,'tp inwestycje do spr.'!$A$7:$A$250,$B84,'tp inwestycje do spr.'!$C$7:$C$250,$C84,'tp inwestycje do spr.'!$D$7:$D$250,$D84,'tp inwestycje do spr.'!$E$7:$E$250,$A84)-K84,2))</f>
        <v>0</v>
      </c>
      <c r="T84" s="344">
        <f>IF(G84="","",ROUND(SUMIFS('tp inwestycje do spr.'!L$7:L$250,'tp inwestycje do spr.'!$A$7:$A$250,$B84,'tp inwestycje do spr.'!$C$7:$C$250,$C84,'tp inwestycje do spr.'!$D$7:$D$250,$D84,'tp inwestycje do spr.'!$E$7:$E$250,$A84)-L84,2))</f>
        <v>0</v>
      </c>
      <c r="U84" s="342" t="str">
        <f t="shared" si="5"/>
        <v>nie</v>
      </c>
    </row>
    <row r="85" spans="1:21" x14ac:dyDescent="0.25">
      <c r="A85" s="356" t="s">
        <v>102</v>
      </c>
      <c r="B85" s="356" t="s">
        <v>416</v>
      </c>
      <c r="C85" s="357" t="s">
        <v>319</v>
      </c>
      <c r="D85" s="357" t="s">
        <v>242</v>
      </c>
      <c r="E85" s="356" t="s">
        <v>449</v>
      </c>
      <c r="F85" s="358">
        <v>6781300</v>
      </c>
      <c r="G85" s="358">
        <v>0</v>
      </c>
      <c r="H85" s="358">
        <v>0</v>
      </c>
      <c r="I85" s="358">
        <v>360000</v>
      </c>
      <c r="J85" s="358">
        <v>1910000</v>
      </c>
      <c r="K85" s="358">
        <v>4511300</v>
      </c>
      <c r="L85" s="358"/>
      <c r="M85" s="355"/>
      <c r="N85" s="344">
        <f>IF(A85="","",ROUND(SUMIFS('tp inwestycje do spr.'!F$7:F$250,'tp inwestycje do spr.'!$A$7:$A$250,$B85,'tp inwestycje do spr.'!$C$7:$C$250,$C85,'tp inwestycje do spr.'!$D$7:$D$250,$D85,'tp inwestycje do spr.'!$E$7:$E$250,$A85)-F85,2))</f>
        <v>0</v>
      </c>
      <c r="O85" s="344">
        <f>IF(B85="","",ROUND(SUMIFS('tp inwestycje do spr.'!G$7:G$250,'tp inwestycje do spr.'!$A$7:$A$250,$B85,'tp inwestycje do spr.'!$C$7:$C$250,$C85,'tp inwestycje do spr.'!$D$7:$D$250,$D85,'tp inwestycje do spr.'!$E$7:$E$250,$A85)-G85,2))</f>
        <v>0</v>
      </c>
      <c r="P85" s="344">
        <f>IF(C85="","",ROUND(SUMIFS('tp inwestycje do spr.'!H$7:H$250,'tp inwestycje do spr.'!$A$7:$A$250,$B85,'tp inwestycje do spr.'!$C$7:$C$250,$C85,'tp inwestycje do spr.'!$D$7:$D$250,$D85,'tp inwestycje do spr.'!$E$7:$E$250,$A85)-H85,2))</f>
        <v>0</v>
      </c>
      <c r="Q85" s="344">
        <f>IF(D85="","",ROUND(SUMIFS('tp inwestycje do spr.'!I$7:I$250,'tp inwestycje do spr.'!$A$7:$A$250,$B85,'tp inwestycje do spr.'!$C$7:$C$250,$C85,'tp inwestycje do spr.'!$D$7:$D$250,$D85,'tp inwestycje do spr.'!$E$7:$E$250,$A85)-I85,2))</f>
        <v>0</v>
      </c>
      <c r="R85" s="344">
        <f>IF(E85="","",ROUND(SUMIFS('tp inwestycje do spr.'!J$7:J$250,'tp inwestycje do spr.'!$A$7:$A$250,$B85,'tp inwestycje do spr.'!$C$7:$C$250,$C85,'tp inwestycje do spr.'!$D$7:$D$250,$D85,'tp inwestycje do spr.'!$E$7:$E$250,$A85)-J85,2))</f>
        <v>0</v>
      </c>
      <c r="S85" s="344">
        <f>IF(F85="","",ROUND(SUMIFS('tp inwestycje do spr.'!K$7:K$250,'tp inwestycje do spr.'!$A$7:$A$250,$B85,'tp inwestycje do spr.'!$C$7:$C$250,$C85,'tp inwestycje do spr.'!$D$7:$D$250,$D85,'tp inwestycje do spr.'!$E$7:$E$250,$A85)-K85,2))</f>
        <v>0</v>
      </c>
      <c r="T85" s="344">
        <f>IF(G85="","",ROUND(SUMIFS('tp inwestycje do spr.'!L$7:L$250,'tp inwestycje do spr.'!$A$7:$A$250,$B85,'tp inwestycje do spr.'!$C$7:$C$250,$C85,'tp inwestycje do spr.'!$D$7:$D$250,$D85,'tp inwestycje do spr.'!$E$7:$E$250,$A85)-L85,2))</f>
        <v>0</v>
      </c>
      <c r="U85" s="342" t="str">
        <f t="shared" si="5"/>
        <v>nie</v>
      </c>
    </row>
    <row r="86" spans="1:21" x14ac:dyDescent="0.25">
      <c r="A86" s="356" t="s">
        <v>103</v>
      </c>
      <c r="B86" s="356" t="s">
        <v>416</v>
      </c>
      <c r="C86" s="357" t="s">
        <v>319</v>
      </c>
      <c r="D86" s="357" t="s">
        <v>242</v>
      </c>
      <c r="E86" s="356" t="s">
        <v>450</v>
      </c>
      <c r="F86" s="358">
        <v>6781300</v>
      </c>
      <c r="G86" s="358">
        <v>0</v>
      </c>
      <c r="H86" s="358">
        <v>0</v>
      </c>
      <c r="I86" s="358">
        <v>360000</v>
      </c>
      <c r="J86" s="358">
        <v>1910000</v>
      </c>
      <c r="K86" s="358">
        <v>4511300</v>
      </c>
      <c r="L86" s="358"/>
      <c r="M86" s="355"/>
      <c r="N86" s="344">
        <f>IF(A86="","",ROUND(SUMIFS('tp inwestycje do spr.'!F$7:F$250,'tp inwestycje do spr.'!$A$7:$A$250,$B86,'tp inwestycje do spr.'!$C$7:$C$250,$C86,'tp inwestycje do spr.'!$D$7:$D$250,$D86,'tp inwestycje do spr.'!$E$7:$E$250,$A86)-F86,2))</f>
        <v>0</v>
      </c>
      <c r="O86" s="344">
        <f>IF(B86="","",ROUND(SUMIFS('tp inwestycje do spr.'!G$7:G$250,'tp inwestycje do spr.'!$A$7:$A$250,$B86,'tp inwestycje do spr.'!$C$7:$C$250,$C86,'tp inwestycje do spr.'!$D$7:$D$250,$D86,'tp inwestycje do spr.'!$E$7:$E$250,$A86)-G86,2))</f>
        <v>0</v>
      </c>
      <c r="P86" s="344">
        <f>IF(C86="","",ROUND(SUMIFS('tp inwestycje do spr.'!H$7:H$250,'tp inwestycje do spr.'!$A$7:$A$250,$B86,'tp inwestycje do spr.'!$C$7:$C$250,$C86,'tp inwestycje do spr.'!$D$7:$D$250,$D86,'tp inwestycje do spr.'!$E$7:$E$250,$A86)-H86,2))</f>
        <v>0</v>
      </c>
      <c r="Q86" s="344">
        <f>IF(D86="","",ROUND(SUMIFS('tp inwestycje do spr.'!I$7:I$250,'tp inwestycje do spr.'!$A$7:$A$250,$B86,'tp inwestycje do spr.'!$C$7:$C$250,$C86,'tp inwestycje do spr.'!$D$7:$D$250,$D86,'tp inwestycje do spr.'!$E$7:$E$250,$A86)-I86,2))</f>
        <v>0</v>
      </c>
      <c r="R86" s="344">
        <f>IF(E86="","",ROUND(SUMIFS('tp inwestycje do spr.'!J$7:J$250,'tp inwestycje do spr.'!$A$7:$A$250,$B86,'tp inwestycje do spr.'!$C$7:$C$250,$C86,'tp inwestycje do spr.'!$D$7:$D$250,$D86,'tp inwestycje do spr.'!$E$7:$E$250,$A86)-J86,2))</f>
        <v>0</v>
      </c>
      <c r="S86" s="344">
        <f>IF(F86="","",ROUND(SUMIFS('tp inwestycje do spr.'!K$7:K$250,'tp inwestycje do spr.'!$A$7:$A$250,$B86,'tp inwestycje do spr.'!$C$7:$C$250,$C86,'tp inwestycje do spr.'!$D$7:$D$250,$D86,'tp inwestycje do spr.'!$E$7:$E$250,$A86)-K86,2))</f>
        <v>0</v>
      </c>
      <c r="T86" s="344">
        <f>IF(G86="","",ROUND(SUMIFS('tp inwestycje do spr.'!L$7:L$250,'tp inwestycje do spr.'!$A$7:$A$250,$B86,'tp inwestycje do spr.'!$C$7:$C$250,$C86,'tp inwestycje do spr.'!$D$7:$D$250,$D86,'tp inwestycje do spr.'!$E$7:$E$250,$A86)-L86,2))</f>
        <v>0</v>
      </c>
      <c r="U86" s="342" t="str">
        <f t="shared" si="5"/>
        <v>nie</v>
      </c>
    </row>
    <row r="87" spans="1:21" x14ac:dyDescent="0.25">
      <c r="A87" s="356" t="s">
        <v>102</v>
      </c>
      <c r="B87" s="356" t="s">
        <v>157</v>
      </c>
      <c r="C87" s="357" t="s">
        <v>337</v>
      </c>
      <c r="D87" s="357" t="s">
        <v>242</v>
      </c>
      <c r="E87" s="356" t="s">
        <v>338</v>
      </c>
      <c r="F87" s="358">
        <v>570000</v>
      </c>
      <c r="G87" s="358">
        <v>0</v>
      </c>
      <c r="H87" s="358">
        <v>179115</v>
      </c>
      <c r="I87" s="358">
        <v>270885</v>
      </c>
      <c r="J87" s="358">
        <v>60000</v>
      </c>
      <c r="K87" s="358">
        <v>60000</v>
      </c>
      <c r="L87" s="358"/>
      <c r="M87" s="355"/>
      <c r="N87" s="344">
        <f>IF(A87="","",ROUND(SUMIFS('tp inwestycje do spr.'!F$7:F$250,'tp inwestycje do spr.'!$A$7:$A$250,$B87,'tp inwestycje do spr.'!$C$7:$C$250,$C87,'tp inwestycje do spr.'!$D$7:$D$250,$D87,'tp inwestycje do spr.'!$E$7:$E$250,$A87)-F87,2))</f>
        <v>0</v>
      </c>
      <c r="O87" s="344">
        <f>IF(B87="","",ROUND(SUMIFS('tp inwestycje do spr.'!G$7:G$250,'tp inwestycje do spr.'!$A$7:$A$250,$B87,'tp inwestycje do spr.'!$C$7:$C$250,$C87,'tp inwestycje do spr.'!$D$7:$D$250,$D87,'tp inwestycje do spr.'!$E$7:$E$250,$A87)-G87,2))</f>
        <v>0</v>
      </c>
      <c r="P87" s="344">
        <f>IF(C87="","",ROUND(SUMIFS('tp inwestycje do spr.'!H$7:H$250,'tp inwestycje do spr.'!$A$7:$A$250,$B87,'tp inwestycje do spr.'!$C$7:$C$250,$C87,'tp inwestycje do spr.'!$D$7:$D$250,$D87,'tp inwestycje do spr.'!$E$7:$E$250,$A87)-H87,2))</f>
        <v>0</v>
      </c>
      <c r="Q87" s="344">
        <f>IF(D87="","",ROUND(SUMIFS('tp inwestycje do spr.'!I$7:I$250,'tp inwestycje do spr.'!$A$7:$A$250,$B87,'tp inwestycje do spr.'!$C$7:$C$250,$C87,'tp inwestycje do spr.'!$D$7:$D$250,$D87,'tp inwestycje do spr.'!$E$7:$E$250,$A87)-I87,2))</f>
        <v>0</v>
      </c>
      <c r="R87" s="344">
        <f>IF(E87="","",ROUND(SUMIFS('tp inwestycje do spr.'!J$7:J$250,'tp inwestycje do spr.'!$A$7:$A$250,$B87,'tp inwestycje do spr.'!$C$7:$C$250,$C87,'tp inwestycje do spr.'!$D$7:$D$250,$D87,'tp inwestycje do spr.'!$E$7:$E$250,$A87)-J87,2))</f>
        <v>0</v>
      </c>
      <c r="S87" s="344">
        <f>IF(F87="","",ROUND(SUMIFS('tp inwestycje do spr.'!K$7:K$250,'tp inwestycje do spr.'!$A$7:$A$250,$B87,'tp inwestycje do spr.'!$C$7:$C$250,$C87,'tp inwestycje do spr.'!$D$7:$D$250,$D87,'tp inwestycje do spr.'!$E$7:$E$250,$A87)-K87,2))</f>
        <v>0</v>
      </c>
      <c r="T87" s="344">
        <f>IF(G87="","",ROUND(SUMIFS('tp inwestycje do spr.'!L$7:L$250,'tp inwestycje do spr.'!$A$7:$A$250,$B87,'tp inwestycje do spr.'!$C$7:$C$250,$C87,'tp inwestycje do spr.'!$D$7:$D$250,$D87,'tp inwestycje do spr.'!$E$7:$E$250,$A87)-L87,2))</f>
        <v>0</v>
      </c>
      <c r="U87" s="342" t="str">
        <f t="shared" si="5"/>
        <v>nie</v>
      </c>
    </row>
    <row r="88" spans="1:21" x14ac:dyDescent="0.25">
      <c r="A88" s="356" t="s">
        <v>103</v>
      </c>
      <c r="B88" s="356" t="s">
        <v>157</v>
      </c>
      <c r="C88" s="357" t="s">
        <v>337</v>
      </c>
      <c r="D88" s="357" t="s">
        <v>242</v>
      </c>
      <c r="E88" s="356" t="s">
        <v>339</v>
      </c>
      <c r="F88" s="358">
        <v>390885</v>
      </c>
      <c r="G88" s="358">
        <v>0</v>
      </c>
      <c r="H88" s="358">
        <v>0</v>
      </c>
      <c r="I88" s="358">
        <v>270885</v>
      </c>
      <c r="J88" s="358">
        <v>60000</v>
      </c>
      <c r="K88" s="358">
        <v>60000</v>
      </c>
      <c r="L88" s="358"/>
      <c r="M88" s="355"/>
      <c r="N88" s="344">
        <f>IF(A88="","",ROUND(SUMIFS('tp inwestycje do spr.'!F$7:F$250,'tp inwestycje do spr.'!$A$7:$A$250,$B88,'tp inwestycje do spr.'!$C$7:$C$250,$C88,'tp inwestycje do spr.'!$D$7:$D$250,$D88,'tp inwestycje do spr.'!$E$7:$E$250,$A88)-F88,2))</f>
        <v>0</v>
      </c>
      <c r="O88" s="344">
        <f>IF(B88="","",ROUND(SUMIFS('tp inwestycje do spr.'!G$7:G$250,'tp inwestycje do spr.'!$A$7:$A$250,$B88,'tp inwestycje do spr.'!$C$7:$C$250,$C88,'tp inwestycje do spr.'!$D$7:$D$250,$D88,'tp inwestycje do spr.'!$E$7:$E$250,$A88)-G88,2))</f>
        <v>0</v>
      </c>
      <c r="P88" s="344">
        <f>IF(C88="","",ROUND(SUMIFS('tp inwestycje do spr.'!H$7:H$250,'tp inwestycje do spr.'!$A$7:$A$250,$B88,'tp inwestycje do spr.'!$C$7:$C$250,$C88,'tp inwestycje do spr.'!$D$7:$D$250,$D88,'tp inwestycje do spr.'!$E$7:$E$250,$A88)-H88,2))</f>
        <v>0</v>
      </c>
      <c r="Q88" s="344">
        <f>IF(D88="","",ROUND(SUMIFS('tp inwestycje do spr.'!I$7:I$250,'tp inwestycje do spr.'!$A$7:$A$250,$B88,'tp inwestycje do spr.'!$C$7:$C$250,$C88,'tp inwestycje do spr.'!$D$7:$D$250,$D88,'tp inwestycje do spr.'!$E$7:$E$250,$A88)-I88,2))</f>
        <v>0</v>
      </c>
      <c r="R88" s="344">
        <f>IF(E88="","",ROUND(SUMIFS('tp inwestycje do spr.'!J$7:J$250,'tp inwestycje do spr.'!$A$7:$A$250,$B88,'tp inwestycje do spr.'!$C$7:$C$250,$C88,'tp inwestycje do spr.'!$D$7:$D$250,$D88,'tp inwestycje do spr.'!$E$7:$E$250,$A88)-J88,2))</f>
        <v>0</v>
      </c>
      <c r="S88" s="344">
        <f>IF(F88="","",ROUND(SUMIFS('tp inwestycje do spr.'!K$7:K$250,'tp inwestycje do spr.'!$A$7:$A$250,$B88,'tp inwestycje do spr.'!$C$7:$C$250,$C88,'tp inwestycje do spr.'!$D$7:$D$250,$D88,'tp inwestycje do spr.'!$E$7:$E$250,$A88)-K88,2))</f>
        <v>0</v>
      </c>
      <c r="T88" s="344">
        <f>IF(G88="","",ROUND(SUMIFS('tp inwestycje do spr.'!L$7:L$250,'tp inwestycje do spr.'!$A$7:$A$250,$B88,'tp inwestycje do spr.'!$C$7:$C$250,$C88,'tp inwestycje do spr.'!$D$7:$D$250,$D88,'tp inwestycje do spr.'!$E$7:$E$250,$A88)-L88,2))</f>
        <v>0</v>
      </c>
      <c r="U88" s="342" t="str">
        <f t="shared" si="5"/>
        <v>nie</v>
      </c>
    </row>
    <row r="89" spans="1:21" x14ac:dyDescent="0.25">
      <c r="A89" s="356" t="s">
        <v>104</v>
      </c>
      <c r="B89" s="356" t="s">
        <v>157</v>
      </c>
      <c r="C89" s="357" t="s">
        <v>337</v>
      </c>
      <c r="D89" s="357" t="s">
        <v>242</v>
      </c>
      <c r="E89" s="356" t="s">
        <v>340</v>
      </c>
      <c r="F89" s="358">
        <v>179115</v>
      </c>
      <c r="G89" s="358">
        <v>0</v>
      </c>
      <c r="H89" s="358">
        <v>179115</v>
      </c>
      <c r="I89" s="358">
        <v>0</v>
      </c>
      <c r="J89" s="358">
        <v>0</v>
      </c>
      <c r="K89" s="358">
        <v>0</v>
      </c>
      <c r="L89" s="358"/>
      <c r="M89" s="355"/>
      <c r="N89" s="344">
        <f>IF(A89="","",ROUND(SUMIFS('tp inwestycje do spr.'!F$7:F$250,'tp inwestycje do spr.'!$A$7:$A$250,$B89,'tp inwestycje do spr.'!$C$7:$C$250,$C89,'tp inwestycje do spr.'!$D$7:$D$250,$D89,'tp inwestycje do spr.'!$E$7:$E$250,$A89)-F89,2))</f>
        <v>0</v>
      </c>
      <c r="O89" s="344">
        <f>IF(B89="","",ROUND(SUMIFS('tp inwestycje do spr.'!G$7:G$250,'tp inwestycje do spr.'!$A$7:$A$250,$B89,'tp inwestycje do spr.'!$C$7:$C$250,$C89,'tp inwestycje do spr.'!$D$7:$D$250,$D89,'tp inwestycje do spr.'!$E$7:$E$250,$A89)-G89,2))</f>
        <v>0</v>
      </c>
      <c r="P89" s="344">
        <f>IF(C89="","",ROUND(SUMIFS('tp inwestycje do spr.'!H$7:H$250,'tp inwestycje do spr.'!$A$7:$A$250,$B89,'tp inwestycje do spr.'!$C$7:$C$250,$C89,'tp inwestycje do spr.'!$D$7:$D$250,$D89,'tp inwestycje do spr.'!$E$7:$E$250,$A89)-H89,2))</f>
        <v>0</v>
      </c>
      <c r="Q89" s="344">
        <f>IF(D89="","",ROUND(SUMIFS('tp inwestycje do spr.'!I$7:I$250,'tp inwestycje do spr.'!$A$7:$A$250,$B89,'tp inwestycje do spr.'!$C$7:$C$250,$C89,'tp inwestycje do spr.'!$D$7:$D$250,$D89,'tp inwestycje do spr.'!$E$7:$E$250,$A89)-I89,2))</f>
        <v>0</v>
      </c>
      <c r="R89" s="344">
        <f>IF(E89="","",ROUND(SUMIFS('tp inwestycje do spr.'!J$7:J$250,'tp inwestycje do spr.'!$A$7:$A$250,$B89,'tp inwestycje do spr.'!$C$7:$C$250,$C89,'tp inwestycje do spr.'!$D$7:$D$250,$D89,'tp inwestycje do spr.'!$E$7:$E$250,$A89)-J89,2))</f>
        <v>0</v>
      </c>
      <c r="S89" s="344">
        <f>IF(F89="","",ROUND(SUMIFS('tp inwestycje do spr.'!K$7:K$250,'tp inwestycje do spr.'!$A$7:$A$250,$B89,'tp inwestycje do spr.'!$C$7:$C$250,$C89,'tp inwestycje do spr.'!$D$7:$D$250,$D89,'tp inwestycje do spr.'!$E$7:$E$250,$A89)-K89,2))</f>
        <v>0</v>
      </c>
      <c r="T89" s="344">
        <f>IF(G89="","",ROUND(SUMIFS('tp inwestycje do spr.'!L$7:L$250,'tp inwestycje do spr.'!$A$7:$A$250,$B89,'tp inwestycje do spr.'!$C$7:$C$250,$C89,'tp inwestycje do spr.'!$D$7:$D$250,$D89,'tp inwestycje do spr.'!$E$7:$E$250,$A89)-L89,2))</f>
        <v>0</v>
      </c>
      <c r="U89" s="342" t="str">
        <f t="shared" si="5"/>
        <v>nie</v>
      </c>
    </row>
    <row r="90" spans="1:21" x14ac:dyDescent="0.25">
      <c r="A90" s="356" t="s">
        <v>102</v>
      </c>
      <c r="B90" s="356" t="s">
        <v>160</v>
      </c>
      <c r="C90" s="357" t="s">
        <v>341</v>
      </c>
      <c r="D90" s="357" t="s">
        <v>245</v>
      </c>
      <c r="E90" s="356" t="s">
        <v>342</v>
      </c>
      <c r="F90" s="358">
        <v>484044</v>
      </c>
      <c r="G90" s="358">
        <v>0</v>
      </c>
      <c r="H90" s="358">
        <v>154044</v>
      </c>
      <c r="I90" s="358">
        <v>330000</v>
      </c>
      <c r="J90" s="358">
        <v>0</v>
      </c>
      <c r="K90" s="358">
        <v>0</v>
      </c>
      <c r="L90" s="358"/>
      <c r="M90" s="355"/>
      <c r="N90" s="344">
        <f>IF(A90="","",ROUND(SUMIFS('tp inwestycje do spr.'!F$7:F$250,'tp inwestycje do spr.'!$A$7:$A$250,$B90,'tp inwestycje do spr.'!$C$7:$C$250,$C90,'tp inwestycje do spr.'!$D$7:$D$250,$D90,'tp inwestycje do spr.'!$E$7:$E$250,$A90)-F90,2))</f>
        <v>0</v>
      </c>
      <c r="O90" s="344">
        <f>IF(B90="","",ROUND(SUMIFS('tp inwestycje do spr.'!G$7:G$250,'tp inwestycje do spr.'!$A$7:$A$250,$B90,'tp inwestycje do spr.'!$C$7:$C$250,$C90,'tp inwestycje do spr.'!$D$7:$D$250,$D90,'tp inwestycje do spr.'!$E$7:$E$250,$A90)-G90,2))</f>
        <v>0</v>
      </c>
      <c r="P90" s="344">
        <f>IF(C90="","",ROUND(SUMIFS('tp inwestycje do spr.'!H$7:H$250,'tp inwestycje do spr.'!$A$7:$A$250,$B90,'tp inwestycje do spr.'!$C$7:$C$250,$C90,'tp inwestycje do spr.'!$D$7:$D$250,$D90,'tp inwestycje do spr.'!$E$7:$E$250,$A90)-H90,2))</f>
        <v>0</v>
      </c>
      <c r="Q90" s="344">
        <f>IF(D90="","",ROUND(SUMIFS('tp inwestycje do spr.'!I$7:I$250,'tp inwestycje do spr.'!$A$7:$A$250,$B90,'tp inwestycje do spr.'!$C$7:$C$250,$C90,'tp inwestycje do spr.'!$D$7:$D$250,$D90,'tp inwestycje do spr.'!$E$7:$E$250,$A90)-I90,2))</f>
        <v>0</v>
      </c>
      <c r="R90" s="344">
        <f>IF(E90="","",ROUND(SUMIFS('tp inwestycje do spr.'!J$7:J$250,'tp inwestycje do spr.'!$A$7:$A$250,$B90,'tp inwestycje do spr.'!$C$7:$C$250,$C90,'tp inwestycje do spr.'!$D$7:$D$250,$D90,'tp inwestycje do spr.'!$E$7:$E$250,$A90)-J90,2))</f>
        <v>0</v>
      </c>
      <c r="S90" s="344">
        <f>IF(F90="","",ROUND(SUMIFS('tp inwestycje do spr.'!K$7:K$250,'tp inwestycje do spr.'!$A$7:$A$250,$B90,'tp inwestycje do spr.'!$C$7:$C$250,$C90,'tp inwestycje do spr.'!$D$7:$D$250,$D90,'tp inwestycje do spr.'!$E$7:$E$250,$A90)-K90,2))</f>
        <v>0</v>
      </c>
      <c r="T90" s="344">
        <f>IF(G90="","",ROUND(SUMIFS('tp inwestycje do spr.'!L$7:L$250,'tp inwestycje do spr.'!$A$7:$A$250,$B90,'tp inwestycje do spr.'!$C$7:$C$250,$C90,'tp inwestycje do spr.'!$D$7:$D$250,$D90,'tp inwestycje do spr.'!$E$7:$E$250,$A90)-L90,2))</f>
        <v>0</v>
      </c>
      <c r="U90" s="342" t="str">
        <f t="shared" si="5"/>
        <v>nie</v>
      </c>
    </row>
    <row r="91" spans="1:21" x14ac:dyDescent="0.25">
      <c r="A91" s="356" t="s">
        <v>103</v>
      </c>
      <c r="B91" s="356" t="s">
        <v>160</v>
      </c>
      <c r="C91" s="357" t="s">
        <v>341</v>
      </c>
      <c r="D91" s="357" t="s">
        <v>245</v>
      </c>
      <c r="E91" s="356" t="s">
        <v>343</v>
      </c>
      <c r="F91" s="358">
        <v>330000</v>
      </c>
      <c r="G91" s="358">
        <v>0</v>
      </c>
      <c r="H91" s="358">
        <v>0</v>
      </c>
      <c r="I91" s="358">
        <v>330000</v>
      </c>
      <c r="J91" s="358">
        <v>0</v>
      </c>
      <c r="K91" s="358">
        <v>0</v>
      </c>
      <c r="L91" s="358"/>
      <c r="M91" s="355"/>
      <c r="N91" s="344">
        <f>IF(A91="","",ROUND(SUMIFS('tp inwestycje do spr.'!F$7:F$250,'tp inwestycje do spr.'!$A$7:$A$250,$B91,'tp inwestycje do spr.'!$C$7:$C$250,$C91,'tp inwestycje do spr.'!$D$7:$D$250,$D91,'tp inwestycje do spr.'!$E$7:$E$250,$A91)-F91,2))</f>
        <v>0</v>
      </c>
      <c r="O91" s="344">
        <f>IF(B91="","",ROUND(SUMIFS('tp inwestycje do spr.'!G$7:G$250,'tp inwestycje do spr.'!$A$7:$A$250,$B91,'tp inwestycje do spr.'!$C$7:$C$250,$C91,'tp inwestycje do spr.'!$D$7:$D$250,$D91,'tp inwestycje do spr.'!$E$7:$E$250,$A91)-G91,2))</f>
        <v>0</v>
      </c>
      <c r="P91" s="344">
        <f>IF(C91="","",ROUND(SUMIFS('tp inwestycje do spr.'!H$7:H$250,'tp inwestycje do spr.'!$A$7:$A$250,$B91,'tp inwestycje do spr.'!$C$7:$C$250,$C91,'tp inwestycje do spr.'!$D$7:$D$250,$D91,'tp inwestycje do spr.'!$E$7:$E$250,$A91)-H91,2))</f>
        <v>0</v>
      </c>
      <c r="Q91" s="344">
        <f>IF(D91="","",ROUND(SUMIFS('tp inwestycje do spr.'!I$7:I$250,'tp inwestycje do spr.'!$A$7:$A$250,$B91,'tp inwestycje do spr.'!$C$7:$C$250,$C91,'tp inwestycje do spr.'!$D$7:$D$250,$D91,'tp inwestycje do spr.'!$E$7:$E$250,$A91)-I91,2))</f>
        <v>0</v>
      </c>
      <c r="R91" s="344">
        <f>IF(E91="","",ROUND(SUMIFS('tp inwestycje do spr.'!J$7:J$250,'tp inwestycje do spr.'!$A$7:$A$250,$B91,'tp inwestycje do spr.'!$C$7:$C$250,$C91,'tp inwestycje do spr.'!$D$7:$D$250,$D91,'tp inwestycje do spr.'!$E$7:$E$250,$A91)-J91,2))</f>
        <v>0</v>
      </c>
      <c r="S91" s="344">
        <f>IF(F91="","",ROUND(SUMIFS('tp inwestycje do spr.'!K$7:K$250,'tp inwestycje do spr.'!$A$7:$A$250,$B91,'tp inwestycje do spr.'!$C$7:$C$250,$C91,'tp inwestycje do spr.'!$D$7:$D$250,$D91,'tp inwestycje do spr.'!$E$7:$E$250,$A91)-K91,2))</f>
        <v>0</v>
      </c>
      <c r="T91" s="344">
        <f>IF(G91="","",ROUND(SUMIFS('tp inwestycje do spr.'!L$7:L$250,'tp inwestycje do spr.'!$A$7:$A$250,$B91,'tp inwestycje do spr.'!$C$7:$C$250,$C91,'tp inwestycje do spr.'!$D$7:$D$250,$D91,'tp inwestycje do spr.'!$E$7:$E$250,$A91)-L91,2))</f>
        <v>0</v>
      </c>
      <c r="U91" s="342" t="str">
        <f t="shared" si="5"/>
        <v>nie</v>
      </c>
    </row>
    <row r="92" spans="1:21" x14ac:dyDescent="0.25">
      <c r="A92" s="356" t="s">
        <v>104</v>
      </c>
      <c r="B92" s="356" t="s">
        <v>160</v>
      </c>
      <c r="C92" s="357" t="s">
        <v>341</v>
      </c>
      <c r="D92" s="357" t="s">
        <v>245</v>
      </c>
      <c r="E92" s="356" t="s">
        <v>396</v>
      </c>
      <c r="F92" s="358">
        <v>154044</v>
      </c>
      <c r="G92" s="358">
        <v>0</v>
      </c>
      <c r="H92" s="358">
        <v>154044</v>
      </c>
      <c r="I92" s="358">
        <v>0</v>
      </c>
      <c r="J92" s="358">
        <v>0</v>
      </c>
      <c r="K92" s="358">
        <v>0</v>
      </c>
      <c r="L92" s="358"/>
      <c r="M92" s="355"/>
      <c r="N92" s="344">
        <f>IF(A92="","",ROUND(SUMIFS('tp inwestycje do spr.'!F$7:F$250,'tp inwestycje do spr.'!$A$7:$A$250,$B92,'tp inwestycje do spr.'!$C$7:$C$250,$C92,'tp inwestycje do spr.'!$D$7:$D$250,$D92,'tp inwestycje do spr.'!$E$7:$E$250,$A92)-F92,2))</f>
        <v>0</v>
      </c>
      <c r="O92" s="344">
        <f>IF(B92="","",ROUND(SUMIFS('tp inwestycje do spr.'!G$7:G$250,'tp inwestycje do spr.'!$A$7:$A$250,$B92,'tp inwestycje do spr.'!$C$7:$C$250,$C92,'tp inwestycje do spr.'!$D$7:$D$250,$D92,'tp inwestycje do spr.'!$E$7:$E$250,$A92)-G92,2))</f>
        <v>0</v>
      </c>
      <c r="P92" s="344">
        <f>IF(C92="","",ROUND(SUMIFS('tp inwestycje do spr.'!H$7:H$250,'tp inwestycje do spr.'!$A$7:$A$250,$B92,'tp inwestycje do spr.'!$C$7:$C$250,$C92,'tp inwestycje do spr.'!$D$7:$D$250,$D92,'tp inwestycje do spr.'!$E$7:$E$250,$A92)-H92,2))</f>
        <v>0</v>
      </c>
      <c r="Q92" s="344">
        <f>IF(D92="","",ROUND(SUMIFS('tp inwestycje do spr.'!I$7:I$250,'tp inwestycje do spr.'!$A$7:$A$250,$B92,'tp inwestycje do spr.'!$C$7:$C$250,$C92,'tp inwestycje do spr.'!$D$7:$D$250,$D92,'tp inwestycje do spr.'!$E$7:$E$250,$A92)-I92,2))</f>
        <v>0</v>
      </c>
      <c r="R92" s="344">
        <f>IF(E92="","",ROUND(SUMIFS('tp inwestycje do spr.'!J$7:J$250,'tp inwestycje do spr.'!$A$7:$A$250,$B92,'tp inwestycje do spr.'!$C$7:$C$250,$C92,'tp inwestycje do spr.'!$D$7:$D$250,$D92,'tp inwestycje do spr.'!$E$7:$E$250,$A92)-J92,2))</f>
        <v>0</v>
      </c>
      <c r="S92" s="344">
        <f>IF(F92="","",ROUND(SUMIFS('tp inwestycje do spr.'!K$7:K$250,'tp inwestycje do spr.'!$A$7:$A$250,$B92,'tp inwestycje do spr.'!$C$7:$C$250,$C92,'tp inwestycje do spr.'!$D$7:$D$250,$D92,'tp inwestycje do spr.'!$E$7:$E$250,$A92)-K92,2))</f>
        <v>0</v>
      </c>
      <c r="T92" s="344">
        <f>IF(G92="","",ROUND(SUMIFS('tp inwestycje do spr.'!L$7:L$250,'tp inwestycje do spr.'!$A$7:$A$250,$B92,'tp inwestycje do spr.'!$C$7:$C$250,$C92,'tp inwestycje do spr.'!$D$7:$D$250,$D92,'tp inwestycje do spr.'!$E$7:$E$250,$A92)-L92,2))</f>
        <v>0</v>
      </c>
      <c r="U92" s="342" t="str">
        <f t="shared" si="5"/>
        <v>nie</v>
      </c>
    </row>
    <row r="93" spans="1:21" x14ac:dyDescent="0.25">
      <c r="A93" s="356" t="s">
        <v>102</v>
      </c>
      <c r="B93" s="356" t="s">
        <v>163</v>
      </c>
      <c r="C93" s="357" t="s">
        <v>344</v>
      </c>
      <c r="D93" s="357" t="s">
        <v>242</v>
      </c>
      <c r="E93" s="356" t="s">
        <v>345</v>
      </c>
      <c r="F93" s="358">
        <v>15283331</v>
      </c>
      <c r="G93" s="358">
        <v>11316530</v>
      </c>
      <c r="H93" s="358">
        <v>2805801</v>
      </c>
      <c r="I93" s="358">
        <v>1161000</v>
      </c>
      <c r="J93" s="358">
        <v>0</v>
      </c>
      <c r="K93" s="358">
        <v>0</v>
      </c>
      <c r="L93" s="358"/>
      <c r="M93" s="355"/>
      <c r="N93" s="344">
        <f>IF(A93="","",ROUND(SUMIFS('tp inwestycje do spr.'!F$7:F$250,'tp inwestycje do spr.'!$A$7:$A$250,$B93,'tp inwestycje do spr.'!$C$7:$C$250,$C93,'tp inwestycje do spr.'!$D$7:$D$250,$D93,'tp inwestycje do spr.'!$E$7:$E$250,$A93)-F93,2))</f>
        <v>0</v>
      </c>
      <c r="O93" s="344">
        <f>IF(B93="","",ROUND(SUMIFS('tp inwestycje do spr.'!G$7:G$250,'tp inwestycje do spr.'!$A$7:$A$250,$B93,'tp inwestycje do spr.'!$C$7:$C$250,$C93,'tp inwestycje do spr.'!$D$7:$D$250,$D93,'tp inwestycje do spr.'!$E$7:$E$250,$A93)-G93,2))</f>
        <v>0</v>
      </c>
      <c r="P93" s="344">
        <f>IF(C93="","",ROUND(SUMIFS('tp inwestycje do spr.'!H$7:H$250,'tp inwestycje do spr.'!$A$7:$A$250,$B93,'tp inwestycje do spr.'!$C$7:$C$250,$C93,'tp inwestycje do spr.'!$D$7:$D$250,$D93,'tp inwestycje do spr.'!$E$7:$E$250,$A93)-H93,2))</f>
        <v>0</v>
      </c>
      <c r="Q93" s="344">
        <f>IF(D93="","",ROUND(SUMIFS('tp inwestycje do spr.'!I$7:I$250,'tp inwestycje do spr.'!$A$7:$A$250,$B93,'tp inwestycje do spr.'!$C$7:$C$250,$C93,'tp inwestycje do spr.'!$D$7:$D$250,$D93,'tp inwestycje do spr.'!$E$7:$E$250,$A93)-I93,2))</f>
        <v>0</v>
      </c>
      <c r="R93" s="344">
        <f>IF(E93="","",ROUND(SUMIFS('tp inwestycje do spr.'!J$7:J$250,'tp inwestycje do spr.'!$A$7:$A$250,$B93,'tp inwestycje do spr.'!$C$7:$C$250,$C93,'tp inwestycje do spr.'!$D$7:$D$250,$D93,'tp inwestycje do spr.'!$E$7:$E$250,$A93)-J93,2))</f>
        <v>0</v>
      </c>
      <c r="S93" s="344">
        <f>IF(F93="","",ROUND(SUMIFS('tp inwestycje do spr.'!K$7:K$250,'tp inwestycje do spr.'!$A$7:$A$250,$B93,'tp inwestycje do spr.'!$C$7:$C$250,$C93,'tp inwestycje do spr.'!$D$7:$D$250,$D93,'tp inwestycje do spr.'!$E$7:$E$250,$A93)-K93,2))</f>
        <v>0</v>
      </c>
      <c r="T93" s="344">
        <f>IF(G93="","",ROUND(SUMIFS('tp inwestycje do spr.'!L$7:L$250,'tp inwestycje do spr.'!$A$7:$A$250,$B93,'tp inwestycje do spr.'!$C$7:$C$250,$C93,'tp inwestycje do spr.'!$D$7:$D$250,$D93,'tp inwestycje do spr.'!$E$7:$E$250,$A93)-L93,2))</f>
        <v>0</v>
      </c>
      <c r="U93" s="342" t="str">
        <f t="shared" si="5"/>
        <v>nie</v>
      </c>
    </row>
    <row r="94" spans="1:21" x14ac:dyDescent="0.25">
      <c r="A94" s="356" t="s">
        <v>103</v>
      </c>
      <c r="B94" s="356" t="s">
        <v>163</v>
      </c>
      <c r="C94" s="357" t="s">
        <v>344</v>
      </c>
      <c r="D94" s="357" t="s">
        <v>242</v>
      </c>
      <c r="E94" s="356" t="s">
        <v>346</v>
      </c>
      <c r="F94" s="358">
        <v>1161000</v>
      </c>
      <c r="G94" s="358">
        <v>0</v>
      </c>
      <c r="H94" s="358">
        <v>0</v>
      </c>
      <c r="I94" s="358">
        <v>1161000</v>
      </c>
      <c r="J94" s="358">
        <v>0</v>
      </c>
      <c r="K94" s="358">
        <v>0</v>
      </c>
      <c r="L94" s="358"/>
      <c r="M94" s="355"/>
      <c r="N94" s="344">
        <f>IF(A94="","",ROUND(SUMIFS('tp inwestycje do spr.'!F$7:F$250,'tp inwestycje do spr.'!$A$7:$A$250,$B94,'tp inwestycje do spr.'!$C$7:$C$250,$C94,'tp inwestycje do spr.'!$D$7:$D$250,$D94,'tp inwestycje do spr.'!$E$7:$E$250,$A94)-F94,2))</f>
        <v>0</v>
      </c>
      <c r="O94" s="344">
        <f>IF(B94="","",ROUND(SUMIFS('tp inwestycje do spr.'!G$7:G$250,'tp inwestycje do spr.'!$A$7:$A$250,$B94,'tp inwestycje do spr.'!$C$7:$C$250,$C94,'tp inwestycje do spr.'!$D$7:$D$250,$D94,'tp inwestycje do spr.'!$E$7:$E$250,$A94)-G94,2))</f>
        <v>0</v>
      </c>
      <c r="P94" s="344">
        <f>IF(C94="","",ROUND(SUMIFS('tp inwestycje do spr.'!H$7:H$250,'tp inwestycje do spr.'!$A$7:$A$250,$B94,'tp inwestycje do spr.'!$C$7:$C$250,$C94,'tp inwestycje do spr.'!$D$7:$D$250,$D94,'tp inwestycje do spr.'!$E$7:$E$250,$A94)-H94,2))</f>
        <v>0</v>
      </c>
      <c r="Q94" s="344">
        <f>IF(D94="","",ROUND(SUMIFS('tp inwestycje do spr.'!I$7:I$250,'tp inwestycje do spr.'!$A$7:$A$250,$B94,'tp inwestycje do spr.'!$C$7:$C$250,$C94,'tp inwestycje do spr.'!$D$7:$D$250,$D94,'tp inwestycje do spr.'!$E$7:$E$250,$A94)-I94,2))</f>
        <v>0</v>
      </c>
      <c r="R94" s="344">
        <f>IF(E94="","",ROUND(SUMIFS('tp inwestycje do spr.'!J$7:J$250,'tp inwestycje do spr.'!$A$7:$A$250,$B94,'tp inwestycje do spr.'!$C$7:$C$250,$C94,'tp inwestycje do spr.'!$D$7:$D$250,$D94,'tp inwestycje do spr.'!$E$7:$E$250,$A94)-J94,2))</f>
        <v>0</v>
      </c>
      <c r="S94" s="344">
        <f>IF(F94="","",ROUND(SUMIFS('tp inwestycje do spr.'!K$7:K$250,'tp inwestycje do spr.'!$A$7:$A$250,$B94,'tp inwestycje do spr.'!$C$7:$C$250,$C94,'tp inwestycje do spr.'!$D$7:$D$250,$D94,'tp inwestycje do spr.'!$E$7:$E$250,$A94)-K94,2))</f>
        <v>0</v>
      </c>
      <c r="T94" s="344">
        <f>IF(G94="","",ROUND(SUMIFS('tp inwestycje do spr.'!L$7:L$250,'tp inwestycje do spr.'!$A$7:$A$250,$B94,'tp inwestycje do spr.'!$C$7:$C$250,$C94,'tp inwestycje do spr.'!$D$7:$D$250,$D94,'tp inwestycje do spr.'!$E$7:$E$250,$A94)-L94,2))</f>
        <v>0</v>
      </c>
      <c r="U94" s="342" t="str">
        <f t="shared" si="5"/>
        <v>nie</v>
      </c>
    </row>
    <row r="95" spans="1:21" x14ac:dyDescent="0.25">
      <c r="A95" s="356" t="s">
        <v>104</v>
      </c>
      <c r="B95" s="356" t="s">
        <v>163</v>
      </c>
      <c r="C95" s="357" t="s">
        <v>344</v>
      </c>
      <c r="D95" s="357" t="s">
        <v>242</v>
      </c>
      <c r="E95" s="356" t="s">
        <v>347</v>
      </c>
      <c r="F95" s="358">
        <v>14122331</v>
      </c>
      <c r="G95" s="358">
        <v>11316530</v>
      </c>
      <c r="H95" s="358">
        <v>2805801</v>
      </c>
      <c r="I95" s="358">
        <v>0</v>
      </c>
      <c r="J95" s="358">
        <v>0</v>
      </c>
      <c r="K95" s="358">
        <v>0</v>
      </c>
      <c r="L95" s="358"/>
      <c r="M95" s="355"/>
      <c r="N95" s="344">
        <f>IF(A95="","",ROUND(SUMIFS('tp inwestycje do spr.'!F$7:F$250,'tp inwestycje do spr.'!$A$7:$A$250,$B95,'tp inwestycje do spr.'!$C$7:$C$250,$C95,'tp inwestycje do spr.'!$D$7:$D$250,$D95,'tp inwestycje do spr.'!$E$7:$E$250,$A95)-F95,2))</f>
        <v>0</v>
      </c>
      <c r="O95" s="344">
        <f>IF(B95="","",ROUND(SUMIFS('tp inwestycje do spr.'!G$7:G$250,'tp inwestycje do spr.'!$A$7:$A$250,$B95,'tp inwestycje do spr.'!$C$7:$C$250,$C95,'tp inwestycje do spr.'!$D$7:$D$250,$D95,'tp inwestycje do spr.'!$E$7:$E$250,$A95)-G95,2))</f>
        <v>0</v>
      </c>
      <c r="P95" s="344">
        <f>IF(C95="","",ROUND(SUMIFS('tp inwestycje do spr.'!H$7:H$250,'tp inwestycje do spr.'!$A$7:$A$250,$B95,'tp inwestycje do spr.'!$C$7:$C$250,$C95,'tp inwestycje do spr.'!$D$7:$D$250,$D95,'tp inwestycje do spr.'!$E$7:$E$250,$A95)-H95,2))</f>
        <v>0</v>
      </c>
      <c r="Q95" s="344">
        <f>IF(D95="","",ROUND(SUMIFS('tp inwestycje do spr.'!I$7:I$250,'tp inwestycje do spr.'!$A$7:$A$250,$B95,'tp inwestycje do spr.'!$C$7:$C$250,$C95,'tp inwestycje do spr.'!$D$7:$D$250,$D95,'tp inwestycje do spr.'!$E$7:$E$250,$A95)-I95,2))</f>
        <v>0</v>
      </c>
      <c r="R95" s="344">
        <f>IF(E95="","",ROUND(SUMIFS('tp inwestycje do spr.'!J$7:J$250,'tp inwestycje do spr.'!$A$7:$A$250,$B95,'tp inwestycje do spr.'!$C$7:$C$250,$C95,'tp inwestycje do spr.'!$D$7:$D$250,$D95,'tp inwestycje do spr.'!$E$7:$E$250,$A95)-J95,2))</f>
        <v>0</v>
      </c>
      <c r="S95" s="344">
        <f>IF(F95="","",ROUND(SUMIFS('tp inwestycje do spr.'!K$7:K$250,'tp inwestycje do spr.'!$A$7:$A$250,$B95,'tp inwestycje do spr.'!$C$7:$C$250,$C95,'tp inwestycje do spr.'!$D$7:$D$250,$D95,'tp inwestycje do spr.'!$E$7:$E$250,$A95)-K95,2))</f>
        <v>0</v>
      </c>
      <c r="T95" s="344">
        <f>IF(G95="","",ROUND(SUMIFS('tp inwestycje do spr.'!L$7:L$250,'tp inwestycje do spr.'!$A$7:$A$250,$B95,'tp inwestycje do spr.'!$C$7:$C$250,$C95,'tp inwestycje do spr.'!$D$7:$D$250,$D95,'tp inwestycje do spr.'!$E$7:$E$250,$A95)-L95,2))</f>
        <v>0</v>
      </c>
      <c r="U95" s="342" t="str">
        <f t="shared" si="5"/>
        <v>nie</v>
      </c>
    </row>
    <row r="96" spans="1:21" x14ac:dyDescent="0.25">
      <c r="A96" s="356" t="s">
        <v>102</v>
      </c>
      <c r="B96" s="356" t="s">
        <v>165</v>
      </c>
      <c r="C96" s="357" t="s">
        <v>344</v>
      </c>
      <c r="D96" s="357" t="s">
        <v>242</v>
      </c>
      <c r="E96" s="356" t="s">
        <v>348</v>
      </c>
      <c r="F96" s="358">
        <v>5069001</v>
      </c>
      <c r="G96" s="358">
        <v>1539806</v>
      </c>
      <c r="H96" s="358">
        <v>1458499</v>
      </c>
      <c r="I96" s="358">
        <v>2070696</v>
      </c>
      <c r="J96" s="358">
        <v>0</v>
      </c>
      <c r="K96" s="358">
        <v>0</v>
      </c>
      <c r="L96" s="358"/>
      <c r="M96" s="355"/>
      <c r="N96" s="344">
        <f>IF(A96="","",ROUND(SUMIFS('tp inwestycje do spr.'!F$7:F$250,'tp inwestycje do spr.'!$A$7:$A$250,$B96,'tp inwestycje do spr.'!$C$7:$C$250,$C96,'tp inwestycje do spr.'!$D$7:$D$250,$D96,'tp inwestycje do spr.'!$E$7:$E$250,$A96)-F96,2))</f>
        <v>0</v>
      </c>
      <c r="O96" s="344">
        <f>IF(B96="","",ROUND(SUMIFS('tp inwestycje do spr.'!G$7:G$250,'tp inwestycje do spr.'!$A$7:$A$250,$B96,'tp inwestycje do spr.'!$C$7:$C$250,$C96,'tp inwestycje do spr.'!$D$7:$D$250,$D96,'tp inwestycje do spr.'!$E$7:$E$250,$A96)-G96,2))</f>
        <v>0</v>
      </c>
      <c r="P96" s="344">
        <f>IF(C96="","",ROUND(SUMIFS('tp inwestycje do spr.'!H$7:H$250,'tp inwestycje do spr.'!$A$7:$A$250,$B96,'tp inwestycje do spr.'!$C$7:$C$250,$C96,'tp inwestycje do spr.'!$D$7:$D$250,$D96,'tp inwestycje do spr.'!$E$7:$E$250,$A96)-H96,2))</f>
        <v>0</v>
      </c>
      <c r="Q96" s="344">
        <f>IF(D96="","",ROUND(SUMIFS('tp inwestycje do spr.'!I$7:I$250,'tp inwestycje do spr.'!$A$7:$A$250,$B96,'tp inwestycje do spr.'!$C$7:$C$250,$C96,'tp inwestycje do spr.'!$D$7:$D$250,$D96,'tp inwestycje do spr.'!$E$7:$E$250,$A96)-I96,2))</f>
        <v>0</v>
      </c>
      <c r="R96" s="344">
        <f>IF(E96="","",ROUND(SUMIFS('tp inwestycje do spr.'!J$7:J$250,'tp inwestycje do spr.'!$A$7:$A$250,$B96,'tp inwestycje do spr.'!$C$7:$C$250,$C96,'tp inwestycje do spr.'!$D$7:$D$250,$D96,'tp inwestycje do spr.'!$E$7:$E$250,$A96)-J96,2))</f>
        <v>0</v>
      </c>
      <c r="S96" s="344">
        <f>IF(F96="","",ROUND(SUMIFS('tp inwestycje do spr.'!K$7:K$250,'tp inwestycje do spr.'!$A$7:$A$250,$B96,'tp inwestycje do spr.'!$C$7:$C$250,$C96,'tp inwestycje do spr.'!$D$7:$D$250,$D96,'tp inwestycje do spr.'!$E$7:$E$250,$A96)-K96,2))</f>
        <v>0</v>
      </c>
      <c r="T96" s="344">
        <f>IF(G96="","",ROUND(SUMIFS('tp inwestycje do spr.'!L$7:L$250,'tp inwestycje do spr.'!$A$7:$A$250,$B96,'tp inwestycje do spr.'!$C$7:$C$250,$C96,'tp inwestycje do spr.'!$D$7:$D$250,$D96,'tp inwestycje do spr.'!$E$7:$E$250,$A96)-L96,2))</f>
        <v>0</v>
      </c>
      <c r="U96" s="342" t="str">
        <f t="shared" si="5"/>
        <v>nie</v>
      </c>
    </row>
    <row r="97" spans="1:21" x14ac:dyDescent="0.25">
      <c r="A97" s="356" t="s">
        <v>103</v>
      </c>
      <c r="B97" s="356" t="s">
        <v>165</v>
      </c>
      <c r="C97" s="357" t="s">
        <v>344</v>
      </c>
      <c r="D97" s="357" t="s">
        <v>242</v>
      </c>
      <c r="E97" s="356" t="s">
        <v>349</v>
      </c>
      <c r="F97" s="358">
        <v>2070696</v>
      </c>
      <c r="G97" s="358">
        <v>0</v>
      </c>
      <c r="H97" s="358">
        <v>0</v>
      </c>
      <c r="I97" s="358">
        <v>2070696</v>
      </c>
      <c r="J97" s="358">
        <v>0</v>
      </c>
      <c r="K97" s="358">
        <v>0</v>
      </c>
      <c r="L97" s="358"/>
      <c r="M97" s="355"/>
      <c r="N97" s="344">
        <f>IF(A97="","",ROUND(SUMIFS('tp inwestycje do spr.'!F$7:F$250,'tp inwestycje do spr.'!$A$7:$A$250,$B97,'tp inwestycje do spr.'!$C$7:$C$250,$C97,'tp inwestycje do spr.'!$D$7:$D$250,$D97,'tp inwestycje do spr.'!$E$7:$E$250,$A97)-F97,2))</f>
        <v>0</v>
      </c>
      <c r="O97" s="344">
        <f>IF(B97="","",ROUND(SUMIFS('tp inwestycje do spr.'!G$7:G$250,'tp inwestycje do spr.'!$A$7:$A$250,$B97,'tp inwestycje do spr.'!$C$7:$C$250,$C97,'tp inwestycje do spr.'!$D$7:$D$250,$D97,'tp inwestycje do spr.'!$E$7:$E$250,$A97)-G97,2))</f>
        <v>0</v>
      </c>
      <c r="P97" s="344">
        <f>IF(C97="","",ROUND(SUMIFS('tp inwestycje do spr.'!H$7:H$250,'tp inwestycje do spr.'!$A$7:$A$250,$B97,'tp inwestycje do spr.'!$C$7:$C$250,$C97,'tp inwestycje do spr.'!$D$7:$D$250,$D97,'tp inwestycje do spr.'!$E$7:$E$250,$A97)-H97,2))</f>
        <v>0</v>
      </c>
      <c r="Q97" s="344">
        <f>IF(D97="","",ROUND(SUMIFS('tp inwestycje do spr.'!I$7:I$250,'tp inwestycje do spr.'!$A$7:$A$250,$B97,'tp inwestycje do spr.'!$C$7:$C$250,$C97,'tp inwestycje do spr.'!$D$7:$D$250,$D97,'tp inwestycje do spr.'!$E$7:$E$250,$A97)-I97,2))</f>
        <v>0</v>
      </c>
      <c r="R97" s="344">
        <f>IF(E97="","",ROUND(SUMIFS('tp inwestycje do spr.'!J$7:J$250,'tp inwestycje do spr.'!$A$7:$A$250,$B97,'tp inwestycje do spr.'!$C$7:$C$250,$C97,'tp inwestycje do spr.'!$D$7:$D$250,$D97,'tp inwestycje do spr.'!$E$7:$E$250,$A97)-J97,2))</f>
        <v>0</v>
      </c>
      <c r="S97" s="344">
        <f>IF(F97="","",ROUND(SUMIFS('tp inwestycje do spr.'!K$7:K$250,'tp inwestycje do spr.'!$A$7:$A$250,$B97,'tp inwestycje do spr.'!$C$7:$C$250,$C97,'tp inwestycje do spr.'!$D$7:$D$250,$D97,'tp inwestycje do spr.'!$E$7:$E$250,$A97)-K97,2))</f>
        <v>0</v>
      </c>
      <c r="T97" s="344">
        <f>IF(G97="","",ROUND(SUMIFS('tp inwestycje do spr.'!L$7:L$250,'tp inwestycje do spr.'!$A$7:$A$250,$B97,'tp inwestycje do spr.'!$C$7:$C$250,$C97,'tp inwestycje do spr.'!$D$7:$D$250,$D97,'tp inwestycje do spr.'!$E$7:$E$250,$A97)-L97,2))</f>
        <v>0</v>
      </c>
      <c r="U97" s="342" t="str">
        <f t="shared" si="5"/>
        <v>nie</v>
      </c>
    </row>
    <row r="98" spans="1:21" x14ac:dyDescent="0.25">
      <c r="A98" s="356" t="s">
        <v>104</v>
      </c>
      <c r="B98" s="356" t="s">
        <v>165</v>
      </c>
      <c r="C98" s="357" t="s">
        <v>344</v>
      </c>
      <c r="D98" s="357" t="s">
        <v>242</v>
      </c>
      <c r="E98" s="356" t="s">
        <v>350</v>
      </c>
      <c r="F98" s="358">
        <v>2998305</v>
      </c>
      <c r="G98" s="358">
        <v>1539806</v>
      </c>
      <c r="H98" s="358">
        <v>1458499</v>
      </c>
      <c r="I98" s="358">
        <v>0</v>
      </c>
      <c r="J98" s="358">
        <v>0</v>
      </c>
      <c r="K98" s="358">
        <v>0</v>
      </c>
      <c r="L98" s="358"/>
      <c r="M98" s="355"/>
      <c r="N98" s="344">
        <f>IF(A98="","",ROUND(SUMIFS('tp inwestycje do spr.'!F$7:F$250,'tp inwestycje do spr.'!$A$7:$A$250,$B98,'tp inwestycje do spr.'!$C$7:$C$250,$C98,'tp inwestycje do spr.'!$D$7:$D$250,$D98,'tp inwestycje do spr.'!$E$7:$E$250,$A98)-F98,2))</f>
        <v>0</v>
      </c>
      <c r="O98" s="344">
        <f>IF(B98="","",ROUND(SUMIFS('tp inwestycje do spr.'!G$7:G$250,'tp inwestycje do spr.'!$A$7:$A$250,$B98,'tp inwestycje do spr.'!$C$7:$C$250,$C98,'tp inwestycje do spr.'!$D$7:$D$250,$D98,'tp inwestycje do spr.'!$E$7:$E$250,$A98)-G98,2))</f>
        <v>0</v>
      </c>
      <c r="P98" s="344">
        <f>IF(C98="","",ROUND(SUMIFS('tp inwestycje do spr.'!H$7:H$250,'tp inwestycje do spr.'!$A$7:$A$250,$B98,'tp inwestycje do spr.'!$C$7:$C$250,$C98,'tp inwestycje do spr.'!$D$7:$D$250,$D98,'tp inwestycje do spr.'!$E$7:$E$250,$A98)-H98,2))</f>
        <v>0</v>
      </c>
      <c r="Q98" s="344">
        <f>IF(D98="","",ROUND(SUMIFS('tp inwestycje do spr.'!I$7:I$250,'tp inwestycje do spr.'!$A$7:$A$250,$B98,'tp inwestycje do spr.'!$C$7:$C$250,$C98,'tp inwestycje do spr.'!$D$7:$D$250,$D98,'tp inwestycje do spr.'!$E$7:$E$250,$A98)-I98,2))</f>
        <v>0</v>
      </c>
      <c r="R98" s="344">
        <f>IF(E98="","",ROUND(SUMIFS('tp inwestycje do spr.'!J$7:J$250,'tp inwestycje do spr.'!$A$7:$A$250,$B98,'tp inwestycje do spr.'!$C$7:$C$250,$C98,'tp inwestycje do spr.'!$D$7:$D$250,$D98,'tp inwestycje do spr.'!$E$7:$E$250,$A98)-J98,2))</f>
        <v>0</v>
      </c>
      <c r="S98" s="344">
        <f>IF(F98="","",ROUND(SUMIFS('tp inwestycje do spr.'!K$7:K$250,'tp inwestycje do spr.'!$A$7:$A$250,$B98,'tp inwestycje do spr.'!$C$7:$C$250,$C98,'tp inwestycje do spr.'!$D$7:$D$250,$D98,'tp inwestycje do spr.'!$E$7:$E$250,$A98)-K98,2))</f>
        <v>0</v>
      </c>
      <c r="T98" s="344">
        <f>IF(G98="","",ROUND(SUMIFS('tp inwestycje do spr.'!L$7:L$250,'tp inwestycje do spr.'!$A$7:$A$250,$B98,'tp inwestycje do spr.'!$C$7:$C$250,$C98,'tp inwestycje do spr.'!$D$7:$D$250,$D98,'tp inwestycje do spr.'!$E$7:$E$250,$A98)-L98,2))</f>
        <v>0</v>
      </c>
      <c r="U98" s="342" t="str">
        <f t="shared" si="5"/>
        <v>nie</v>
      </c>
    </row>
    <row r="99" spans="1:21" x14ac:dyDescent="0.25">
      <c r="A99" s="356" t="s">
        <v>102</v>
      </c>
      <c r="B99" s="356" t="s">
        <v>167</v>
      </c>
      <c r="C99" s="357" t="s">
        <v>344</v>
      </c>
      <c r="D99" s="357" t="s">
        <v>242</v>
      </c>
      <c r="E99" s="356" t="s">
        <v>352</v>
      </c>
      <c r="F99" s="358">
        <v>15657458</v>
      </c>
      <c r="G99" s="358">
        <v>317217</v>
      </c>
      <c r="H99" s="358">
        <v>9156438</v>
      </c>
      <c r="I99" s="358">
        <v>5553782</v>
      </c>
      <c r="J99" s="358">
        <v>630021</v>
      </c>
      <c r="K99" s="358">
        <v>0</v>
      </c>
      <c r="L99" s="358"/>
      <c r="M99" s="355"/>
      <c r="N99" s="344">
        <f>IF(A99="","",ROUND(SUMIFS('tp inwestycje do spr.'!F$7:F$250,'tp inwestycje do spr.'!$A$7:$A$250,$B99,'tp inwestycje do spr.'!$C$7:$C$250,$C99,'tp inwestycje do spr.'!$D$7:$D$250,$D99,'tp inwestycje do spr.'!$E$7:$E$250,$A99)-F99,2))</f>
        <v>0</v>
      </c>
      <c r="O99" s="344">
        <f>IF(B99="","",ROUND(SUMIFS('tp inwestycje do spr.'!G$7:G$250,'tp inwestycje do spr.'!$A$7:$A$250,$B99,'tp inwestycje do spr.'!$C$7:$C$250,$C99,'tp inwestycje do spr.'!$D$7:$D$250,$D99,'tp inwestycje do spr.'!$E$7:$E$250,$A99)-G99,2))</f>
        <v>0</v>
      </c>
      <c r="P99" s="344">
        <f>IF(C99="","",ROUND(SUMIFS('tp inwestycje do spr.'!H$7:H$250,'tp inwestycje do spr.'!$A$7:$A$250,$B99,'tp inwestycje do spr.'!$C$7:$C$250,$C99,'tp inwestycje do spr.'!$D$7:$D$250,$D99,'tp inwestycje do spr.'!$E$7:$E$250,$A99)-H99,2))</f>
        <v>0</v>
      </c>
      <c r="Q99" s="344">
        <f>IF(D99="","",ROUND(SUMIFS('tp inwestycje do spr.'!I$7:I$250,'tp inwestycje do spr.'!$A$7:$A$250,$B99,'tp inwestycje do spr.'!$C$7:$C$250,$C99,'tp inwestycje do spr.'!$D$7:$D$250,$D99,'tp inwestycje do spr.'!$E$7:$E$250,$A99)-I99,2))</f>
        <v>0</v>
      </c>
      <c r="R99" s="344">
        <f>IF(E99="","",ROUND(SUMIFS('tp inwestycje do spr.'!J$7:J$250,'tp inwestycje do spr.'!$A$7:$A$250,$B99,'tp inwestycje do spr.'!$C$7:$C$250,$C99,'tp inwestycje do spr.'!$D$7:$D$250,$D99,'tp inwestycje do spr.'!$E$7:$E$250,$A99)-J99,2))</f>
        <v>0</v>
      </c>
      <c r="S99" s="344">
        <f>IF(F99="","",ROUND(SUMIFS('tp inwestycje do spr.'!K$7:K$250,'tp inwestycje do spr.'!$A$7:$A$250,$B99,'tp inwestycje do spr.'!$C$7:$C$250,$C99,'tp inwestycje do spr.'!$D$7:$D$250,$D99,'tp inwestycje do spr.'!$E$7:$E$250,$A99)-K99,2))</f>
        <v>0</v>
      </c>
      <c r="T99" s="344">
        <f>IF(G99="","",ROUND(SUMIFS('tp inwestycje do spr.'!L$7:L$250,'tp inwestycje do spr.'!$A$7:$A$250,$B99,'tp inwestycje do spr.'!$C$7:$C$250,$C99,'tp inwestycje do spr.'!$D$7:$D$250,$D99,'tp inwestycje do spr.'!$E$7:$E$250,$A99)-L99,2))</f>
        <v>0</v>
      </c>
      <c r="U99" s="342" t="str">
        <f t="shared" si="5"/>
        <v>nie</v>
      </c>
    </row>
    <row r="100" spans="1:21" x14ac:dyDescent="0.25">
      <c r="A100" s="356" t="s">
        <v>103</v>
      </c>
      <c r="B100" s="356" t="s">
        <v>167</v>
      </c>
      <c r="C100" s="357" t="s">
        <v>344</v>
      </c>
      <c r="D100" s="357" t="s">
        <v>242</v>
      </c>
      <c r="E100" s="356" t="s">
        <v>353</v>
      </c>
      <c r="F100" s="358">
        <v>6183803</v>
      </c>
      <c r="G100" s="358">
        <v>0</v>
      </c>
      <c r="H100" s="358">
        <v>0</v>
      </c>
      <c r="I100" s="358">
        <v>5553782</v>
      </c>
      <c r="J100" s="358">
        <v>630021</v>
      </c>
      <c r="K100" s="358">
        <v>0</v>
      </c>
      <c r="L100" s="358"/>
      <c r="M100" s="355"/>
      <c r="N100" s="344">
        <f>IF(A100="","",ROUND(SUMIFS('tp inwestycje do spr.'!F$7:F$250,'tp inwestycje do spr.'!$A$7:$A$250,$B100,'tp inwestycje do spr.'!$C$7:$C$250,$C100,'tp inwestycje do spr.'!$D$7:$D$250,$D100,'tp inwestycje do spr.'!$E$7:$E$250,$A100)-F100,2))</f>
        <v>0</v>
      </c>
      <c r="O100" s="344">
        <f>IF(B100="","",ROUND(SUMIFS('tp inwestycje do spr.'!G$7:G$250,'tp inwestycje do spr.'!$A$7:$A$250,$B100,'tp inwestycje do spr.'!$C$7:$C$250,$C100,'tp inwestycje do spr.'!$D$7:$D$250,$D100,'tp inwestycje do spr.'!$E$7:$E$250,$A100)-G100,2))</f>
        <v>0</v>
      </c>
      <c r="P100" s="344">
        <f>IF(C100="","",ROUND(SUMIFS('tp inwestycje do spr.'!H$7:H$250,'tp inwestycje do spr.'!$A$7:$A$250,$B100,'tp inwestycje do spr.'!$C$7:$C$250,$C100,'tp inwestycje do spr.'!$D$7:$D$250,$D100,'tp inwestycje do spr.'!$E$7:$E$250,$A100)-H100,2))</f>
        <v>0</v>
      </c>
      <c r="Q100" s="344">
        <f>IF(D100="","",ROUND(SUMIFS('tp inwestycje do spr.'!I$7:I$250,'tp inwestycje do spr.'!$A$7:$A$250,$B100,'tp inwestycje do spr.'!$C$7:$C$250,$C100,'tp inwestycje do spr.'!$D$7:$D$250,$D100,'tp inwestycje do spr.'!$E$7:$E$250,$A100)-I100,2))</f>
        <v>0</v>
      </c>
      <c r="R100" s="344">
        <f>IF(E100="","",ROUND(SUMIFS('tp inwestycje do spr.'!J$7:J$250,'tp inwestycje do spr.'!$A$7:$A$250,$B100,'tp inwestycje do spr.'!$C$7:$C$250,$C100,'tp inwestycje do spr.'!$D$7:$D$250,$D100,'tp inwestycje do spr.'!$E$7:$E$250,$A100)-J100,2))</f>
        <v>0</v>
      </c>
      <c r="S100" s="344">
        <f>IF(F100="","",ROUND(SUMIFS('tp inwestycje do spr.'!K$7:K$250,'tp inwestycje do spr.'!$A$7:$A$250,$B100,'tp inwestycje do spr.'!$C$7:$C$250,$C100,'tp inwestycje do spr.'!$D$7:$D$250,$D100,'tp inwestycje do spr.'!$E$7:$E$250,$A100)-K100,2))</f>
        <v>0</v>
      </c>
      <c r="T100" s="344">
        <f>IF(G100="","",ROUND(SUMIFS('tp inwestycje do spr.'!L$7:L$250,'tp inwestycje do spr.'!$A$7:$A$250,$B100,'tp inwestycje do spr.'!$C$7:$C$250,$C100,'tp inwestycje do spr.'!$D$7:$D$250,$D100,'tp inwestycje do spr.'!$E$7:$E$250,$A100)-L100,2))</f>
        <v>0</v>
      </c>
      <c r="U100" s="342" t="str">
        <f t="shared" si="5"/>
        <v>nie</v>
      </c>
    </row>
    <row r="101" spans="1:21" x14ac:dyDescent="0.25">
      <c r="A101" s="356" t="s">
        <v>104</v>
      </c>
      <c r="B101" s="356" t="s">
        <v>167</v>
      </c>
      <c r="C101" s="357" t="s">
        <v>344</v>
      </c>
      <c r="D101" s="357" t="s">
        <v>242</v>
      </c>
      <c r="E101" s="356" t="s">
        <v>354</v>
      </c>
      <c r="F101" s="358">
        <v>9473655</v>
      </c>
      <c r="G101" s="358">
        <v>317217</v>
      </c>
      <c r="H101" s="358">
        <v>9156438</v>
      </c>
      <c r="I101" s="358">
        <v>0</v>
      </c>
      <c r="J101" s="358">
        <v>0</v>
      </c>
      <c r="K101" s="358">
        <v>0</v>
      </c>
      <c r="L101" s="358"/>
      <c r="M101" s="355"/>
      <c r="N101" s="344">
        <f>IF(A101="","",ROUND(SUMIFS('tp inwestycje do spr.'!F$7:F$250,'tp inwestycje do spr.'!$A$7:$A$250,$B101,'tp inwestycje do spr.'!$C$7:$C$250,$C101,'tp inwestycje do spr.'!$D$7:$D$250,$D101,'tp inwestycje do spr.'!$E$7:$E$250,$A101)-F101,2))</f>
        <v>0</v>
      </c>
      <c r="O101" s="344">
        <f>IF(B101="","",ROUND(SUMIFS('tp inwestycje do spr.'!G$7:G$250,'tp inwestycje do spr.'!$A$7:$A$250,$B101,'tp inwestycje do spr.'!$C$7:$C$250,$C101,'tp inwestycje do spr.'!$D$7:$D$250,$D101,'tp inwestycje do spr.'!$E$7:$E$250,$A101)-G101,2))</f>
        <v>0</v>
      </c>
      <c r="P101" s="344">
        <f>IF(C101="","",ROUND(SUMIFS('tp inwestycje do spr.'!H$7:H$250,'tp inwestycje do spr.'!$A$7:$A$250,$B101,'tp inwestycje do spr.'!$C$7:$C$250,$C101,'tp inwestycje do spr.'!$D$7:$D$250,$D101,'tp inwestycje do spr.'!$E$7:$E$250,$A101)-H101,2))</f>
        <v>0</v>
      </c>
      <c r="Q101" s="344">
        <f>IF(D101="","",ROUND(SUMIFS('tp inwestycje do spr.'!I$7:I$250,'tp inwestycje do spr.'!$A$7:$A$250,$B101,'tp inwestycje do spr.'!$C$7:$C$250,$C101,'tp inwestycje do spr.'!$D$7:$D$250,$D101,'tp inwestycje do spr.'!$E$7:$E$250,$A101)-I101,2))</f>
        <v>0</v>
      </c>
      <c r="R101" s="344">
        <f>IF(E101="","",ROUND(SUMIFS('tp inwestycje do spr.'!J$7:J$250,'tp inwestycje do spr.'!$A$7:$A$250,$B101,'tp inwestycje do spr.'!$C$7:$C$250,$C101,'tp inwestycje do spr.'!$D$7:$D$250,$D101,'tp inwestycje do spr.'!$E$7:$E$250,$A101)-J101,2))</f>
        <v>0</v>
      </c>
      <c r="S101" s="344">
        <f>IF(F101="","",ROUND(SUMIFS('tp inwestycje do spr.'!K$7:K$250,'tp inwestycje do spr.'!$A$7:$A$250,$B101,'tp inwestycje do spr.'!$C$7:$C$250,$C101,'tp inwestycje do spr.'!$D$7:$D$250,$D101,'tp inwestycje do spr.'!$E$7:$E$250,$A101)-K101,2))</f>
        <v>0</v>
      </c>
      <c r="T101" s="344">
        <f>IF(G101="","",ROUND(SUMIFS('tp inwestycje do spr.'!L$7:L$250,'tp inwestycje do spr.'!$A$7:$A$250,$B101,'tp inwestycje do spr.'!$C$7:$C$250,$C101,'tp inwestycje do spr.'!$D$7:$D$250,$D101,'tp inwestycje do spr.'!$E$7:$E$250,$A101)-L101,2))</f>
        <v>0</v>
      </c>
      <c r="U101" s="342" t="str">
        <f t="shared" si="5"/>
        <v>nie</v>
      </c>
    </row>
    <row r="102" spans="1:21" x14ac:dyDescent="0.25">
      <c r="A102" s="356" t="s">
        <v>102</v>
      </c>
      <c r="B102" s="356" t="s">
        <v>169</v>
      </c>
      <c r="C102" s="357" t="s">
        <v>344</v>
      </c>
      <c r="D102" s="357" t="s">
        <v>242</v>
      </c>
      <c r="E102" s="356" t="s">
        <v>355</v>
      </c>
      <c r="F102" s="358">
        <v>4334103</v>
      </c>
      <c r="G102" s="358">
        <v>138971</v>
      </c>
      <c r="H102" s="358">
        <v>1395545</v>
      </c>
      <c r="I102" s="358">
        <v>2799587</v>
      </c>
      <c r="J102" s="358">
        <v>0</v>
      </c>
      <c r="K102" s="358">
        <v>0</v>
      </c>
      <c r="L102" s="358"/>
      <c r="M102" s="355"/>
      <c r="N102" s="344">
        <f>IF(A102="","",ROUND(SUMIFS('tp inwestycje do spr.'!F$7:F$250,'tp inwestycje do spr.'!$A$7:$A$250,$B102,'tp inwestycje do spr.'!$C$7:$C$250,$C102,'tp inwestycje do spr.'!$D$7:$D$250,$D102,'tp inwestycje do spr.'!$E$7:$E$250,$A102)-F102,2))</f>
        <v>0</v>
      </c>
      <c r="O102" s="344">
        <f>IF(B102="","",ROUND(SUMIFS('tp inwestycje do spr.'!G$7:G$250,'tp inwestycje do spr.'!$A$7:$A$250,$B102,'tp inwestycje do spr.'!$C$7:$C$250,$C102,'tp inwestycje do spr.'!$D$7:$D$250,$D102,'tp inwestycje do spr.'!$E$7:$E$250,$A102)-G102,2))</f>
        <v>0</v>
      </c>
      <c r="P102" s="344">
        <f>IF(C102="","",ROUND(SUMIFS('tp inwestycje do spr.'!H$7:H$250,'tp inwestycje do spr.'!$A$7:$A$250,$B102,'tp inwestycje do spr.'!$C$7:$C$250,$C102,'tp inwestycje do spr.'!$D$7:$D$250,$D102,'tp inwestycje do spr.'!$E$7:$E$250,$A102)-H102,2))</f>
        <v>0</v>
      </c>
      <c r="Q102" s="344">
        <f>IF(D102="","",ROUND(SUMIFS('tp inwestycje do spr.'!I$7:I$250,'tp inwestycje do spr.'!$A$7:$A$250,$B102,'tp inwestycje do spr.'!$C$7:$C$250,$C102,'tp inwestycje do spr.'!$D$7:$D$250,$D102,'tp inwestycje do spr.'!$E$7:$E$250,$A102)-I102,2))</f>
        <v>0</v>
      </c>
      <c r="R102" s="344">
        <f>IF(E102="","",ROUND(SUMIFS('tp inwestycje do spr.'!J$7:J$250,'tp inwestycje do spr.'!$A$7:$A$250,$B102,'tp inwestycje do spr.'!$C$7:$C$250,$C102,'tp inwestycje do spr.'!$D$7:$D$250,$D102,'tp inwestycje do spr.'!$E$7:$E$250,$A102)-J102,2))</f>
        <v>0</v>
      </c>
      <c r="S102" s="344">
        <f>IF(F102="","",ROUND(SUMIFS('tp inwestycje do spr.'!K$7:K$250,'tp inwestycje do spr.'!$A$7:$A$250,$B102,'tp inwestycje do spr.'!$C$7:$C$250,$C102,'tp inwestycje do spr.'!$D$7:$D$250,$D102,'tp inwestycje do spr.'!$E$7:$E$250,$A102)-K102,2))</f>
        <v>0</v>
      </c>
      <c r="T102" s="344">
        <f>IF(G102="","",ROUND(SUMIFS('tp inwestycje do spr.'!L$7:L$250,'tp inwestycje do spr.'!$A$7:$A$250,$B102,'tp inwestycje do spr.'!$C$7:$C$250,$C102,'tp inwestycje do spr.'!$D$7:$D$250,$D102,'tp inwestycje do spr.'!$E$7:$E$250,$A102)-L102,2))</f>
        <v>0</v>
      </c>
      <c r="U102" s="342" t="str">
        <f t="shared" si="5"/>
        <v>nie</v>
      </c>
    </row>
    <row r="103" spans="1:21" x14ac:dyDescent="0.25">
      <c r="A103" s="356" t="s">
        <v>103</v>
      </c>
      <c r="B103" s="356" t="s">
        <v>169</v>
      </c>
      <c r="C103" s="357" t="s">
        <v>344</v>
      </c>
      <c r="D103" s="357" t="s">
        <v>242</v>
      </c>
      <c r="E103" s="356" t="s">
        <v>356</v>
      </c>
      <c r="F103" s="358">
        <v>2677447</v>
      </c>
      <c r="G103" s="358">
        <v>0</v>
      </c>
      <c r="H103" s="358">
        <v>0</v>
      </c>
      <c r="I103" s="358">
        <v>2677447</v>
      </c>
      <c r="J103" s="358">
        <v>0</v>
      </c>
      <c r="K103" s="358">
        <v>0</v>
      </c>
      <c r="L103" s="358"/>
      <c r="M103" s="355"/>
      <c r="N103" s="344">
        <f>IF(A103="","",ROUND(SUMIFS('tp inwestycje do spr.'!F$7:F$250,'tp inwestycje do spr.'!$A$7:$A$250,$B103,'tp inwestycje do spr.'!$C$7:$C$250,$C103,'tp inwestycje do spr.'!$D$7:$D$250,$D103,'tp inwestycje do spr.'!$E$7:$E$250,$A103)-F103,2))</f>
        <v>0</v>
      </c>
      <c r="O103" s="344">
        <f>IF(B103="","",ROUND(SUMIFS('tp inwestycje do spr.'!G$7:G$250,'tp inwestycje do spr.'!$A$7:$A$250,$B103,'tp inwestycje do spr.'!$C$7:$C$250,$C103,'tp inwestycje do spr.'!$D$7:$D$250,$D103,'tp inwestycje do spr.'!$E$7:$E$250,$A103)-G103,2))</f>
        <v>0</v>
      </c>
      <c r="P103" s="344">
        <f>IF(C103="","",ROUND(SUMIFS('tp inwestycje do spr.'!H$7:H$250,'tp inwestycje do spr.'!$A$7:$A$250,$B103,'tp inwestycje do spr.'!$C$7:$C$250,$C103,'tp inwestycje do spr.'!$D$7:$D$250,$D103,'tp inwestycje do spr.'!$E$7:$E$250,$A103)-H103,2))</f>
        <v>0</v>
      </c>
      <c r="Q103" s="344">
        <f>IF(D103="","",ROUND(SUMIFS('tp inwestycje do spr.'!I$7:I$250,'tp inwestycje do spr.'!$A$7:$A$250,$B103,'tp inwestycje do spr.'!$C$7:$C$250,$C103,'tp inwestycje do spr.'!$D$7:$D$250,$D103,'tp inwestycje do spr.'!$E$7:$E$250,$A103)-I103,2))</f>
        <v>0</v>
      </c>
      <c r="R103" s="344">
        <f>IF(E103="","",ROUND(SUMIFS('tp inwestycje do spr.'!J$7:J$250,'tp inwestycje do spr.'!$A$7:$A$250,$B103,'tp inwestycje do spr.'!$C$7:$C$250,$C103,'tp inwestycje do spr.'!$D$7:$D$250,$D103,'tp inwestycje do spr.'!$E$7:$E$250,$A103)-J103,2))</f>
        <v>0</v>
      </c>
      <c r="S103" s="344">
        <f>IF(F103="","",ROUND(SUMIFS('tp inwestycje do spr.'!K$7:K$250,'tp inwestycje do spr.'!$A$7:$A$250,$B103,'tp inwestycje do spr.'!$C$7:$C$250,$C103,'tp inwestycje do spr.'!$D$7:$D$250,$D103,'tp inwestycje do spr.'!$E$7:$E$250,$A103)-K103,2))</f>
        <v>0</v>
      </c>
      <c r="T103" s="344">
        <f>IF(G103="","",ROUND(SUMIFS('tp inwestycje do spr.'!L$7:L$250,'tp inwestycje do spr.'!$A$7:$A$250,$B103,'tp inwestycje do spr.'!$C$7:$C$250,$C103,'tp inwestycje do spr.'!$D$7:$D$250,$D103,'tp inwestycje do spr.'!$E$7:$E$250,$A103)-L103,2))</f>
        <v>0</v>
      </c>
      <c r="U103" s="342" t="str">
        <f t="shared" si="5"/>
        <v>nie</v>
      </c>
    </row>
    <row r="104" spans="1:21" x14ac:dyDescent="0.25">
      <c r="A104" s="356" t="s">
        <v>104</v>
      </c>
      <c r="B104" s="356" t="s">
        <v>169</v>
      </c>
      <c r="C104" s="357" t="s">
        <v>344</v>
      </c>
      <c r="D104" s="357" t="s">
        <v>242</v>
      </c>
      <c r="E104" s="356" t="s">
        <v>357</v>
      </c>
      <c r="F104" s="358">
        <v>1656656</v>
      </c>
      <c r="G104" s="358">
        <v>138971</v>
      </c>
      <c r="H104" s="358">
        <v>1395545</v>
      </c>
      <c r="I104" s="358">
        <v>122140</v>
      </c>
      <c r="J104" s="358">
        <v>0</v>
      </c>
      <c r="K104" s="358">
        <v>0</v>
      </c>
      <c r="L104" s="358"/>
      <c r="M104" s="355"/>
      <c r="N104" s="344">
        <f>IF(A104="","",ROUND(SUMIFS('tp inwestycje do spr.'!F$7:F$250,'tp inwestycje do spr.'!$A$7:$A$250,$B104,'tp inwestycje do spr.'!$C$7:$C$250,$C104,'tp inwestycje do spr.'!$D$7:$D$250,$D104,'tp inwestycje do spr.'!$E$7:$E$250,$A104)-F104,2))</f>
        <v>0</v>
      </c>
      <c r="O104" s="344">
        <f>IF(B104="","",ROUND(SUMIFS('tp inwestycje do spr.'!G$7:G$250,'tp inwestycje do spr.'!$A$7:$A$250,$B104,'tp inwestycje do spr.'!$C$7:$C$250,$C104,'tp inwestycje do spr.'!$D$7:$D$250,$D104,'tp inwestycje do spr.'!$E$7:$E$250,$A104)-G104,2))</f>
        <v>0</v>
      </c>
      <c r="P104" s="344">
        <f>IF(C104="","",ROUND(SUMIFS('tp inwestycje do spr.'!H$7:H$250,'tp inwestycje do spr.'!$A$7:$A$250,$B104,'tp inwestycje do spr.'!$C$7:$C$250,$C104,'tp inwestycje do spr.'!$D$7:$D$250,$D104,'tp inwestycje do spr.'!$E$7:$E$250,$A104)-H104,2))</f>
        <v>0</v>
      </c>
      <c r="Q104" s="344">
        <f>IF(D104="","",ROUND(SUMIFS('tp inwestycje do spr.'!I$7:I$250,'tp inwestycje do spr.'!$A$7:$A$250,$B104,'tp inwestycje do spr.'!$C$7:$C$250,$C104,'tp inwestycje do spr.'!$D$7:$D$250,$D104,'tp inwestycje do spr.'!$E$7:$E$250,$A104)-I104,2))</f>
        <v>0</v>
      </c>
      <c r="R104" s="344">
        <f>IF(E104="","",ROUND(SUMIFS('tp inwestycje do spr.'!J$7:J$250,'tp inwestycje do spr.'!$A$7:$A$250,$B104,'tp inwestycje do spr.'!$C$7:$C$250,$C104,'tp inwestycje do spr.'!$D$7:$D$250,$D104,'tp inwestycje do spr.'!$E$7:$E$250,$A104)-J104,2))</f>
        <v>0</v>
      </c>
      <c r="S104" s="344">
        <f>IF(F104="","",ROUND(SUMIFS('tp inwestycje do spr.'!K$7:K$250,'tp inwestycje do spr.'!$A$7:$A$250,$B104,'tp inwestycje do spr.'!$C$7:$C$250,$C104,'tp inwestycje do spr.'!$D$7:$D$250,$D104,'tp inwestycje do spr.'!$E$7:$E$250,$A104)-K104,2))</f>
        <v>0</v>
      </c>
      <c r="T104" s="344">
        <f>IF(G104="","",ROUND(SUMIFS('tp inwestycje do spr.'!L$7:L$250,'tp inwestycje do spr.'!$A$7:$A$250,$B104,'tp inwestycje do spr.'!$C$7:$C$250,$C104,'tp inwestycje do spr.'!$D$7:$D$250,$D104,'tp inwestycje do spr.'!$E$7:$E$250,$A104)-L104,2))</f>
        <v>0</v>
      </c>
      <c r="U104" s="342" t="str">
        <f t="shared" si="5"/>
        <v>nie</v>
      </c>
    </row>
    <row r="105" spans="1:21" x14ac:dyDescent="0.25">
      <c r="A105" s="356" t="s">
        <v>102</v>
      </c>
      <c r="B105" s="356" t="s">
        <v>171</v>
      </c>
      <c r="C105" s="357" t="s">
        <v>358</v>
      </c>
      <c r="D105" s="357" t="s">
        <v>242</v>
      </c>
      <c r="E105" s="356" t="s">
        <v>359</v>
      </c>
      <c r="F105" s="358">
        <v>7000000</v>
      </c>
      <c r="G105" s="358">
        <v>0</v>
      </c>
      <c r="H105" s="358">
        <v>337515</v>
      </c>
      <c r="I105" s="358">
        <v>5762485</v>
      </c>
      <c r="J105" s="358">
        <v>900000</v>
      </c>
      <c r="K105" s="358">
        <v>0</v>
      </c>
      <c r="L105" s="358"/>
      <c r="M105" s="355"/>
      <c r="N105" s="344">
        <f>IF(A105="","",ROUND(SUMIFS('tp inwestycje do spr.'!F$7:F$250,'tp inwestycje do spr.'!$A$7:$A$250,$B105,'tp inwestycje do spr.'!$C$7:$C$250,$C105,'tp inwestycje do spr.'!$D$7:$D$250,$D105,'tp inwestycje do spr.'!$E$7:$E$250,$A105)-F105,2))</f>
        <v>0</v>
      </c>
      <c r="O105" s="344">
        <f>IF(B105="","",ROUND(SUMIFS('tp inwestycje do spr.'!G$7:G$250,'tp inwestycje do spr.'!$A$7:$A$250,$B105,'tp inwestycje do spr.'!$C$7:$C$250,$C105,'tp inwestycje do spr.'!$D$7:$D$250,$D105,'tp inwestycje do spr.'!$E$7:$E$250,$A105)-G105,2))</f>
        <v>0</v>
      </c>
      <c r="P105" s="344">
        <f>IF(C105="","",ROUND(SUMIFS('tp inwestycje do spr.'!H$7:H$250,'tp inwestycje do spr.'!$A$7:$A$250,$B105,'tp inwestycje do spr.'!$C$7:$C$250,$C105,'tp inwestycje do spr.'!$D$7:$D$250,$D105,'tp inwestycje do spr.'!$E$7:$E$250,$A105)-H105,2))</f>
        <v>0</v>
      </c>
      <c r="Q105" s="344">
        <f>IF(D105="","",ROUND(SUMIFS('tp inwestycje do spr.'!I$7:I$250,'tp inwestycje do spr.'!$A$7:$A$250,$B105,'tp inwestycje do spr.'!$C$7:$C$250,$C105,'tp inwestycje do spr.'!$D$7:$D$250,$D105,'tp inwestycje do spr.'!$E$7:$E$250,$A105)-I105,2))</f>
        <v>0</v>
      </c>
      <c r="R105" s="344">
        <f>IF(E105="","",ROUND(SUMIFS('tp inwestycje do spr.'!J$7:J$250,'tp inwestycje do spr.'!$A$7:$A$250,$B105,'tp inwestycje do spr.'!$C$7:$C$250,$C105,'tp inwestycje do spr.'!$D$7:$D$250,$D105,'tp inwestycje do spr.'!$E$7:$E$250,$A105)-J105,2))</f>
        <v>0</v>
      </c>
      <c r="S105" s="344">
        <f>IF(F105="","",ROUND(SUMIFS('tp inwestycje do spr.'!K$7:K$250,'tp inwestycje do spr.'!$A$7:$A$250,$B105,'tp inwestycje do spr.'!$C$7:$C$250,$C105,'tp inwestycje do spr.'!$D$7:$D$250,$D105,'tp inwestycje do spr.'!$E$7:$E$250,$A105)-K105,2))</f>
        <v>0</v>
      </c>
      <c r="T105" s="344">
        <f>IF(G105="","",ROUND(SUMIFS('tp inwestycje do spr.'!L$7:L$250,'tp inwestycje do spr.'!$A$7:$A$250,$B105,'tp inwestycje do spr.'!$C$7:$C$250,$C105,'tp inwestycje do spr.'!$D$7:$D$250,$D105,'tp inwestycje do spr.'!$E$7:$E$250,$A105)-L105,2))</f>
        <v>0</v>
      </c>
      <c r="U105" s="342" t="str">
        <f t="shared" si="5"/>
        <v>nie</v>
      </c>
    </row>
    <row r="106" spans="1:21" x14ac:dyDescent="0.25">
      <c r="A106" s="356" t="s">
        <v>103</v>
      </c>
      <c r="B106" s="356" t="s">
        <v>171</v>
      </c>
      <c r="C106" s="357" t="s">
        <v>358</v>
      </c>
      <c r="D106" s="357" t="s">
        <v>242</v>
      </c>
      <c r="E106" s="356" t="s">
        <v>360</v>
      </c>
      <c r="F106" s="358">
        <v>6662485</v>
      </c>
      <c r="G106" s="358">
        <v>0</v>
      </c>
      <c r="H106" s="358">
        <v>0</v>
      </c>
      <c r="I106" s="358">
        <v>5762485</v>
      </c>
      <c r="J106" s="358">
        <v>900000</v>
      </c>
      <c r="K106" s="358">
        <v>0</v>
      </c>
      <c r="L106" s="358"/>
      <c r="M106" s="355"/>
      <c r="N106" s="344">
        <f>IF(A106="","",ROUND(SUMIFS('tp inwestycje do spr.'!F$7:F$250,'tp inwestycje do spr.'!$A$7:$A$250,$B106,'tp inwestycje do spr.'!$C$7:$C$250,$C106,'tp inwestycje do spr.'!$D$7:$D$250,$D106,'tp inwestycje do spr.'!$E$7:$E$250,$A106)-F106,2))</f>
        <v>0</v>
      </c>
      <c r="O106" s="344">
        <f>IF(B106="","",ROUND(SUMIFS('tp inwestycje do spr.'!G$7:G$250,'tp inwestycje do spr.'!$A$7:$A$250,$B106,'tp inwestycje do spr.'!$C$7:$C$250,$C106,'tp inwestycje do spr.'!$D$7:$D$250,$D106,'tp inwestycje do spr.'!$E$7:$E$250,$A106)-G106,2))</f>
        <v>0</v>
      </c>
      <c r="P106" s="344">
        <f>IF(C106="","",ROUND(SUMIFS('tp inwestycje do spr.'!H$7:H$250,'tp inwestycje do spr.'!$A$7:$A$250,$B106,'tp inwestycje do spr.'!$C$7:$C$250,$C106,'tp inwestycje do spr.'!$D$7:$D$250,$D106,'tp inwestycje do spr.'!$E$7:$E$250,$A106)-H106,2))</f>
        <v>0</v>
      </c>
      <c r="Q106" s="344">
        <f>IF(D106="","",ROUND(SUMIFS('tp inwestycje do spr.'!I$7:I$250,'tp inwestycje do spr.'!$A$7:$A$250,$B106,'tp inwestycje do spr.'!$C$7:$C$250,$C106,'tp inwestycje do spr.'!$D$7:$D$250,$D106,'tp inwestycje do spr.'!$E$7:$E$250,$A106)-I106,2))</f>
        <v>0</v>
      </c>
      <c r="R106" s="344">
        <f>IF(E106="","",ROUND(SUMIFS('tp inwestycje do spr.'!J$7:J$250,'tp inwestycje do spr.'!$A$7:$A$250,$B106,'tp inwestycje do spr.'!$C$7:$C$250,$C106,'tp inwestycje do spr.'!$D$7:$D$250,$D106,'tp inwestycje do spr.'!$E$7:$E$250,$A106)-J106,2))</f>
        <v>0</v>
      </c>
      <c r="S106" s="344">
        <f>IF(F106="","",ROUND(SUMIFS('tp inwestycje do spr.'!K$7:K$250,'tp inwestycje do spr.'!$A$7:$A$250,$B106,'tp inwestycje do spr.'!$C$7:$C$250,$C106,'tp inwestycje do spr.'!$D$7:$D$250,$D106,'tp inwestycje do spr.'!$E$7:$E$250,$A106)-K106,2))</f>
        <v>0</v>
      </c>
      <c r="T106" s="344">
        <f>IF(G106="","",ROUND(SUMIFS('tp inwestycje do spr.'!L$7:L$250,'tp inwestycje do spr.'!$A$7:$A$250,$B106,'tp inwestycje do spr.'!$C$7:$C$250,$C106,'tp inwestycje do spr.'!$D$7:$D$250,$D106,'tp inwestycje do spr.'!$E$7:$E$250,$A106)-L106,2))</f>
        <v>0</v>
      </c>
      <c r="U106" s="342" t="str">
        <f t="shared" si="5"/>
        <v>nie</v>
      </c>
    </row>
    <row r="107" spans="1:21" x14ac:dyDescent="0.25">
      <c r="A107" s="356" t="s">
        <v>104</v>
      </c>
      <c r="B107" s="356" t="s">
        <v>171</v>
      </c>
      <c r="C107" s="357" t="s">
        <v>358</v>
      </c>
      <c r="D107" s="357" t="s">
        <v>242</v>
      </c>
      <c r="E107" s="356" t="s">
        <v>361</v>
      </c>
      <c r="F107" s="358">
        <v>337515</v>
      </c>
      <c r="G107" s="358">
        <v>0</v>
      </c>
      <c r="H107" s="358">
        <v>337515</v>
      </c>
      <c r="I107" s="358">
        <v>0</v>
      </c>
      <c r="J107" s="358">
        <v>0</v>
      </c>
      <c r="K107" s="358">
        <v>0</v>
      </c>
      <c r="L107" s="358"/>
      <c r="M107" s="355"/>
      <c r="N107" s="344">
        <f>IF(A107="","",ROUND(SUMIFS('tp inwestycje do spr.'!F$7:F$250,'tp inwestycje do spr.'!$A$7:$A$250,$B107,'tp inwestycje do spr.'!$C$7:$C$250,$C107,'tp inwestycje do spr.'!$D$7:$D$250,$D107,'tp inwestycje do spr.'!$E$7:$E$250,$A107)-F107,2))</f>
        <v>0</v>
      </c>
      <c r="O107" s="344">
        <f>IF(B107="","",ROUND(SUMIFS('tp inwestycje do spr.'!G$7:G$250,'tp inwestycje do spr.'!$A$7:$A$250,$B107,'tp inwestycje do spr.'!$C$7:$C$250,$C107,'tp inwestycje do spr.'!$D$7:$D$250,$D107,'tp inwestycje do spr.'!$E$7:$E$250,$A107)-G107,2))</f>
        <v>0</v>
      </c>
      <c r="P107" s="344">
        <f>IF(C107="","",ROUND(SUMIFS('tp inwestycje do spr.'!H$7:H$250,'tp inwestycje do spr.'!$A$7:$A$250,$B107,'tp inwestycje do spr.'!$C$7:$C$250,$C107,'tp inwestycje do spr.'!$D$7:$D$250,$D107,'tp inwestycje do spr.'!$E$7:$E$250,$A107)-H107,2))</f>
        <v>0</v>
      </c>
      <c r="Q107" s="344">
        <f>IF(D107="","",ROUND(SUMIFS('tp inwestycje do spr.'!I$7:I$250,'tp inwestycje do spr.'!$A$7:$A$250,$B107,'tp inwestycje do spr.'!$C$7:$C$250,$C107,'tp inwestycje do spr.'!$D$7:$D$250,$D107,'tp inwestycje do spr.'!$E$7:$E$250,$A107)-I107,2))</f>
        <v>0</v>
      </c>
      <c r="R107" s="344">
        <f>IF(E107="","",ROUND(SUMIFS('tp inwestycje do spr.'!J$7:J$250,'tp inwestycje do spr.'!$A$7:$A$250,$B107,'tp inwestycje do spr.'!$C$7:$C$250,$C107,'tp inwestycje do spr.'!$D$7:$D$250,$D107,'tp inwestycje do spr.'!$E$7:$E$250,$A107)-J107,2))</f>
        <v>0</v>
      </c>
      <c r="S107" s="344">
        <f>IF(F107="","",ROUND(SUMIFS('tp inwestycje do spr.'!K$7:K$250,'tp inwestycje do spr.'!$A$7:$A$250,$B107,'tp inwestycje do spr.'!$C$7:$C$250,$C107,'tp inwestycje do spr.'!$D$7:$D$250,$D107,'tp inwestycje do spr.'!$E$7:$E$250,$A107)-K107,2))</f>
        <v>0</v>
      </c>
      <c r="T107" s="344">
        <f>IF(G107="","",ROUND(SUMIFS('tp inwestycje do spr.'!L$7:L$250,'tp inwestycje do spr.'!$A$7:$A$250,$B107,'tp inwestycje do spr.'!$C$7:$C$250,$C107,'tp inwestycje do spr.'!$D$7:$D$250,$D107,'tp inwestycje do spr.'!$E$7:$E$250,$A107)-L107,2))</f>
        <v>0</v>
      </c>
      <c r="U107" s="342" t="str">
        <f t="shared" si="5"/>
        <v>nie</v>
      </c>
    </row>
    <row r="108" spans="1:21" x14ac:dyDescent="0.25">
      <c r="A108" s="392" t="s">
        <v>102</v>
      </c>
      <c r="B108" s="392" t="s">
        <v>173</v>
      </c>
      <c r="C108" s="393" t="s">
        <v>344</v>
      </c>
      <c r="D108" s="393" t="s">
        <v>242</v>
      </c>
      <c r="E108" s="392" t="s">
        <v>362</v>
      </c>
      <c r="F108" s="394">
        <f>F109+F110</f>
        <v>4431004</v>
      </c>
      <c r="G108" s="394">
        <f t="shared" ref="G108:L108" si="6">G109+G110</f>
        <v>0</v>
      </c>
      <c r="H108" s="394">
        <f t="shared" si="6"/>
        <v>3907176</v>
      </c>
      <c r="I108" s="394">
        <f t="shared" si="6"/>
        <v>523828</v>
      </c>
      <c r="J108" s="394">
        <f t="shared" si="6"/>
        <v>0</v>
      </c>
      <c r="K108" s="394">
        <f t="shared" si="6"/>
        <v>0</v>
      </c>
      <c r="L108" s="394">
        <f t="shared" si="6"/>
        <v>0</v>
      </c>
      <c r="M108" s="355"/>
      <c r="N108" s="344">
        <f>IF(A108="","",ROUND(SUMIFS('tp inwestycje do spr.'!F$7:F$250,'tp inwestycje do spr.'!$A$7:$A$250,$B108,'tp inwestycje do spr.'!$C$7:$C$250,$C108,'tp inwestycje do spr.'!$D$7:$D$250,$D108,'tp inwestycje do spr.'!$E$7:$E$250,$A108)-F108,2))</f>
        <v>0</v>
      </c>
      <c r="O108" s="344">
        <f>IF(B108="","",ROUND(SUMIFS('tp inwestycje do spr.'!G$7:G$250,'tp inwestycje do spr.'!$A$7:$A$250,$B108,'tp inwestycje do spr.'!$C$7:$C$250,$C108,'tp inwestycje do spr.'!$D$7:$D$250,$D108,'tp inwestycje do spr.'!$E$7:$E$250,$A108)-G108,2))</f>
        <v>0</v>
      </c>
      <c r="P108" s="344">
        <f>IF(C108="","",ROUND(SUMIFS('tp inwestycje do spr.'!H$7:H$250,'tp inwestycje do spr.'!$A$7:$A$250,$B108,'tp inwestycje do spr.'!$C$7:$C$250,$C108,'tp inwestycje do spr.'!$D$7:$D$250,$D108,'tp inwestycje do spr.'!$E$7:$E$250,$A108)-H108,2))</f>
        <v>0</v>
      </c>
      <c r="Q108" s="344">
        <f>IF(D108="","",ROUND(SUMIFS('tp inwestycje do spr.'!I$7:I$250,'tp inwestycje do spr.'!$A$7:$A$250,$B108,'tp inwestycje do spr.'!$C$7:$C$250,$C108,'tp inwestycje do spr.'!$D$7:$D$250,$D108,'tp inwestycje do spr.'!$E$7:$E$250,$A108)-I108,2))</f>
        <v>0</v>
      </c>
      <c r="R108" s="344">
        <f>IF(E108="","",ROUND(SUMIFS('tp inwestycje do spr.'!J$7:J$250,'tp inwestycje do spr.'!$A$7:$A$250,$B108,'tp inwestycje do spr.'!$C$7:$C$250,$C108,'tp inwestycje do spr.'!$D$7:$D$250,$D108,'tp inwestycje do spr.'!$E$7:$E$250,$A108)-J108,2))</f>
        <v>0</v>
      </c>
      <c r="S108" s="344">
        <f>IF(F108="","",ROUND(SUMIFS('tp inwestycje do spr.'!K$7:K$250,'tp inwestycje do spr.'!$A$7:$A$250,$B108,'tp inwestycje do spr.'!$C$7:$C$250,$C108,'tp inwestycje do spr.'!$D$7:$D$250,$D108,'tp inwestycje do spr.'!$E$7:$E$250,$A108)-K108,2))</f>
        <v>0</v>
      </c>
      <c r="T108" s="344">
        <f>IF(G108="","",ROUND(SUMIFS('tp inwestycje do spr.'!L$7:L$250,'tp inwestycje do spr.'!$A$7:$A$250,$B108,'tp inwestycje do spr.'!$C$7:$C$250,$C108,'tp inwestycje do spr.'!$D$7:$D$250,$D108,'tp inwestycje do spr.'!$E$7:$E$250,$A108)-L108,2))</f>
        <v>0</v>
      </c>
      <c r="U108" s="342" t="str">
        <f t="shared" si="5"/>
        <v>nie</v>
      </c>
    </row>
    <row r="109" spans="1:21" x14ac:dyDescent="0.25">
      <c r="A109" s="356" t="s">
        <v>103</v>
      </c>
      <c r="B109" s="356" t="s">
        <v>173</v>
      </c>
      <c r="C109" s="357" t="s">
        <v>344</v>
      </c>
      <c r="D109" s="357" t="s">
        <v>242</v>
      </c>
      <c r="E109" s="356" t="s">
        <v>363</v>
      </c>
      <c r="F109" s="358">
        <v>523828</v>
      </c>
      <c r="G109" s="358">
        <v>0</v>
      </c>
      <c r="H109" s="358">
        <v>0</v>
      </c>
      <c r="I109" s="358">
        <v>523828</v>
      </c>
      <c r="J109" s="358">
        <v>0</v>
      </c>
      <c r="K109" s="358">
        <v>0</v>
      </c>
      <c r="L109" s="358"/>
      <c r="M109" s="355"/>
      <c r="N109" s="344">
        <f>IF(A109="","",ROUND(SUMIFS('tp inwestycje do spr.'!F$7:F$250,'tp inwestycje do spr.'!$A$7:$A$250,$B109,'tp inwestycje do spr.'!$C$7:$C$250,$C109,'tp inwestycje do spr.'!$D$7:$D$250,$D109,'tp inwestycje do spr.'!$E$7:$E$250,$A109)-F109,2))</f>
        <v>0</v>
      </c>
      <c r="O109" s="344">
        <f>IF(B109="","",ROUND(SUMIFS('tp inwestycje do spr.'!G$7:G$250,'tp inwestycje do spr.'!$A$7:$A$250,$B109,'tp inwestycje do spr.'!$C$7:$C$250,$C109,'tp inwestycje do spr.'!$D$7:$D$250,$D109,'tp inwestycje do spr.'!$E$7:$E$250,$A109)-G109,2))</f>
        <v>0</v>
      </c>
      <c r="P109" s="344">
        <f>IF(C109="","",ROUND(SUMIFS('tp inwestycje do spr.'!H$7:H$250,'tp inwestycje do spr.'!$A$7:$A$250,$B109,'tp inwestycje do spr.'!$C$7:$C$250,$C109,'tp inwestycje do spr.'!$D$7:$D$250,$D109,'tp inwestycje do spr.'!$E$7:$E$250,$A109)-H109,2))</f>
        <v>0</v>
      </c>
      <c r="Q109" s="344">
        <f>IF(D109="","",ROUND(SUMIFS('tp inwestycje do spr.'!I$7:I$250,'tp inwestycje do spr.'!$A$7:$A$250,$B109,'tp inwestycje do spr.'!$C$7:$C$250,$C109,'tp inwestycje do spr.'!$D$7:$D$250,$D109,'tp inwestycje do spr.'!$E$7:$E$250,$A109)-I109,2))</f>
        <v>0</v>
      </c>
      <c r="R109" s="344">
        <f>IF(E109="","",ROUND(SUMIFS('tp inwestycje do spr.'!J$7:J$250,'tp inwestycje do spr.'!$A$7:$A$250,$B109,'tp inwestycje do spr.'!$C$7:$C$250,$C109,'tp inwestycje do spr.'!$D$7:$D$250,$D109,'tp inwestycje do spr.'!$E$7:$E$250,$A109)-J109,2))</f>
        <v>0</v>
      </c>
      <c r="S109" s="344">
        <f>IF(F109="","",ROUND(SUMIFS('tp inwestycje do spr.'!K$7:K$250,'tp inwestycje do spr.'!$A$7:$A$250,$B109,'tp inwestycje do spr.'!$C$7:$C$250,$C109,'tp inwestycje do spr.'!$D$7:$D$250,$D109,'tp inwestycje do spr.'!$E$7:$E$250,$A109)-K109,2))</f>
        <v>0</v>
      </c>
      <c r="T109" s="344">
        <f>IF(G109="","",ROUND(SUMIFS('tp inwestycje do spr.'!L$7:L$250,'tp inwestycje do spr.'!$A$7:$A$250,$B109,'tp inwestycje do spr.'!$C$7:$C$250,$C109,'tp inwestycje do spr.'!$D$7:$D$250,$D109,'tp inwestycje do spr.'!$E$7:$E$250,$A109)-L109,2))</f>
        <v>0</v>
      </c>
      <c r="U109" s="342" t="str">
        <f t="shared" si="5"/>
        <v>nie</v>
      </c>
    </row>
    <row r="110" spans="1:21" x14ac:dyDescent="0.25">
      <c r="A110" s="356" t="s">
        <v>104</v>
      </c>
      <c r="B110" s="356" t="s">
        <v>173</v>
      </c>
      <c r="C110" s="357" t="s">
        <v>344</v>
      </c>
      <c r="D110" s="357" t="s">
        <v>242</v>
      </c>
      <c r="E110" s="356" t="s">
        <v>364</v>
      </c>
      <c r="F110" s="358">
        <v>3907176</v>
      </c>
      <c r="G110" s="358">
        <v>0</v>
      </c>
      <c r="H110" s="358">
        <v>3907176</v>
      </c>
      <c r="I110" s="358">
        <v>0</v>
      </c>
      <c r="J110" s="358">
        <v>0</v>
      </c>
      <c r="K110" s="358">
        <v>0</v>
      </c>
      <c r="L110" s="358"/>
      <c r="M110" s="355"/>
      <c r="N110" s="344">
        <f>IF(A110="","",ROUND(SUMIFS('tp inwestycje do spr.'!F$7:F$250,'tp inwestycje do spr.'!$A$7:$A$250,$B110,'tp inwestycje do spr.'!$C$7:$C$250,$C110,'tp inwestycje do spr.'!$D$7:$D$250,$D110,'tp inwestycje do spr.'!$E$7:$E$250,$A110)-F110,2))</f>
        <v>0</v>
      </c>
      <c r="O110" s="344">
        <f>IF(B110="","",ROUND(SUMIFS('tp inwestycje do spr.'!G$7:G$250,'tp inwestycje do spr.'!$A$7:$A$250,$B110,'tp inwestycje do spr.'!$C$7:$C$250,$C110,'tp inwestycje do spr.'!$D$7:$D$250,$D110,'tp inwestycje do spr.'!$E$7:$E$250,$A110)-G110,2))</f>
        <v>0</v>
      </c>
      <c r="P110" s="344">
        <f>IF(C110="","",ROUND(SUMIFS('tp inwestycje do spr.'!H$7:H$250,'tp inwestycje do spr.'!$A$7:$A$250,$B110,'tp inwestycje do spr.'!$C$7:$C$250,$C110,'tp inwestycje do spr.'!$D$7:$D$250,$D110,'tp inwestycje do spr.'!$E$7:$E$250,$A110)-H110,2))</f>
        <v>0</v>
      </c>
      <c r="Q110" s="344">
        <f>IF(D110="","",ROUND(SUMIFS('tp inwestycje do spr.'!I$7:I$250,'tp inwestycje do spr.'!$A$7:$A$250,$B110,'tp inwestycje do spr.'!$C$7:$C$250,$C110,'tp inwestycje do spr.'!$D$7:$D$250,$D110,'tp inwestycje do spr.'!$E$7:$E$250,$A110)-I110,2))</f>
        <v>0</v>
      </c>
      <c r="R110" s="344">
        <f>IF(E110="","",ROUND(SUMIFS('tp inwestycje do spr.'!J$7:J$250,'tp inwestycje do spr.'!$A$7:$A$250,$B110,'tp inwestycje do spr.'!$C$7:$C$250,$C110,'tp inwestycje do spr.'!$D$7:$D$250,$D110,'tp inwestycje do spr.'!$E$7:$E$250,$A110)-J110,2))</f>
        <v>0</v>
      </c>
      <c r="S110" s="344">
        <f>IF(F110="","",ROUND(SUMIFS('tp inwestycje do spr.'!K$7:K$250,'tp inwestycje do spr.'!$A$7:$A$250,$B110,'tp inwestycje do spr.'!$C$7:$C$250,$C110,'tp inwestycje do spr.'!$D$7:$D$250,$D110,'tp inwestycje do spr.'!$E$7:$E$250,$A110)-K110,2))</f>
        <v>0</v>
      </c>
      <c r="T110" s="344">
        <f>IF(G110="","",ROUND(SUMIFS('tp inwestycje do spr.'!L$7:L$250,'tp inwestycje do spr.'!$A$7:$A$250,$B110,'tp inwestycje do spr.'!$C$7:$C$250,$C110,'tp inwestycje do spr.'!$D$7:$D$250,$D110,'tp inwestycje do spr.'!$E$7:$E$250,$A110)-L110,2))</f>
        <v>0</v>
      </c>
      <c r="U110" s="342" t="str">
        <f t="shared" si="5"/>
        <v>nie</v>
      </c>
    </row>
    <row r="111" spans="1:21" x14ac:dyDescent="0.25">
      <c r="A111" s="392" t="s">
        <v>102</v>
      </c>
      <c r="B111" s="392" t="s">
        <v>173</v>
      </c>
      <c r="C111" s="393" t="s">
        <v>344</v>
      </c>
      <c r="D111" s="393" t="s">
        <v>247</v>
      </c>
      <c r="E111" s="392" t="s">
        <v>362</v>
      </c>
      <c r="F111" s="394">
        <f>F112</f>
        <v>1646341</v>
      </c>
      <c r="G111" s="394">
        <f t="shared" ref="G111:L111" si="7">G112</f>
        <v>0</v>
      </c>
      <c r="H111" s="394">
        <f t="shared" si="7"/>
        <v>1646341</v>
      </c>
      <c r="I111" s="394">
        <f t="shared" si="7"/>
        <v>0</v>
      </c>
      <c r="J111" s="394">
        <f t="shared" si="7"/>
        <v>0</v>
      </c>
      <c r="K111" s="394">
        <f t="shared" si="7"/>
        <v>0</v>
      </c>
      <c r="L111" s="394">
        <f t="shared" si="7"/>
        <v>0</v>
      </c>
      <c r="M111" s="355"/>
      <c r="N111" s="344">
        <f>IF(A111="","",ROUND(SUMIFS('tp inwestycje do spr.'!F$7:F$250,'tp inwestycje do spr.'!$A$7:$A$250,$B111,'tp inwestycje do spr.'!$C$7:$C$250,$C111,'tp inwestycje do spr.'!$D$7:$D$250,$D111,'tp inwestycje do spr.'!$E$7:$E$250,$A111)-F111,2))</f>
        <v>0</v>
      </c>
      <c r="O111" s="344">
        <f>IF(B111="","",ROUND(SUMIFS('tp inwestycje do spr.'!G$7:G$250,'tp inwestycje do spr.'!$A$7:$A$250,$B111,'tp inwestycje do spr.'!$C$7:$C$250,$C111,'tp inwestycje do spr.'!$D$7:$D$250,$D111,'tp inwestycje do spr.'!$E$7:$E$250,$A111)-G111,2))</f>
        <v>0</v>
      </c>
      <c r="P111" s="344">
        <f>IF(C111="","",ROUND(SUMIFS('tp inwestycje do spr.'!H$7:H$250,'tp inwestycje do spr.'!$A$7:$A$250,$B111,'tp inwestycje do spr.'!$C$7:$C$250,$C111,'tp inwestycje do spr.'!$D$7:$D$250,$D111,'tp inwestycje do spr.'!$E$7:$E$250,$A111)-H111,2))</f>
        <v>0</v>
      </c>
      <c r="Q111" s="344">
        <f>IF(D111="","",ROUND(SUMIFS('tp inwestycje do spr.'!I$7:I$250,'tp inwestycje do spr.'!$A$7:$A$250,$B111,'tp inwestycje do spr.'!$C$7:$C$250,$C111,'tp inwestycje do spr.'!$D$7:$D$250,$D111,'tp inwestycje do spr.'!$E$7:$E$250,$A111)-I111,2))</f>
        <v>0</v>
      </c>
      <c r="R111" s="344">
        <f>IF(E111="","",ROUND(SUMIFS('tp inwestycje do spr.'!J$7:J$250,'tp inwestycje do spr.'!$A$7:$A$250,$B111,'tp inwestycje do spr.'!$C$7:$C$250,$C111,'tp inwestycje do spr.'!$D$7:$D$250,$D111,'tp inwestycje do spr.'!$E$7:$E$250,$A111)-J111,2))</f>
        <v>0</v>
      </c>
      <c r="S111" s="344">
        <f>IF(F111="","",ROUND(SUMIFS('tp inwestycje do spr.'!K$7:K$250,'tp inwestycje do spr.'!$A$7:$A$250,$B111,'tp inwestycje do spr.'!$C$7:$C$250,$C111,'tp inwestycje do spr.'!$D$7:$D$250,$D111,'tp inwestycje do spr.'!$E$7:$E$250,$A111)-K111,2))</f>
        <v>0</v>
      </c>
      <c r="T111" s="344">
        <f>IF(G111="","",ROUND(SUMIFS('tp inwestycje do spr.'!L$7:L$250,'tp inwestycje do spr.'!$A$7:$A$250,$B111,'tp inwestycje do spr.'!$C$7:$C$250,$C111,'tp inwestycje do spr.'!$D$7:$D$250,$D111,'tp inwestycje do spr.'!$E$7:$E$250,$A111)-L111,2))</f>
        <v>0</v>
      </c>
      <c r="U111" s="342" t="str">
        <f t="shared" si="5"/>
        <v>nie</v>
      </c>
    </row>
    <row r="112" spans="1:21" x14ac:dyDescent="0.25">
      <c r="A112" s="356" t="s">
        <v>104</v>
      </c>
      <c r="B112" s="356" t="s">
        <v>173</v>
      </c>
      <c r="C112" s="357" t="s">
        <v>344</v>
      </c>
      <c r="D112" s="357" t="s">
        <v>247</v>
      </c>
      <c r="E112" s="356" t="s">
        <v>451</v>
      </c>
      <c r="F112" s="358">
        <v>1646341</v>
      </c>
      <c r="G112" s="358">
        <v>0</v>
      </c>
      <c r="H112" s="358">
        <v>1646341</v>
      </c>
      <c r="I112" s="358">
        <v>0</v>
      </c>
      <c r="J112" s="358">
        <v>0</v>
      </c>
      <c r="K112" s="358">
        <v>0</v>
      </c>
      <c r="L112" s="358"/>
      <c r="M112" s="355"/>
      <c r="N112" s="344">
        <f>IF(A112="","",ROUND(SUMIFS('tp inwestycje do spr.'!F$7:F$250,'tp inwestycje do spr.'!$A$7:$A$250,$B112,'tp inwestycje do spr.'!$C$7:$C$250,$C112,'tp inwestycje do spr.'!$D$7:$D$250,$D112,'tp inwestycje do spr.'!$E$7:$E$250,$A112)-F112,2))</f>
        <v>0</v>
      </c>
      <c r="O112" s="344">
        <f>IF(B112="","",ROUND(SUMIFS('tp inwestycje do spr.'!G$7:G$250,'tp inwestycje do spr.'!$A$7:$A$250,$B112,'tp inwestycje do spr.'!$C$7:$C$250,$C112,'tp inwestycje do spr.'!$D$7:$D$250,$D112,'tp inwestycje do spr.'!$E$7:$E$250,$A112)-G112,2))</f>
        <v>0</v>
      </c>
      <c r="P112" s="344">
        <f>IF(C112="","",ROUND(SUMIFS('tp inwestycje do spr.'!H$7:H$250,'tp inwestycje do spr.'!$A$7:$A$250,$B112,'tp inwestycje do spr.'!$C$7:$C$250,$C112,'tp inwestycje do spr.'!$D$7:$D$250,$D112,'tp inwestycje do spr.'!$E$7:$E$250,$A112)-H112,2))</f>
        <v>0</v>
      </c>
      <c r="Q112" s="344">
        <f>IF(D112="","",ROUND(SUMIFS('tp inwestycje do spr.'!I$7:I$250,'tp inwestycje do spr.'!$A$7:$A$250,$B112,'tp inwestycje do spr.'!$C$7:$C$250,$C112,'tp inwestycje do spr.'!$D$7:$D$250,$D112,'tp inwestycje do spr.'!$E$7:$E$250,$A112)-I112,2))</f>
        <v>0</v>
      </c>
      <c r="R112" s="344">
        <f>IF(E112="","",ROUND(SUMIFS('tp inwestycje do spr.'!J$7:J$250,'tp inwestycje do spr.'!$A$7:$A$250,$B112,'tp inwestycje do spr.'!$C$7:$C$250,$C112,'tp inwestycje do spr.'!$D$7:$D$250,$D112,'tp inwestycje do spr.'!$E$7:$E$250,$A112)-J112,2))</f>
        <v>0</v>
      </c>
      <c r="S112" s="344">
        <f>IF(F112="","",ROUND(SUMIFS('tp inwestycje do spr.'!K$7:K$250,'tp inwestycje do spr.'!$A$7:$A$250,$B112,'tp inwestycje do spr.'!$C$7:$C$250,$C112,'tp inwestycje do spr.'!$D$7:$D$250,$D112,'tp inwestycje do spr.'!$E$7:$E$250,$A112)-K112,2))</f>
        <v>0</v>
      </c>
      <c r="T112" s="344">
        <f>IF(G112="","",ROUND(SUMIFS('tp inwestycje do spr.'!L$7:L$250,'tp inwestycje do spr.'!$A$7:$A$250,$B112,'tp inwestycje do spr.'!$C$7:$C$250,$C112,'tp inwestycje do spr.'!$D$7:$D$250,$D112,'tp inwestycje do spr.'!$E$7:$E$250,$A112)-L112,2))</f>
        <v>0</v>
      </c>
      <c r="U112" s="342" t="str">
        <f t="shared" si="5"/>
        <v>nie</v>
      </c>
    </row>
    <row r="113" spans="1:21" x14ac:dyDescent="0.25">
      <c r="A113" s="392" t="s">
        <v>102</v>
      </c>
      <c r="B113" s="392" t="s">
        <v>173</v>
      </c>
      <c r="C113" s="393" t="s">
        <v>344</v>
      </c>
      <c r="D113" s="393" t="s">
        <v>248</v>
      </c>
      <c r="E113" s="392" t="s">
        <v>362</v>
      </c>
      <c r="F113" s="394">
        <f>F114</f>
        <v>2418699</v>
      </c>
      <c r="G113" s="394">
        <f t="shared" ref="G113" si="8">G114</f>
        <v>0</v>
      </c>
      <c r="H113" s="394">
        <f t="shared" ref="H113" si="9">H114</f>
        <v>2418699</v>
      </c>
      <c r="I113" s="394">
        <f t="shared" ref="I113" si="10">I114</f>
        <v>0</v>
      </c>
      <c r="J113" s="394">
        <f t="shared" ref="J113" si="11">J114</f>
        <v>0</v>
      </c>
      <c r="K113" s="394">
        <f t="shared" ref="K113" si="12">K114</f>
        <v>0</v>
      </c>
      <c r="L113" s="394">
        <f t="shared" ref="L113" si="13">L114</f>
        <v>0</v>
      </c>
      <c r="M113" s="355"/>
      <c r="N113" s="344">
        <f>IF(A113="","",ROUND(SUMIFS('tp inwestycje do spr.'!F$7:F$250,'tp inwestycje do spr.'!$A$7:$A$250,$B113,'tp inwestycje do spr.'!$C$7:$C$250,$C113,'tp inwestycje do spr.'!$D$7:$D$250,$D113,'tp inwestycje do spr.'!$E$7:$E$250,$A113)-F113,2))</f>
        <v>0</v>
      </c>
      <c r="O113" s="344">
        <f>IF(B113="","",ROUND(SUMIFS('tp inwestycje do spr.'!G$7:G$250,'tp inwestycje do spr.'!$A$7:$A$250,$B113,'tp inwestycje do spr.'!$C$7:$C$250,$C113,'tp inwestycje do spr.'!$D$7:$D$250,$D113,'tp inwestycje do spr.'!$E$7:$E$250,$A113)-G113,2))</f>
        <v>0</v>
      </c>
      <c r="P113" s="344">
        <f>IF(C113="","",ROUND(SUMIFS('tp inwestycje do spr.'!H$7:H$250,'tp inwestycje do spr.'!$A$7:$A$250,$B113,'tp inwestycje do spr.'!$C$7:$C$250,$C113,'tp inwestycje do spr.'!$D$7:$D$250,$D113,'tp inwestycje do spr.'!$E$7:$E$250,$A113)-H113,2))</f>
        <v>0</v>
      </c>
      <c r="Q113" s="344">
        <f>IF(D113="","",ROUND(SUMIFS('tp inwestycje do spr.'!I$7:I$250,'tp inwestycje do spr.'!$A$7:$A$250,$B113,'tp inwestycje do spr.'!$C$7:$C$250,$C113,'tp inwestycje do spr.'!$D$7:$D$250,$D113,'tp inwestycje do spr.'!$E$7:$E$250,$A113)-I113,2))</f>
        <v>0</v>
      </c>
      <c r="R113" s="344">
        <f>IF(E113="","",ROUND(SUMIFS('tp inwestycje do spr.'!J$7:J$250,'tp inwestycje do spr.'!$A$7:$A$250,$B113,'tp inwestycje do spr.'!$C$7:$C$250,$C113,'tp inwestycje do spr.'!$D$7:$D$250,$D113,'tp inwestycje do spr.'!$E$7:$E$250,$A113)-J113,2))</f>
        <v>0</v>
      </c>
      <c r="S113" s="344">
        <f>IF(F113="","",ROUND(SUMIFS('tp inwestycje do spr.'!K$7:K$250,'tp inwestycje do spr.'!$A$7:$A$250,$B113,'tp inwestycje do spr.'!$C$7:$C$250,$C113,'tp inwestycje do spr.'!$D$7:$D$250,$D113,'tp inwestycje do spr.'!$E$7:$E$250,$A113)-K113,2))</f>
        <v>0</v>
      </c>
      <c r="T113" s="344">
        <f>IF(G113="","",ROUND(SUMIFS('tp inwestycje do spr.'!L$7:L$250,'tp inwestycje do spr.'!$A$7:$A$250,$B113,'tp inwestycje do spr.'!$C$7:$C$250,$C113,'tp inwestycje do spr.'!$D$7:$D$250,$D113,'tp inwestycje do spr.'!$E$7:$E$250,$A113)-L113,2))</f>
        <v>0</v>
      </c>
      <c r="U113" s="342" t="str">
        <f t="shared" si="5"/>
        <v>nie</v>
      </c>
    </row>
    <row r="114" spans="1:21" x14ac:dyDescent="0.25">
      <c r="A114" s="356" t="s">
        <v>104</v>
      </c>
      <c r="B114" s="356" t="s">
        <v>173</v>
      </c>
      <c r="C114" s="357" t="s">
        <v>344</v>
      </c>
      <c r="D114" s="357" t="s">
        <v>248</v>
      </c>
      <c r="E114" s="356" t="s">
        <v>452</v>
      </c>
      <c r="F114" s="358">
        <v>2418699</v>
      </c>
      <c r="G114" s="358">
        <v>0</v>
      </c>
      <c r="H114" s="358">
        <v>2418699</v>
      </c>
      <c r="I114" s="358">
        <v>0</v>
      </c>
      <c r="J114" s="358">
        <v>0</v>
      </c>
      <c r="K114" s="358">
        <v>0</v>
      </c>
      <c r="L114" s="358"/>
      <c r="M114" s="355"/>
      <c r="N114" s="344">
        <f>IF(A114="","",ROUND(SUMIFS('tp inwestycje do spr.'!F$7:F$250,'tp inwestycje do spr.'!$A$7:$A$250,$B114,'tp inwestycje do spr.'!$C$7:$C$250,$C114,'tp inwestycje do spr.'!$D$7:$D$250,$D114,'tp inwestycje do spr.'!$E$7:$E$250,$A114)-F114,2))</f>
        <v>0</v>
      </c>
      <c r="O114" s="344">
        <f>IF(B114="","",ROUND(SUMIFS('tp inwestycje do spr.'!G$7:G$250,'tp inwestycje do spr.'!$A$7:$A$250,$B114,'tp inwestycje do spr.'!$C$7:$C$250,$C114,'tp inwestycje do spr.'!$D$7:$D$250,$D114,'tp inwestycje do spr.'!$E$7:$E$250,$A114)-G114,2))</f>
        <v>0</v>
      </c>
      <c r="P114" s="344">
        <f>IF(C114="","",ROUND(SUMIFS('tp inwestycje do spr.'!H$7:H$250,'tp inwestycje do spr.'!$A$7:$A$250,$B114,'tp inwestycje do spr.'!$C$7:$C$250,$C114,'tp inwestycje do spr.'!$D$7:$D$250,$D114,'tp inwestycje do spr.'!$E$7:$E$250,$A114)-H114,2))</f>
        <v>0</v>
      </c>
      <c r="Q114" s="344">
        <f>IF(D114="","",ROUND(SUMIFS('tp inwestycje do spr.'!I$7:I$250,'tp inwestycje do spr.'!$A$7:$A$250,$B114,'tp inwestycje do spr.'!$C$7:$C$250,$C114,'tp inwestycje do spr.'!$D$7:$D$250,$D114,'tp inwestycje do spr.'!$E$7:$E$250,$A114)-I114,2))</f>
        <v>0</v>
      </c>
      <c r="R114" s="344">
        <f>IF(E114="","",ROUND(SUMIFS('tp inwestycje do spr.'!J$7:J$250,'tp inwestycje do spr.'!$A$7:$A$250,$B114,'tp inwestycje do spr.'!$C$7:$C$250,$C114,'tp inwestycje do spr.'!$D$7:$D$250,$D114,'tp inwestycje do spr.'!$E$7:$E$250,$A114)-J114,2))</f>
        <v>0</v>
      </c>
      <c r="S114" s="344">
        <f>IF(F114="","",ROUND(SUMIFS('tp inwestycje do spr.'!K$7:K$250,'tp inwestycje do spr.'!$A$7:$A$250,$B114,'tp inwestycje do spr.'!$C$7:$C$250,$C114,'tp inwestycje do spr.'!$D$7:$D$250,$D114,'tp inwestycje do spr.'!$E$7:$E$250,$A114)-K114,2))</f>
        <v>0</v>
      </c>
      <c r="T114" s="344">
        <f>IF(G114="","",ROUND(SUMIFS('tp inwestycje do spr.'!L$7:L$250,'tp inwestycje do spr.'!$A$7:$A$250,$B114,'tp inwestycje do spr.'!$C$7:$C$250,$C114,'tp inwestycje do spr.'!$D$7:$D$250,$D114,'tp inwestycje do spr.'!$E$7:$E$250,$A114)-L114,2))</f>
        <v>0</v>
      </c>
      <c r="U114" s="342" t="str">
        <f t="shared" si="5"/>
        <v>nie</v>
      </c>
    </row>
    <row r="115" spans="1:21" x14ac:dyDescent="0.25">
      <c r="A115" s="356" t="s">
        <v>102</v>
      </c>
      <c r="B115" s="356" t="s">
        <v>178</v>
      </c>
      <c r="C115" s="357" t="s">
        <v>365</v>
      </c>
      <c r="D115" s="357" t="s">
        <v>242</v>
      </c>
      <c r="E115" s="356" t="s">
        <v>366</v>
      </c>
      <c r="F115" s="358">
        <v>3100000</v>
      </c>
      <c r="G115" s="358">
        <v>0</v>
      </c>
      <c r="H115" s="358">
        <v>0</v>
      </c>
      <c r="I115" s="358">
        <v>3100000</v>
      </c>
      <c r="J115" s="358">
        <v>0</v>
      </c>
      <c r="K115" s="358">
        <v>0</v>
      </c>
      <c r="L115" s="358"/>
      <c r="M115" s="355"/>
      <c r="N115" s="344">
        <f>IF(A115="","",ROUND(SUMIFS('tp inwestycje do spr.'!F$7:F$250,'tp inwestycje do spr.'!$A$7:$A$250,$B115,'tp inwestycje do spr.'!$C$7:$C$250,$C115,'tp inwestycje do spr.'!$D$7:$D$250,$D115,'tp inwestycje do spr.'!$E$7:$E$250,$A115)-F115,2))</f>
        <v>0</v>
      </c>
      <c r="O115" s="344">
        <f>IF(B115="","",ROUND(SUMIFS('tp inwestycje do spr.'!G$7:G$250,'tp inwestycje do spr.'!$A$7:$A$250,$B115,'tp inwestycje do spr.'!$C$7:$C$250,$C115,'tp inwestycje do spr.'!$D$7:$D$250,$D115,'tp inwestycje do spr.'!$E$7:$E$250,$A115)-G115,2))</f>
        <v>0</v>
      </c>
      <c r="P115" s="344">
        <f>IF(C115="","",ROUND(SUMIFS('tp inwestycje do spr.'!H$7:H$250,'tp inwestycje do spr.'!$A$7:$A$250,$B115,'tp inwestycje do spr.'!$C$7:$C$250,$C115,'tp inwestycje do spr.'!$D$7:$D$250,$D115,'tp inwestycje do spr.'!$E$7:$E$250,$A115)-H115,2))</f>
        <v>0</v>
      </c>
      <c r="Q115" s="344">
        <f>IF(D115="","",ROUND(SUMIFS('tp inwestycje do spr.'!I$7:I$250,'tp inwestycje do spr.'!$A$7:$A$250,$B115,'tp inwestycje do spr.'!$C$7:$C$250,$C115,'tp inwestycje do spr.'!$D$7:$D$250,$D115,'tp inwestycje do spr.'!$E$7:$E$250,$A115)-I115,2))</f>
        <v>0</v>
      </c>
      <c r="R115" s="344">
        <f>IF(E115="","",ROUND(SUMIFS('tp inwestycje do spr.'!J$7:J$250,'tp inwestycje do spr.'!$A$7:$A$250,$B115,'tp inwestycje do spr.'!$C$7:$C$250,$C115,'tp inwestycje do spr.'!$D$7:$D$250,$D115,'tp inwestycje do spr.'!$E$7:$E$250,$A115)-J115,2))</f>
        <v>0</v>
      </c>
      <c r="S115" s="344">
        <f>IF(F115="","",ROUND(SUMIFS('tp inwestycje do spr.'!K$7:K$250,'tp inwestycje do spr.'!$A$7:$A$250,$B115,'tp inwestycje do spr.'!$C$7:$C$250,$C115,'tp inwestycje do spr.'!$D$7:$D$250,$D115,'tp inwestycje do spr.'!$E$7:$E$250,$A115)-K115,2))</f>
        <v>0</v>
      </c>
      <c r="T115" s="344">
        <f>IF(G115="","",ROUND(SUMIFS('tp inwestycje do spr.'!L$7:L$250,'tp inwestycje do spr.'!$A$7:$A$250,$B115,'tp inwestycje do spr.'!$C$7:$C$250,$C115,'tp inwestycje do spr.'!$D$7:$D$250,$D115,'tp inwestycje do spr.'!$E$7:$E$250,$A115)-L115,2))</f>
        <v>0</v>
      </c>
      <c r="U115" s="342" t="str">
        <f t="shared" si="5"/>
        <v>nie</v>
      </c>
    </row>
    <row r="116" spans="1:21" x14ac:dyDescent="0.25">
      <c r="A116" s="362" t="s">
        <v>103</v>
      </c>
      <c r="B116" s="362" t="s">
        <v>178</v>
      </c>
      <c r="C116" s="363" t="s">
        <v>365</v>
      </c>
      <c r="D116" s="363" t="s">
        <v>242</v>
      </c>
      <c r="E116" s="362" t="s">
        <v>367</v>
      </c>
      <c r="F116" s="364">
        <v>3100000</v>
      </c>
      <c r="G116" s="364">
        <v>0</v>
      </c>
      <c r="H116" s="364">
        <v>0</v>
      </c>
      <c r="I116" s="364">
        <v>3100000</v>
      </c>
      <c r="J116" s="364">
        <v>0</v>
      </c>
      <c r="K116" s="364">
        <v>0</v>
      </c>
      <c r="L116" s="364"/>
      <c r="M116" s="365"/>
      <c r="N116" s="344">
        <f>IF(A116="","",ROUND(SUMIFS('tp inwestycje do spr.'!F$7:F$250,'tp inwestycje do spr.'!$A$7:$A$250,$B116,'tp inwestycje do spr.'!$C$7:$C$250,$C116,'tp inwestycje do spr.'!$D$7:$D$250,$D116,'tp inwestycje do spr.'!$E$7:$E$250,$A116)-F116,2))</f>
        <v>0</v>
      </c>
      <c r="O116" s="344">
        <f>IF(B116="","",ROUND(SUMIFS('tp inwestycje do spr.'!G$7:G$250,'tp inwestycje do spr.'!$A$7:$A$250,$B116,'tp inwestycje do spr.'!$C$7:$C$250,$C116,'tp inwestycje do spr.'!$D$7:$D$250,$D116,'tp inwestycje do spr.'!$E$7:$E$250,$A116)-G116,2))</f>
        <v>0</v>
      </c>
      <c r="P116" s="344">
        <f>IF(C116="","",ROUND(SUMIFS('tp inwestycje do spr.'!H$7:H$250,'tp inwestycje do spr.'!$A$7:$A$250,$B116,'tp inwestycje do spr.'!$C$7:$C$250,$C116,'tp inwestycje do spr.'!$D$7:$D$250,$D116,'tp inwestycje do spr.'!$E$7:$E$250,$A116)-H116,2))</f>
        <v>0</v>
      </c>
      <c r="Q116" s="344">
        <f>IF(D116="","",ROUND(SUMIFS('tp inwestycje do spr.'!I$7:I$250,'tp inwestycje do spr.'!$A$7:$A$250,$B116,'tp inwestycje do spr.'!$C$7:$C$250,$C116,'tp inwestycje do spr.'!$D$7:$D$250,$D116,'tp inwestycje do spr.'!$E$7:$E$250,$A116)-I116,2))</f>
        <v>0</v>
      </c>
      <c r="R116" s="344">
        <f>IF(E116="","",ROUND(SUMIFS('tp inwestycje do spr.'!J$7:J$250,'tp inwestycje do spr.'!$A$7:$A$250,$B116,'tp inwestycje do spr.'!$C$7:$C$250,$C116,'tp inwestycje do spr.'!$D$7:$D$250,$D116,'tp inwestycje do spr.'!$E$7:$E$250,$A116)-J116,2))</f>
        <v>0</v>
      </c>
      <c r="S116" s="344">
        <f>IF(F116="","",ROUND(SUMIFS('tp inwestycje do spr.'!K$7:K$250,'tp inwestycje do spr.'!$A$7:$A$250,$B116,'tp inwestycje do spr.'!$C$7:$C$250,$C116,'tp inwestycje do spr.'!$D$7:$D$250,$D116,'tp inwestycje do spr.'!$E$7:$E$250,$A116)-K116,2))</f>
        <v>0</v>
      </c>
      <c r="T116" s="344">
        <f>IF(G116="","",ROUND(SUMIFS('tp inwestycje do spr.'!L$7:L$250,'tp inwestycje do spr.'!$A$7:$A$250,$B116,'tp inwestycje do spr.'!$C$7:$C$250,$C116,'tp inwestycje do spr.'!$D$7:$D$250,$D116,'tp inwestycje do spr.'!$E$7:$E$250,$A116)-L116,2))</f>
        <v>0</v>
      </c>
      <c r="U116" s="342" t="str">
        <f t="shared" si="5"/>
        <v>nie</v>
      </c>
    </row>
    <row r="117" spans="1:21" x14ac:dyDescent="0.25">
      <c r="A117" s="362" t="s">
        <v>102</v>
      </c>
      <c r="B117" s="362" t="s">
        <v>180</v>
      </c>
      <c r="C117" s="363" t="s">
        <v>344</v>
      </c>
      <c r="D117" s="363" t="s">
        <v>242</v>
      </c>
      <c r="E117" s="362" t="s">
        <v>368</v>
      </c>
      <c r="F117" s="364">
        <v>3527197</v>
      </c>
      <c r="G117" s="364">
        <v>0</v>
      </c>
      <c r="H117" s="364">
        <v>0</v>
      </c>
      <c r="I117" s="364">
        <v>2264170</v>
      </c>
      <c r="J117" s="364">
        <v>1263027</v>
      </c>
      <c r="K117" s="364">
        <v>0</v>
      </c>
      <c r="L117" s="364"/>
      <c r="M117" s="365"/>
      <c r="N117" s="344">
        <f>IF(A117="","",ROUND(SUMIFS('tp inwestycje do spr.'!F$7:F$250,'tp inwestycje do spr.'!$A$7:$A$250,$B117,'tp inwestycje do spr.'!$C$7:$C$250,$C117,'tp inwestycje do spr.'!$D$7:$D$250,$D117,'tp inwestycje do spr.'!$E$7:$E$250,$A117)-F117,2))</f>
        <v>0</v>
      </c>
      <c r="O117" s="344">
        <f>IF(B117="","",ROUND(SUMIFS('tp inwestycje do spr.'!G$7:G$250,'tp inwestycje do spr.'!$A$7:$A$250,$B117,'tp inwestycje do spr.'!$C$7:$C$250,$C117,'tp inwestycje do spr.'!$D$7:$D$250,$D117,'tp inwestycje do spr.'!$E$7:$E$250,$A117)-G117,2))</f>
        <v>0</v>
      </c>
      <c r="P117" s="344">
        <f>IF(C117="","",ROUND(SUMIFS('tp inwestycje do spr.'!H$7:H$250,'tp inwestycje do spr.'!$A$7:$A$250,$B117,'tp inwestycje do spr.'!$C$7:$C$250,$C117,'tp inwestycje do spr.'!$D$7:$D$250,$D117,'tp inwestycje do spr.'!$E$7:$E$250,$A117)-H117,2))</f>
        <v>0</v>
      </c>
      <c r="Q117" s="344">
        <f>IF(D117="","",ROUND(SUMIFS('tp inwestycje do spr.'!I$7:I$250,'tp inwestycje do spr.'!$A$7:$A$250,$B117,'tp inwestycje do spr.'!$C$7:$C$250,$C117,'tp inwestycje do spr.'!$D$7:$D$250,$D117,'tp inwestycje do spr.'!$E$7:$E$250,$A117)-I117,2))</f>
        <v>0</v>
      </c>
      <c r="R117" s="344">
        <f>IF(E117="","",ROUND(SUMIFS('tp inwestycje do spr.'!J$7:J$250,'tp inwestycje do spr.'!$A$7:$A$250,$B117,'tp inwestycje do spr.'!$C$7:$C$250,$C117,'tp inwestycje do spr.'!$D$7:$D$250,$D117,'tp inwestycje do spr.'!$E$7:$E$250,$A117)-J117,2))</f>
        <v>0</v>
      </c>
      <c r="S117" s="344">
        <f>IF(F117="","",ROUND(SUMIFS('tp inwestycje do spr.'!K$7:K$250,'tp inwestycje do spr.'!$A$7:$A$250,$B117,'tp inwestycje do spr.'!$C$7:$C$250,$C117,'tp inwestycje do spr.'!$D$7:$D$250,$D117,'tp inwestycje do spr.'!$E$7:$E$250,$A117)-K117,2))</f>
        <v>0</v>
      </c>
      <c r="T117" s="344">
        <f>IF(G117="","",ROUND(SUMIFS('tp inwestycje do spr.'!L$7:L$250,'tp inwestycje do spr.'!$A$7:$A$250,$B117,'tp inwestycje do spr.'!$C$7:$C$250,$C117,'tp inwestycje do spr.'!$D$7:$D$250,$D117,'tp inwestycje do spr.'!$E$7:$E$250,$A117)-L117,2))</f>
        <v>0</v>
      </c>
      <c r="U117" s="342" t="str">
        <f t="shared" si="5"/>
        <v>nie</v>
      </c>
    </row>
    <row r="118" spans="1:21" x14ac:dyDescent="0.25">
      <c r="A118" s="362" t="s">
        <v>103</v>
      </c>
      <c r="B118" s="362" t="s">
        <v>180</v>
      </c>
      <c r="C118" s="363" t="s">
        <v>344</v>
      </c>
      <c r="D118" s="363" t="s">
        <v>242</v>
      </c>
      <c r="E118" s="362" t="s">
        <v>369</v>
      </c>
      <c r="F118" s="364">
        <v>3527197</v>
      </c>
      <c r="G118" s="364">
        <v>0</v>
      </c>
      <c r="H118" s="364">
        <v>0</v>
      </c>
      <c r="I118" s="364">
        <v>2264170</v>
      </c>
      <c r="J118" s="364">
        <v>1263027</v>
      </c>
      <c r="K118" s="364">
        <v>0</v>
      </c>
      <c r="L118" s="364"/>
      <c r="M118" s="365"/>
      <c r="N118" s="344">
        <f>IF(A118="","",ROUND(SUMIFS('tp inwestycje do spr.'!F$7:F$250,'tp inwestycje do spr.'!$A$7:$A$250,$B118,'tp inwestycje do spr.'!$C$7:$C$250,$C118,'tp inwestycje do spr.'!$D$7:$D$250,$D118,'tp inwestycje do spr.'!$E$7:$E$250,$A118)-F118,2))</f>
        <v>0</v>
      </c>
      <c r="O118" s="344">
        <f>IF(B118="","",ROUND(SUMIFS('tp inwestycje do spr.'!G$7:G$250,'tp inwestycje do spr.'!$A$7:$A$250,$B118,'tp inwestycje do spr.'!$C$7:$C$250,$C118,'tp inwestycje do spr.'!$D$7:$D$250,$D118,'tp inwestycje do spr.'!$E$7:$E$250,$A118)-G118,2))</f>
        <v>0</v>
      </c>
      <c r="P118" s="344">
        <f>IF(C118="","",ROUND(SUMIFS('tp inwestycje do spr.'!H$7:H$250,'tp inwestycje do spr.'!$A$7:$A$250,$B118,'tp inwestycje do spr.'!$C$7:$C$250,$C118,'tp inwestycje do spr.'!$D$7:$D$250,$D118,'tp inwestycje do spr.'!$E$7:$E$250,$A118)-H118,2))</f>
        <v>0</v>
      </c>
      <c r="Q118" s="344">
        <f>IF(D118="","",ROUND(SUMIFS('tp inwestycje do spr.'!I$7:I$250,'tp inwestycje do spr.'!$A$7:$A$250,$B118,'tp inwestycje do spr.'!$C$7:$C$250,$C118,'tp inwestycje do spr.'!$D$7:$D$250,$D118,'tp inwestycje do spr.'!$E$7:$E$250,$A118)-I118,2))</f>
        <v>0</v>
      </c>
      <c r="R118" s="344">
        <f>IF(E118="","",ROUND(SUMIFS('tp inwestycje do spr.'!J$7:J$250,'tp inwestycje do spr.'!$A$7:$A$250,$B118,'tp inwestycje do spr.'!$C$7:$C$250,$C118,'tp inwestycje do spr.'!$D$7:$D$250,$D118,'tp inwestycje do spr.'!$E$7:$E$250,$A118)-J118,2))</f>
        <v>0</v>
      </c>
      <c r="S118" s="344">
        <f>IF(F118="","",ROUND(SUMIFS('tp inwestycje do spr.'!K$7:K$250,'tp inwestycje do spr.'!$A$7:$A$250,$B118,'tp inwestycje do spr.'!$C$7:$C$250,$C118,'tp inwestycje do spr.'!$D$7:$D$250,$D118,'tp inwestycje do spr.'!$E$7:$E$250,$A118)-K118,2))</f>
        <v>0</v>
      </c>
      <c r="T118" s="344">
        <f>IF(G118="","",ROUND(SUMIFS('tp inwestycje do spr.'!L$7:L$250,'tp inwestycje do spr.'!$A$7:$A$250,$B118,'tp inwestycje do spr.'!$C$7:$C$250,$C118,'tp inwestycje do spr.'!$D$7:$D$250,$D118,'tp inwestycje do spr.'!$E$7:$E$250,$A118)-L118,2))</f>
        <v>0</v>
      </c>
      <c r="U118" s="342" t="str">
        <f t="shared" si="5"/>
        <v>nie</v>
      </c>
    </row>
    <row r="119" spans="1:21" s="359" customFormat="1" x14ac:dyDescent="0.25">
      <c r="A119" s="362" t="s">
        <v>102</v>
      </c>
      <c r="B119" s="362" t="s">
        <v>182</v>
      </c>
      <c r="C119" s="363" t="s">
        <v>341</v>
      </c>
      <c r="D119" s="363" t="s">
        <v>242</v>
      </c>
      <c r="E119" s="362" t="s">
        <v>370</v>
      </c>
      <c r="F119" s="364">
        <v>1020000</v>
      </c>
      <c r="G119" s="364">
        <v>0</v>
      </c>
      <c r="H119" s="364">
        <v>0</v>
      </c>
      <c r="I119" s="364">
        <v>749241</v>
      </c>
      <c r="J119" s="364">
        <v>270759</v>
      </c>
      <c r="K119" s="364">
        <v>0</v>
      </c>
      <c r="L119" s="364"/>
      <c r="M119" s="365"/>
      <c r="N119" s="344">
        <f>IF(A119="","",ROUND(SUMIFS('tp inwestycje do spr.'!F$7:F$250,'tp inwestycje do spr.'!$A$7:$A$250,$B119,'tp inwestycje do spr.'!$C$7:$C$250,$C119,'tp inwestycje do spr.'!$D$7:$D$250,$D119,'tp inwestycje do spr.'!$E$7:$E$250,$A119)-F119,2))</f>
        <v>0</v>
      </c>
      <c r="O119" s="344">
        <f>IF(B119="","",ROUND(SUMIFS('tp inwestycje do spr.'!G$7:G$250,'tp inwestycje do spr.'!$A$7:$A$250,$B119,'tp inwestycje do spr.'!$C$7:$C$250,$C119,'tp inwestycje do spr.'!$D$7:$D$250,$D119,'tp inwestycje do spr.'!$E$7:$E$250,$A119)-G119,2))</f>
        <v>0</v>
      </c>
      <c r="P119" s="344">
        <f>IF(C119="","",ROUND(SUMIFS('tp inwestycje do spr.'!H$7:H$250,'tp inwestycje do spr.'!$A$7:$A$250,$B119,'tp inwestycje do spr.'!$C$7:$C$250,$C119,'tp inwestycje do spr.'!$D$7:$D$250,$D119,'tp inwestycje do spr.'!$E$7:$E$250,$A119)-H119,2))</f>
        <v>0</v>
      </c>
      <c r="Q119" s="344">
        <f>IF(D119="","",ROUND(SUMIFS('tp inwestycje do spr.'!I$7:I$250,'tp inwestycje do spr.'!$A$7:$A$250,$B119,'tp inwestycje do spr.'!$C$7:$C$250,$C119,'tp inwestycje do spr.'!$D$7:$D$250,$D119,'tp inwestycje do spr.'!$E$7:$E$250,$A119)-I119,2))</f>
        <v>0</v>
      </c>
      <c r="R119" s="344">
        <f>IF(E119="","",ROUND(SUMIFS('tp inwestycje do spr.'!J$7:J$250,'tp inwestycje do spr.'!$A$7:$A$250,$B119,'tp inwestycje do spr.'!$C$7:$C$250,$C119,'tp inwestycje do spr.'!$D$7:$D$250,$D119,'tp inwestycje do spr.'!$E$7:$E$250,$A119)-J119,2))</f>
        <v>0</v>
      </c>
      <c r="S119" s="344">
        <f>IF(F119="","",ROUND(SUMIFS('tp inwestycje do spr.'!K$7:K$250,'tp inwestycje do spr.'!$A$7:$A$250,$B119,'tp inwestycje do spr.'!$C$7:$C$250,$C119,'tp inwestycje do spr.'!$D$7:$D$250,$D119,'tp inwestycje do spr.'!$E$7:$E$250,$A119)-K119,2))</f>
        <v>0</v>
      </c>
      <c r="T119" s="344">
        <f>IF(G119="","",ROUND(SUMIFS('tp inwestycje do spr.'!L$7:L$250,'tp inwestycje do spr.'!$A$7:$A$250,$B119,'tp inwestycje do spr.'!$C$7:$C$250,$C119,'tp inwestycje do spr.'!$D$7:$D$250,$D119,'tp inwestycje do spr.'!$E$7:$E$250,$A119)-L119,2))</f>
        <v>0</v>
      </c>
      <c r="U119" s="342" t="str">
        <f t="shared" si="5"/>
        <v>nie</v>
      </c>
    </row>
    <row r="120" spans="1:21" x14ac:dyDescent="0.25">
      <c r="A120" s="362" t="s">
        <v>103</v>
      </c>
      <c r="B120" s="362" t="s">
        <v>182</v>
      </c>
      <c r="C120" s="363" t="s">
        <v>341</v>
      </c>
      <c r="D120" s="363" t="s">
        <v>242</v>
      </c>
      <c r="E120" s="362" t="s">
        <v>371</v>
      </c>
      <c r="F120" s="364">
        <v>1020000</v>
      </c>
      <c r="G120" s="364">
        <v>0</v>
      </c>
      <c r="H120" s="364">
        <v>0</v>
      </c>
      <c r="I120" s="364">
        <v>749241</v>
      </c>
      <c r="J120" s="364">
        <v>270759</v>
      </c>
      <c r="K120" s="364">
        <v>0</v>
      </c>
      <c r="L120" s="364"/>
      <c r="M120" s="365"/>
      <c r="N120" s="344">
        <f>IF(A120="","",ROUND(SUMIFS('tp inwestycje do spr.'!F$7:F$250,'tp inwestycje do spr.'!$A$7:$A$250,$B120,'tp inwestycje do spr.'!$C$7:$C$250,$C120,'tp inwestycje do spr.'!$D$7:$D$250,$D120,'tp inwestycje do spr.'!$E$7:$E$250,$A120)-F120,2))</f>
        <v>0</v>
      </c>
      <c r="O120" s="344">
        <f>IF(B120="","",ROUND(SUMIFS('tp inwestycje do spr.'!G$7:G$250,'tp inwestycje do spr.'!$A$7:$A$250,$B120,'tp inwestycje do spr.'!$C$7:$C$250,$C120,'tp inwestycje do spr.'!$D$7:$D$250,$D120,'tp inwestycje do spr.'!$E$7:$E$250,$A120)-G120,2))</f>
        <v>0</v>
      </c>
      <c r="P120" s="344">
        <f>IF(C120="","",ROUND(SUMIFS('tp inwestycje do spr.'!H$7:H$250,'tp inwestycje do spr.'!$A$7:$A$250,$B120,'tp inwestycje do spr.'!$C$7:$C$250,$C120,'tp inwestycje do spr.'!$D$7:$D$250,$D120,'tp inwestycje do spr.'!$E$7:$E$250,$A120)-H120,2))</f>
        <v>0</v>
      </c>
      <c r="Q120" s="344">
        <f>IF(D120="","",ROUND(SUMIFS('tp inwestycje do spr.'!I$7:I$250,'tp inwestycje do spr.'!$A$7:$A$250,$B120,'tp inwestycje do spr.'!$C$7:$C$250,$C120,'tp inwestycje do spr.'!$D$7:$D$250,$D120,'tp inwestycje do spr.'!$E$7:$E$250,$A120)-I120,2))</f>
        <v>0</v>
      </c>
      <c r="R120" s="344">
        <f>IF(E120="","",ROUND(SUMIFS('tp inwestycje do spr.'!J$7:J$250,'tp inwestycje do spr.'!$A$7:$A$250,$B120,'tp inwestycje do spr.'!$C$7:$C$250,$C120,'tp inwestycje do spr.'!$D$7:$D$250,$D120,'tp inwestycje do spr.'!$E$7:$E$250,$A120)-J120,2))</f>
        <v>0</v>
      </c>
      <c r="S120" s="344">
        <f>IF(F120="","",ROUND(SUMIFS('tp inwestycje do spr.'!K$7:K$250,'tp inwestycje do spr.'!$A$7:$A$250,$B120,'tp inwestycje do spr.'!$C$7:$C$250,$C120,'tp inwestycje do spr.'!$D$7:$D$250,$D120,'tp inwestycje do spr.'!$E$7:$E$250,$A120)-K120,2))</f>
        <v>0</v>
      </c>
      <c r="T120" s="344">
        <f>IF(G120="","",ROUND(SUMIFS('tp inwestycje do spr.'!L$7:L$250,'tp inwestycje do spr.'!$A$7:$A$250,$B120,'tp inwestycje do spr.'!$C$7:$C$250,$C120,'tp inwestycje do spr.'!$D$7:$D$250,$D120,'tp inwestycje do spr.'!$E$7:$E$250,$A120)-L120,2))</f>
        <v>0</v>
      </c>
      <c r="U120" s="342" t="str">
        <f t="shared" si="5"/>
        <v>nie</v>
      </c>
    </row>
    <row r="121" spans="1:21" x14ac:dyDescent="0.25">
      <c r="A121" s="362" t="s">
        <v>102</v>
      </c>
      <c r="B121" s="362" t="s">
        <v>184</v>
      </c>
      <c r="C121" s="363" t="s">
        <v>351</v>
      </c>
      <c r="D121" s="363" t="s">
        <v>242</v>
      </c>
      <c r="E121" s="362" t="s">
        <v>372</v>
      </c>
      <c r="F121" s="364">
        <v>202612</v>
      </c>
      <c r="G121" s="364">
        <v>0</v>
      </c>
      <c r="H121" s="364">
        <v>0</v>
      </c>
      <c r="I121" s="364">
        <v>202612</v>
      </c>
      <c r="J121" s="364">
        <v>0</v>
      </c>
      <c r="K121" s="364">
        <v>0</v>
      </c>
      <c r="L121" s="364"/>
      <c r="M121" s="365"/>
      <c r="N121" s="344">
        <f>IF(A121="","",ROUND(SUMIFS('tp inwestycje do spr.'!F$7:F$250,'tp inwestycje do spr.'!$A$7:$A$250,$B121,'tp inwestycje do spr.'!$C$7:$C$250,$C121,'tp inwestycje do spr.'!$D$7:$D$250,$D121,'tp inwestycje do spr.'!$E$7:$E$250,$A121)-F121,2))</f>
        <v>0</v>
      </c>
      <c r="O121" s="344">
        <f>IF(B121="","",ROUND(SUMIFS('tp inwestycje do spr.'!G$7:G$250,'tp inwestycje do spr.'!$A$7:$A$250,$B121,'tp inwestycje do spr.'!$C$7:$C$250,$C121,'tp inwestycje do spr.'!$D$7:$D$250,$D121,'tp inwestycje do spr.'!$E$7:$E$250,$A121)-G121,2))</f>
        <v>0</v>
      </c>
      <c r="P121" s="344">
        <f>IF(C121="","",ROUND(SUMIFS('tp inwestycje do spr.'!H$7:H$250,'tp inwestycje do spr.'!$A$7:$A$250,$B121,'tp inwestycje do spr.'!$C$7:$C$250,$C121,'tp inwestycje do spr.'!$D$7:$D$250,$D121,'tp inwestycje do spr.'!$E$7:$E$250,$A121)-H121,2))</f>
        <v>0</v>
      </c>
      <c r="Q121" s="344">
        <f>IF(D121="","",ROUND(SUMIFS('tp inwestycje do spr.'!I$7:I$250,'tp inwestycje do spr.'!$A$7:$A$250,$B121,'tp inwestycje do spr.'!$C$7:$C$250,$C121,'tp inwestycje do spr.'!$D$7:$D$250,$D121,'tp inwestycje do spr.'!$E$7:$E$250,$A121)-I121,2))</f>
        <v>0</v>
      </c>
      <c r="R121" s="344">
        <f>IF(E121="","",ROUND(SUMIFS('tp inwestycje do spr.'!J$7:J$250,'tp inwestycje do spr.'!$A$7:$A$250,$B121,'tp inwestycje do spr.'!$C$7:$C$250,$C121,'tp inwestycje do spr.'!$D$7:$D$250,$D121,'tp inwestycje do spr.'!$E$7:$E$250,$A121)-J121,2))</f>
        <v>0</v>
      </c>
      <c r="S121" s="344">
        <f>IF(F121="","",ROUND(SUMIFS('tp inwestycje do spr.'!K$7:K$250,'tp inwestycje do spr.'!$A$7:$A$250,$B121,'tp inwestycje do spr.'!$C$7:$C$250,$C121,'tp inwestycje do spr.'!$D$7:$D$250,$D121,'tp inwestycje do spr.'!$E$7:$E$250,$A121)-K121,2))</f>
        <v>0</v>
      </c>
      <c r="T121" s="344">
        <f>IF(G121="","",ROUND(SUMIFS('tp inwestycje do spr.'!L$7:L$250,'tp inwestycje do spr.'!$A$7:$A$250,$B121,'tp inwestycje do spr.'!$C$7:$C$250,$C121,'tp inwestycje do spr.'!$D$7:$D$250,$D121,'tp inwestycje do spr.'!$E$7:$E$250,$A121)-L121,2))</f>
        <v>0</v>
      </c>
      <c r="U121" s="342" t="str">
        <f t="shared" si="5"/>
        <v>nie</v>
      </c>
    </row>
    <row r="122" spans="1:21" s="359" customFormat="1" x14ac:dyDescent="0.25">
      <c r="A122" s="362" t="s">
        <v>103</v>
      </c>
      <c r="B122" s="362" t="s">
        <v>184</v>
      </c>
      <c r="C122" s="363" t="s">
        <v>351</v>
      </c>
      <c r="D122" s="363" t="s">
        <v>242</v>
      </c>
      <c r="E122" s="362" t="s">
        <v>373</v>
      </c>
      <c r="F122" s="364">
        <v>202612</v>
      </c>
      <c r="G122" s="364">
        <v>0</v>
      </c>
      <c r="H122" s="364">
        <v>0</v>
      </c>
      <c r="I122" s="364">
        <v>202612</v>
      </c>
      <c r="J122" s="364">
        <v>0</v>
      </c>
      <c r="K122" s="364">
        <v>0</v>
      </c>
      <c r="L122" s="364"/>
      <c r="M122" s="365"/>
      <c r="N122" s="344">
        <f>IF(A122="","",ROUND(SUMIFS('tp inwestycje do spr.'!F$7:F$250,'tp inwestycje do spr.'!$A$7:$A$250,$B122,'tp inwestycje do spr.'!$C$7:$C$250,$C122,'tp inwestycje do spr.'!$D$7:$D$250,$D122,'tp inwestycje do spr.'!$E$7:$E$250,$A122)-F122,2))</f>
        <v>0</v>
      </c>
      <c r="O122" s="344">
        <f>IF(B122="","",ROUND(SUMIFS('tp inwestycje do spr.'!G$7:G$250,'tp inwestycje do spr.'!$A$7:$A$250,$B122,'tp inwestycje do spr.'!$C$7:$C$250,$C122,'tp inwestycje do spr.'!$D$7:$D$250,$D122,'tp inwestycje do spr.'!$E$7:$E$250,$A122)-G122,2))</f>
        <v>0</v>
      </c>
      <c r="P122" s="344">
        <f>IF(C122="","",ROUND(SUMIFS('tp inwestycje do spr.'!H$7:H$250,'tp inwestycje do spr.'!$A$7:$A$250,$B122,'tp inwestycje do spr.'!$C$7:$C$250,$C122,'tp inwestycje do spr.'!$D$7:$D$250,$D122,'tp inwestycje do spr.'!$E$7:$E$250,$A122)-H122,2))</f>
        <v>0</v>
      </c>
      <c r="Q122" s="344">
        <f>IF(D122="","",ROUND(SUMIFS('tp inwestycje do spr.'!I$7:I$250,'tp inwestycje do spr.'!$A$7:$A$250,$B122,'tp inwestycje do spr.'!$C$7:$C$250,$C122,'tp inwestycje do spr.'!$D$7:$D$250,$D122,'tp inwestycje do spr.'!$E$7:$E$250,$A122)-I122,2))</f>
        <v>0</v>
      </c>
      <c r="R122" s="344">
        <f>IF(E122="","",ROUND(SUMIFS('tp inwestycje do spr.'!J$7:J$250,'tp inwestycje do spr.'!$A$7:$A$250,$B122,'tp inwestycje do spr.'!$C$7:$C$250,$C122,'tp inwestycje do spr.'!$D$7:$D$250,$D122,'tp inwestycje do spr.'!$E$7:$E$250,$A122)-J122,2))</f>
        <v>0</v>
      </c>
      <c r="S122" s="344">
        <f>IF(F122="","",ROUND(SUMIFS('tp inwestycje do spr.'!K$7:K$250,'tp inwestycje do spr.'!$A$7:$A$250,$B122,'tp inwestycje do spr.'!$C$7:$C$250,$C122,'tp inwestycje do spr.'!$D$7:$D$250,$D122,'tp inwestycje do spr.'!$E$7:$E$250,$A122)-K122,2))</f>
        <v>0</v>
      </c>
      <c r="T122" s="344">
        <f>IF(G122="","",ROUND(SUMIFS('tp inwestycje do spr.'!L$7:L$250,'tp inwestycje do spr.'!$A$7:$A$250,$B122,'tp inwestycje do spr.'!$C$7:$C$250,$C122,'tp inwestycje do spr.'!$D$7:$D$250,$D122,'tp inwestycje do spr.'!$E$7:$E$250,$A122)-L122,2))</f>
        <v>0</v>
      </c>
      <c r="U122" s="342" t="str">
        <f t="shared" si="5"/>
        <v>nie</v>
      </c>
    </row>
    <row r="123" spans="1:21" x14ac:dyDescent="0.25">
      <c r="A123" s="362" t="s">
        <v>102</v>
      </c>
      <c r="B123" s="362" t="s">
        <v>186</v>
      </c>
      <c r="C123" s="363" t="s">
        <v>358</v>
      </c>
      <c r="D123" s="363" t="s">
        <v>242</v>
      </c>
      <c r="E123" s="362" t="s">
        <v>374</v>
      </c>
      <c r="F123" s="364">
        <v>833915</v>
      </c>
      <c r="G123" s="364">
        <v>0</v>
      </c>
      <c r="H123" s="364">
        <v>0</v>
      </c>
      <c r="I123" s="364">
        <v>833915</v>
      </c>
      <c r="J123" s="364">
        <v>0</v>
      </c>
      <c r="K123" s="364">
        <v>0</v>
      </c>
      <c r="L123" s="364"/>
      <c r="M123" s="365"/>
      <c r="N123" s="344">
        <f>IF(A123="","",ROUND(SUMIFS('tp inwestycje do spr.'!F$7:F$250,'tp inwestycje do spr.'!$A$7:$A$250,$B123,'tp inwestycje do spr.'!$C$7:$C$250,$C123,'tp inwestycje do spr.'!$D$7:$D$250,$D123,'tp inwestycje do spr.'!$E$7:$E$250,$A123)-F123,2))</f>
        <v>0</v>
      </c>
      <c r="O123" s="344">
        <f>IF(B123="","",ROUND(SUMIFS('tp inwestycje do spr.'!G$7:G$250,'tp inwestycje do spr.'!$A$7:$A$250,$B123,'tp inwestycje do spr.'!$C$7:$C$250,$C123,'tp inwestycje do spr.'!$D$7:$D$250,$D123,'tp inwestycje do spr.'!$E$7:$E$250,$A123)-G123,2))</f>
        <v>0</v>
      </c>
      <c r="P123" s="344">
        <f>IF(C123="","",ROUND(SUMIFS('tp inwestycje do spr.'!H$7:H$250,'tp inwestycje do spr.'!$A$7:$A$250,$B123,'tp inwestycje do spr.'!$C$7:$C$250,$C123,'tp inwestycje do spr.'!$D$7:$D$250,$D123,'tp inwestycje do spr.'!$E$7:$E$250,$A123)-H123,2))</f>
        <v>0</v>
      </c>
      <c r="Q123" s="344">
        <f>IF(D123="","",ROUND(SUMIFS('tp inwestycje do spr.'!I$7:I$250,'tp inwestycje do spr.'!$A$7:$A$250,$B123,'tp inwestycje do spr.'!$C$7:$C$250,$C123,'tp inwestycje do spr.'!$D$7:$D$250,$D123,'tp inwestycje do spr.'!$E$7:$E$250,$A123)-I123,2))</f>
        <v>0</v>
      </c>
      <c r="R123" s="344">
        <f>IF(E123="","",ROUND(SUMIFS('tp inwestycje do spr.'!J$7:J$250,'tp inwestycje do spr.'!$A$7:$A$250,$B123,'tp inwestycje do spr.'!$C$7:$C$250,$C123,'tp inwestycje do spr.'!$D$7:$D$250,$D123,'tp inwestycje do spr.'!$E$7:$E$250,$A123)-J123,2))</f>
        <v>0</v>
      </c>
      <c r="S123" s="344">
        <f>IF(F123="","",ROUND(SUMIFS('tp inwestycje do spr.'!K$7:K$250,'tp inwestycje do spr.'!$A$7:$A$250,$B123,'tp inwestycje do spr.'!$C$7:$C$250,$C123,'tp inwestycje do spr.'!$D$7:$D$250,$D123,'tp inwestycje do spr.'!$E$7:$E$250,$A123)-K123,2))</f>
        <v>0</v>
      </c>
      <c r="T123" s="344">
        <f>IF(G123="","",ROUND(SUMIFS('tp inwestycje do spr.'!L$7:L$250,'tp inwestycje do spr.'!$A$7:$A$250,$B123,'tp inwestycje do spr.'!$C$7:$C$250,$C123,'tp inwestycje do spr.'!$D$7:$D$250,$D123,'tp inwestycje do spr.'!$E$7:$E$250,$A123)-L123,2))</f>
        <v>0</v>
      </c>
      <c r="U123" s="342" t="str">
        <f t="shared" si="5"/>
        <v>nie</v>
      </c>
    </row>
    <row r="124" spans="1:21" s="359" customFormat="1" x14ac:dyDescent="0.25">
      <c r="A124" s="362" t="s">
        <v>103</v>
      </c>
      <c r="B124" s="362" t="s">
        <v>186</v>
      </c>
      <c r="C124" s="363" t="s">
        <v>358</v>
      </c>
      <c r="D124" s="363" t="s">
        <v>242</v>
      </c>
      <c r="E124" s="362" t="s">
        <v>375</v>
      </c>
      <c r="F124" s="364">
        <v>833915</v>
      </c>
      <c r="G124" s="364">
        <v>0</v>
      </c>
      <c r="H124" s="364">
        <v>0</v>
      </c>
      <c r="I124" s="364">
        <v>833915</v>
      </c>
      <c r="J124" s="364">
        <v>0</v>
      </c>
      <c r="K124" s="364">
        <v>0</v>
      </c>
      <c r="L124" s="364"/>
      <c r="M124" s="365"/>
      <c r="N124" s="344">
        <f>IF(A124="","",ROUND(SUMIFS('tp inwestycje do spr.'!F$7:F$250,'tp inwestycje do spr.'!$A$7:$A$250,$B124,'tp inwestycje do spr.'!$C$7:$C$250,$C124,'tp inwestycje do spr.'!$D$7:$D$250,$D124,'tp inwestycje do spr.'!$E$7:$E$250,$A124)-F124,2))</f>
        <v>0</v>
      </c>
      <c r="O124" s="344">
        <f>IF(B124="","",ROUND(SUMIFS('tp inwestycje do spr.'!G$7:G$250,'tp inwestycje do spr.'!$A$7:$A$250,$B124,'tp inwestycje do spr.'!$C$7:$C$250,$C124,'tp inwestycje do spr.'!$D$7:$D$250,$D124,'tp inwestycje do spr.'!$E$7:$E$250,$A124)-G124,2))</f>
        <v>0</v>
      </c>
      <c r="P124" s="344">
        <f>IF(C124="","",ROUND(SUMIFS('tp inwestycje do spr.'!H$7:H$250,'tp inwestycje do spr.'!$A$7:$A$250,$B124,'tp inwestycje do spr.'!$C$7:$C$250,$C124,'tp inwestycje do spr.'!$D$7:$D$250,$D124,'tp inwestycje do spr.'!$E$7:$E$250,$A124)-H124,2))</f>
        <v>0</v>
      </c>
      <c r="Q124" s="344">
        <f>IF(D124="","",ROUND(SUMIFS('tp inwestycje do spr.'!I$7:I$250,'tp inwestycje do spr.'!$A$7:$A$250,$B124,'tp inwestycje do spr.'!$C$7:$C$250,$C124,'tp inwestycje do spr.'!$D$7:$D$250,$D124,'tp inwestycje do spr.'!$E$7:$E$250,$A124)-I124,2))</f>
        <v>0</v>
      </c>
      <c r="R124" s="344">
        <f>IF(E124="","",ROUND(SUMIFS('tp inwestycje do spr.'!J$7:J$250,'tp inwestycje do spr.'!$A$7:$A$250,$B124,'tp inwestycje do spr.'!$C$7:$C$250,$C124,'tp inwestycje do spr.'!$D$7:$D$250,$D124,'tp inwestycje do spr.'!$E$7:$E$250,$A124)-J124,2))</f>
        <v>0</v>
      </c>
      <c r="S124" s="344">
        <f>IF(F124="","",ROUND(SUMIFS('tp inwestycje do spr.'!K$7:K$250,'tp inwestycje do spr.'!$A$7:$A$250,$B124,'tp inwestycje do spr.'!$C$7:$C$250,$C124,'tp inwestycje do spr.'!$D$7:$D$250,$D124,'tp inwestycje do spr.'!$E$7:$E$250,$A124)-K124,2))</f>
        <v>0</v>
      </c>
      <c r="T124" s="344">
        <f>IF(G124="","",ROUND(SUMIFS('tp inwestycje do spr.'!L$7:L$250,'tp inwestycje do spr.'!$A$7:$A$250,$B124,'tp inwestycje do spr.'!$C$7:$C$250,$C124,'tp inwestycje do spr.'!$D$7:$D$250,$D124,'tp inwestycje do spr.'!$E$7:$E$250,$A124)-L124,2))</f>
        <v>0</v>
      </c>
      <c r="U124" s="342" t="str">
        <f t="shared" si="5"/>
        <v>nie</v>
      </c>
    </row>
    <row r="125" spans="1:21" x14ac:dyDescent="0.25">
      <c r="A125" s="362" t="s">
        <v>102</v>
      </c>
      <c r="B125" s="362" t="s">
        <v>421</v>
      </c>
      <c r="C125" s="363" t="s">
        <v>365</v>
      </c>
      <c r="D125" s="363" t="s">
        <v>242</v>
      </c>
      <c r="E125" s="362" t="s">
        <v>453</v>
      </c>
      <c r="F125" s="364">
        <v>10100000</v>
      </c>
      <c r="G125" s="364">
        <v>0</v>
      </c>
      <c r="H125" s="364">
        <v>0</v>
      </c>
      <c r="I125" s="364">
        <v>100000</v>
      </c>
      <c r="J125" s="364">
        <v>5000000</v>
      </c>
      <c r="K125" s="364">
        <v>5000000</v>
      </c>
      <c r="L125" s="364"/>
      <c r="M125" s="365"/>
      <c r="N125" s="344">
        <f>IF(A125="","",ROUND(SUMIFS('tp inwestycje do spr.'!F$7:F$250,'tp inwestycje do spr.'!$A$7:$A$250,$B125,'tp inwestycje do spr.'!$C$7:$C$250,$C125,'tp inwestycje do spr.'!$D$7:$D$250,$D125,'tp inwestycje do spr.'!$E$7:$E$250,$A125)-F125,2))</f>
        <v>0</v>
      </c>
      <c r="O125" s="344">
        <f>IF(B125="","",ROUND(SUMIFS('tp inwestycje do spr.'!G$7:G$250,'tp inwestycje do spr.'!$A$7:$A$250,$B125,'tp inwestycje do spr.'!$C$7:$C$250,$C125,'tp inwestycje do spr.'!$D$7:$D$250,$D125,'tp inwestycje do spr.'!$E$7:$E$250,$A125)-G125,2))</f>
        <v>0</v>
      </c>
      <c r="P125" s="344">
        <f>IF(C125="","",ROUND(SUMIFS('tp inwestycje do spr.'!H$7:H$250,'tp inwestycje do spr.'!$A$7:$A$250,$B125,'tp inwestycje do spr.'!$C$7:$C$250,$C125,'tp inwestycje do spr.'!$D$7:$D$250,$D125,'tp inwestycje do spr.'!$E$7:$E$250,$A125)-H125,2))</f>
        <v>0</v>
      </c>
      <c r="Q125" s="344">
        <f>IF(D125="","",ROUND(SUMIFS('tp inwestycje do spr.'!I$7:I$250,'tp inwestycje do spr.'!$A$7:$A$250,$B125,'tp inwestycje do spr.'!$C$7:$C$250,$C125,'tp inwestycje do spr.'!$D$7:$D$250,$D125,'tp inwestycje do spr.'!$E$7:$E$250,$A125)-I125,2))</f>
        <v>0</v>
      </c>
      <c r="R125" s="344">
        <f>IF(E125="","",ROUND(SUMIFS('tp inwestycje do spr.'!J$7:J$250,'tp inwestycje do spr.'!$A$7:$A$250,$B125,'tp inwestycje do spr.'!$C$7:$C$250,$C125,'tp inwestycje do spr.'!$D$7:$D$250,$D125,'tp inwestycje do spr.'!$E$7:$E$250,$A125)-J125,2))</f>
        <v>0</v>
      </c>
      <c r="S125" s="344">
        <f>IF(F125="","",ROUND(SUMIFS('tp inwestycje do spr.'!K$7:K$250,'tp inwestycje do spr.'!$A$7:$A$250,$B125,'tp inwestycje do spr.'!$C$7:$C$250,$C125,'tp inwestycje do spr.'!$D$7:$D$250,$D125,'tp inwestycje do spr.'!$E$7:$E$250,$A125)-K125,2))</f>
        <v>0</v>
      </c>
      <c r="T125" s="344">
        <f>IF(G125="","",ROUND(SUMIFS('tp inwestycje do spr.'!L$7:L$250,'tp inwestycje do spr.'!$A$7:$A$250,$B125,'tp inwestycje do spr.'!$C$7:$C$250,$C125,'tp inwestycje do spr.'!$D$7:$D$250,$D125,'tp inwestycje do spr.'!$E$7:$E$250,$A125)-L125,2))</f>
        <v>0</v>
      </c>
      <c r="U125" s="342" t="str">
        <f t="shared" si="5"/>
        <v>nie</v>
      </c>
    </row>
    <row r="126" spans="1:21" x14ac:dyDescent="0.25">
      <c r="A126" s="362" t="s">
        <v>103</v>
      </c>
      <c r="B126" s="362" t="s">
        <v>421</v>
      </c>
      <c r="C126" s="363" t="s">
        <v>365</v>
      </c>
      <c r="D126" s="363" t="s">
        <v>242</v>
      </c>
      <c r="E126" s="362" t="s">
        <v>454</v>
      </c>
      <c r="F126" s="364">
        <v>10100000</v>
      </c>
      <c r="G126" s="364">
        <v>0</v>
      </c>
      <c r="H126" s="364">
        <v>0</v>
      </c>
      <c r="I126" s="364">
        <v>100000</v>
      </c>
      <c r="J126" s="364">
        <v>5000000</v>
      </c>
      <c r="K126" s="364">
        <v>5000000</v>
      </c>
      <c r="L126" s="364"/>
      <c r="M126" s="365"/>
      <c r="N126" s="344">
        <f>IF(A126="","",ROUND(SUMIFS('tp inwestycje do spr.'!F$7:F$250,'tp inwestycje do spr.'!$A$7:$A$250,$B126,'tp inwestycje do spr.'!$C$7:$C$250,$C126,'tp inwestycje do spr.'!$D$7:$D$250,$D126,'tp inwestycje do spr.'!$E$7:$E$250,$A126)-F126,2))</f>
        <v>0</v>
      </c>
      <c r="O126" s="344">
        <f>IF(B126="","",ROUND(SUMIFS('tp inwestycje do spr.'!G$7:G$250,'tp inwestycje do spr.'!$A$7:$A$250,$B126,'tp inwestycje do spr.'!$C$7:$C$250,$C126,'tp inwestycje do spr.'!$D$7:$D$250,$D126,'tp inwestycje do spr.'!$E$7:$E$250,$A126)-G126,2))</f>
        <v>0</v>
      </c>
      <c r="P126" s="344">
        <f>IF(C126="","",ROUND(SUMIFS('tp inwestycje do spr.'!H$7:H$250,'tp inwestycje do spr.'!$A$7:$A$250,$B126,'tp inwestycje do spr.'!$C$7:$C$250,$C126,'tp inwestycje do spr.'!$D$7:$D$250,$D126,'tp inwestycje do spr.'!$E$7:$E$250,$A126)-H126,2))</f>
        <v>0</v>
      </c>
      <c r="Q126" s="344">
        <f>IF(D126="","",ROUND(SUMIFS('tp inwestycje do spr.'!I$7:I$250,'tp inwestycje do spr.'!$A$7:$A$250,$B126,'tp inwestycje do spr.'!$C$7:$C$250,$C126,'tp inwestycje do spr.'!$D$7:$D$250,$D126,'tp inwestycje do spr.'!$E$7:$E$250,$A126)-I126,2))</f>
        <v>0</v>
      </c>
      <c r="R126" s="344">
        <f>IF(E126="","",ROUND(SUMIFS('tp inwestycje do spr.'!J$7:J$250,'tp inwestycje do spr.'!$A$7:$A$250,$B126,'tp inwestycje do spr.'!$C$7:$C$250,$C126,'tp inwestycje do spr.'!$D$7:$D$250,$D126,'tp inwestycje do spr.'!$E$7:$E$250,$A126)-J126,2))</f>
        <v>0</v>
      </c>
      <c r="S126" s="344">
        <f>IF(F126="","",ROUND(SUMIFS('tp inwestycje do spr.'!K$7:K$250,'tp inwestycje do spr.'!$A$7:$A$250,$B126,'tp inwestycje do spr.'!$C$7:$C$250,$C126,'tp inwestycje do spr.'!$D$7:$D$250,$D126,'tp inwestycje do spr.'!$E$7:$E$250,$A126)-K126,2))</f>
        <v>0</v>
      </c>
      <c r="T126" s="344">
        <f>IF(G126="","",ROUND(SUMIFS('tp inwestycje do spr.'!L$7:L$250,'tp inwestycje do spr.'!$A$7:$A$250,$B126,'tp inwestycje do spr.'!$C$7:$C$250,$C126,'tp inwestycje do spr.'!$D$7:$D$250,$D126,'tp inwestycje do spr.'!$E$7:$E$250,$A126)-L126,2))</f>
        <v>0</v>
      </c>
      <c r="U126" s="342" t="str">
        <f t="shared" si="5"/>
        <v>nie</v>
      </c>
    </row>
    <row r="127" spans="1:21" x14ac:dyDescent="0.25">
      <c r="A127" s="362" t="s">
        <v>102</v>
      </c>
      <c r="B127" s="362" t="s">
        <v>189</v>
      </c>
      <c r="C127" s="363" t="s">
        <v>376</v>
      </c>
      <c r="D127" s="363" t="s">
        <v>242</v>
      </c>
      <c r="E127" s="362" t="s">
        <v>377</v>
      </c>
      <c r="F127" s="364">
        <v>15116383</v>
      </c>
      <c r="G127" s="364">
        <v>12271913</v>
      </c>
      <c r="H127" s="364">
        <v>7064</v>
      </c>
      <c r="I127" s="364">
        <v>2837406</v>
      </c>
      <c r="J127" s="364">
        <v>0</v>
      </c>
      <c r="K127" s="364">
        <v>0</v>
      </c>
      <c r="L127" s="364"/>
      <c r="M127" s="365"/>
      <c r="N127" s="344">
        <f>IF(A127="","",ROUND(SUMIFS('tp inwestycje do spr.'!F$7:F$250,'tp inwestycje do spr.'!$A$7:$A$250,$B127,'tp inwestycje do spr.'!$C$7:$C$250,$C127,'tp inwestycje do spr.'!$D$7:$D$250,$D127,'tp inwestycje do spr.'!$E$7:$E$250,$A127)-F127,2))</f>
        <v>0</v>
      </c>
      <c r="O127" s="344">
        <f>IF(B127="","",ROUND(SUMIFS('tp inwestycje do spr.'!G$7:G$250,'tp inwestycje do spr.'!$A$7:$A$250,$B127,'tp inwestycje do spr.'!$C$7:$C$250,$C127,'tp inwestycje do spr.'!$D$7:$D$250,$D127,'tp inwestycje do spr.'!$E$7:$E$250,$A127)-G127,2))</f>
        <v>0</v>
      </c>
      <c r="P127" s="344">
        <f>IF(C127="","",ROUND(SUMIFS('tp inwestycje do spr.'!H$7:H$250,'tp inwestycje do spr.'!$A$7:$A$250,$B127,'tp inwestycje do spr.'!$C$7:$C$250,$C127,'tp inwestycje do spr.'!$D$7:$D$250,$D127,'tp inwestycje do spr.'!$E$7:$E$250,$A127)-H127,2))</f>
        <v>0</v>
      </c>
      <c r="Q127" s="344">
        <f>IF(D127="","",ROUND(SUMIFS('tp inwestycje do spr.'!I$7:I$250,'tp inwestycje do spr.'!$A$7:$A$250,$B127,'tp inwestycje do spr.'!$C$7:$C$250,$C127,'tp inwestycje do spr.'!$D$7:$D$250,$D127,'tp inwestycje do spr.'!$E$7:$E$250,$A127)-I127,2))</f>
        <v>0</v>
      </c>
      <c r="R127" s="344">
        <f>IF(E127="","",ROUND(SUMIFS('tp inwestycje do spr.'!J$7:J$250,'tp inwestycje do spr.'!$A$7:$A$250,$B127,'tp inwestycje do spr.'!$C$7:$C$250,$C127,'tp inwestycje do spr.'!$D$7:$D$250,$D127,'tp inwestycje do spr.'!$E$7:$E$250,$A127)-J127,2))</f>
        <v>0</v>
      </c>
      <c r="S127" s="344">
        <f>IF(F127="","",ROUND(SUMIFS('tp inwestycje do spr.'!K$7:K$250,'tp inwestycje do spr.'!$A$7:$A$250,$B127,'tp inwestycje do spr.'!$C$7:$C$250,$C127,'tp inwestycje do spr.'!$D$7:$D$250,$D127,'tp inwestycje do spr.'!$E$7:$E$250,$A127)-K127,2))</f>
        <v>0</v>
      </c>
      <c r="T127" s="344">
        <f>IF(G127="","",ROUND(SUMIFS('tp inwestycje do spr.'!L$7:L$250,'tp inwestycje do spr.'!$A$7:$A$250,$B127,'tp inwestycje do spr.'!$C$7:$C$250,$C127,'tp inwestycje do spr.'!$D$7:$D$250,$D127,'tp inwestycje do spr.'!$E$7:$E$250,$A127)-L127,2))</f>
        <v>0</v>
      </c>
      <c r="U127" s="342" t="str">
        <f t="shared" si="5"/>
        <v>nie</v>
      </c>
    </row>
    <row r="128" spans="1:21" x14ac:dyDescent="0.25">
      <c r="A128" s="362" t="s">
        <v>103</v>
      </c>
      <c r="B128" s="362" t="s">
        <v>189</v>
      </c>
      <c r="C128" s="363" t="s">
        <v>376</v>
      </c>
      <c r="D128" s="363" t="s">
        <v>242</v>
      </c>
      <c r="E128" s="362" t="s">
        <v>378</v>
      </c>
      <c r="F128" s="364">
        <v>2837406</v>
      </c>
      <c r="G128" s="364">
        <v>0</v>
      </c>
      <c r="H128" s="364">
        <v>0</v>
      </c>
      <c r="I128" s="364">
        <v>2837406</v>
      </c>
      <c r="J128" s="364">
        <v>0</v>
      </c>
      <c r="K128" s="364">
        <v>0</v>
      </c>
      <c r="L128" s="364"/>
      <c r="M128" s="365"/>
      <c r="N128" s="344">
        <f>IF(A128="","",ROUND(SUMIFS('tp inwestycje do spr.'!F$7:F$250,'tp inwestycje do spr.'!$A$7:$A$250,$B128,'tp inwestycje do spr.'!$C$7:$C$250,$C128,'tp inwestycje do spr.'!$D$7:$D$250,$D128,'tp inwestycje do spr.'!$E$7:$E$250,$A128)-F128,2))</f>
        <v>0</v>
      </c>
      <c r="O128" s="344">
        <f>IF(B128="","",ROUND(SUMIFS('tp inwestycje do spr.'!G$7:G$250,'tp inwestycje do spr.'!$A$7:$A$250,$B128,'tp inwestycje do spr.'!$C$7:$C$250,$C128,'tp inwestycje do spr.'!$D$7:$D$250,$D128,'tp inwestycje do spr.'!$E$7:$E$250,$A128)-G128,2))</f>
        <v>0</v>
      </c>
      <c r="P128" s="344">
        <f>IF(C128="","",ROUND(SUMIFS('tp inwestycje do spr.'!H$7:H$250,'tp inwestycje do spr.'!$A$7:$A$250,$B128,'tp inwestycje do spr.'!$C$7:$C$250,$C128,'tp inwestycje do spr.'!$D$7:$D$250,$D128,'tp inwestycje do spr.'!$E$7:$E$250,$A128)-H128,2))</f>
        <v>0</v>
      </c>
      <c r="Q128" s="344">
        <f>IF(D128="","",ROUND(SUMIFS('tp inwestycje do spr.'!I$7:I$250,'tp inwestycje do spr.'!$A$7:$A$250,$B128,'tp inwestycje do spr.'!$C$7:$C$250,$C128,'tp inwestycje do spr.'!$D$7:$D$250,$D128,'tp inwestycje do spr.'!$E$7:$E$250,$A128)-I128,2))</f>
        <v>0</v>
      </c>
      <c r="R128" s="344">
        <f>IF(E128="","",ROUND(SUMIFS('tp inwestycje do spr.'!J$7:J$250,'tp inwestycje do spr.'!$A$7:$A$250,$B128,'tp inwestycje do spr.'!$C$7:$C$250,$C128,'tp inwestycje do spr.'!$D$7:$D$250,$D128,'tp inwestycje do spr.'!$E$7:$E$250,$A128)-J128,2))</f>
        <v>0</v>
      </c>
      <c r="S128" s="344">
        <f>IF(F128="","",ROUND(SUMIFS('tp inwestycje do spr.'!K$7:K$250,'tp inwestycje do spr.'!$A$7:$A$250,$B128,'tp inwestycje do spr.'!$C$7:$C$250,$C128,'tp inwestycje do spr.'!$D$7:$D$250,$D128,'tp inwestycje do spr.'!$E$7:$E$250,$A128)-K128,2))</f>
        <v>0</v>
      </c>
      <c r="T128" s="344">
        <f>IF(G128="","",ROUND(SUMIFS('tp inwestycje do spr.'!L$7:L$250,'tp inwestycje do spr.'!$A$7:$A$250,$B128,'tp inwestycje do spr.'!$C$7:$C$250,$C128,'tp inwestycje do spr.'!$D$7:$D$250,$D128,'tp inwestycje do spr.'!$E$7:$E$250,$A128)-L128,2))</f>
        <v>0</v>
      </c>
      <c r="U128" s="342" t="str">
        <f t="shared" si="5"/>
        <v>nie</v>
      </c>
    </row>
    <row r="129" spans="1:21" x14ac:dyDescent="0.25">
      <c r="A129" s="362" t="s">
        <v>104</v>
      </c>
      <c r="B129" s="362" t="s">
        <v>189</v>
      </c>
      <c r="C129" s="363" t="s">
        <v>376</v>
      </c>
      <c r="D129" s="363" t="s">
        <v>242</v>
      </c>
      <c r="E129" s="362" t="s">
        <v>379</v>
      </c>
      <c r="F129" s="364">
        <v>12278977</v>
      </c>
      <c r="G129" s="364">
        <v>12271913</v>
      </c>
      <c r="H129" s="364">
        <v>7064</v>
      </c>
      <c r="I129" s="364">
        <v>0</v>
      </c>
      <c r="J129" s="364">
        <v>0</v>
      </c>
      <c r="K129" s="364">
        <v>0</v>
      </c>
      <c r="L129" s="364"/>
      <c r="M129" s="365"/>
      <c r="N129" s="344">
        <f>IF(A129="","",ROUND(SUMIFS('tp inwestycje do spr.'!F$7:F$250,'tp inwestycje do spr.'!$A$7:$A$250,$B129,'tp inwestycje do spr.'!$C$7:$C$250,$C129,'tp inwestycje do spr.'!$D$7:$D$250,$D129,'tp inwestycje do spr.'!$E$7:$E$250,$A129)-F129,2))</f>
        <v>0</v>
      </c>
      <c r="O129" s="344">
        <f>IF(B129="","",ROUND(SUMIFS('tp inwestycje do spr.'!G$7:G$250,'tp inwestycje do spr.'!$A$7:$A$250,$B129,'tp inwestycje do spr.'!$C$7:$C$250,$C129,'tp inwestycje do spr.'!$D$7:$D$250,$D129,'tp inwestycje do spr.'!$E$7:$E$250,$A129)-G129,2))</f>
        <v>0</v>
      </c>
      <c r="P129" s="344">
        <f>IF(C129="","",ROUND(SUMIFS('tp inwestycje do spr.'!H$7:H$250,'tp inwestycje do spr.'!$A$7:$A$250,$B129,'tp inwestycje do spr.'!$C$7:$C$250,$C129,'tp inwestycje do spr.'!$D$7:$D$250,$D129,'tp inwestycje do spr.'!$E$7:$E$250,$A129)-H129,2))</f>
        <v>0</v>
      </c>
      <c r="Q129" s="344">
        <f>IF(D129="","",ROUND(SUMIFS('tp inwestycje do spr.'!I$7:I$250,'tp inwestycje do spr.'!$A$7:$A$250,$B129,'tp inwestycje do spr.'!$C$7:$C$250,$C129,'tp inwestycje do spr.'!$D$7:$D$250,$D129,'tp inwestycje do spr.'!$E$7:$E$250,$A129)-I129,2))</f>
        <v>0</v>
      </c>
      <c r="R129" s="344">
        <f>IF(E129="","",ROUND(SUMIFS('tp inwestycje do spr.'!J$7:J$250,'tp inwestycje do spr.'!$A$7:$A$250,$B129,'tp inwestycje do spr.'!$C$7:$C$250,$C129,'tp inwestycje do spr.'!$D$7:$D$250,$D129,'tp inwestycje do spr.'!$E$7:$E$250,$A129)-J129,2))</f>
        <v>0</v>
      </c>
      <c r="S129" s="344">
        <f>IF(F129="","",ROUND(SUMIFS('tp inwestycje do spr.'!K$7:K$250,'tp inwestycje do spr.'!$A$7:$A$250,$B129,'tp inwestycje do spr.'!$C$7:$C$250,$C129,'tp inwestycje do spr.'!$D$7:$D$250,$D129,'tp inwestycje do spr.'!$E$7:$E$250,$A129)-K129,2))</f>
        <v>0</v>
      </c>
      <c r="T129" s="344">
        <f>IF(G129="","",ROUND(SUMIFS('tp inwestycje do spr.'!L$7:L$250,'tp inwestycje do spr.'!$A$7:$A$250,$B129,'tp inwestycje do spr.'!$C$7:$C$250,$C129,'tp inwestycje do spr.'!$D$7:$D$250,$D129,'tp inwestycje do spr.'!$E$7:$E$250,$A129)-L129,2))</f>
        <v>0</v>
      </c>
      <c r="U129" s="342" t="str">
        <f t="shared" si="5"/>
        <v>nie</v>
      </c>
    </row>
    <row r="130" spans="1:21" x14ac:dyDescent="0.25">
      <c r="A130" s="362" t="s">
        <v>102</v>
      </c>
      <c r="B130" s="362" t="s">
        <v>191</v>
      </c>
      <c r="C130" s="363" t="s">
        <v>380</v>
      </c>
      <c r="D130" s="363" t="s">
        <v>242</v>
      </c>
      <c r="E130" s="362" t="s">
        <v>381</v>
      </c>
      <c r="F130" s="364">
        <v>13085001</v>
      </c>
      <c r="G130" s="364">
        <v>1087725</v>
      </c>
      <c r="H130" s="364">
        <v>9862366</v>
      </c>
      <c r="I130" s="364">
        <v>2134910</v>
      </c>
      <c r="J130" s="364">
        <v>0</v>
      </c>
      <c r="K130" s="364">
        <v>0</v>
      </c>
      <c r="L130" s="364"/>
      <c r="M130" s="365"/>
      <c r="N130" s="344">
        <f>IF(A130="","",ROUND(SUMIFS('tp inwestycje do spr.'!F$7:F$250,'tp inwestycje do spr.'!$A$7:$A$250,$B130,'tp inwestycje do spr.'!$C$7:$C$250,$C130,'tp inwestycje do spr.'!$D$7:$D$250,$D130,'tp inwestycje do spr.'!$E$7:$E$250,$A130)-F130,2))</f>
        <v>0</v>
      </c>
      <c r="O130" s="344">
        <f>IF(B130="","",ROUND(SUMIFS('tp inwestycje do spr.'!G$7:G$250,'tp inwestycje do spr.'!$A$7:$A$250,$B130,'tp inwestycje do spr.'!$C$7:$C$250,$C130,'tp inwestycje do spr.'!$D$7:$D$250,$D130,'tp inwestycje do spr.'!$E$7:$E$250,$A130)-G130,2))</f>
        <v>0</v>
      </c>
      <c r="P130" s="344">
        <f>IF(C130="","",ROUND(SUMIFS('tp inwestycje do spr.'!H$7:H$250,'tp inwestycje do spr.'!$A$7:$A$250,$B130,'tp inwestycje do spr.'!$C$7:$C$250,$C130,'tp inwestycje do spr.'!$D$7:$D$250,$D130,'tp inwestycje do spr.'!$E$7:$E$250,$A130)-H130,2))</f>
        <v>0</v>
      </c>
      <c r="Q130" s="344">
        <f>IF(D130="","",ROUND(SUMIFS('tp inwestycje do spr.'!I$7:I$250,'tp inwestycje do spr.'!$A$7:$A$250,$B130,'tp inwestycje do spr.'!$C$7:$C$250,$C130,'tp inwestycje do spr.'!$D$7:$D$250,$D130,'tp inwestycje do spr.'!$E$7:$E$250,$A130)-I130,2))</f>
        <v>0</v>
      </c>
      <c r="R130" s="344">
        <f>IF(E130="","",ROUND(SUMIFS('tp inwestycje do spr.'!J$7:J$250,'tp inwestycje do spr.'!$A$7:$A$250,$B130,'tp inwestycje do spr.'!$C$7:$C$250,$C130,'tp inwestycje do spr.'!$D$7:$D$250,$D130,'tp inwestycje do spr.'!$E$7:$E$250,$A130)-J130,2))</f>
        <v>0</v>
      </c>
      <c r="S130" s="344">
        <f>IF(F130="","",ROUND(SUMIFS('tp inwestycje do spr.'!K$7:K$250,'tp inwestycje do spr.'!$A$7:$A$250,$B130,'tp inwestycje do spr.'!$C$7:$C$250,$C130,'tp inwestycje do spr.'!$D$7:$D$250,$D130,'tp inwestycje do spr.'!$E$7:$E$250,$A130)-K130,2))</f>
        <v>0</v>
      </c>
      <c r="T130" s="344">
        <f>IF(G130="","",ROUND(SUMIFS('tp inwestycje do spr.'!L$7:L$250,'tp inwestycje do spr.'!$A$7:$A$250,$B130,'tp inwestycje do spr.'!$C$7:$C$250,$C130,'tp inwestycje do spr.'!$D$7:$D$250,$D130,'tp inwestycje do spr.'!$E$7:$E$250,$A130)-L130,2))</f>
        <v>0</v>
      </c>
      <c r="U130" s="342" t="str">
        <f t="shared" si="5"/>
        <v>nie</v>
      </c>
    </row>
    <row r="131" spans="1:21" x14ac:dyDescent="0.25">
      <c r="A131" s="362" t="s">
        <v>103</v>
      </c>
      <c r="B131" s="362" t="s">
        <v>191</v>
      </c>
      <c r="C131" s="363" t="s">
        <v>380</v>
      </c>
      <c r="D131" s="363" t="s">
        <v>242</v>
      </c>
      <c r="E131" s="362" t="s">
        <v>382</v>
      </c>
      <c r="F131" s="364">
        <v>1231130</v>
      </c>
      <c r="G131" s="364">
        <v>0</v>
      </c>
      <c r="H131" s="364">
        <v>0</v>
      </c>
      <c r="I131" s="364">
        <v>1231130</v>
      </c>
      <c r="J131" s="364">
        <v>0</v>
      </c>
      <c r="K131" s="364">
        <v>0</v>
      </c>
      <c r="L131" s="364"/>
      <c r="M131" s="365"/>
      <c r="N131" s="344">
        <f>IF(A131="","",ROUND(SUMIFS('tp inwestycje do spr.'!F$7:F$250,'tp inwestycje do spr.'!$A$7:$A$250,$B131,'tp inwestycje do spr.'!$C$7:$C$250,$C131,'tp inwestycje do spr.'!$D$7:$D$250,$D131,'tp inwestycje do spr.'!$E$7:$E$250,$A131)-F131,2))</f>
        <v>0</v>
      </c>
      <c r="O131" s="344">
        <f>IF(B131="","",ROUND(SUMIFS('tp inwestycje do spr.'!G$7:G$250,'tp inwestycje do spr.'!$A$7:$A$250,$B131,'tp inwestycje do spr.'!$C$7:$C$250,$C131,'tp inwestycje do spr.'!$D$7:$D$250,$D131,'tp inwestycje do spr.'!$E$7:$E$250,$A131)-G131,2))</f>
        <v>0</v>
      </c>
      <c r="P131" s="344">
        <f>IF(C131="","",ROUND(SUMIFS('tp inwestycje do spr.'!H$7:H$250,'tp inwestycje do spr.'!$A$7:$A$250,$B131,'tp inwestycje do spr.'!$C$7:$C$250,$C131,'tp inwestycje do spr.'!$D$7:$D$250,$D131,'tp inwestycje do spr.'!$E$7:$E$250,$A131)-H131,2))</f>
        <v>0</v>
      </c>
      <c r="Q131" s="344">
        <f>IF(D131="","",ROUND(SUMIFS('tp inwestycje do spr.'!I$7:I$250,'tp inwestycje do spr.'!$A$7:$A$250,$B131,'tp inwestycje do spr.'!$C$7:$C$250,$C131,'tp inwestycje do spr.'!$D$7:$D$250,$D131,'tp inwestycje do spr.'!$E$7:$E$250,$A131)-I131,2))</f>
        <v>0</v>
      </c>
      <c r="R131" s="344">
        <f>IF(E131="","",ROUND(SUMIFS('tp inwestycje do spr.'!J$7:J$250,'tp inwestycje do spr.'!$A$7:$A$250,$B131,'tp inwestycje do spr.'!$C$7:$C$250,$C131,'tp inwestycje do spr.'!$D$7:$D$250,$D131,'tp inwestycje do spr.'!$E$7:$E$250,$A131)-J131,2))</f>
        <v>0</v>
      </c>
      <c r="S131" s="344">
        <f>IF(F131="","",ROUND(SUMIFS('tp inwestycje do spr.'!K$7:K$250,'tp inwestycje do spr.'!$A$7:$A$250,$B131,'tp inwestycje do spr.'!$C$7:$C$250,$C131,'tp inwestycje do spr.'!$D$7:$D$250,$D131,'tp inwestycje do spr.'!$E$7:$E$250,$A131)-K131,2))</f>
        <v>0</v>
      </c>
      <c r="T131" s="344">
        <f>IF(G131="","",ROUND(SUMIFS('tp inwestycje do spr.'!L$7:L$250,'tp inwestycje do spr.'!$A$7:$A$250,$B131,'tp inwestycje do spr.'!$C$7:$C$250,$C131,'tp inwestycje do spr.'!$D$7:$D$250,$D131,'tp inwestycje do spr.'!$E$7:$E$250,$A131)-L131,2))</f>
        <v>0</v>
      </c>
      <c r="U131" s="342" t="str">
        <f t="shared" si="5"/>
        <v>nie</v>
      </c>
    </row>
    <row r="132" spans="1:21" x14ac:dyDescent="0.25">
      <c r="A132" s="362" t="s">
        <v>104</v>
      </c>
      <c r="B132" s="362" t="s">
        <v>191</v>
      </c>
      <c r="C132" s="363" t="s">
        <v>380</v>
      </c>
      <c r="D132" s="363" t="s">
        <v>242</v>
      </c>
      <c r="E132" s="362" t="s">
        <v>383</v>
      </c>
      <c r="F132" s="364">
        <v>11853871</v>
      </c>
      <c r="G132" s="364">
        <v>1087725</v>
      </c>
      <c r="H132" s="364">
        <v>9862366</v>
      </c>
      <c r="I132" s="364">
        <v>903780</v>
      </c>
      <c r="J132" s="364">
        <v>0</v>
      </c>
      <c r="K132" s="364">
        <v>0</v>
      </c>
      <c r="L132" s="364"/>
      <c r="M132" s="365"/>
      <c r="N132" s="344">
        <f>IF(A132="","",ROUND(SUMIFS('tp inwestycje do spr.'!F$7:F$250,'tp inwestycje do spr.'!$A$7:$A$250,$B132,'tp inwestycje do spr.'!$C$7:$C$250,$C132,'tp inwestycje do spr.'!$D$7:$D$250,$D132,'tp inwestycje do spr.'!$E$7:$E$250,$A132)-F132,2))</f>
        <v>0</v>
      </c>
      <c r="O132" s="344">
        <f>IF(B132="","",ROUND(SUMIFS('tp inwestycje do spr.'!G$7:G$250,'tp inwestycje do spr.'!$A$7:$A$250,$B132,'tp inwestycje do spr.'!$C$7:$C$250,$C132,'tp inwestycje do spr.'!$D$7:$D$250,$D132,'tp inwestycje do spr.'!$E$7:$E$250,$A132)-G132,2))</f>
        <v>0</v>
      </c>
      <c r="P132" s="344">
        <f>IF(C132="","",ROUND(SUMIFS('tp inwestycje do spr.'!H$7:H$250,'tp inwestycje do spr.'!$A$7:$A$250,$B132,'tp inwestycje do spr.'!$C$7:$C$250,$C132,'tp inwestycje do spr.'!$D$7:$D$250,$D132,'tp inwestycje do spr.'!$E$7:$E$250,$A132)-H132,2))</f>
        <v>0</v>
      </c>
      <c r="Q132" s="344">
        <f>IF(D132="","",ROUND(SUMIFS('tp inwestycje do spr.'!I$7:I$250,'tp inwestycje do spr.'!$A$7:$A$250,$B132,'tp inwestycje do spr.'!$C$7:$C$250,$C132,'tp inwestycje do spr.'!$D$7:$D$250,$D132,'tp inwestycje do spr.'!$E$7:$E$250,$A132)-I132,2))</f>
        <v>0</v>
      </c>
      <c r="R132" s="344">
        <f>IF(E132="","",ROUND(SUMIFS('tp inwestycje do spr.'!J$7:J$250,'tp inwestycje do spr.'!$A$7:$A$250,$B132,'tp inwestycje do spr.'!$C$7:$C$250,$C132,'tp inwestycje do spr.'!$D$7:$D$250,$D132,'tp inwestycje do spr.'!$E$7:$E$250,$A132)-J132,2))</f>
        <v>0</v>
      </c>
      <c r="S132" s="344">
        <f>IF(F132="","",ROUND(SUMIFS('tp inwestycje do spr.'!K$7:K$250,'tp inwestycje do spr.'!$A$7:$A$250,$B132,'tp inwestycje do spr.'!$C$7:$C$250,$C132,'tp inwestycje do spr.'!$D$7:$D$250,$D132,'tp inwestycje do spr.'!$E$7:$E$250,$A132)-K132,2))</f>
        <v>0</v>
      </c>
      <c r="T132" s="344">
        <f>IF(G132="","",ROUND(SUMIFS('tp inwestycje do spr.'!L$7:L$250,'tp inwestycje do spr.'!$A$7:$A$250,$B132,'tp inwestycje do spr.'!$C$7:$C$250,$C132,'tp inwestycje do spr.'!$D$7:$D$250,$D132,'tp inwestycje do spr.'!$E$7:$E$250,$A132)-L132,2))</f>
        <v>0</v>
      </c>
      <c r="U132" s="342" t="str">
        <f t="shared" si="5"/>
        <v>nie</v>
      </c>
    </row>
    <row r="133" spans="1:21" x14ac:dyDescent="0.25">
      <c r="A133" s="362" t="s">
        <v>102</v>
      </c>
      <c r="B133" s="362" t="s">
        <v>411</v>
      </c>
      <c r="C133" s="363" t="s">
        <v>455</v>
      </c>
      <c r="D133" s="363" t="s">
        <v>242</v>
      </c>
      <c r="E133" s="362" t="s">
        <v>456</v>
      </c>
      <c r="F133" s="364">
        <v>531477</v>
      </c>
      <c r="G133" s="364">
        <v>0</v>
      </c>
      <c r="H133" s="364">
        <v>125500</v>
      </c>
      <c r="I133" s="364">
        <v>40000</v>
      </c>
      <c r="J133" s="364">
        <v>365977</v>
      </c>
      <c r="K133" s="364">
        <v>0</v>
      </c>
      <c r="L133" s="364"/>
      <c r="M133" s="365"/>
      <c r="N133" s="344">
        <f>IF(A133="","",ROUND(SUMIFS('tp inwestycje do spr.'!F$7:F$250,'tp inwestycje do spr.'!$A$7:$A$250,$B133,'tp inwestycje do spr.'!$C$7:$C$250,$C133,'tp inwestycje do spr.'!$D$7:$D$250,$D133,'tp inwestycje do spr.'!$E$7:$E$250,$A133)-F133,2))</f>
        <v>0</v>
      </c>
      <c r="O133" s="344">
        <f>IF(B133="","",ROUND(SUMIFS('tp inwestycje do spr.'!G$7:G$250,'tp inwestycje do spr.'!$A$7:$A$250,$B133,'tp inwestycje do spr.'!$C$7:$C$250,$C133,'tp inwestycje do spr.'!$D$7:$D$250,$D133,'tp inwestycje do spr.'!$E$7:$E$250,$A133)-G133,2))</f>
        <v>0</v>
      </c>
      <c r="P133" s="344">
        <f>IF(C133="","",ROUND(SUMIFS('tp inwestycje do spr.'!H$7:H$250,'tp inwestycje do spr.'!$A$7:$A$250,$B133,'tp inwestycje do spr.'!$C$7:$C$250,$C133,'tp inwestycje do spr.'!$D$7:$D$250,$D133,'tp inwestycje do spr.'!$E$7:$E$250,$A133)-H133,2))</f>
        <v>0</v>
      </c>
      <c r="Q133" s="344">
        <f>IF(D133="","",ROUND(SUMIFS('tp inwestycje do spr.'!I$7:I$250,'tp inwestycje do spr.'!$A$7:$A$250,$B133,'tp inwestycje do spr.'!$C$7:$C$250,$C133,'tp inwestycje do spr.'!$D$7:$D$250,$D133,'tp inwestycje do spr.'!$E$7:$E$250,$A133)-I133,2))</f>
        <v>0</v>
      </c>
      <c r="R133" s="344">
        <f>IF(E133="","",ROUND(SUMIFS('tp inwestycje do spr.'!J$7:J$250,'tp inwestycje do spr.'!$A$7:$A$250,$B133,'tp inwestycje do spr.'!$C$7:$C$250,$C133,'tp inwestycje do spr.'!$D$7:$D$250,$D133,'tp inwestycje do spr.'!$E$7:$E$250,$A133)-J133,2))</f>
        <v>0</v>
      </c>
      <c r="S133" s="344">
        <f>IF(F133="","",ROUND(SUMIFS('tp inwestycje do spr.'!K$7:K$250,'tp inwestycje do spr.'!$A$7:$A$250,$B133,'tp inwestycje do spr.'!$C$7:$C$250,$C133,'tp inwestycje do spr.'!$D$7:$D$250,$D133,'tp inwestycje do spr.'!$E$7:$E$250,$A133)-K133,2))</f>
        <v>0</v>
      </c>
      <c r="T133" s="344">
        <f>IF(G133="","",ROUND(SUMIFS('tp inwestycje do spr.'!L$7:L$250,'tp inwestycje do spr.'!$A$7:$A$250,$B133,'tp inwestycje do spr.'!$C$7:$C$250,$C133,'tp inwestycje do spr.'!$D$7:$D$250,$D133,'tp inwestycje do spr.'!$E$7:$E$250,$A133)-L133,2))</f>
        <v>0</v>
      </c>
      <c r="U133" s="342" t="str">
        <f t="shared" si="5"/>
        <v>nie</v>
      </c>
    </row>
    <row r="134" spans="1:21" x14ac:dyDescent="0.25">
      <c r="A134" s="362" t="s">
        <v>103</v>
      </c>
      <c r="B134" s="362" t="s">
        <v>411</v>
      </c>
      <c r="C134" s="363" t="s">
        <v>455</v>
      </c>
      <c r="D134" s="363" t="s">
        <v>242</v>
      </c>
      <c r="E134" s="362" t="s">
        <v>457</v>
      </c>
      <c r="F134" s="364">
        <v>405977</v>
      </c>
      <c r="G134" s="364">
        <v>0</v>
      </c>
      <c r="H134" s="364">
        <v>0</v>
      </c>
      <c r="I134" s="364">
        <v>40000</v>
      </c>
      <c r="J134" s="364">
        <v>365977</v>
      </c>
      <c r="K134" s="364">
        <v>0</v>
      </c>
      <c r="L134" s="358"/>
      <c r="M134" s="355"/>
      <c r="N134" s="344">
        <f>IF(A134="","",ROUND(SUMIFS('tp inwestycje do spr.'!F$7:F$250,'tp inwestycje do spr.'!$A$7:$A$250,$B134,'tp inwestycje do spr.'!$C$7:$C$250,$C134,'tp inwestycje do spr.'!$D$7:$D$250,$D134,'tp inwestycje do spr.'!$E$7:$E$250,$A134)-F134,2))</f>
        <v>0</v>
      </c>
      <c r="O134" s="344">
        <f>IF(B134="","",ROUND(SUMIFS('tp inwestycje do spr.'!G$7:G$250,'tp inwestycje do spr.'!$A$7:$A$250,$B134,'tp inwestycje do spr.'!$C$7:$C$250,$C134,'tp inwestycje do spr.'!$D$7:$D$250,$D134,'tp inwestycje do spr.'!$E$7:$E$250,$A134)-G134,2))</f>
        <v>0</v>
      </c>
      <c r="P134" s="344">
        <f>IF(C134="","",ROUND(SUMIFS('tp inwestycje do spr.'!H$7:H$250,'tp inwestycje do spr.'!$A$7:$A$250,$B134,'tp inwestycje do spr.'!$C$7:$C$250,$C134,'tp inwestycje do spr.'!$D$7:$D$250,$D134,'tp inwestycje do spr.'!$E$7:$E$250,$A134)-H134,2))</f>
        <v>0</v>
      </c>
      <c r="Q134" s="344">
        <f>IF(D134="","",ROUND(SUMIFS('tp inwestycje do spr.'!I$7:I$250,'tp inwestycje do spr.'!$A$7:$A$250,$B134,'tp inwestycje do spr.'!$C$7:$C$250,$C134,'tp inwestycje do spr.'!$D$7:$D$250,$D134,'tp inwestycje do spr.'!$E$7:$E$250,$A134)-I134,2))</f>
        <v>0</v>
      </c>
      <c r="R134" s="344">
        <f>IF(E134="","",ROUND(SUMIFS('tp inwestycje do spr.'!J$7:J$250,'tp inwestycje do spr.'!$A$7:$A$250,$B134,'tp inwestycje do spr.'!$C$7:$C$250,$C134,'tp inwestycje do spr.'!$D$7:$D$250,$D134,'tp inwestycje do spr.'!$E$7:$E$250,$A134)-J134,2))</f>
        <v>0</v>
      </c>
      <c r="S134" s="344">
        <f>IF(F134="","",ROUND(SUMIFS('tp inwestycje do spr.'!K$7:K$250,'tp inwestycje do spr.'!$A$7:$A$250,$B134,'tp inwestycje do spr.'!$C$7:$C$250,$C134,'tp inwestycje do spr.'!$D$7:$D$250,$D134,'tp inwestycje do spr.'!$E$7:$E$250,$A134)-K134,2))</f>
        <v>0</v>
      </c>
      <c r="T134" s="344">
        <f>IF(G134="","",ROUND(SUMIFS('tp inwestycje do spr.'!L$7:L$250,'tp inwestycje do spr.'!$A$7:$A$250,$B134,'tp inwestycje do spr.'!$C$7:$C$250,$C134,'tp inwestycje do spr.'!$D$7:$D$250,$D134,'tp inwestycje do spr.'!$E$7:$E$250,$A134)-L134,2))</f>
        <v>0</v>
      </c>
      <c r="U134" s="342" t="str">
        <f t="shared" si="5"/>
        <v>nie</v>
      </c>
    </row>
    <row r="135" spans="1:21" x14ac:dyDescent="0.25">
      <c r="A135" s="362" t="s">
        <v>104</v>
      </c>
      <c r="B135" s="362" t="s">
        <v>411</v>
      </c>
      <c r="C135" s="363" t="s">
        <v>455</v>
      </c>
      <c r="D135" s="363" t="s">
        <v>242</v>
      </c>
      <c r="E135" s="362" t="s">
        <v>458</v>
      </c>
      <c r="F135" s="364">
        <v>125500</v>
      </c>
      <c r="G135" s="364">
        <v>0</v>
      </c>
      <c r="H135" s="364">
        <v>125500</v>
      </c>
      <c r="I135" s="364">
        <v>0</v>
      </c>
      <c r="J135" s="364">
        <v>0</v>
      </c>
      <c r="K135" s="364">
        <v>0</v>
      </c>
      <c r="L135" s="358"/>
      <c r="M135" s="355"/>
      <c r="N135" s="344">
        <f>IF(A135="","",ROUND(SUMIFS('tp inwestycje do spr.'!F$7:F$250,'tp inwestycje do spr.'!$A$7:$A$250,$B135,'tp inwestycje do spr.'!$C$7:$C$250,$C135,'tp inwestycje do spr.'!$D$7:$D$250,$D135,'tp inwestycje do spr.'!$E$7:$E$250,$A135)-F135,2))</f>
        <v>0</v>
      </c>
      <c r="O135" s="344">
        <f>IF(B135="","",ROUND(SUMIFS('tp inwestycje do spr.'!G$7:G$250,'tp inwestycje do spr.'!$A$7:$A$250,$B135,'tp inwestycje do spr.'!$C$7:$C$250,$C135,'tp inwestycje do spr.'!$D$7:$D$250,$D135,'tp inwestycje do spr.'!$E$7:$E$250,$A135)-G135,2))</f>
        <v>0</v>
      </c>
      <c r="P135" s="344">
        <f>IF(C135="","",ROUND(SUMIFS('tp inwestycje do spr.'!H$7:H$250,'tp inwestycje do spr.'!$A$7:$A$250,$B135,'tp inwestycje do spr.'!$C$7:$C$250,$C135,'tp inwestycje do spr.'!$D$7:$D$250,$D135,'tp inwestycje do spr.'!$E$7:$E$250,$A135)-H135,2))</f>
        <v>0</v>
      </c>
      <c r="Q135" s="344">
        <f>IF(D135="","",ROUND(SUMIFS('tp inwestycje do spr.'!I$7:I$250,'tp inwestycje do spr.'!$A$7:$A$250,$B135,'tp inwestycje do spr.'!$C$7:$C$250,$C135,'tp inwestycje do spr.'!$D$7:$D$250,$D135,'tp inwestycje do spr.'!$E$7:$E$250,$A135)-I135,2))</f>
        <v>0</v>
      </c>
      <c r="R135" s="344">
        <f>IF(E135="","",ROUND(SUMIFS('tp inwestycje do spr.'!J$7:J$250,'tp inwestycje do spr.'!$A$7:$A$250,$B135,'tp inwestycje do spr.'!$C$7:$C$250,$C135,'tp inwestycje do spr.'!$D$7:$D$250,$D135,'tp inwestycje do spr.'!$E$7:$E$250,$A135)-J135,2))</f>
        <v>0</v>
      </c>
      <c r="S135" s="344">
        <f>IF(F135="","",ROUND(SUMIFS('tp inwestycje do spr.'!K$7:K$250,'tp inwestycje do spr.'!$A$7:$A$250,$B135,'tp inwestycje do spr.'!$C$7:$C$250,$C135,'tp inwestycje do spr.'!$D$7:$D$250,$D135,'tp inwestycje do spr.'!$E$7:$E$250,$A135)-K135,2))</f>
        <v>0</v>
      </c>
      <c r="T135" s="344">
        <f>IF(G135="","",ROUND(SUMIFS('tp inwestycje do spr.'!L$7:L$250,'tp inwestycje do spr.'!$A$7:$A$250,$B135,'tp inwestycje do spr.'!$C$7:$C$250,$C135,'tp inwestycje do spr.'!$D$7:$D$250,$D135,'tp inwestycje do spr.'!$E$7:$E$250,$A135)-L135,2))</f>
        <v>0</v>
      </c>
      <c r="U135" s="342" t="str">
        <f t="shared" ref="U135:U179" si="14">IF(COUNTIF(N135:T135,"&gt;0")+COUNTIF(N135:T135,"&lt;0")&gt;0,"tak","nie")</f>
        <v>nie</v>
      </c>
    </row>
    <row r="136" spans="1:21" x14ac:dyDescent="0.25">
      <c r="A136" s="362" t="s">
        <v>102</v>
      </c>
      <c r="B136" s="362" t="s">
        <v>193</v>
      </c>
      <c r="C136" s="363" t="s">
        <v>459</v>
      </c>
      <c r="D136" s="363" t="s">
        <v>249</v>
      </c>
      <c r="E136" s="362" t="s">
        <v>460</v>
      </c>
      <c r="F136" s="364">
        <v>3426248</v>
      </c>
      <c r="G136" s="364">
        <v>2560438</v>
      </c>
      <c r="H136" s="364">
        <v>848998</v>
      </c>
      <c r="I136" s="364">
        <v>16812</v>
      </c>
      <c r="J136" s="364">
        <v>0</v>
      </c>
      <c r="K136" s="364">
        <v>0</v>
      </c>
      <c r="L136" s="358"/>
      <c r="M136" s="355"/>
      <c r="N136" s="344">
        <f>IF(A136="","",ROUND(SUMIFS('tp inwestycje do spr.'!F$7:F$250,'tp inwestycje do spr.'!$A$7:$A$250,$B136,'tp inwestycje do spr.'!$C$7:$C$250,$C136,'tp inwestycje do spr.'!$D$7:$D$250,$D136,'tp inwestycje do spr.'!$E$7:$E$250,$A136)-F136,2))</f>
        <v>0</v>
      </c>
      <c r="O136" s="344">
        <f>IF(B136="","",ROUND(SUMIFS('tp inwestycje do spr.'!G$7:G$250,'tp inwestycje do spr.'!$A$7:$A$250,$B136,'tp inwestycje do spr.'!$C$7:$C$250,$C136,'tp inwestycje do spr.'!$D$7:$D$250,$D136,'tp inwestycje do spr.'!$E$7:$E$250,$A136)-G136,2))</f>
        <v>0</v>
      </c>
      <c r="P136" s="344">
        <f>IF(C136="","",ROUND(SUMIFS('tp inwestycje do spr.'!H$7:H$250,'tp inwestycje do spr.'!$A$7:$A$250,$B136,'tp inwestycje do spr.'!$C$7:$C$250,$C136,'tp inwestycje do spr.'!$D$7:$D$250,$D136,'tp inwestycje do spr.'!$E$7:$E$250,$A136)-H136,2))</f>
        <v>0</v>
      </c>
      <c r="Q136" s="344">
        <f>IF(D136="","",ROUND(SUMIFS('tp inwestycje do spr.'!I$7:I$250,'tp inwestycje do spr.'!$A$7:$A$250,$B136,'tp inwestycje do spr.'!$C$7:$C$250,$C136,'tp inwestycje do spr.'!$D$7:$D$250,$D136,'tp inwestycje do spr.'!$E$7:$E$250,$A136)-I136,2))</f>
        <v>0</v>
      </c>
      <c r="R136" s="344">
        <f>IF(E136="","",ROUND(SUMIFS('tp inwestycje do spr.'!J$7:J$250,'tp inwestycje do spr.'!$A$7:$A$250,$B136,'tp inwestycje do spr.'!$C$7:$C$250,$C136,'tp inwestycje do spr.'!$D$7:$D$250,$D136,'tp inwestycje do spr.'!$E$7:$E$250,$A136)-J136,2))</f>
        <v>0</v>
      </c>
      <c r="S136" s="344">
        <f>IF(F136="","",ROUND(SUMIFS('tp inwestycje do spr.'!K$7:K$250,'tp inwestycje do spr.'!$A$7:$A$250,$B136,'tp inwestycje do spr.'!$C$7:$C$250,$C136,'tp inwestycje do spr.'!$D$7:$D$250,$D136,'tp inwestycje do spr.'!$E$7:$E$250,$A136)-K136,2))</f>
        <v>0</v>
      </c>
      <c r="T136" s="344">
        <f>IF(G136="","",ROUND(SUMIFS('tp inwestycje do spr.'!L$7:L$250,'tp inwestycje do spr.'!$A$7:$A$250,$B136,'tp inwestycje do spr.'!$C$7:$C$250,$C136,'tp inwestycje do spr.'!$D$7:$D$250,$D136,'tp inwestycje do spr.'!$E$7:$E$250,$A136)-L136,2))</f>
        <v>0</v>
      </c>
      <c r="U136" s="342" t="str">
        <f t="shared" si="14"/>
        <v>nie</v>
      </c>
    </row>
    <row r="137" spans="1:21" x14ac:dyDescent="0.25">
      <c r="A137" s="362" t="s">
        <v>103</v>
      </c>
      <c r="B137" s="362" t="s">
        <v>193</v>
      </c>
      <c r="C137" s="363" t="s">
        <v>459</v>
      </c>
      <c r="D137" s="363" t="s">
        <v>249</v>
      </c>
      <c r="E137" s="362" t="s">
        <v>461</v>
      </c>
      <c r="F137" s="364">
        <v>16812</v>
      </c>
      <c r="G137" s="364">
        <v>0</v>
      </c>
      <c r="H137" s="364">
        <v>0</v>
      </c>
      <c r="I137" s="364">
        <v>16812</v>
      </c>
      <c r="J137" s="364">
        <v>0</v>
      </c>
      <c r="K137" s="364">
        <v>0</v>
      </c>
      <c r="L137" s="358"/>
      <c r="M137" s="355"/>
      <c r="N137" s="344">
        <f>IF(A137="","",ROUND(SUMIFS('tp inwestycje do spr.'!F$7:F$250,'tp inwestycje do spr.'!$A$7:$A$250,$B137,'tp inwestycje do spr.'!$C$7:$C$250,$C137,'tp inwestycje do spr.'!$D$7:$D$250,$D137,'tp inwestycje do spr.'!$E$7:$E$250,$A137)-F137,2))</f>
        <v>0</v>
      </c>
      <c r="O137" s="344">
        <f>IF(B137="","",ROUND(SUMIFS('tp inwestycje do spr.'!G$7:G$250,'tp inwestycje do spr.'!$A$7:$A$250,$B137,'tp inwestycje do spr.'!$C$7:$C$250,$C137,'tp inwestycje do spr.'!$D$7:$D$250,$D137,'tp inwestycje do spr.'!$E$7:$E$250,$A137)-G137,2))</f>
        <v>0</v>
      </c>
      <c r="P137" s="344">
        <f>IF(C137="","",ROUND(SUMIFS('tp inwestycje do spr.'!H$7:H$250,'tp inwestycje do spr.'!$A$7:$A$250,$B137,'tp inwestycje do spr.'!$C$7:$C$250,$C137,'tp inwestycje do spr.'!$D$7:$D$250,$D137,'tp inwestycje do spr.'!$E$7:$E$250,$A137)-H137,2))</f>
        <v>0</v>
      </c>
      <c r="Q137" s="344">
        <f>IF(D137="","",ROUND(SUMIFS('tp inwestycje do spr.'!I$7:I$250,'tp inwestycje do spr.'!$A$7:$A$250,$B137,'tp inwestycje do spr.'!$C$7:$C$250,$C137,'tp inwestycje do spr.'!$D$7:$D$250,$D137,'tp inwestycje do spr.'!$E$7:$E$250,$A137)-I137,2))</f>
        <v>0</v>
      </c>
      <c r="R137" s="344">
        <f>IF(E137="","",ROUND(SUMIFS('tp inwestycje do spr.'!J$7:J$250,'tp inwestycje do spr.'!$A$7:$A$250,$B137,'tp inwestycje do spr.'!$C$7:$C$250,$C137,'tp inwestycje do spr.'!$D$7:$D$250,$D137,'tp inwestycje do spr.'!$E$7:$E$250,$A137)-J137,2))</f>
        <v>0</v>
      </c>
      <c r="S137" s="344">
        <f>IF(F137="","",ROUND(SUMIFS('tp inwestycje do spr.'!K$7:K$250,'tp inwestycje do spr.'!$A$7:$A$250,$B137,'tp inwestycje do spr.'!$C$7:$C$250,$C137,'tp inwestycje do spr.'!$D$7:$D$250,$D137,'tp inwestycje do spr.'!$E$7:$E$250,$A137)-K137,2))</f>
        <v>0</v>
      </c>
      <c r="T137" s="344">
        <f>IF(G137="","",ROUND(SUMIFS('tp inwestycje do spr.'!L$7:L$250,'tp inwestycje do spr.'!$A$7:$A$250,$B137,'tp inwestycje do spr.'!$C$7:$C$250,$C137,'tp inwestycje do spr.'!$D$7:$D$250,$D137,'tp inwestycje do spr.'!$E$7:$E$250,$A137)-L137,2))</f>
        <v>0</v>
      </c>
      <c r="U137" s="342" t="str">
        <f t="shared" si="14"/>
        <v>nie</v>
      </c>
    </row>
    <row r="138" spans="1:21" x14ac:dyDescent="0.25">
      <c r="A138" s="362" t="s">
        <v>104</v>
      </c>
      <c r="B138" s="362" t="s">
        <v>193</v>
      </c>
      <c r="C138" s="363" t="s">
        <v>459</v>
      </c>
      <c r="D138" s="363" t="s">
        <v>249</v>
      </c>
      <c r="E138" s="362" t="s">
        <v>462</v>
      </c>
      <c r="F138" s="364">
        <v>3409436</v>
      </c>
      <c r="G138" s="364">
        <v>2560438</v>
      </c>
      <c r="H138" s="364">
        <v>848998</v>
      </c>
      <c r="I138" s="364">
        <v>0</v>
      </c>
      <c r="J138" s="364">
        <v>0</v>
      </c>
      <c r="K138" s="364">
        <v>0</v>
      </c>
      <c r="L138" s="358"/>
      <c r="M138" s="355"/>
      <c r="N138" s="344">
        <f>IF(A138="","",ROUND(SUMIFS('tp inwestycje do spr.'!F$7:F$250,'tp inwestycje do spr.'!$A$7:$A$250,$B138,'tp inwestycje do spr.'!$C$7:$C$250,$C138,'tp inwestycje do spr.'!$D$7:$D$250,$D138,'tp inwestycje do spr.'!$E$7:$E$250,$A138)-F138,2))</f>
        <v>0</v>
      </c>
      <c r="O138" s="344">
        <f>IF(B138="","",ROUND(SUMIFS('tp inwestycje do spr.'!G$7:G$250,'tp inwestycje do spr.'!$A$7:$A$250,$B138,'tp inwestycje do spr.'!$C$7:$C$250,$C138,'tp inwestycje do spr.'!$D$7:$D$250,$D138,'tp inwestycje do spr.'!$E$7:$E$250,$A138)-G138,2))</f>
        <v>0</v>
      </c>
      <c r="P138" s="344">
        <f>IF(C138="","",ROUND(SUMIFS('tp inwestycje do spr.'!H$7:H$250,'tp inwestycje do spr.'!$A$7:$A$250,$B138,'tp inwestycje do spr.'!$C$7:$C$250,$C138,'tp inwestycje do spr.'!$D$7:$D$250,$D138,'tp inwestycje do spr.'!$E$7:$E$250,$A138)-H138,2))</f>
        <v>0</v>
      </c>
      <c r="Q138" s="344">
        <f>IF(D138="","",ROUND(SUMIFS('tp inwestycje do spr.'!I$7:I$250,'tp inwestycje do spr.'!$A$7:$A$250,$B138,'tp inwestycje do spr.'!$C$7:$C$250,$C138,'tp inwestycje do spr.'!$D$7:$D$250,$D138,'tp inwestycje do spr.'!$E$7:$E$250,$A138)-I138,2))</f>
        <v>0</v>
      </c>
      <c r="R138" s="344">
        <f>IF(E138="","",ROUND(SUMIFS('tp inwestycje do spr.'!J$7:J$250,'tp inwestycje do spr.'!$A$7:$A$250,$B138,'tp inwestycje do spr.'!$C$7:$C$250,$C138,'tp inwestycje do spr.'!$D$7:$D$250,$D138,'tp inwestycje do spr.'!$E$7:$E$250,$A138)-J138,2))</f>
        <v>0</v>
      </c>
      <c r="S138" s="344">
        <f>IF(F138="","",ROUND(SUMIFS('tp inwestycje do spr.'!K$7:K$250,'tp inwestycje do spr.'!$A$7:$A$250,$B138,'tp inwestycje do spr.'!$C$7:$C$250,$C138,'tp inwestycje do spr.'!$D$7:$D$250,$D138,'tp inwestycje do spr.'!$E$7:$E$250,$A138)-K138,2))</f>
        <v>0</v>
      </c>
      <c r="T138" s="344">
        <f>IF(G138="","",ROUND(SUMIFS('tp inwestycje do spr.'!L$7:L$250,'tp inwestycje do spr.'!$A$7:$A$250,$B138,'tp inwestycje do spr.'!$C$7:$C$250,$C138,'tp inwestycje do spr.'!$D$7:$D$250,$D138,'tp inwestycje do spr.'!$E$7:$E$250,$A138)-L138,2))</f>
        <v>0</v>
      </c>
      <c r="U138" s="342" t="str">
        <f t="shared" si="14"/>
        <v>nie</v>
      </c>
    </row>
    <row r="139" spans="1:21" x14ac:dyDescent="0.25">
      <c r="A139" s="362" t="s">
        <v>102</v>
      </c>
      <c r="B139" s="362" t="s">
        <v>195</v>
      </c>
      <c r="C139" s="363" t="s">
        <v>384</v>
      </c>
      <c r="D139" s="363" t="s">
        <v>242</v>
      </c>
      <c r="E139" s="362" t="s">
        <v>385</v>
      </c>
      <c r="F139" s="364">
        <v>3717350</v>
      </c>
      <c r="G139" s="364">
        <v>0</v>
      </c>
      <c r="H139" s="364">
        <v>116850</v>
      </c>
      <c r="I139" s="364">
        <v>3383150</v>
      </c>
      <c r="J139" s="364">
        <v>217350</v>
      </c>
      <c r="K139" s="364">
        <v>0</v>
      </c>
      <c r="L139" s="358"/>
      <c r="M139" s="355"/>
      <c r="N139" s="344">
        <f>IF(A139="","",ROUND(SUMIFS('tp inwestycje do spr.'!F$7:F$250,'tp inwestycje do spr.'!$A$7:$A$250,$B139,'tp inwestycje do spr.'!$C$7:$C$250,$C139,'tp inwestycje do spr.'!$D$7:$D$250,$D139,'tp inwestycje do spr.'!$E$7:$E$250,$A139)-F139,2))</f>
        <v>0</v>
      </c>
      <c r="O139" s="344">
        <f>IF(B139="","",ROUND(SUMIFS('tp inwestycje do spr.'!G$7:G$250,'tp inwestycje do spr.'!$A$7:$A$250,$B139,'tp inwestycje do spr.'!$C$7:$C$250,$C139,'tp inwestycje do spr.'!$D$7:$D$250,$D139,'tp inwestycje do spr.'!$E$7:$E$250,$A139)-G139,2))</f>
        <v>0</v>
      </c>
      <c r="P139" s="344">
        <f>IF(C139="","",ROUND(SUMIFS('tp inwestycje do spr.'!H$7:H$250,'tp inwestycje do spr.'!$A$7:$A$250,$B139,'tp inwestycje do spr.'!$C$7:$C$250,$C139,'tp inwestycje do spr.'!$D$7:$D$250,$D139,'tp inwestycje do spr.'!$E$7:$E$250,$A139)-H139,2))</f>
        <v>0</v>
      </c>
      <c r="Q139" s="344">
        <f>IF(D139="","",ROUND(SUMIFS('tp inwestycje do spr.'!I$7:I$250,'tp inwestycje do spr.'!$A$7:$A$250,$B139,'tp inwestycje do spr.'!$C$7:$C$250,$C139,'tp inwestycje do spr.'!$D$7:$D$250,$D139,'tp inwestycje do spr.'!$E$7:$E$250,$A139)-I139,2))</f>
        <v>0</v>
      </c>
      <c r="R139" s="344">
        <f>IF(E139="","",ROUND(SUMIFS('tp inwestycje do spr.'!J$7:J$250,'tp inwestycje do spr.'!$A$7:$A$250,$B139,'tp inwestycje do spr.'!$C$7:$C$250,$C139,'tp inwestycje do spr.'!$D$7:$D$250,$D139,'tp inwestycje do spr.'!$E$7:$E$250,$A139)-J139,2))</f>
        <v>0</v>
      </c>
      <c r="S139" s="344">
        <f>IF(F139="","",ROUND(SUMIFS('tp inwestycje do spr.'!K$7:K$250,'tp inwestycje do spr.'!$A$7:$A$250,$B139,'tp inwestycje do spr.'!$C$7:$C$250,$C139,'tp inwestycje do spr.'!$D$7:$D$250,$D139,'tp inwestycje do spr.'!$E$7:$E$250,$A139)-K139,2))</f>
        <v>0</v>
      </c>
      <c r="T139" s="344">
        <f>IF(G139="","",ROUND(SUMIFS('tp inwestycje do spr.'!L$7:L$250,'tp inwestycje do spr.'!$A$7:$A$250,$B139,'tp inwestycje do spr.'!$C$7:$C$250,$C139,'tp inwestycje do spr.'!$D$7:$D$250,$D139,'tp inwestycje do spr.'!$E$7:$E$250,$A139)-L139,2))</f>
        <v>0</v>
      </c>
      <c r="U139" s="342" t="str">
        <f t="shared" si="14"/>
        <v>nie</v>
      </c>
    </row>
    <row r="140" spans="1:21" x14ac:dyDescent="0.25">
      <c r="A140" s="362" t="s">
        <v>103</v>
      </c>
      <c r="B140" s="362" t="s">
        <v>195</v>
      </c>
      <c r="C140" s="363" t="s">
        <v>384</v>
      </c>
      <c r="D140" s="363" t="s">
        <v>242</v>
      </c>
      <c r="E140" s="362" t="s">
        <v>386</v>
      </c>
      <c r="F140" s="364">
        <v>3592505</v>
      </c>
      <c r="G140" s="364">
        <v>0</v>
      </c>
      <c r="H140" s="364">
        <v>0</v>
      </c>
      <c r="I140" s="364">
        <v>3375155</v>
      </c>
      <c r="J140" s="364">
        <v>217350</v>
      </c>
      <c r="K140" s="364">
        <v>0</v>
      </c>
      <c r="L140" s="358"/>
      <c r="M140" s="355"/>
      <c r="N140" s="344">
        <f>IF(A140="","",ROUND(SUMIFS('tp inwestycje do spr.'!F$7:F$250,'tp inwestycje do spr.'!$A$7:$A$250,$B140,'tp inwestycje do spr.'!$C$7:$C$250,$C140,'tp inwestycje do spr.'!$D$7:$D$250,$D140,'tp inwestycje do spr.'!$E$7:$E$250,$A140)-F140,2))</f>
        <v>0</v>
      </c>
      <c r="O140" s="344">
        <f>IF(B140="","",ROUND(SUMIFS('tp inwestycje do spr.'!G$7:G$250,'tp inwestycje do spr.'!$A$7:$A$250,$B140,'tp inwestycje do spr.'!$C$7:$C$250,$C140,'tp inwestycje do spr.'!$D$7:$D$250,$D140,'tp inwestycje do spr.'!$E$7:$E$250,$A140)-G140,2))</f>
        <v>0</v>
      </c>
      <c r="P140" s="344">
        <f>IF(C140="","",ROUND(SUMIFS('tp inwestycje do spr.'!H$7:H$250,'tp inwestycje do spr.'!$A$7:$A$250,$B140,'tp inwestycje do spr.'!$C$7:$C$250,$C140,'tp inwestycje do spr.'!$D$7:$D$250,$D140,'tp inwestycje do spr.'!$E$7:$E$250,$A140)-H140,2))</f>
        <v>0</v>
      </c>
      <c r="Q140" s="344">
        <f>IF(D140="","",ROUND(SUMIFS('tp inwestycje do spr.'!I$7:I$250,'tp inwestycje do spr.'!$A$7:$A$250,$B140,'tp inwestycje do spr.'!$C$7:$C$250,$C140,'tp inwestycje do spr.'!$D$7:$D$250,$D140,'tp inwestycje do spr.'!$E$7:$E$250,$A140)-I140,2))</f>
        <v>0</v>
      </c>
      <c r="R140" s="344">
        <f>IF(E140="","",ROUND(SUMIFS('tp inwestycje do spr.'!J$7:J$250,'tp inwestycje do spr.'!$A$7:$A$250,$B140,'tp inwestycje do spr.'!$C$7:$C$250,$C140,'tp inwestycje do spr.'!$D$7:$D$250,$D140,'tp inwestycje do spr.'!$E$7:$E$250,$A140)-J140,2))</f>
        <v>0</v>
      </c>
      <c r="S140" s="344">
        <f>IF(F140="","",ROUND(SUMIFS('tp inwestycje do spr.'!K$7:K$250,'tp inwestycje do spr.'!$A$7:$A$250,$B140,'tp inwestycje do spr.'!$C$7:$C$250,$C140,'tp inwestycje do spr.'!$D$7:$D$250,$D140,'tp inwestycje do spr.'!$E$7:$E$250,$A140)-K140,2))</f>
        <v>0</v>
      </c>
      <c r="T140" s="344">
        <f>IF(G140="","",ROUND(SUMIFS('tp inwestycje do spr.'!L$7:L$250,'tp inwestycje do spr.'!$A$7:$A$250,$B140,'tp inwestycje do spr.'!$C$7:$C$250,$C140,'tp inwestycje do spr.'!$D$7:$D$250,$D140,'tp inwestycje do spr.'!$E$7:$E$250,$A140)-L140,2))</f>
        <v>0</v>
      </c>
      <c r="U140" s="342" t="str">
        <f t="shared" si="14"/>
        <v>nie</v>
      </c>
    </row>
    <row r="141" spans="1:21" x14ac:dyDescent="0.25">
      <c r="A141" s="362" t="s">
        <v>104</v>
      </c>
      <c r="B141" s="362" t="s">
        <v>195</v>
      </c>
      <c r="C141" s="363" t="s">
        <v>384</v>
      </c>
      <c r="D141" s="363" t="s">
        <v>242</v>
      </c>
      <c r="E141" s="362" t="s">
        <v>387</v>
      </c>
      <c r="F141" s="364">
        <v>124845</v>
      </c>
      <c r="G141" s="364">
        <v>0</v>
      </c>
      <c r="H141" s="364">
        <v>116850</v>
      </c>
      <c r="I141" s="364">
        <v>7995</v>
      </c>
      <c r="J141" s="364">
        <v>0</v>
      </c>
      <c r="K141" s="364">
        <v>0</v>
      </c>
      <c r="L141" s="358"/>
      <c r="M141" s="355"/>
      <c r="N141" s="344">
        <f>IF(A141="","",ROUND(SUMIFS('tp inwestycje do spr.'!F$7:F$250,'tp inwestycje do spr.'!$A$7:$A$250,$B141,'tp inwestycje do spr.'!$C$7:$C$250,$C141,'tp inwestycje do spr.'!$D$7:$D$250,$D141,'tp inwestycje do spr.'!$E$7:$E$250,$A141)-F141,2))</f>
        <v>0</v>
      </c>
      <c r="O141" s="344">
        <f>IF(B141="","",ROUND(SUMIFS('tp inwestycje do spr.'!G$7:G$250,'tp inwestycje do spr.'!$A$7:$A$250,$B141,'tp inwestycje do spr.'!$C$7:$C$250,$C141,'tp inwestycje do spr.'!$D$7:$D$250,$D141,'tp inwestycje do spr.'!$E$7:$E$250,$A141)-G141,2))</f>
        <v>0</v>
      </c>
      <c r="P141" s="344">
        <f>IF(C141="","",ROUND(SUMIFS('tp inwestycje do spr.'!H$7:H$250,'tp inwestycje do spr.'!$A$7:$A$250,$B141,'tp inwestycje do spr.'!$C$7:$C$250,$C141,'tp inwestycje do spr.'!$D$7:$D$250,$D141,'tp inwestycje do spr.'!$E$7:$E$250,$A141)-H141,2))</f>
        <v>0</v>
      </c>
      <c r="Q141" s="344">
        <f>IF(D141="","",ROUND(SUMIFS('tp inwestycje do spr.'!I$7:I$250,'tp inwestycje do spr.'!$A$7:$A$250,$B141,'tp inwestycje do spr.'!$C$7:$C$250,$C141,'tp inwestycje do spr.'!$D$7:$D$250,$D141,'tp inwestycje do spr.'!$E$7:$E$250,$A141)-I141,2))</f>
        <v>0</v>
      </c>
      <c r="R141" s="344">
        <f>IF(E141="","",ROUND(SUMIFS('tp inwestycje do spr.'!J$7:J$250,'tp inwestycje do spr.'!$A$7:$A$250,$B141,'tp inwestycje do spr.'!$C$7:$C$250,$C141,'tp inwestycje do spr.'!$D$7:$D$250,$D141,'tp inwestycje do spr.'!$E$7:$E$250,$A141)-J141,2))</f>
        <v>0</v>
      </c>
      <c r="S141" s="344">
        <f>IF(F141="","",ROUND(SUMIFS('tp inwestycje do spr.'!K$7:K$250,'tp inwestycje do spr.'!$A$7:$A$250,$B141,'tp inwestycje do spr.'!$C$7:$C$250,$C141,'tp inwestycje do spr.'!$D$7:$D$250,$D141,'tp inwestycje do spr.'!$E$7:$E$250,$A141)-K141,2))</f>
        <v>0</v>
      </c>
      <c r="T141" s="344">
        <f>IF(G141="","",ROUND(SUMIFS('tp inwestycje do spr.'!L$7:L$250,'tp inwestycje do spr.'!$A$7:$A$250,$B141,'tp inwestycje do spr.'!$C$7:$C$250,$C141,'tp inwestycje do spr.'!$D$7:$D$250,$D141,'tp inwestycje do spr.'!$E$7:$E$250,$A141)-L141,2))</f>
        <v>0</v>
      </c>
      <c r="U141" s="342" t="str">
        <f t="shared" si="14"/>
        <v>nie</v>
      </c>
    </row>
    <row r="142" spans="1:21" x14ac:dyDescent="0.25">
      <c r="A142" s="362" t="s">
        <v>102</v>
      </c>
      <c r="B142" s="362" t="s">
        <v>198</v>
      </c>
      <c r="C142" s="363" t="s">
        <v>388</v>
      </c>
      <c r="D142" s="363" t="s">
        <v>250</v>
      </c>
      <c r="E142" s="362" t="s">
        <v>389</v>
      </c>
      <c r="F142" s="364">
        <v>3400000</v>
      </c>
      <c r="G142" s="364">
        <v>0</v>
      </c>
      <c r="H142" s="364">
        <v>241161</v>
      </c>
      <c r="I142" s="364">
        <v>3158839</v>
      </c>
      <c r="J142" s="364">
        <v>0</v>
      </c>
      <c r="K142" s="364">
        <v>0</v>
      </c>
      <c r="L142" s="358"/>
      <c r="M142" s="355"/>
      <c r="N142" s="344">
        <f>IF(A142="","",ROUND(SUMIFS('tp inwestycje do spr.'!F$7:F$250,'tp inwestycje do spr.'!$A$7:$A$250,$B142,'tp inwestycje do spr.'!$C$7:$C$250,$C142,'tp inwestycje do spr.'!$D$7:$D$250,$D142,'tp inwestycje do spr.'!$E$7:$E$250,$A142)-F142,2))</f>
        <v>0</v>
      </c>
      <c r="O142" s="344">
        <f>IF(B142="","",ROUND(SUMIFS('tp inwestycje do spr.'!G$7:G$250,'tp inwestycje do spr.'!$A$7:$A$250,$B142,'tp inwestycje do spr.'!$C$7:$C$250,$C142,'tp inwestycje do spr.'!$D$7:$D$250,$D142,'tp inwestycje do spr.'!$E$7:$E$250,$A142)-G142,2))</f>
        <v>0</v>
      </c>
      <c r="P142" s="344">
        <f>IF(C142="","",ROUND(SUMIFS('tp inwestycje do spr.'!H$7:H$250,'tp inwestycje do spr.'!$A$7:$A$250,$B142,'tp inwestycje do spr.'!$C$7:$C$250,$C142,'tp inwestycje do spr.'!$D$7:$D$250,$D142,'tp inwestycje do spr.'!$E$7:$E$250,$A142)-H142,2))</f>
        <v>0</v>
      </c>
      <c r="Q142" s="344">
        <f>IF(D142="","",ROUND(SUMIFS('tp inwestycje do spr.'!I$7:I$250,'tp inwestycje do spr.'!$A$7:$A$250,$B142,'tp inwestycje do spr.'!$C$7:$C$250,$C142,'tp inwestycje do spr.'!$D$7:$D$250,$D142,'tp inwestycje do spr.'!$E$7:$E$250,$A142)-I142,2))</f>
        <v>0</v>
      </c>
      <c r="R142" s="344">
        <f>IF(E142="","",ROUND(SUMIFS('tp inwestycje do spr.'!J$7:J$250,'tp inwestycje do spr.'!$A$7:$A$250,$B142,'tp inwestycje do spr.'!$C$7:$C$250,$C142,'tp inwestycje do spr.'!$D$7:$D$250,$D142,'tp inwestycje do spr.'!$E$7:$E$250,$A142)-J142,2))</f>
        <v>0</v>
      </c>
      <c r="S142" s="344">
        <f>IF(F142="","",ROUND(SUMIFS('tp inwestycje do spr.'!K$7:K$250,'tp inwestycje do spr.'!$A$7:$A$250,$B142,'tp inwestycje do spr.'!$C$7:$C$250,$C142,'tp inwestycje do spr.'!$D$7:$D$250,$D142,'tp inwestycje do spr.'!$E$7:$E$250,$A142)-K142,2))</f>
        <v>0</v>
      </c>
      <c r="T142" s="344">
        <f>IF(G142="","",ROUND(SUMIFS('tp inwestycje do spr.'!L$7:L$250,'tp inwestycje do spr.'!$A$7:$A$250,$B142,'tp inwestycje do spr.'!$C$7:$C$250,$C142,'tp inwestycje do spr.'!$D$7:$D$250,$D142,'tp inwestycje do spr.'!$E$7:$E$250,$A142)-L142,2))</f>
        <v>0</v>
      </c>
      <c r="U142" s="342" t="str">
        <f t="shared" si="14"/>
        <v>nie</v>
      </c>
    </row>
    <row r="143" spans="1:21" x14ac:dyDescent="0.25">
      <c r="A143" s="362" t="s">
        <v>103</v>
      </c>
      <c r="B143" s="362" t="s">
        <v>198</v>
      </c>
      <c r="C143" s="363" t="s">
        <v>388</v>
      </c>
      <c r="D143" s="363" t="s">
        <v>250</v>
      </c>
      <c r="E143" s="362" t="s">
        <v>390</v>
      </c>
      <c r="F143" s="364">
        <v>3158839</v>
      </c>
      <c r="G143" s="364">
        <v>0</v>
      </c>
      <c r="H143" s="364">
        <v>0</v>
      </c>
      <c r="I143" s="364">
        <v>3158839</v>
      </c>
      <c r="J143" s="364">
        <v>0</v>
      </c>
      <c r="K143" s="364">
        <v>0</v>
      </c>
      <c r="L143" s="358"/>
      <c r="M143" s="355"/>
      <c r="N143" s="344">
        <f>IF(A143="","",ROUND(SUMIFS('tp inwestycje do spr.'!F$7:F$250,'tp inwestycje do spr.'!$A$7:$A$250,$B143,'tp inwestycje do spr.'!$C$7:$C$250,$C143,'tp inwestycje do spr.'!$D$7:$D$250,$D143,'tp inwestycje do spr.'!$E$7:$E$250,$A143)-F143,2))</f>
        <v>0</v>
      </c>
      <c r="O143" s="344">
        <f>IF(B143="","",ROUND(SUMIFS('tp inwestycje do spr.'!G$7:G$250,'tp inwestycje do spr.'!$A$7:$A$250,$B143,'tp inwestycje do spr.'!$C$7:$C$250,$C143,'tp inwestycje do spr.'!$D$7:$D$250,$D143,'tp inwestycje do spr.'!$E$7:$E$250,$A143)-G143,2))</f>
        <v>0</v>
      </c>
      <c r="P143" s="344">
        <f>IF(C143="","",ROUND(SUMIFS('tp inwestycje do spr.'!H$7:H$250,'tp inwestycje do spr.'!$A$7:$A$250,$B143,'tp inwestycje do spr.'!$C$7:$C$250,$C143,'tp inwestycje do spr.'!$D$7:$D$250,$D143,'tp inwestycje do spr.'!$E$7:$E$250,$A143)-H143,2))</f>
        <v>0</v>
      </c>
      <c r="Q143" s="344">
        <f>IF(D143="","",ROUND(SUMIFS('tp inwestycje do spr.'!I$7:I$250,'tp inwestycje do spr.'!$A$7:$A$250,$B143,'tp inwestycje do spr.'!$C$7:$C$250,$C143,'tp inwestycje do spr.'!$D$7:$D$250,$D143,'tp inwestycje do spr.'!$E$7:$E$250,$A143)-I143,2))</f>
        <v>0</v>
      </c>
      <c r="R143" s="344">
        <f>IF(E143="","",ROUND(SUMIFS('tp inwestycje do spr.'!J$7:J$250,'tp inwestycje do spr.'!$A$7:$A$250,$B143,'tp inwestycje do spr.'!$C$7:$C$250,$C143,'tp inwestycje do spr.'!$D$7:$D$250,$D143,'tp inwestycje do spr.'!$E$7:$E$250,$A143)-J143,2))</f>
        <v>0</v>
      </c>
      <c r="S143" s="344">
        <f>IF(F143="","",ROUND(SUMIFS('tp inwestycje do spr.'!K$7:K$250,'tp inwestycje do spr.'!$A$7:$A$250,$B143,'tp inwestycje do spr.'!$C$7:$C$250,$C143,'tp inwestycje do spr.'!$D$7:$D$250,$D143,'tp inwestycje do spr.'!$E$7:$E$250,$A143)-K143,2))</f>
        <v>0</v>
      </c>
      <c r="T143" s="344">
        <f>IF(G143="","",ROUND(SUMIFS('tp inwestycje do spr.'!L$7:L$250,'tp inwestycje do spr.'!$A$7:$A$250,$B143,'tp inwestycje do spr.'!$C$7:$C$250,$C143,'tp inwestycje do spr.'!$D$7:$D$250,$D143,'tp inwestycje do spr.'!$E$7:$E$250,$A143)-L143,2))</f>
        <v>0</v>
      </c>
      <c r="U143" s="342" t="str">
        <f t="shared" si="14"/>
        <v>nie</v>
      </c>
    </row>
    <row r="144" spans="1:21" x14ac:dyDescent="0.25">
      <c r="A144" s="362" t="s">
        <v>104</v>
      </c>
      <c r="B144" s="362" t="s">
        <v>198</v>
      </c>
      <c r="C144" s="363" t="s">
        <v>388</v>
      </c>
      <c r="D144" s="363" t="s">
        <v>250</v>
      </c>
      <c r="E144" s="362" t="s">
        <v>397</v>
      </c>
      <c r="F144" s="364">
        <v>241161</v>
      </c>
      <c r="G144" s="364">
        <v>0</v>
      </c>
      <c r="H144" s="364">
        <v>241161</v>
      </c>
      <c r="I144" s="364">
        <v>0</v>
      </c>
      <c r="J144" s="364">
        <v>0</v>
      </c>
      <c r="K144" s="364">
        <v>0</v>
      </c>
      <c r="L144" s="358"/>
      <c r="M144" s="355"/>
      <c r="N144" s="344">
        <f>IF(A144="","",ROUND(SUMIFS('tp inwestycje do spr.'!F$7:F$250,'tp inwestycje do spr.'!$A$7:$A$250,$B144,'tp inwestycje do spr.'!$C$7:$C$250,$C144,'tp inwestycje do spr.'!$D$7:$D$250,$D144,'tp inwestycje do spr.'!$E$7:$E$250,$A144)-F144,2))</f>
        <v>0</v>
      </c>
      <c r="O144" s="344">
        <f>IF(B144="","",ROUND(SUMIFS('tp inwestycje do spr.'!G$7:G$250,'tp inwestycje do spr.'!$A$7:$A$250,$B144,'tp inwestycje do spr.'!$C$7:$C$250,$C144,'tp inwestycje do spr.'!$D$7:$D$250,$D144,'tp inwestycje do spr.'!$E$7:$E$250,$A144)-G144,2))</f>
        <v>0</v>
      </c>
      <c r="P144" s="344">
        <f>IF(C144="","",ROUND(SUMIFS('tp inwestycje do spr.'!H$7:H$250,'tp inwestycje do spr.'!$A$7:$A$250,$B144,'tp inwestycje do spr.'!$C$7:$C$250,$C144,'tp inwestycje do spr.'!$D$7:$D$250,$D144,'tp inwestycje do spr.'!$E$7:$E$250,$A144)-H144,2))</f>
        <v>0</v>
      </c>
      <c r="Q144" s="344">
        <f>IF(D144="","",ROUND(SUMIFS('tp inwestycje do spr.'!I$7:I$250,'tp inwestycje do spr.'!$A$7:$A$250,$B144,'tp inwestycje do spr.'!$C$7:$C$250,$C144,'tp inwestycje do spr.'!$D$7:$D$250,$D144,'tp inwestycje do spr.'!$E$7:$E$250,$A144)-I144,2))</f>
        <v>0</v>
      </c>
      <c r="R144" s="344">
        <f>IF(E144="","",ROUND(SUMIFS('tp inwestycje do spr.'!J$7:J$250,'tp inwestycje do spr.'!$A$7:$A$250,$B144,'tp inwestycje do spr.'!$C$7:$C$250,$C144,'tp inwestycje do spr.'!$D$7:$D$250,$D144,'tp inwestycje do spr.'!$E$7:$E$250,$A144)-J144,2))</f>
        <v>0</v>
      </c>
      <c r="S144" s="344">
        <f>IF(F144="","",ROUND(SUMIFS('tp inwestycje do spr.'!K$7:K$250,'tp inwestycje do spr.'!$A$7:$A$250,$B144,'tp inwestycje do spr.'!$C$7:$C$250,$C144,'tp inwestycje do spr.'!$D$7:$D$250,$D144,'tp inwestycje do spr.'!$E$7:$E$250,$A144)-K144,2))</f>
        <v>0</v>
      </c>
      <c r="T144" s="344">
        <f>IF(G144="","",ROUND(SUMIFS('tp inwestycje do spr.'!L$7:L$250,'tp inwestycje do spr.'!$A$7:$A$250,$B144,'tp inwestycje do spr.'!$C$7:$C$250,$C144,'tp inwestycje do spr.'!$D$7:$D$250,$D144,'tp inwestycje do spr.'!$E$7:$E$250,$A144)-L144,2))</f>
        <v>0</v>
      </c>
      <c r="U144" s="342" t="str">
        <f t="shared" si="14"/>
        <v>nie</v>
      </c>
    </row>
    <row r="145" spans="1:21" x14ac:dyDescent="0.25">
      <c r="A145" s="362" t="s">
        <v>102</v>
      </c>
      <c r="B145" s="362" t="s">
        <v>200</v>
      </c>
      <c r="C145" s="363" t="s">
        <v>391</v>
      </c>
      <c r="D145" s="363" t="s">
        <v>242</v>
      </c>
      <c r="E145" s="362" t="s">
        <v>392</v>
      </c>
      <c r="F145" s="364">
        <v>1501730</v>
      </c>
      <c r="G145" s="364">
        <v>0</v>
      </c>
      <c r="H145" s="364">
        <v>241010</v>
      </c>
      <c r="I145" s="364">
        <v>1260720</v>
      </c>
      <c r="J145" s="364">
        <v>0</v>
      </c>
      <c r="K145" s="364">
        <v>0</v>
      </c>
      <c r="L145" s="358"/>
      <c r="M145" s="355"/>
      <c r="N145" s="344">
        <f>IF(A145="","",ROUND(SUMIFS('tp inwestycje do spr.'!F$7:F$250,'tp inwestycje do spr.'!$A$7:$A$250,$B145,'tp inwestycje do spr.'!$C$7:$C$250,$C145,'tp inwestycje do spr.'!$D$7:$D$250,$D145,'tp inwestycje do spr.'!$E$7:$E$250,$A145)-F145,2))</f>
        <v>0</v>
      </c>
      <c r="O145" s="344">
        <f>IF(B145="","",ROUND(SUMIFS('tp inwestycje do spr.'!G$7:G$250,'tp inwestycje do spr.'!$A$7:$A$250,$B145,'tp inwestycje do spr.'!$C$7:$C$250,$C145,'tp inwestycje do spr.'!$D$7:$D$250,$D145,'tp inwestycje do spr.'!$E$7:$E$250,$A145)-G145,2))</f>
        <v>0</v>
      </c>
      <c r="P145" s="344">
        <f>IF(C145="","",ROUND(SUMIFS('tp inwestycje do spr.'!H$7:H$250,'tp inwestycje do spr.'!$A$7:$A$250,$B145,'tp inwestycje do spr.'!$C$7:$C$250,$C145,'tp inwestycje do spr.'!$D$7:$D$250,$D145,'tp inwestycje do spr.'!$E$7:$E$250,$A145)-H145,2))</f>
        <v>0</v>
      </c>
      <c r="Q145" s="344">
        <f>IF(D145="","",ROUND(SUMIFS('tp inwestycje do spr.'!I$7:I$250,'tp inwestycje do spr.'!$A$7:$A$250,$B145,'tp inwestycje do spr.'!$C$7:$C$250,$C145,'tp inwestycje do spr.'!$D$7:$D$250,$D145,'tp inwestycje do spr.'!$E$7:$E$250,$A145)-I145,2))</f>
        <v>0</v>
      </c>
      <c r="R145" s="344">
        <f>IF(E145="","",ROUND(SUMIFS('tp inwestycje do spr.'!J$7:J$250,'tp inwestycje do spr.'!$A$7:$A$250,$B145,'tp inwestycje do spr.'!$C$7:$C$250,$C145,'tp inwestycje do spr.'!$D$7:$D$250,$D145,'tp inwestycje do spr.'!$E$7:$E$250,$A145)-J145,2))</f>
        <v>0</v>
      </c>
      <c r="S145" s="344">
        <f>IF(F145="","",ROUND(SUMIFS('tp inwestycje do spr.'!K$7:K$250,'tp inwestycje do spr.'!$A$7:$A$250,$B145,'tp inwestycje do spr.'!$C$7:$C$250,$C145,'tp inwestycje do spr.'!$D$7:$D$250,$D145,'tp inwestycje do spr.'!$E$7:$E$250,$A145)-K145,2))</f>
        <v>0</v>
      </c>
      <c r="T145" s="344">
        <f>IF(G145="","",ROUND(SUMIFS('tp inwestycje do spr.'!L$7:L$250,'tp inwestycje do spr.'!$A$7:$A$250,$B145,'tp inwestycje do spr.'!$C$7:$C$250,$C145,'tp inwestycje do spr.'!$D$7:$D$250,$D145,'tp inwestycje do spr.'!$E$7:$E$250,$A145)-L145,2))</f>
        <v>0</v>
      </c>
      <c r="U145" s="342" t="str">
        <f t="shared" si="14"/>
        <v>nie</v>
      </c>
    </row>
    <row r="146" spans="1:21" x14ac:dyDescent="0.25">
      <c r="A146" s="362" t="s">
        <v>103</v>
      </c>
      <c r="B146" s="362" t="s">
        <v>200</v>
      </c>
      <c r="C146" s="363" t="s">
        <v>391</v>
      </c>
      <c r="D146" s="363" t="s">
        <v>242</v>
      </c>
      <c r="E146" s="362" t="s">
        <v>393</v>
      </c>
      <c r="F146" s="364">
        <v>1260720</v>
      </c>
      <c r="G146" s="364">
        <v>0</v>
      </c>
      <c r="H146" s="364">
        <v>0</v>
      </c>
      <c r="I146" s="364">
        <v>1260720</v>
      </c>
      <c r="J146" s="364">
        <v>0</v>
      </c>
      <c r="K146" s="364">
        <v>0</v>
      </c>
      <c r="L146" s="358"/>
      <c r="M146" s="355"/>
      <c r="N146" s="344">
        <f>IF(A146="","",ROUND(SUMIFS('tp inwestycje do spr.'!F$7:F$250,'tp inwestycje do spr.'!$A$7:$A$250,$B146,'tp inwestycje do spr.'!$C$7:$C$250,$C146,'tp inwestycje do spr.'!$D$7:$D$250,$D146,'tp inwestycje do spr.'!$E$7:$E$250,$A146)-F146,2))</f>
        <v>0</v>
      </c>
      <c r="O146" s="344">
        <f>IF(B146="","",ROUND(SUMIFS('tp inwestycje do spr.'!G$7:G$250,'tp inwestycje do spr.'!$A$7:$A$250,$B146,'tp inwestycje do spr.'!$C$7:$C$250,$C146,'tp inwestycje do spr.'!$D$7:$D$250,$D146,'tp inwestycje do spr.'!$E$7:$E$250,$A146)-G146,2))</f>
        <v>0</v>
      </c>
      <c r="P146" s="344">
        <f>IF(C146="","",ROUND(SUMIFS('tp inwestycje do spr.'!H$7:H$250,'tp inwestycje do spr.'!$A$7:$A$250,$B146,'tp inwestycje do spr.'!$C$7:$C$250,$C146,'tp inwestycje do spr.'!$D$7:$D$250,$D146,'tp inwestycje do spr.'!$E$7:$E$250,$A146)-H146,2))</f>
        <v>0</v>
      </c>
      <c r="Q146" s="344">
        <f>IF(D146="","",ROUND(SUMIFS('tp inwestycje do spr.'!I$7:I$250,'tp inwestycje do spr.'!$A$7:$A$250,$B146,'tp inwestycje do spr.'!$C$7:$C$250,$C146,'tp inwestycje do spr.'!$D$7:$D$250,$D146,'tp inwestycje do spr.'!$E$7:$E$250,$A146)-I146,2))</f>
        <v>0</v>
      </c>
      <c r="R146" s="344">
        <f>IF(E146="","",ROUND(SUMIFS('tp inwestycje do spr.'!J$7:J$250,'tp inwestycje do spr.'!$A$7:$A$250,$B146,'tp inwestycje do spr.'!$C$7:$C$250,$C146,'tp inwestycje do spr.'!$D$7:$D$250,$D146,'tp inwestycje do spr.'!$E$7:$E$250,$A146)-J146,2))</f>
        <v>0</v>
      </c>
      <c r="S146" s="344">
        <f>IF(F146="","",ROUND(SUMIFS('tp inwestycje do spr.'!K$7:K$250,'tp inwestycje do spr.'!$A$7:$A$250,$B146,'tp inwestycje do spr.'!$C$7:$C$250,$C146,'tp inwestycje do spr.'!$D$7:$D$250,$D146,'tp inwestycje do spr.'!$E$7:$E$250,$A146)-K146,2))</f>
        <v>0</v>
      </c>
      <c r="T146" s="344">
        <f>IF(G146="","",ROUND(SUMIFS('tp inwestycje do spr.'!L$7:L$250,'tp inwestycje do spr.'!$A$7:$A$250,$B146,'tp inwestycje do spr.'!$C$7:$C$250,$C146,'tp inwestycje do spr.'!$D$7:$D$250,$D146,'tp inwestycje do spr.'!$E$7:$E$250,$A146)-L146,2))</f>
        <v>0</v>
      </c>
      <c r="U146" s="342" t="str">
        <f t="shared" si="14"/>
        <v>nie</v>
      </c>
    </row>
    <row r="147" spans="1:21" x14ac:dyDescent="0.25">
      <c r="A147" s="362" t="s">
        <v>104</v>
      </c>
      <c r="B147" s="362" t="s">
        <v>200</v>
      </c>
      <c r="C147" s="363" t="s">
        <v>391</v>
      </c>
      <c r="D147" s="363" t="s">
        <v>242</v>
      </c>
      <c r="E147" s="362" t="s">
        <v>394</v>
      </c>
      <c r="F147" s="364">
        <v>241010</v>
      </c>
      <c r="G147" s="364">
        <v>0</v>
      </c>
      <c r="H147" s="364">
        <v>241010</v>
      </c>
      <c r="I147" s="364">
        <v>0</v>
      </c>
      <c r="J147" s="364">
        <v>0</v>
      </c>
      <c r="K147" s="364">
        <v>0</v>
      </c>
      <c r="L147" s="358"/>
      <c r="M147" s="355"/>
      <c r="N147" s="344">
        <f>IF(A147="","",ROUND(SUMIFS('tp inwestycje do spr.'!F$7:F$250,'tp inwestycje do spr.'!$A$7:$A$250,$B147,'tp inwestycje do spr.'!$C$7:$C$250,$C147,'tp inwestycje do spr.'!$D$7:$D$250,$D147,'tp inwestycje do spr.'!$E$7:$E$250,$A147)-F147,2))</f>
        <v>0</v>
      </c>
      <c r="O147" s="344">
        <f>IF(B147="","",ROUND(SUMIFS('tp inwestycje do spr.'!G$7:G$250,'tp inwestycje do spr.'!$A$7:$A$250,$B147,'tp inwestycje do spr.'!$C$7:$C$250,$C147,'tp inwestycje do spr.'!$D$7:$D$250,$D147,'tp inwestycje do spr.'!$E$7:$E$250,$A147)-G147,2))</f>
        <v>0</v>
      </c>
      <c r="P147" s="344">
        <f>IF(C147="","",ROUND(SUMIFS('tp inwestycje do spr.'!H$7:H$250,'tp inwestycje do spr.'!$A$7:$A$250,$B147,'tp inwestycje do spr.'!$C$7:$C$250,$C147,'tp inwestycje do spr.'!$D$7:$D$250,$D147,'tp inwestycje do spr.'!$E$7:$E$250,$A147)-H147,2))</f>
        <v>0</v>
      </c>
      <c r="Q147" s="344">
        <f>IF(D147="","",ROUND(SUMIFS('tp inwestycje do spr.'!I$7:I$250,'tp inwestycje do spr.'!$A$7:$A$250,$B147,'tp inwestycje do spr.'!$C$7:$C$250,$C147,'tp inwestycje do spr.'!$D$7:$D$250,$D147,'tp inwestycje do spr.'!$E$7:$E$250,$A147)-I147,2))</f>
        <v>0</v>
      </c>
      <c r="R147" s="344">
        <f>IF(E147="","",ROUND(SUMIFS('tp inwestycje do spr.'!J$7:J$250,'tp inwestycje do spr.'!$A$7:$A$250,$B147,'tp inwestycje do spr.'!$C$7:$C$250,$C147,'tp inwestycje do spr.'!$D$7:$D$250,$D147,'tp inwestycje do spr.'!$E$7:$E$250,$A147)-J147,2))</f>
        <v>0</v>
      </c>
      <c r="S147" s="344">
        <f>IF(F147="","",ROUND(SUMIFS('tp inwestycje do spr.'!K$7:K$250,'tp inwestycje do spr.'!$A$7:$A$250,$B147,'tp inwestycje do spr.'!$C$7:$C$250,$C147,'tp inwestycje do spr.'!$D$7:$D$250,$D147,'tp inwestycje do spr.'!$E$7:$E$250,$A147)-K147,2))</f>
        <v>0</v>
      </c>
      <c r="T147" s="344">
        <f>IF(G147="","",ROUND(SUMIFS('tp inwestycje do spr.'!L$7:L$250,'tp inwestycje do spr.'!$A$7:$A$250,$B147,'tp inwestycje do spr.'!$C$7:$C$250,$C147,'tp inwestycje do spr.'!$D$7:$D$250,$D147,'tp inwestycje do spr.'!$E$7:$E$250,$A147)-L147,2))</f>
        <v>0</v>
      </c>
      <c r="U147" s="342" t="str">
        <f t="shared" si="14"/>
        <v>nie</v>
      </c>
    </row>
    <row r="148" spans="1:21" x14ac:dyDescent="0.25">
      <c r="A148" s="362"/>
      <c r="B148" s="362"/>
      <c r="C148" s="363"/>
      <c r="D148" s="363"/>
      <c r="E148" s="362"/>
      <c r="F148" s="364"/>
      <c r="G148" s="364"/>
      <c r="H148" s="364"/>
      <c r="I148" s="364"/>
      <c r="J148" s="364"/>
      <c r="K148" s="364"/>
      <c r="L148" s="358"/>
      <c r="M148" s="355"/>
      <c r="N148" s="344" t="str">
        <f>IF(A148="","",ROUND(SUMIFS('tp inwestycje do spr.'!F$7:F$250,'tp inwestycje do spr.'!$A$7:$A$250,$B148,'tp inwestycje do spr.'!$C$7:$C$250,$C148,'tp inwestycje do spr.'!$D$7:$D$250,$D148,'tp inwestycje do spr.'!$E$7:$E$250,$A148)-F148,2))</f>
        <v/>
      </c>
      <c r="O148" s="344" t="str">
        <f>IF(B148="","",ROUND(SUMIFS('tp inwestycje do spr.'!G$7:G$250,'tp inwestycje do spr.'!$A$7:$A$250,$B148,'tp inwestycje do spr.'!$C$7:$C$250,$C148,'tp inwestycje do spr.'!$D$7:$D$250,$D148,'tp inwestycje do spr.'!$E$7:$E$250,$A148)-G148,2))</f>
        <v/>
      </c>
      <c r="P148" s="344" t="str">
        <f>IF(C148="","",ROUND(SUMIFS('tp inwestycje do spr.'!H$7:H$250,'tp inwestycje do spr.'!$A$7:$A$250,$B148,'tp inwestycje do spr.'!$C$7:$C$250,$C148,'tp inwestycje do spr.'!$D$7:$D$250,$D148,'tp inwestycje do spr.'!$E$7:$E$250,$A148)-H148,2))</f>
        <v/>
      </c>
      <c r="Q148" s="344" t="str">
        <f>IF(D148="","",ROUND(SUMIFS('tp inwestycje do spr.'!I$7:I$250,'tp inwestycje do spr.'!$A$7:$A$250,$B148,'tp inwestycje do spr.'!$C$7:$C$250,$C148,'tp inwestycje do spr.'!$D$7:$D$250,$D148,'tp inwestycje do spr.'!$E$7:$E$250,$A148)-I148,2))</f>
        <v/>
      </c>
      <c r="R148" s="344" t="str">
        <f>IF(E148="","",ROUND(SUMIFS('tp inwestycje do spr.'!J$7:J$250,'tp inwestycje do spr.'!$A$7:$A$250,$B148,'tp inwestycje do spr.'!$C$7:$C$250,$C148,'tp inwestycje do spr.'!$D$7:$D$250,$D148,'tp inwestycje do spr.'!$E$7:$E$250,$A148)-J148,2))</f>
        <v/>
      </c>
      <c r="S148" s="344" t="str">
        <f>IF(F148="","",ROUND(SUMIFS('tp inwestycje do spr.'!K$7:K$250,'tp inwestycje do spr.'!$A$7:$A$250,$B148,'tp inwestycje do spr.'!$C$7:$C$250,$C148,'tp inwestycje do spr.'!$D$7:$D$250,$D148,'tp inwestycje do spr.'!$E$7:$E$250,$A148)-K148,2))</f>
        <v/>
      </c>
      <c r="T148" s="344" t="str">
        <f>IF(G148="","",ROUND(SUMIFS('tp inwestycje do spr.'!L$7:L$250,'tp inwestycje do spr.'!$A$7:$A$250,$B148,'tp inwestycje do spr.'!$C$7:$C$250,$C148,'tp inwestycje do spr.'!$D$7:$D$250,$D148,'tp inwestycje do spr.'!$E$7:$E$250,$A148)-L148,2))</f>
        <v/>
      </c>
      <c r="U148" s="342" t="str">
        <f t="shared" si="14"/>
        <v>nie</v>
      </c>
    </row>
    <row r="149" spans="1:21" x14ac:dyDescent="0.25">
      <c r="A149" s="362"/>
      <c r="B149" s="362"/>
      <c r="C149" s="363"/>
      <c r="D149" s="363"/>
      <c r="E149" s="362"/>
      <c r="F149" s="364"/>
      <c r="G149" s="364"/>
      <c r="H149" s="364"/>
      <c r="I149" s="364"/>
      <c r="J149" s="364"/>
      <c r="K149" s="364"/>
      <c r="L149" s="358"/>
      <c r="M149" s="355"/>
      <c r="N149" s="344" t="str">
        <f>IF(A149="","",ROUND(SUMIFS('tp inwestycje do spr.'!F$7:F$250,'tp inwestycje do spr.'!$A$7:$A$250,$B149,'tp inwestycje do spr.'!$C$7:$C$250,$C149,'tp inwestycje do spr.'!$D$7:$D$250,$D149,'tp inwestycje do spr.'!$E$7:$E$250,$A149)-F149,2))</f>
        <v/>
      </c>
      <c r="O149" s="344" t="str">
        <f>IF(B149="","",ROUND(SUMIFS('tp inwestycje do spr.'!G$7:G$250,'tp inwestycje do spr.'!$A$7:$A$250,$B149,'tp inwestycje do spr.'!$C$7:$C$250,$C149,'tp inwestycje do spr.'!$D$7:$D$250,$D149,'tp inwestycje do spr.'!$E$7:$E$250,$A149)-G149,2))</f>
        <v/>
      </c>
      <c r="P149" s="344" t="str">
        <f>IF(C149="","",ROUND(SUMIFS('tp inwestycje do spr.'!H$7:H$250,'tp inwestycje do spr.'!$A$7:$A$250,$B149,'tp inwestycje do spr.'!$C$7:$C$250,$C149,'tp inwestycje do spr.'!$D$7:$D$250,$D149,'tp inwestycje do spr.'!$E$7:$E$250,$A149)-H149,2))</f>
        <v/>
      </c>
      <c r="Q149" s="344" t="str">
        <f>IF(D149="","",ROUND(SUMIFS('tp inwestycje do spr.'!I$7:I$250,'tp inwestycje do spr.'!$A$7:$A$250,$B149,'tp inwestycje do spr.'!$C$7:$C$250,$C149,'tp inwestycje do spr.'!$D$7:$D$250,$D149,'tp inwestycje do spr.'!$E$7:$E$250,$A149)-I149,2))</f>
        <v/>
      </c>
      <c r="R149" s="344" t="str">
        <f>IF(E149="","",ROUND(SUMIFS('tp inwestycje do spr.'!J$7:J$250,'tp inwestycje do spr.'!$A$7:$A$250,$B149,'tp inwestycje do spr.'!$C$7:$C$250,$C149,'tp inwestycje do spr.'!$D$7:$D$250,$D149,'tp inwestycje do spr.'!$E$7:$E$250,$A149)-J149,2))</f>
        <v/>
      </c>
      <c r="S149" s="344" t="str">
        <f>IF(F149="","",ROUND(SUMIFS('tp inwestycje do spr.'!K$7:K$250,'tp inwestycje do spr.'!$A$7:$A$250,$B149,'tp inwestycje do spr.'!$C$7:$C$250,$C149,'tp inwestycje do spr.'!$D$7:$D$250,$D149,'tp inwestycje do spr.'!$E$7:$E$250,$A149)-K149,2))</f>
        <v/>
      </c>
      <c r="T149" s="344" t="str">
        <f>IF(G149="","",ROUND(SUMIFS('tp inwestycje do spr.'!L$7:L$250,'tp inwestycje do spr.'!$A$7:$A$250,$B149,'tp inwestycje do spr.'!$C$7:$C$250,$C149,'tp inwestycje do spr.'!$D$7:$D$250,$D149,'tp inwestycje do spr.'!$E$7:$E$250,$A149)-L149,2))</f>
        <v/>
      </c>
      <c r="U149" s="342" t="str">
        <f t="shared" si="14"/>
        <v>nie</v>
      </c>
    </row>
    <row r="150" spans="1:21" x14ac:dyDescent="0.25">
      <c r="A150" s="362"/>
      <c r="B150" s="362"/>
      <c r="C150" s="363"/>
      <c r="D150" s="363"/>
      <c r="E150" s="362"/>
      <c r="F150" s="364"/>
      <c r="G150" s="364"/>
      <c r="H150" s="364"/>
      <c r="I150" s="364"/>
      <c r="J150" s="364"/>
      <c r="K150" s="364"/>
      <c r="L150" s="358"/>
      <c r="M150" s="355"/>
      <c r="N150" s="344" t="str">
        <f>IF(A150="","",ROUND(SUMIFS('tp inwestycje do spr.'!F$7:F$250,'tp inwestycje do spr.'!$A$7:$A$250,$B150,'tp inwestycje do spr.'!$C$7:$C$250,$C150,'tp inwestycje do spr.'!$D$7:$D$250,$D150,'tp inwestycje do spr.'!$E$7:$E$250,$A150)-F150,2))</f>
        <v/>
      </c>
      <c r="O150" s="344" t="str">
        <f>IF(B150="","",ROUND(SUMIFS('tp inwestycje do spr.'!G$7:G$250,'tp inwestycje do spr.'!$A$7:$A$250,$B150,'tp inwestycje do spr.'!$C$7:$C$250,$C150,'tp inwestycje do spr.'!$D$7:$D$250,$D150,'tp inwestycje do spr.'!$E$7:$E$250,$A150)-G150,2))</f>
        <v/>
      </c>
      <c r="P150" s="344" t="str">
        <f>IF(C150="","",ROUND(SUMIFS('tp inwestycje do spr.'!H$7:H$250,'tp inwestycje do spr.'!$A$7:$A$250,$B150,'tp inwestycje do spr.'!$C$7:$C$250,$C150,'tp inwestycje do spr.'!$D$7:$D$250,$D150,'tp inwestycje do spr.'!$E$7:$E$250,$A150)-H150,2))</f>
        <v/>
      </c>
      <c r="Q150" s="344" t="str">
        <f>IF(D150="","",ROUND(SUMIFS('tp inwestycje do spr.'!I$7:I$250,'tp inwestycje do spr.'!$A$7:$A$250,$B150,'tp inwestycje do spr.'!$C$7:$C$250,$C150,'tp inwestycje do spr.'!$D$7:$D$250,$D150,'tp inwestycje do spr.'!$E$7:$E$250,$A150)-I150,2))</f>
        <v/>
      </c>
      <c r="R150" s="344" t="str">
        <f>IF(E150="","",ROUND(SUMIFS('tp inwestycje do spr.'!J$7:J$250,'tp inwestycje do spr.'!$A$7:$A$250,$B150,'tp inwestycje do spr.'!$C$7:$C$250,$C150,'tp inwestycje do spr.'!$D$7:$D$250,$D150,'tp inwestycje do spr.'!$E$7:$E$250,$A150)-J150,2))</f>
        <v/>
      </c>
      <c r="S150" s="344" t="str">
        <f>IF(F150="","",ROUND(SUMIFS('tp inwestycje do spr.'!K$7:K$250,'tp inwestycje do spr.'!$A$7:$A$250,$B150,'tp inwestycje do spr.'!$C$7:$C$250,$C150,'tp inwestycje do spr.'!$D$7:$D$250,$D150,'tp inwestycje do spr.'!$E$7:$E$250,$A150)-K150,2))</f>
        <v/>
      </c>
      <c r="T150" s="344" t="str">
        <f>IF(G150="","",ROUND(SUMIFS('tp inwestycje do spr.'!L$7:L$250,'tp inwestycje do spr.'!$A$7:$A$250,$B150,'tp inwestycje do spr.'!$C$7:$C$250,$C150,'tp inwestycje do spr.'!$D$7:$D$250,$D150,'tp inwestycje do spr.'!$E$7:$E$250,$A150)-L150,2))</f>
        <v/>
      </c>
      <c r="U150" s="342" t="str">
        <f t="shared" si="14"/>
        <v>nie</v>
      </c>
    </row>
    <row r="151" spans="1:21" x14ac:dyDescent="0.25">
      <c r="A151" s="362"/>
      <c r="B151" s="362"/>
      <c r="C151" s="363"/>
      <c r="D151" s="363"/>
      <c r="E151" s="362"/>
      <c r="F151" s="364"/>
      <c r="G151" s="364"/>
      <c r="H151" s="364"/>
      <c r="I151" s="364"/>
      <c r="J151" s="364"/>
      <c r="K151" s="364"/>
      <c r="L151" s="358"/>
      <c r="M151" s="355"/>
      <c r="N151" s="344" t="str">
        <f>IF(A151="","",ROUND(SUMIFS('tp inwestycje do spr.'!F$7:F$250,'tp inwestycje do spr.'!$A$7:$A$250,$B151,'tp inwestycje do spr.'!$C$7:$C$250,$C151,'tp inwestycje do spr.'!$D$7:$D$250,$D151,'tp inwestycje do spr.'!$E$7:$E$250,$A151)-F151,2))</f>
        <v/>
      </c>
      <c r="O151" s="344" t="str">
        <f>IF(B151="","",ROUND(SUMIFS('tp inwestycje do spr.'!G$7:G$250,'tp inwestycje do spr.'!$A$7:$A$250,$B151,'tp inwestycje do spr.'!$C$7:$C$250,$C151,'tp inwestycje do spr.'!$D$7:$D$250,$D151,'tp inwestycje do spr.'!$E$7:$E$250,$A151)-G151,2))</f>
        <v/>
      </c>
      <c r="P151" s="344" t="str">
        <f>IF(C151="","",ROUND(SUMIFS('tp inwestycje do spr.'!H$7:H$250,'tp inwestycje do spr.'!$A$7:$A$250,$B151,'tp inwestycje do spr.'!$C$7:$C$250,$C151,'tp inwestycje do spr.'!$D$7:$D$250,$D151,'tp inwestycje do spr.'!$E$7:$E$250,$A151)-H151,2))</f>
        <v/>
      </c>
      <c r="Q151" s="344" t="str">
        <f>IF(D151="","",ROUND(SUMIFS('tp inwestycje do spr.'!I$7:I$250,'tp inwestycje do spr.'!$A$7:$A$250,$B151,'tp inwestycje do spr.'!$C$7:$C$250,$C151,'tp inwestycje do spr.'!$D$7:$D$250,$D151,'tp inwestycje do spr.'!$E$7:$E$250,$A151)-I151,2))</f>
        <v/>
      </c>
      <c r="R151" s="344" t="str">
        <f>IF(E151="","",ROUND(SUMIFS('tp inwestycje do spr.'!J$7:J$250,'tp inwestycje do spr.'!$A$7:$A$250,$B151,'tp inwestycje do spr.'!$C$7:$C$250,$C151,'tp inwestycje do spr.'!$D$7:$D$250,$D151,'tp inwestycje do spr.'!$E$7:$E$250,$A151)-J151,2))</f>
        <v/>
      </c>
      <c r="S151" s="344" t="str">
        <f>IF(F151="","",ROUND(SUMIFS('tp inwestycje do spr.'!K$7:K$250,'tp inwestycje do spr.'!$A$7:$A$250,$B151,'tp inwestycje do spr.'!$C$7:$C$250,$C151,'tp inwestycje do spr.'!$D$7:$D$250,$D151,'tp inwestycje do spr.'!$E$7:$E$250,$A151)-K151,2))</f>
        <v/>
      </c>
      <c r="T151" s="344" t="str">
        <f>IF(G151="","",ROUND(SUMIFS('tp inwestycje do spr.'!L$7:L$250,'tp inwestycje do spr.'!$A$7:$A$250,$B151,'tp inwestycje do spr.'!$C$7:$C$250,$C151,'tp inwestycje do spr.'!$D$7:$D$250,$D151,'tp inwestycje do spr.'!$E$7:$E$250,$A151)-L151,2))</f>
        <v/>
      </c>
      <c r="U151" s="342" t="str">
        <f t="shared" si="14"/>
        <v>nie</v>
      </c>
    </row>
    <row r="152" spans="1:21" x14ac:dyDescent="0.25">
      <c r="A152" s="362"/>
      <c r="B152" s="362"/>
      <c r="C152" s="363"/>
      <c r="D152" s="363"/>
      <c r="E152" s="362"/>
      <c r="F152" s="364"/>
      <c r="G152" s="364"/>
      <c r="H152" s="364"/>
      <c r="I152" s="364"/>
      <c r="J152" s="364"/>
      <c r="K152" s="364"/>
      <c r="L152" s="358"/>
      <c r="M152" s="355"/>
      <c r="N152" s="344" t="str">
        <f>IF(A152="","",ROUND(SUMIFS('tp inwestycje do spr.'!F$7:F$250,'tp inwestycje do spr.'!$A$7:$A$250,$B152,'tp inwestycje do spr.'!$C$7:$C$250,$C152,'tp inwestycje do spr.'!$D$7:$D$250,$D152,'tp inwestycje do spr.'!$E$7:$E$250,$A152)-F152,2))</f>
        <v/>
      </c>
      <c r="O152" s="344" t="str">
        <f>IF(B152="","",ROUND(SUMIFS('tp inwestycje do spr.'!G$7:G$250,'tp inwestycje do spr.'!$A$7:$A$250,$B152,'tp inwestycje do spr.'!$C$7:$C$250,$C152,'tp inwestycje do spr.'!$D$7:$D$250,$D152,'tp inwestycje do spr.'!$E$7:$E$250,$A152)-G152,2))</f>
        <v/>
      </c>
      <c r="P152" s="344" t="str">
        <f>IF(C152="","",ROUND(SUMIFS('tp inwestycje do spr.'!H$7:H$250,'tp inwestycje do spr.'!$A$7:$A$250,$B152,'tp inwestycje do spr.'!$C$7:$C$250,$C152,'tp inwestycje do spr.'!$D$7:$D$250,$D152,'tp inwestycje do spr.'!$E$7:$E$250,$A152)-H152,2))</f>
        <v/>
      </c>
      <c r="Q152" s="344" t="str">
        <f>IF(D152="","",ROUND(SUMIFS('tp inwestycje do spr.'!I$7:I$250,'tp inwestycje do spr.'!$A$7:$A$250,$B152,'tp inwestycje do spr.'!$C$7:$C$250,$C152,'tp inwestycje do spr.'!$D$7:$D$250,$D152,'tp inwestycje do spr.'!$E$7:$E$250,$A152)-I152,2))</f>
        <v/>
      </c>
      <c r="R152" s="344" t="str">
        <f>IF(E152="","",ROUND(SUMIFS('tp inwestycje do spr.'!J$7:J$250,'tp inwestycje do spr.'!$A$7:$A$250,$B152,'tp inwestycje do spr.'!$C$7:$C$250,$C152,'tp inwestycje do spr.'!$D$7:$D$250,$D152,'tp inwestycje do spr.'!$E$7:$E$250,$A152)-J152,2))</f>
        <v/>
      </c>
      <c r="S152" s="344" t="str">
        <f>IF(F152="","",ROUND(SUMIFS('tp inwestycje do spr.'!K$7:K$250,'tp inwestycje do spr.'!$A$7:$A$250,$B152,'tp inwestycje do spr.'!$C$7:$C$250,$C152,'tp inwestycje do spr.'!$D$7:$D$250,$D152,'tp inwestycje do spr.'!$E$7:$E$250,$A152)-K152,2))</f>
        <v/>
      </c>
      <c r="T152" s="344" t="str">
        <f>IF(G152="","",ROUND(SUMIFS('tp inwestycje do spr.'!L$7:L$250,'tp inwestycje do spr.'!$A$7:$A$250,$B152,'tp inwestycje do spr.'!$C$7:$C$250,$C152,'tp inwestycje do spr.'!$D$7:$D$250,$D152,'tp inwestycje do spr.'!$E$7:$E$250,$A152)-L152,2))</f>
        <v/>
      </c>
      <c r="U152" s="342" t="str">
        <f t="shared" si="14"/>
        <v>nie</v>
      </c>
    </row>
    <row r="153" spans="1:21" x14ac:dyDescent="0.25">
      <c r="A153" s="362"/>
      <c r="B153" s="362"/>
      <c r="C153" s="363"/>
      <c r="D153" s="363"/>
      <c r="E153" s="362"/>
      <c r="F153" s="364"/>
      <c r="G153" s="364"/>
      <c r="H153" s="364"/>
      <c r="I153" s="364"/>
      <c r="J153" s="364"/>
      <c r="K153" s="364"/>
      <c r="L153" s="358"/>
      <c r="M153" s="355"/>
      <c r="N153" s="344" t="str">
        <f>IF(A153="","",ROUND(SUMIFS('tp inwestycje do spr.'!F$7:F$250,'tp inwestycje do spr.'!$A$7:$A$250,$B153,'tp inwestycje do spr.'!$C$7:$C$250,$C153,'tp inwestycje do spr.'!$D$7:$D$250,$D153,'tp inwestycje do spr.'!$E$7:$E$250,$A153)-F153,2))</f>
        <v/>
      </c>
      <c r="O153" s="344" t="str">
        <f>IF(B153="","",ROUND(SUMIFS('tp inwestycje do spr.'!G$7:G$250,'tp inwestycje do spr.'!$A$7:$A$250,$B153,'tp inwestycje do spr.'!$C$7:$C$250,$C153,'tp inwestycje do spr.'!$D$7:$D$250,$D153,'tp inwestycje do spr.'!$E$7:$E$250,$A153)-G153,2))</f>
        <v/>
      </c>
      <c r="P153" s="344" t="str">
        <f>IF(C153="","",ROUND(SUMIFS('tp inwestycje do spr.'!H$7:H$250,'tp inwestycje do spr.'!$A$7:$A$250,$B153,'tp inwestycje do spr.'!$C$7:$C$250,$C153,'tp inwestycje do spr.'!$D$7:$D$250,$D153,'tp inwestycje do spr.'!$E$7:$E$250,$A153)-H153,2))</f>
        <v/>
      </c>
      <c r="Q153" s="344" t="str">
        <f>IF(D153="","",ROUND(SUMIFS('tp inwestycje do spr.'!I$7:I$250,'tp inwestycje do spr.'!$A$7:$A$250,$B153,'tp inwestycje do spr.'!$C$7:$C$250,$C153,'tp inwestycje do spr.'!$D$7:$D$250,$D153,'tp inwestycje do spr.'!$E$7:$E$250,$A153)-I153,2))</f>
        <v/>
      </c>
      <c r="R153" s="344" t="str">
        <f>IF(E153="","",ROUND(SUMIFS('tp inwestycje do spr.'!J$7:J$250,'tp inwestycje do spr.'!$A$7:$A$250,$B153,'tp inwestycje do spr.'!$C$7:$C$250,$C153,'tp inwestycje do spr.'!$D$7:$D$250,$D153,'tp inwestycje do spr.'!$E$7:$E$250,$A153)-J153,2))</f>
        <v/>
      </c>
      <c r="S153" s="344" t="str">
        <f>IF(F153="","",ROUND(SUMIFS('tp inwestycje do spr.'!K$7:K$250,'tp inwestycje do spr.'!$A$7:$A$250,$B153,'tp inwestycje do spr.'!$C$7:$C$250,$C153,'tp inwestycje do spr.'!$D$7:$D$250,$D153,'tp inwestycje do spr.'!$E$7:$E$250,$A153)-K153,2))</f>
        <v/>
      </c>
      <c r="T153" s="344" t="str">
        <f>IF(G153="","",ROUND(SUMIFS('tp inwestycje do spr.'!L$7:L$250,'tp inwestycje do spr.'!$A$7:$A$250,$B153,'tp inwestycje do spr.'!$C$7:$C$250,$C153,'tp inwestycje do spr.'!$D$7:$D$250,$D153,'tp inwestycje do spr.'!$E$7:$E$250,$A153)-L153,2))</f>
        <v/>
      </c>
      <c r="U153" s="342" t="str">
        <f t="shared" si="14"/>
        <v>nie</v>
      </c>
    </row>
    <row r="154" spans="1:21" x14ac:dyDescent="0.25">
      <c r="A154" s="362"/>
      <c r="B154" s="362"/>
      <c r="C154" s="363"/>
      <c r="D154" s="363"/>
      <c r="E154" s="362"/>
      <c r="F154" s="364"/>
      <c r="G154" s="364"/>
      <c r="H154" s="364"/>
      <c r="I154" s="364"/>
      <c r="J154" s="364"/>
      <c r="K154" s="364"/>
      <c r="L154" s="358"/>
      <c r="M154" s="355"/>
      <c r="N154" s="344" t="str">
        <f>IF(A154="","",ROUND(SUMIFS('tp inwestycje do spr.'!F$7:F$250,'tp inwestycje do spr.'!$A$7:$A$250,$B154,'tp inwestycje do spr.'!$C$7:$C$250,$C154,'tp inwestycje do spr.'!$D$7:$D$250,$D154,'tp inwestycje do spr.'!$E$7:$E$250,$A154)-F154,2))</f>
        <v/>
      </c>
      <c r="O154" s="344" t="str">
        <f>IF(B154="","",ROUND(SUMIFS('tp inwestycje do spr.'!G$7:G$250,'tp inwestycje do spr.'!$A$7:$A$250,$B154,'tp inwestycje do spr.'!$C$7:$C$250,$C154,'tp inwestycje do spr.'!$D$7:$D$250,$D154,'tp inwestycje do spr.'!$E$7:$E$250,$A154)-G154,2))</f>
        <v/>
      </c>
      <c r="P154" s="344" t="str">
        <f>IF(C154="","",ROUND(SUMIFS('tp inwestycje do spr.'!H$7:H$250,'tp inwestycje do spr.'!$A$7:$A$250,$B154,'tp inwestycje do spr.'!$C$7:$C$250,$C154,'tp inwestycje do spr.'!$D$7:$D$250,$D154,'tp inwestycje do spr.'!$E$7:$E$250,$A154)-H154,2))</f>
        <v/>
      </c>
      <c r="Q154" s="344" t="str">
        <f>IF(D154="","",ROUND(SUMIFS('tp inwestycje do spr.'!I$7:I$250,'tp inwestycje do spr.'!$A$7:$A$250,$B154,'tp inwestycje do spr.'!$C$7:$C$250,$C154,'tp inwestycje do spr.'!$D$7:$D$250,$D154,'tp inwestycje do spr.'!$E$7:$E$250,$A154)-I154,2))</f>
        <v/>
      </c>
      <c r="R154" s="344" t="str">
        <f>IF(E154="","",ROUND(SUMIFS('tp inwestycje do spr.'!J$7:J$250,'tp inwestycje do spr.'!$A$7:$A$250,$B154,'tp inwestycje do spr.'!$C$7:$C$250,$C154,'tp inwestycje do spr.'!$D$7:$D$250,$D154,'tp inwestycje do spr.'!$E$7:$E$250,$A154)-J154,2))</f>
        <v/>
      </c>
      <c r="S154" s="344" t="str">
        <f>IF(F154="","",ROUND(SUMIFS('tp inwestycje do spr.'!K$7:K$250,'tp inwestycje do spr.'!$A$7:$A$250,$B154,'tp inwestycje do spr.'!$C$7:$C$250,$C154,'tp inwestycje do spr.'!$D$7:$D$250,$D154,'tp inwestycje do spr.'!$E$7:$E$250,$A154)-K154,2))</f>
        <v/>
      </c>
      <c r="T154" s="344" t="str">
        <f>IF(G154="","",ROUND(SUMIFS('tp inwestycje do spr.'!L$7:L$250,'tp inwestycje do spr.'!$A$7:$A$250,$B154,'tp inwestycje do spr.'!$C$7:$C$250,$C154,'tp inwestycje do spr.'!$D$7:$D$250,$D154,'tp inwestycje do spr.'!$E$7:$E$250,$A154)-L154,2))</f>
        <v/>
      </c>
      <c r="U154" s="342" t="str">
        <f t="shared" si="14"/>
        <v>nie</v>
      </c>
    </row>
    <row r="155" spans="1:21" x14ac:dyDescent="0.25">
      <c r="A155" s="362"/>
      <c r="B155" s="362"/>
      <c r="C155" s="363"/>
      <c r="D155" s="363"/>
      <c r="E155" s="362"/>
      <c r="F155" s="364"/>
      <c r="G155" s="364"/>
      <c r="H155" s="364"/>
      <c r="I155" s="364"/>
      <c r="J155" s="364"/>
      <c r="K155" s="364"/>
      <c r="L155" s="358"/>
      <c r="M155" s="355"/>
      <c r="N155" s="344" t="str">
        <f>IF(A155="","",ROUND(SUMIFS('tp inwestycje do spr.'!F$7:F$250,'tp inwestycje do spr.'!$A$7:$A$250,$B155,'tp inwestycje do spr.'!$C$7:$C$250,$C155,'tp inwestycje do spr.'!$D$7:$D$250,$D155,'tp inwestycje do spr.'!$E$7:$E$250,$A155)-F155,2))</f>
        <v/>
      </c>
      <c r="O155" s="344" t="str">
        <f>IF(B155="","",ROUND(SUMIFS('tp inwestycje do spr.'!G$7:G$250,'tp inwestycje do spr.'!$A$7:$A$250,$B155,'tp inwestycje do spr.'!$C$7:$C$250,$C155,'tp inwestycje do spr.'!$D$7:$D$250,$D155,'tp inwestycje do spr.'!$E$7:$E$250,$A155)-G155,2))</f>
        <v/>
      </c>
      <c r="P155" s="344" t="str">
        <f>IF(C155="","",ROUND(SUMIFS('tp inwestycje do spr.'!H$7:H$250,'tp inwestycje do spr.'!$A$7:$A$250,$B155,'tp inwestycje do spr.'!$C$7:$C$250,$C155,'tp inwestycje do spr.'!$D$7:$D$250,$D155,'tp inwestycje do spr.'!$E$7:$E$250,$A155)-H155,2))</f>
        <v/>
      </c>
      <c r="Q155" s="344" t="str">
        <f>IF(D155="","",ROUND(SUMIFS('tp inwestycje do spr.'!I$7:I$250,'tp inwestycje do spr.'!$A$7:$A$250,$B155,'tp inwestycje do spr.'!$C$7:$C$250,$C155,'tp inwestycje do spr.'!$D$7:$D$250,$D155,'tp inwestycje do spr.'!$E$7:$E$250,$A155)-I155,2))</f>
        <v/>
      </c>
      <c r="R155" s="344" t="str">
        <f>IF(E155="","",ROUND(SUMIFS('tp inwestycje do spr.'!J$7:J$250,'tp inwestycje do spr.'!$A$7:$A$250,$B155,'tp inwestycje do spr.'!$C$7:$C$250,$C155,'tp inwestycje do spr.'!$D$7:$D$250,$D155,'tp inwestycje do spr.'!$E$7:$E$250,$A155)-J155,2))</f>
        <v/>
      </c>
      <c r="S155" s="344" t="str">
        <f>IF(F155="","",ROUND(SUMIFS('tp inwestycje do spr.'!K$7:K$250,'tp inwestycje do spr.'!$A$7:$A$250,$B155,'tp inwestycje do spr.'!$C$7:$C$250,$C155,'tp inwestycje do spr.'!$D$7:$D$250,$D155,'tp inwestycje do spr.'!$E$7:$E$250,$A155)-K155,2))</f>
        <v/>
      </c>
      <c r="T155" s="344" t="str">
        <f>IF(G155="","",ROUND(SUMIFS('tp inwestycje do spr.'!L$7:L$250,'tp inwestycje do spr.'!$A$7:$A$250,$B155,'tp inwestycje do spr.'!$C$7:$C$250,$C155,'tp inwestycje do spr.'!$D$7:$D$250,$D155,'tp inwestycje do spr.'!$E$7:$E$250,$A155)-L155,2))</f>
        <v/>
      </c>
      <c r="U155" s="342" t="str">
        <f t="shared" si="14"/>
        <v>nie</v>
      </c>
    </row>
    <row r="156" spans="1:21" x14ac:dyDescent="0.25">
      <c r="A156" s="362"/>
      <c r="B156" s="362"/>
      <c r="C156" s="363"/>
      <c r="D156" s="363"/>
      <c r="E156" s="362"/>
      <c r="F156" s="364"/>
      <c r="G156" s="364"/>
      <c r="H156" s="364"/>
      <c r="I156" s="364"/>
      <c r="J156" s="364"/>
      <c r="K156" s="364"/>
      <c r="L156" s="358"/>
      <c r="M156" s="355"/>
      <c r="N156" s="344" t="str">
        <f>IF(A156="","",ROUND(SUMIFS('tp inwestycje do spr.'!F$7:F$250,'tp inwestycje do spr.'!$A$7:$A$250,$B156,'tp inwestycje do spr.'!$C$7:$C$250,$C156,'tp inwestycje do spr.'!$D$7:$D$250,$D156,'tp inwestycje do spr.'!$E$7:$E$250,$A156)-F156,2))</f>
        <v/>
      </c>
      <c r="O156" s="344" t="str">
        <f>IF(B156="","",ROUND(SUMIFS('tp inwestycje do spr.'!G$7:G$250,'tp inwestycje do spr.'!$A$7:$A$250,$B156,'tp inwestycje do spr.'!$C$7:$C$250,$C156,'tp inwestycje do spr.'!$D$7:$D$250,$D156,'tp inwestycje do spr.'!$E$7:$E$250,$A156)-G156,2))</f>
        <v/>
      </c>
      <c r="P156" s="344" t="str">
        <f>IF(C156="","",ROUND(SUMIFS('tp inwestycje do spr.'!H$7:H$250,'tp inwestycje do spr.'!$A$7:$A$250,$B156,'tp inwestycje do spr.'!$C$7:$C$250,$C156,'tp inwestycje do spr.'!$D$7:$D$250,$D156,'tp inwestycje do spr.'!$E$7:$E$250,$A156)-H156,2))</f>
        <v/>
      </c>
      <c r="Q156" s="344" t="str">
        <f>IF(D156="","",ROUND(SUMIFS('tp inwestycje do spr.'!I$7:I$250,'tp inwestycje do spr.'!$A$7:$A$250,$B156,'tp inwestycje do spr.'!$C$7:$C$250,$C156,'tp inwestycje do spr.'!$D$7:$D$250,$D156,'tp inwestycje do spr.'!$E$7:$E$250,$A156)-I156,2))</f>
        <v/>
      </c>
      <c r="R156" s="344" t="str">
        <f>IF(E156="","",ROUND(SUMIFS('tp inwestycje do spr.'!J$7:J$250,'tp inwestycje do spr.'!$A$7:$A$250,$B156,'tp inwestycje do spr.'!$C$7:$C$250,$C156,'tp inwestycje do spr.'!$D$7:$D$250,$D156,'tp inwestycje do spr.'!$E$7:$E$250,$A156)-J156,2))</f>
        <v/>
      </c>
      <c r="S156" s="344" t="str">
        <f>IF(F156="","",ROUND(SUMIFS('tp inwestycje do spr.'!K$7:K$250,'tp inwestycje do spr.'!$A$7:$A$250,$B156,'tp inwestycje do spr.'!$C$7:$C$250,$C156,'tp inwestycje do spr.'!$D$7:$D$250,$D156,'tp inwestycje do spr.'!$E$7:$E$250,$A156)-K156,2))</f>
        <v/>
      </c>
      <c r="T156" s="344" t="str">
        <f>IF(G156="","",ROUND(SUMIFS('tp inwestycje do spr.'!L$7:L$250,'tp inwestycje do spr.'!$A$7:$A$250,$B156,'tp inwestycje do spr.'!$C$7:$C$250,$C156,'tp inwestycje do spr.'!$D$7:$D$250,$D156,'tp inwestycje do spr.'!$E$7:$E$250,$A156)-L156,2))</f>
        <v/>
      </c>
      <c r="U156" s="342" t="str">
        <f t="shared" si="14"/>
        <v>nie</v>
      </c>
    </row>
    <row r="157" spans="1:21" x14ac:dyDescent="0.25">
      <c r="A157" s="362"/>
      <c r="B157" s="362"/>
      <c r="C157" s="363"/>
      <c r="D157" s="363"/>
      <c r="E157" s="362"/>
      <c r="F157" s="364"/>
      <c r="G157" s="364"/>
      <c r="H157" s="364"/>
      <c r="I157" s="364"/>
      <c r="J157" s="364"/>
      <c r="K157" s="364"/>
      <c r="L157" s="358"/>
      <c r="M157" s="355"/>
      <c r="N157" s="344" t="str">
        <f>IF(A157="","",ROUND(SUMIFS('tp inwestycje do spr.'!F$7:F$250,'tp inwestycje do spr.'!$A$7:$A$250,$B157,'tp inwestycje do spr.'!$C$7:$C$250,$C157,'tp inwestycje do spr.'!$D$7:$D$250,$D157,'tp inwestycje do spr.'!$E$7:$E$250,$A157)-F157,2))</f>
        <v/>
      </c>
      <c r="O157" s="344" t="str">
        <f>IF(B157="","",ROUND(SUMIFS('tp inwestycje do spr.'!G$7:G$250,'tp inwestycje do spr.'!$A$7:$A$250,$B157,'tp inwestycje do spr.'!$C$7:$C$250,$C157,'tp inwestycje do spr.'!$D$7:$D$250,$D157,'tp inwestycje do spr.'!$E$7:$E$250,$A157)-G157,2))</f>
        <v/>
      </c>
      <c r="P157" s="344" t="str">
        <f>IF(C157="","",ROUND(SUMIFS('tp inwestycje do spr.'!H$7:H$250,'tp inwestycje do spr.'!$A$7:$A$250,$B157,'tp inwestycje do spr.'!$C$7:$C$250,$C157,'tp inwestycje do spr.'!$D$7:$D$250,$D157,'tp inwestycje do spr.'!$E$7:$E$250,$A157)-H157,2))</f>
        <v/>
      </c>
      <c r="Q157" s="344" t="str">
        <f>IF(D157="","",ROUND(SUMIFS('tp inwestycje do spr.'!I$7:I$250,'tp inwestycje do spr.'!$A$7:$A$250,$B157,'tp inwestycje do spr.'!$C$7:$C$250,$C157,'tp inwestycje do spr.'!$D$7:$D$250,$D157,'tp inwestycje do spr.'!$E$7:$E$250,$A157)-I157,2))</f>
        <v/>
      </c>
      <c r="R157" s="344" t="str">
        <f>IF(E157="","",ROUND(SUMIFS('tp inwestycje do spr.'!J$7:J$250,'tp inwestycje do spr.'!$A$7:$A$250,$B157,'tp inwestycje do spr.'!$C$7:$C$250,$C157,'tp inwestycje do spr.'!$D$7:$D$250,$D157,'tp inwestycje do spr.'!$E$7:$E$250,$A157)-J157,2))</f>
        <v/>
      </c>
      <c r="S157" s="344" t="str">
        <f>IF(F157="","",ROUND(SUMIFS('tp inwestycje do spr.'!K$7:K$250,'tp inwestycje do spr.'!$A$7:$A$250,$B157,'tp inwestycje do spr.'!$C$7:$C$250,$C157,'tp inwestycje do spr.'!$D$7:$D$250,$D157,'tp inwestycje do spr.'!$E$7:$E$250,$A157)-K157,2))</f>
        <v/>
      </c>
      <c r="T157" s="344" t="str">
        <f>IF(G157="","",ROUND(SUMIFS('tp inwestycje do spr.'!L$7:L$250,'tp inwestycje do spr.'!$A$7:$A$250,$B157,'tp inwestycje do spr.'!$C$7:$C$250,$C157,'tp inwestycje do spr.'!$D$7:$D$250,$D157,'tp inwestycje do spr.'!$E$7:$E$250,$A157)-L157,2))</f>
        <v/>
      </c>
      <c r="U157" s="342" t="str">
        <f t="shared" si="14"/>
        <v>nie</v>
      </c>
    </row>
    <row r="158" spans="1:21" x14ac:dyDescent="0.25">
      <c r="A158" s="362"/>
      <c r="B158" s="362"/>
      <c r="C158" s="363"/>
      <c r="D158" s="363"/>
      <c r="E158" s="362"/>
      <c r="F158" s="364"/>
      <c r="G158" s="364"/>
      <c r="H158" s="364"/>
      <c r="I158" s="364"/>
      <c r="J158" s="364"/>
      <c r="K158" s="364"/>
      <c r="L158" s="358"/>
      <c r="M158" s="355"/>
      <c r="N158" s="344" t="str">
        <f>IF(A158="","",ROUND(SUMIFS('tp inwestycje do spr.'!F$7:F$250,'tp inwestycje do spr.'!$A$7:$A$250,$B158,'tp inwestycje do spr.'!$C$7:$C$250,$C158,'tp inwestycje do spr.'!$D$7:$D$250,$D158,'tp inwestycje do spr.'!$E$7:$E$250,$A158)-F158,2))</f>
        <v/>
      </c>
      <c r="O158" s="344" t="str">
        <f>IF(B158="","",ROUND(SUMIFS('tp inwestycje do spr.'!G$7:G$250,'tp inwestycje do spr.'!$A$7:$A$250,$B158,'tp inwestycje do spr.'!$C$7:$C$250,$C158,'tp inwestycje do spr.'!$D$7:$D$250,$D158,'tp inwestycje do spr.'!$E$7:$E$250,$A158)-G158,2))</f>
        <v/>
      </c>
      <c r="P158" s="344" t="str">
        <f>IF(C158="","",ROUND(SUMIFS('tp inwestycje do spr.'!H$7:H$250,'tp inwestycje do spr.'!$A$7:$A$250,$B158,'tp inwestycje do spr.'!$C$7:$C$250,$C158,'tp inwestycje do spr.'!$D$7:$D$250,$D158,'tp inwestycje do spr.'!$E$7:$E$250,$A158)-H158,2))</f>
        <v/>
      </c>
      <c r="Q158" s="344" t="str">
        <f>IF(D158="","",ROUND(SUMIFS('tp inwestycje do spr.'!I$7:I$250,'tp inwestycje do spr.'!$A$7:$A$250,$B158,'tp inwestycje do spr.'!$C$7:$C$250,$C158,'tp inwestycje do spr.'!$D$7:$D$250,$D158,'tp inwestycje do spr.'!$E$7:$E$250,$A158)-I158,2))</f>
        <v/>
      </c>
      <c r="R158" s="344" t="str">
        <f>IF(E158="","",ROUND(SUMIFS('tp inwestycje do spr.'!J$7:J$250,'tp inwestycje do spr.'!$A$7:$A$250,$B158,'tp inwestycje do spr.'!$C$7:$C$250,$C158,'tp inwestycje do spr.'!$D$7:$D$250,$D158,'tp inwestycje do spr.'!$E$7:$E$250,$A158)-J158,2))</f>
        <v/>
      </c>
      <c r="S158" s="344" t="str">
        <f>IF(F158="","",ROUND(SUMIFS('tp inwestycje do spr.'!K$7:K$250,'tp inwestycje do spr.'!$A$7:$A$250,$B158,'tp inwestycje do spr.'!$C$7:$C$250,$C158,'tp inwestycje do spr.'!$D$7:$D$250,$D158,'tp inwestycje do spr.'!$E$7:$E$250,$A158)-K158,2))</f>
        <v/>
      </c>
      <c r="T158" s="344" t="str">
        <f>IF(G158="","",ROUND(SUMIFS('tp inwestycje do spr.'!L$7:L$250,'tp inwestycje do spr.'!$A$7:$A$250,$B158,'tp inwestycje do spr.'!$C$7:$C$250,$C158,'tp inwestycje do spr.'!$D$7:$D$250,$D158,'tp inwestycje do spr.'!$E$7:$E$250,$A158)-L158,2))</f>
        <v/>
      </c>
      <c r="U158" s="342" t="str">
        <f t="shared" si="14"/>
        <v>nie</v>
      </c>
    </row>
    <row r="159" spans="1:21" x14ac:dyDescent="0.25">
      <c r="A159" s="362"/>
      <c r="B159" s="362"/>
      <c r="C159" s="363"/>
      <c r="D159" s="363"/>
      <c r="E159" s="362"/>
      <c r="F159" s="364"/>
      <c r="G159" s="364"/>
      <c r="H159" s="364"/>
      <c r="I159" s="364"/>
      <c r="J159" s="364"/>
      <c r="K159" s="364"/>
      <c r="L159" s="358"/>
      <c r="M159" s="355"/>
      <c r="N159" s="344" t="str">
        <f>IF(A159="","",ROUND(SUMIFS('tp inwestycje do spr.'!F$7:F$250,'tp inwestycje do spr.'!$A$7:$A$250,$B159,'tp inwestycje do spr.'!$C$7:$C$250,$C159,'tp inwestycje do spr.'!$D$7:$D$250,$D159,'tp inwestycje do spr.'!$E$7:$E$250,$A159)-F159,2))</f>
        <v/>
      </c>
      <c r="O159" s="344" t="str">
        <f>IF(B159="","",ROUND(SUMIFS('tp inwestycje do spr.'!G$7:G$250,'tp inwestycje do spr.'!$A$7:$A$250,$B159,'tp inwestycje do spr.'!$C$7:$C$250,$C159,'tp inwestycje do spr.'!$D$7:$D$250,$D159,'tp inwestycje do spr.'!$E$7:$E$250,$A159)-G159,2))</f>
        <v/>
      </c>
      <c r="P159" s="344" t="str">
        <f>IF(C159="","",ROUND(SUMIFS('tp inwestycje do spr.'!H$7:H$250,'tp inwestycje do spr.'!$A$7:$A$250,$B159,'tp inwestycje do spr.'!$C$7:$C$250,$C159,'tp inwestycje do spr.'!$D$7:$D$250,$D159,'tp inwestycje do spr.'!$E$7:$E$250,$A159)-H159,2))</f>
        <v/>
      </c>
      <c r="Q159" s="344" t="str">
        <f>IF(D159="","",ROUND(SUMIFS('tp inwestycje do spr.'!I$7:I$250,'tp inwestycje do spr.'!$A$7:$A$250,$B159,'tp inwestycje do spr.'!$C$7:$C$250,$C159,'tp inwestycje do spr.'!$D$7:$D$250,$D159,'tp inwestycje do spr.'!$E$7:$E$250,$A159)-I159,2))</f>
        <v/>
      </c>
      <c r="R159" s="344" t="str">
        <f>IF(E159="","",ROUND(SUMIFS('tp inwestycje do spr.'!J$7:J$250,'tp inwestycje do spr.'!$A$7:$A$250,$B159,'tp inwestycje do spr.'!$C$7:$C$250,$C159,'tp inwestycje do spr.'!$D$7:$D$250,$D159,'tp inwestycje do spr.'!$E$7:$E$250,$A159)-J159,2))</f>
        <v/>
      </c>
      <c r="S159" s="344" t="str">
        <f>IF(F159="","",ROUND(SUMIFS('tp inwestycje do spr.'!K$7:K$250,'tp inwestycje do spr.'!$A$7:$A$250,$B159,'tp inwestycje do spr.'!$C$7:$C$250,$C159,'tp inwestycje do spr.'!$D$7:$D$250,$D159,'tp inwestycje do spr.'!$E$7:$E$250,$A159)-K159,2))</f>
        <v/>
      </c>
      <c r="T159" s="344" t="str">
        <f>IF(G159="","",ROUND(SUMIFS('tp inwestycje do spr.'!L$7:L$250,'tp inwestycje do spr.'!$A$7:$A$250,$B159,'tp inwestycje do spr.'!$C$7:$C$250,$C159,'tp inwestycje do spr.'!$D$7:$D$250,$D159,'tp inwestycje do spr.'!$E$7:$E$250,$A159)-L159,2))</f>
        <v/>
      </c>
      <c r="U159" s="342" t="str">
        <f t="shared" si="14"/>
        <v>nie</v>
      </c>
    </row>
    <row r="160" spans="1:21" x14ac:dyDescent="0.25">
      <c r="A160" s="362"/>
      <c r="B160" s="362"/>
      <c r="C160" s="363"/>
      <c r="D160" s="363"/>
      <c r="E160" s="362"/>
      <c r="F160" s="364"/>
      <c r="G160" s="364"/>
      <c r="H160" s="364"/>
      <c r="I160" s="364"/>
      <c r="J160" s="364"/>
      <c r="K160" s="364"/>
      <c r="L160" s="358"/>
      <c r="M160" s="355"/>
      <c r="N160" s="344" t="str">
        <f>IF(A160="","",ROUND(SUMIFS('tp inwestycje do spr.'!F$7:F$250,'tp inwestycje do spr.'!$A$7:$A$250,$B160,'tp inwestycje do spr.'!$C$7:$C$250,$C160,'tp inwestycje do spr.'!$D$7:$D$250,$D160,'tp inwestycje do spr.'!$E$7:$E$250,$A160)-F160,2))</f>
        <v/>
      </c>
      <c r="O160" s="344" t="str">
        <f>IF(B160="","",ROUND(SUMIFS('tp inwestycje do spr.'!G$7:G$250,'tp inwestycje do spr.'!$A$7:$A$250,$B160,'tp inwestycje do spr.'!$C$7:$C$250,$C160,'tp inwestycje do spr.'!$D$7:$D$250,$D160,'tp inwestycje do spr.'!$E$7:$E$250,$A160)-G160,2))</f>
        <v/>
      </c>
      <c r="P160" s="344" t="str">
        <f>IF(C160="","",ROUND(SUMIFS('tp inwestycje do spr.'!H$7:H$250,'tp inwestycje do spr.'!$A$7:$A$250,$B160,'tp inwestycje do spr.'!$C$7:$C$250,$C160,'tp inwestycje do spr.'!$D$7:$D$250,$D160,'tp inwestycje do spr.'!$E$7:$E$250,$A160)-H160,2))</f>
        <v/>
      </c>
      <c r="Q160" s="344" t="str">
        <f>IF(D160="","",ROUND(SUMIFS('tp inwestycje do spr.'!I$7:I$250,'tp inwestycje do spr.'!$A$7:$A$250,$B160,'tp inwestycje do spr.'!$C$7:$C$250,$C160,'tp inwestycje do spr.'!$D$7:$D$250,$D160,'tp inwestycje do spr.'!$E$7:$E$250,$A160)-I160,2))</f>
        <v/>
      </c>
      <c r="R160" s="344" t="str">
        <f>IF(E160="","",ROUND(SUMIFS('tp inwestycje do spr.'!J$7:J$250,'tp inwestycje do spr.'!$A$7:$A$250,$B160,'tp inwestycje do spr.'!$C$7:$C$250,$C160,'tp inwestycje do spr.'!$D$7:$D$250,$D160,'tp inwestycje do spr.'!$E$7:$E$250,$A160)-J160,2))</f>
        <v/>
      </c>
      <c r="S160" s="344" t="str">
        <f>IF(F160="","",ROUND(SUMIFS('tp inwestycje do spr.'!K$7:K$250,'tp inwestycje do spr.'!$A$7:$A$250,$B160,'tp inwestycje do spr.'!$C$7:$C$250,$C160,'tp inwestycje do spr.'!$D$7:$D$250,$D160,'tp inwestycje do spr.'!$E$7:$E$250,$A160)-K160,2))</f>
        <v/>
      </c>
      <c r="T160" s="344" t="str">
        <f>IF(G160="","",ROUND(SUMIFS('tp inwestycje do spr.'!L$7:L$250,'tp inwestycje do spr.'!$A$7:$A$250,$B160,'tp inwestycje do spr.'!$C$7:$C$250,$C160,'tp inwestycje do spr.'!$D$7:$D$250,$D160,'tp inwestycje do spr.'!$E$7:$E$250,$A160)-L160,2))</f>
        <v/>
      </c>
      <c r="U160" s="342" t="str">
        <f t="shared" si="14"/>
        <v>nie</v>
      </c>
    </row>
    <row r="161" spans="1:21" x14ac:dyDescent="0.25">
      <c r="A161" s="356"/>
      <c r="B161" s="356"/>
      <c r="C161" s="357"/>
      <c r="D161" s="357"/>
      <c r="E161" s="356"/>
      <c r="F161" s="358"/>
      <c r="G161" s="358"/>
      <c r="H161" s="358"/>
      <c r="I161" s="358"/>
      <c r="J161" s="358"/>
      <c r="K161" s="358"/>
      <c r="L161" s="358"/>
      <c r="M161" s="355"/>
      <c r="N161" s="344" t="str">
        <f>IF(A161="","",ROUND(SUMIFS('tp inwestycje do spr.'!F$7:F$250,'tp inwestycje do spr.'!$A$7:$A$250,$B161,'tp inwestycje do spr.'!$C$7:$C$250,$C161,'tp inwestycje do spr.'!$D$7:$D$250,$D161,'tp inwestycje do spr.'!$E$7:$E$250,$A161)-F161,2))</f>
        <v/>
      </c>
      <c r="O161" s="344" t="str">
        <f>IF(B161="","",ROUND(SUMIFS('tp inwestycje do spr.'!G$7:G$250,'tp inwestycje do spr.'!$A$7:$A$250,$B161,'tp inwestycje do spr.'!$C$7:$C$250,$C161,'tp inwestycje do spr.'!$D$7:$D$250,$D161,'tp inwestycje do spr.'!$E$7:$E$250,$A161)-G161,2))</f>
        <v/>
      </c>
      <c r="P161" s="344" t="str">
        <f>IF(C161="","",ROUND(SUMIFS('tp inwestycje do spr.'!H$7:H$250,'tp inwestycje do spr.'!$A$7:$A$250,$B161,'tp inwestycje do spr.'!$C$7:$C$250,$C161,'tp inwestycje do spr.'!$D$7:$D$250,$D161,'tp inwestycje do spr.'!$E$7:$E$250,$A161)-H161,2))</f>
        <v/>
      </c>
      <c r="Q161" s="344" t="str">
        <f>IF(D161="","",ROUND(SUMIFS('tp inwestycje do spr.'!I$7:I$250,'tp inwestycje do spr.'!$A$7:$A$250,$B161,'tp inwestycje do spr.'!$C$7:$C$250,$C161,'tp inwestycje do spr.'!$D$7:$D$250,$D161,'tp inwestycje do spr.'!$E$7:$E$250,$A161)-I161,2))</f>
        <v/>
      </c>
      <c r="R161" s="344" t="str">
        <f>IF(E161="","",ROUND(SUMIFS('tp inwestycje do spr.'!J$7:J$250,'tp inwestycje do spr.'!$A$7:$A$250,$B161,'tp inwestycje do spr.'!$C$7:$C$250,$C161,'tp inwestycje do spr.'!$D$7:$D$250,$D161,'tp inwestycje do spr.'!$E$7:$E$250,$A161)-J161,2))</f>
        <v/>
      </c>
      <c r="S161" s="344" t="str">
        <f>IF(F161="","",ROUND(SUMIFS('tp inwestycje do spr.'!K$7:K$250,'tp inwestycje do spr.'!$A$7:$A$250,$B161,'tp inwestycje do spr.'!$C$7:$C$250,$C161,'tp inwestycje do spr.'!$D$7:$D$250,$D161,'tp inwestycje do spr.'!$E$7:$E$250,$A161)-K161,2))</f>
        <v/>
      </c>
      <c r="T161" s="344" t="str">
        <f>IF(G161="","",ROUND(SUMIFS('tp inwestycje do spr.'!L$7:L$250,'tp inwestycje do spr.'!$A$7:$A$250,$B161,'tp inwestycje do spr.'!$C$7:$C$250,$C161,'tp inwestycje do spr.'!$D$7:$D$250,$D161,'tp inwestycje do spr.'!$E$7:$E$250,$A161)-L161,2))</f>
        <v/>
      </c>
      <c r="U161" s="342" t="str">
        <f t="shared" si="14"/>
        <v>nie</v>
      </c>
    </row>
    <row r="162" spans="1:21" x14ac:dyDescent="0.25">
      <c r="A162" s="356"/>
      <c r="B162" s="356"/>
      <c r="C162" s="357"/>
      <c r="D162" s="357"/>
      <c r="E162" s="356"/>
      <c r="F162" s="358"/>
      <c r="G162" s="358"/>
      <c r="H162" s="358"/>
      <c r="I162" s="358"/>
      <c r="J162" s="358"/>
      <c r="K162" s="358"/>
      <c r="L162" s="358"/>
      <c r="M162" s="355"/>
      <c r="N162" s="344" t="str">
        <f>IF(A162="","",ROUND(SUMIFS('tp inwestycje do spr.'!F$7:F$250,'tp inwestycje do spr.'!$A$7:$A$250,$B162,'tp inwestycje do spr.'!$C$7:$C$250,$C162,'tp inwestycje do spr.'!$D$7:$D$250,$D162,'tp inwestycje do spr.'!$E$7:$E$250,$A162)-F162,2))</f>
        <v/>
      </c>
      <c r="O162" s="344" t="str">
        <f>IF(B162="","",ROUND(SUMIFS('tp inwestycje do spr.'!G$7:G$250,'tp inwestycje do spr.'!$A$7:$A$250,$B162,'tp inwestycje do spr.'!$C$7:$C$250,$C162,'tp inwestycje do spr.'!$D$7:$D$250,$D162,'tp inwestycje do spr.'!$E$7:$E$250,$A162)-G162,2))</f>
        <v/>
      </c>
      <c r="P162" s="344" t="str">
        <f>IF(C162="","",ROUND(SUMIFS('tp inwestycje do spr.'!H$7:H$250,'tp inwestycje do spr.'!$A$7:$A$250,$B162,'tp inwestycje do spr.'!$C$7:$C$250,$C162,'tp inwestycje do spr.'!$D$7:$D$250,$D162,'tp inwestycje do spr.'!$E$7:$E$250,$A162)-H162,2))</f>
        <v/>
      </c>
      <c r="Q162" s="344" t="str">
        <f>IF(D162="","",ROUND(SUMIFS('tp inwestycje do spr.'!I$7:I$250,'tp inwestycje do spr.'!$A$7:$A$250,$B162,'tp inwestycje do spr.'!$C$7:$C$250,$C162,'tp inwestycje do spr.'!$D$7:$D$250,$D162,'tp inwestycje do spr.'!$E$7:$E$250,$A162)-I162,2))</f>
        <v/>
      </c>
      <c r="R162" s="344" t="str">
        <f>IF(E162="","",ROUND(SUMIFS('tp inwestycje do spr.'!J$7:J$250,'tp inwestycje do spr.'!$A$7:$A$250,$B162,'tp inwestycje do spr.'!$C$7:$C$250,$C162,'tp inwestycje do spr.'!$D$7:$D$250,$D162,'tp inwestycje do spr.'!$E$7:$E$250,$A162)-J162,2))</f>
        <v/>
      </c>
      <c r="S162" s="344" t="str">
        <f>IF(F162="","",ROUND(SUMIFS('tp inwestycje do spr.'!K$7:K$250,'tp inwestycje do spr.'!$A$7:$A$250,$B162,'tp inwestycje do spr.'!$C$7:$C$250,$C162,'tp inwestycje do spr.'!$D$7:$D$250,$D162,'tp inwestycje do spr.'!$E$7:$E$250,$A162)-K162,2))</f>
        <v/>
      </c>
      <c r="T162" s="344" t="str">
        <f>IF(G162="","",ROUND(SUMIFS('tp inwestycje do spr.'!L$7:L$250,'tp inwestycje do spr.'!$A$7:$A$250,$B162,'tp inwestycje do spr.'!$C$7:$C$250,$C162,'tp inwestycje do spr.'!$D$7:$D$250,$D162,'tp inwestycje do spr.'!$E$7:$E$250,$A162)-L162,2))</f>
        <v/>
      </c>
      <c r="U162" s="342" t="str">
        <f t="shared" si="14"/>
        <v>nie</v>
      </c>
    </row>
    <row r="163" spans="1:21" x14ac:dyDescent="0.25">
      <c r="A163" s="356"/>
      <c r="B163" s="356"/>
      <c r="C163" s="357"/>
      <c r="D163" s="357"/>
      <c r="E163" s="356"/>
      <c r="F163" s="358"/>
      <c r="G163" s="358"/>
      <c r="H163" s="358"/>
      <c r="I163" s="358"/>
      <c r="J163" s="358"/>
      <c r="K163" s="358"/>
      <c r="L163" s="358"/>
      <c r="M163" s="355"/>
      <c r="N163" s="344" t="str">
        <f>IF(A163="","",ROUND(SUMIFS('tp inwestycje do spr.'!F$7:F$250,'tp inwestycje do spr.'!$A$7:$A$250,$B163,'tp inwestycje do spr.'!$C$7:$C$250,$C163,'tp inwestycje do spr.'!$D$7:$D$250,$D163,'tp inwestycje do spr.'!$E$7:$E$250,$A163)-F163,2))</f>
        <v/>
      </c>
      <c r="O163" s="344" t="str">
        <f>IF(B163="","",ROUND(SUMIFS('tp inwestycje do spr.'!G$7:G$250,'tp inwestycje do spr.'!$A$7:$A$250,$B163,'tp inwestycje do spr.'!$C$7:$C$250,$C163,'tp inwestycje do spr.'!$D$7:$D$250,$D163,'tp inwestycje do spr.'!$E$7:$E$250,$A163)-G163,2))</f>
        <v/>
      </c>
      <c r="P163" s="344" t="str">
        <f>IF(C163="","",ROUND(SUMIFS('tp inwestycje do spr.'!H$7:H$250,'tp inwestycje do spr.'!$A$7:$A$250,$B163,'tp inwestycje do spr.'!$C$7:$C$250,$C163,'tp inwestycje do spr.'!$D$7:$D$250,$D163,'tp inwestycje do spr.'!$E$7:$E$250,$A163)-H163,2))</f>
        <v/>
      </c>
      <c r="Q163" s="344" t="str">
        <f>IF(D163="","",ROUND(SUMIFS('tp inwestycje do spr.'!I$7:I$250,'tp inwestycje do spr.'!$A$7:$A$250,$B163,'tp inwestycje do spr.'!$C$7:$C$250,$C163,'tp inwestycje do spr.'!$D$7:$D$250,$D163,'tp inwestycje do spr.'!$E$7:$E$250,$A163)-I163,2))</f>
        <v/>
      </c>
      <c r="R163" s="344" t="str">
        <f>IF(E163="","",ROUND(SUMIFS('tp inwestycje do spr.'!J$7:J$250,'tp inwestycje do spr.'!$A$7:$A$250,$B163,'tp inwestycje do spr.'!$C$7:$C$250,$C163,'tp inwestycje do spr.'!$D$7:$D$250,$D163,'tp inwestycje do spr.'!$E$7:$E$250,$A163)-J163,2))</f>
        <v/>
      </c>
      <c r="S163" s="344" t="str">
        <f>IF(F163="","",ROUND(SUMIFS('tp inwestycje do spr.'!K$7:K$250,'tp inwestycje do spr.'!$A$7:$A$250,$B163,'tp inwestycje do spr.'!$C$7:$C$250,$C163,'tp inwestycje do spr.'!$D$7:$D$250,$D163,'tp inwestycje do spr.'!$E$7:$E$250,$A163)-K163,2))</f>
        <v/>
      </c>
      <c r="T163" s="344" t="str">
        <f>IF(G163="","",ROUND(SUMIFS('tp inwestycje do spr.'!L$7:L$250,'tp inwestycje do spr.'!$A$7:$A$250,$B163,'tp inwestycje do spr.'!$C$7:$C$250,$C163,'tp inwestycje do spr.'!$D$7:$D$250,$D163,'tp inwestycje do spr.'!$E$7:$E$250,$A163)-L163,2))</f>
        <v/>
      </c>
      <c r="U163" s="342" t="str">
        <f t="shared" si="14"/>
        <v>nie</v>
      </c>
    </row>
    <row r="164" spans="1:21" x14ac:dyDescent="0.25">
      <c r="A164" s="356"/>
      <c r="B164" s="356"/>
      <c r="C164" s="357"/>
      <c r="D164" s="357"/>
      <c r="E164" s="356"/>
      <c r="F164" s="358"/>
      <c r="G164" s="358"/>
      <c r="H164" s="358"/>
      <c r="I164" s="358"/>
      <c r="J164" s="358"/>
      <c r="K164" s="358"/>
      <c r="L164" s="358"/>
      <c r="M164" s="355"/>
      <c r="N164" s="344" t="str">
        <f>IF(A164="","",ROUND(SUMIFS('tp inwestycje do spr.'!F$7:F$250,'tp inwestycje do spr.'!$A$7:$A$250,$B164,'tp inwestycje do spr.'!$C$7:$C$250,$C164,'tp inwestycje do spr.'!$D$7:$D$250,$D164,'tp inwestycje do spr.'!$E$7:$E$250,$A164)-F164,2))</f>
        <v/>
      </c>
      <c r="O164" s="344" t="str">
        <f>IF(B164="","",ROUND(SUMIFS('tp inwestycje do spr.'!G$7:G$250,'tp inwestycje do spr.'!$A$7:$A$250,$B164,'tp inwestycje do spr.'!$C$7:$C$250,$C164,'tp inwestycje do spr.'!$D$7:$D$250,$D164,'tp inwestycje do spr.'!$E$7:$E$250,$A164)-G164,2))</f>
        <v/>
      </c>
      <c r="P164" s="344" t="str">
        <f>IF(C164="","",ROUND(SUMIFS('tp inwestycje do spr.'!H$7:H$250,'tp inwestycje do spr.'!$A$7:$A$250,$B164,'tp inwestycje do spr.'!$C$7:$C$250,$C164,'tp inwestycje do spr.'!$D$7:$D$250,$D164,'tp inwestycje do spr.'!$E$7:$E$250,$A164)-H164,2))</f>
        <v/>
      </c>
      <c r="Q164" s="344" t="str">
        <f>IF(D164="","",ROUND(SUMIFS('tp inwestycje do spr.'!I$7:I$250,'tp inwestycje do spr.'!$A$7:$A$250,$B164,'tp inwestycje do spr.'!$C$7:$C$250,$C164,'tp inwestycje do spr.'!$D$7:$D$250,$D164,'tp inwestycje do spr.'!$E$7:$E$250,$A164)-I164,2))</f>
        <v/>
      </c>
      <c r="R164" s="344" t="str">
        <f>IF(E164="","",ROUND(SUMIFS('tp inwestycje do spr.'!J$7:J$250,'tp inwestycje do spr.'!$A$7:$A$250,$B164,'tp inwestycje do spr.'!$C$7:$C$250,$C164,'tp inwestycje do spr.'!$D$7:$D$250,$D164,'tp inwestycje do spr.'!$E$7:$E$250,$A164)-J164,2))</f>
        <v/>
      </c>
      <c r="S164" s="344" t="str">
        <f>IF(F164="","",ROUND(SUMIFS('tp inwestycje do spr.'!K$7:K$250,'tp inwestycje do spr.'!$A$7:$A$250,$B164,'tp inwestycje do spr.'!$C$7:$C$250,$C164,'tp inwestycje do spr.'!$D$7:$D$250,$D164,'tp inwestycje do spr.'!$E$7:$E$250,$A164)-K164,2))</f>
        <v/>
      </c>
      <c r="T164" s="344" t="str">
        <f>IF(G164="","",ROUND(SUMIFS('tp inwestycje do spr.'!L$7:L$250,'tp inwestycje do spr.'!$A$7:$A$250,$B164,'tp inwestycje do spr.'!$C$7:$C$250,$C164,'tp inwestycje do spr.'!$D$7:$D$250,$D164,'tp inwestycje do spr.'!$E$7:$E$250,$A164)-L164,2))</f>
        <v/>
      </c>
      <c r="U164" s="342" t="str">
        <f t="shared" si="14"/>
        <v>nie</v>
      </c>
    </row>
    <row r="165" spans="1:21" x14ac:dyDescent="0.25">
      <c r="A165" s="356"/>
      <c r="B165" s="356"/>
      <c r="C165" s="357"/>
      <c r="D165" s="357"/>
      <c r="E165" s="356"/>
      <c r="F165" s="358"/>
      <c r="G165" s="358"/>
      <c r="H165" s="358"/>
      <c r="I165" s="358"/>
      <c r="J165" s="358"/>
      <c r="K165" s="358"/>
      <c r="L165" s="358"/>
      <c r="M165" s="355"/>
      <c r="N165" s="344" t="str">
        <f>IF(A165="","",ROUND(SUMIFS('tp inwestycje do spr.'!F$7:F$250,'tp inwestycje do spr.'!$A$7:$A$250,$B165,'tp inwestycje do spr.'!$C$7:$C$250,$C165,'tp inwestycje do spr.'!$D$7:$D$250,$D165,'tp inwestycje do spr.'!$E$7:$E$250,$A165)-F165,2))</f>
        <v/>
      </c>
      <c r="O165" s="344" t="str">
        <f>IF(B165="","",ROUND(SUMIFS('tp inwestycje do spr.'!G$7:G$250,'tp inwestycje do spr.'!$A$7:$A$250,$B165,'tp inwestycje do spr.'!$C$7:$C$250,$C165,'tp inwestycje do spr.'!$D$7:$D$250,$D165,'tp inwestycje do spr.'!$E$7:$E$250,$A165)-G165,2))</f>
        <v/>
      </c>
      <c r="P165" s="344" t="str">
        <f>IF(C165="","",ROUND(SUMIFS('tp inwestycje do spr.'!H$7:H$250,'tp inwestycje do spr.'!$A$7:$A$250,$B165,'tp inwestycje do spr.'!$C$7:$C$250,$C165,'tp inwestycje do spr.'!$D$7:$D$250,$D165,'tp inwestycje do spr.'!$E$7:$E$250,$A165)-H165,2))</f>
        <v/>
      </c>
      <c r="Q165" s="344" t="str">
        <f>IF(D165="","",ROUND(SUMIFS('tp inwestycje do spr.'!I$7:I$250,'tp inwestycje do spr.'!$A$7:$A$250,$B165,'tp inwestycje do spr.'!$C$7:$C$250,$C165,'tp inwestycje do spr.'!$D$7:$D$250,$D165,'tp inwestycje do spr.'!$E$7:$E$250,$A165)-I165,2))</f>
        <v/>
      </c>
      <c r="R165" s="344" t="str">
        <f>IF(E165="","",ROUND(SUMIFS('tp inwestycje do spr.'!J$7:J$250,'tp inwestycje do spr.'!$A$7:$A$250,$B165,'tp inwestycje do spr.'!$C$7:$C$250,$C165,'tp inwestycje do spr.'!$D$7:$D$250,$D165,'tp inwestycje do spr.'!$E$7:$E$250,$A165)-J165,2))</f>
        <v/>
      </c>
      <c r="S165" s="344" t="str">
        <f>IF(F165="","",ROUND(SUMIFS('tp inwestycje do spr.'!K$7:K$250,'tp inwestycje do spr.'!$A$7:$A$250,$B165,'tp inwestycje do spr.'!$C$7:$C$250,$C165,'tp inwestycje do spr.'!$D$7:$D$250,$D165,'tp inwestycje do spr.'!$E$7:$E$250,$A165)-K165,2))</f>
        <v/>
      </c>
      <c r="T165" s="344" t="str">
        <f>IF(G165="","",ROUND(SUMIFS('tp inwestycje do spr.'!L$7:L$250,'tp inwestycje do spr.'!$A$7:$A$250,$B165,'tp inwestycje do spr.'!$C$7:$C$250,$C165,'tp inwestycje do spr.'!$D$7:$D$250,$D165,'tp inwestycje do spr.'!$E$7:$E$250,$A165)-L165,2))</f>
        <v/>
      </c>
      <c r="U165" s="342" t="str">
        <f t="shared" si="14"/>
        <v>nie</v>
      </c>
    </row>
    <row r="166" spans="1:21" x14ac:dyDescent="0.25">
      <c r="A166" s="356"/>
      <c r="B166" s="356"/>
      <c r="C166" s="357"/>
      <c r="D166" s="357"/>
      <c r="E166" s="356"/>
      <c r="F166" s="358"/>
      <c r="G166" s="358"/>
      <c r="H166" s="358"/>
      <c r="I166" s="358"/>
      <c r="J166" s="358"/>
      <c r="K166" s="358"/>
      <c r="L166" s="358"/>
      <c r="M166" s="355"/>
      <c r="N166" s="344" t="str">
        <f>IF(A166="","",ROUND(SUMIFS('tp inwestycje do spr.'!F$7:F$250,'tp inwestycje do spr.'!$A$7:$A$250,$B166,'tp inwestycje do spr.'!$C$7:$C$250,$C166,'tp inwestycje do spr.'!$D$7:$D$250,$D166,'tp inwestycje do spr.'!$E$7:$E$250,$A166)-F166,2))</f>
        <v/>
      </c>
      <c r="O166" s="344" t="str">
        <f>IF(B166="","",ROUND(SUMIFS('tp inwestycje do spr.'!G$7:G$250,'tp inwestycje do spr.'!$A$7:$A$250,$B166,'tp inwestycje do spr.'!$C$7:$C$250,$C166,'tp inwestycje do spr.'!$D$7:$D$250,$D166,'tp inwestycje do spr.'!$E$7:$E$250,$A166)-G166,2))</f>
        <v/>
      </c>
      <c r="P166" s="344" t="str">
        <f>IF(C166="","",ROUND(SUMIFS('tp inwestycje do spr.'!H$7:H$250,'tp inwestycje do spr.'!$A$7:$A$250,$B166,'tp inwestycje do spr.'!$C$7:$C$250,$C166,'tp inwestycje do spr.'!$D$7:$D$250,$D166,'tp inwestycje do spr.'!$E$7:$E$250,$A166)-H166,2))</f>
        <v/>
      </c>
      <c r="Q166" s="344" t="str">
        <f>IF(D166="","",ROUND(SUMIFS('tp inwestycje do spr.'!I$7:I$250,'tp inwestycje do spr.'!$A$7:$A$250,$B166,'tp inwestycje do spr.'!$C$7:$C$250,$C166,'tp inwestycje do spr.'!$D$7:$D$250,$D166,'tp inwestycje do spr.'!$E$7:$E$250,$A166)-I166,2))</f>
        <v/>
      </c>
      <c r="R166" s="344" t="str">
        <f>IF(E166="","",ROUND(SUMIFS('tp inwestycje do spr.'!J$7:J$250,'tp inwestycje do spr.'!$A$7:$A$250,$B166,'tp inwestycje do spr.'!$C$7:$C$250,$C166,'tp inwestycje do spr.'!$D$7:$D$250,$D166,'tp inwestycje do spr.'!$E$7:$E$250,$A166)-J166,2))</f>
        <v/>
      </c>
      <c r="S166" s="344" t="str">
        <f>IF(F166="","",ROUND(SUMIFS('tp inwestycje do spr.'!K$7:K$250,'tp inwestycje do spr.'!$A$7:$A$250,$B166,'tp inwestycje do spr.'!$C$7:$C$250,$C166,'tp inwestycje do spr.'!$D$7:$D$250,$D166,'tp inwestycje do spr.'!$E$7:$E$250,$A166)-K166,2))</f>
        <v/>
      </c>
      <c r="T166" s="344" t="str">
        <f>IF(G166="","",ROUND(SUMIFS('tp inwestycje do spr.'!L$7:L$250,'tp inwestycje do spr.'!$A$7:$A$250,$B166,'tp inwestycje do spr.'!$C$7:$C$250,$C166,'tp inwestycje do spr.'!$D$7:$D$250,$D166,'tp inwestycje do spr.'!$E$7:$E$250,$A166)-L166,2))</f>
        <v/>
      </c>
      <c r="U166" s="342" t="str">
        <f t="shared" si="14"/>
        <v>nie</v>
      </c>
    </row>
    <row r="167" spans="1:21" x14ac:dyDescent="0.25">
      <c r="A167" s="356"/>
      <c r="B167" s="356"/>
      <c r="C167" s="357"/>
      <c r="D167" s="357"/>
      <c r="E167" s="356"/>
      <c r="F167" s="358"/>
      <c r="G167" s="358"/>
      <c r="H167" s="358"/>
      <c r="I167" s="358"/>
      <c r="J167" s="358"/>
      <c r="K167" s="358"/>
      <c r="L167" s="358"/>
      <c r="M167" s="355"/>
      <c r="N167" s="344" t="str">
        <f>IF(A167="","",ROUND(SUMIFS('tp inwestycje do spr.'!F$7:F$250,'tp inwestycje do spr.'!$A$7:$A$250,$B167,'tp inwestycje do spr.'!$C$7:$C$250,$C167,'tp inwestycje do spr.'!$D$7:$D$250,$D167,'tp inwestycje do spr.'!$E$7:$E$250,$A167)-F167,2))</f>
        <v/>
      </c>
      <c r="O167" s="344" t="str">
        <f>IF(B167="","",ROUND(SUMIFS('tp inwestycje do spr.'!G$7:G$250,'tp inwestycje do spr.'!$A$7:$A$250,$B167,'tp inwestycje do spr.'!$C$7:$C$250,$C167,'tp inwestycje do spr.'!$D$7:$D$250,$D167,'tp inwestycje do spr.'!$E$7:$E$250,$A167)-G167,2))</f>
        <v/>
      </c>
      <c r="P167" s="344" t="str">
        <f>IF(C167="","",ROUND(SUMIFS('tp inwestycje do spr.'!H$7:H$250,'tp inwestycje do spr.'!$A$7:$A$250,$B167,'tp inwestycje do spr.'!$C$7:$C$250,$C167,'tp inwestycje do spr.'!$D$7:$D$250,$D167,'tp inwestycje do spr.'!$E$7:$E$250,$A167)-H167,2))</f>
        <v/>
      </c>
      <c r="Q167" s="344" t="str">
        <f>IF(D167="","",ROUND(SUMIFS('tp inwestycje do spr.'!I$7:I$250,'tp inwestycje do spr.'!$A$7:$A$250,$B167,'tp inwestycje do spr.'!$C$7:$C$250,$C167,'tp inwestycje do spr.'!$D$7:$D$250,$D167,'tp inwestycje do spr.'!$E$7:$E$250,$A167)-I167,2))</f>
        <v/>
      </c>
      <c r="R167" s="344" t="str">
        <f>IF(E167="","",ROUND(SUMIFS('tp inwestycje do spr.'!J$7:J$250,'tp inwestycje do spr.'!$A$7:$A$250,$B167,'tp inwestycje do spr.'!$C$7:$C$250,$C167,'tp inwestycje do spr.'!$D$7:$D$250,$D167,'tp inwestycje do spr.'!$E$7:$E$250,$A167)-J167,2))</f>
        <v/>
      </c>
      <c r="S167" s="344" t="str">
        <f>IF(F167="","",ROUND(SUMIFS('tp inwestycje do spr.'!K$7:K$250,'tp inwestycje do spr.'!$A$7:$A$250,$B167,'tp inwestycje do spr.'!$C$7:$C$250,$C167,'tp inwestycje do spr.'!$D$7:$D$250,$D167,'tp inwestycje do spr.'!$E$7:$E$250,$A167)-K167,2))</f>
        <v/>
      </c>
      <c r="T167" s="344" t="str">
        <f>IF(G167="","",ROUND(SUMIFS('tp inwestycje do spr.'!L$7:L$250,'tp inwestycje do spr.'!$A$7:$A$250,$B167,'tp inwestycje do spr.'!$C$7:$C$250,$C167,'tp inwestycje do spr.'!$D$7:$D$250,$D167,'tp inwestycje do spr.'!$E$7:$E$250,$A167)-L167,2))</f>
        <v/>
      </c>
      <c r="U167" s="342" t="str">
        <f t="shared" si="14"/>
        <v>nie</v>
      </c>
    </row>
    <row r="168" spans="1:21" x14ac:dyDescent="0.25">
      <c r="A168" s="356"/>
      <c r="B168" s="356"/>
      <c r="C168" s="357"/>
      <c r="D168" s="357"/>
      <c r="E168" s="356"/>
      <c r="F168" s="358"/>
      <c r="G168" s="358"/>
      <c r="H168" s="358"/>
      <c r="I168" s="358"/>
      <c r="J168" s="358"/>
      <c r="K168" s="358"/>
      <c r="L168" s="358"/>
      <c r="M168" s="355"/>
      <c r="N168" s="344" t="str">
        <f>IF(A168="","",ROUND(SUMIFS('tp inwestycje do spr.'!F$7:F$250,'tp inwestycje do spr.'!$A$7:$A$250,$B168,'tp inwestycje do spr.'!$C$7:$C$250,$C168,'tp inwestycje do spr.'!$D$7:$D$250,$D168,'tp inwestycje do spr.'!$E$7:$E$250,$A168)-F168,2))</f>
        <v/>
      </c>
      <c r="O168" s="344" t="str">
        <f>IF(B168="","",ROUND(SUMIFS('tp inwestycje do spr.'!G$7:G$250,'tp inwestycje do spr.'!$A$7:$A$250,$B168,'tp inwestycje do spr.'!$C$7:$C$250,$C168,'tp inwestycje do spr.'!$D$7:$D$250,$D168,'tp inwestycje do spr.'!$E$7:$E$250,$A168)-G168,2))</f>
        <v/>
      </c>
      <c r="P168" s="344" t="str">
        <f>IF(C168="","",ROUND(SUMIFS('tp inwestycje do spr.'!H$7:H$250,'tp inwestycje do spr.'!$A$7:$A$250,$B168,'tp inwestycje do spr.'!$C$7:$C$250,$C168,'tp inwestycje do spr.'!$D$7:$D$250,$D168,'tp inwestycje do spr.'!$E$7:$E$250,$A168)-H168,2))</f>
        <v/>
      </c>
      <c r="Q168" s="344" t="str">
        <f>IF(D168="","",ROUND(SUMIFS('tp inwestycje do spr.'!I$7:I$250,'tp inwestycje do spr.'!$A$7:$A$250,$B168,'tp inwestycje do spr.'!$C$7:$C$250,$C168,'tp inwestycje do spr.'!$D$7:$D$250,$D168,'tp inwestycje do spr.'!$E$7:$E$250,$A168)-I168,2))</f>
        <v/>
      </c>
      <c r="R168" s="344" t="str">
        <f>IF(E168="","",ROUND(SUMIFS('tp inwestycje do spr.'!J$7:J$250,'tp inwestycje do spr.'!$A$7:$A$250,$B168,'tp inwestycje do spr.'!$C$7:$C$250,$C168,'tp inwestycje do spr.'!$D$7:$D$250,$D168,'tp inwestycje do spr.'!$E$7:$E$250,$A168)-J168,2))</f>
        <v/>
      </c>
      <c r="S168" s="344" t="str">
        <f>IF(F168="","",ROUND(SUMIFS('tp inwestycje do spr.'!K$7:K$250,'tp inwestycje do spr.'!$A$7:$A$250,$B168,'tp inwestycje do spr.'!$C$7:$C$250,$C168,'tp inwestycje do spr.'!$D$7:$D$250,$D168,'tp inwestycje do spr.'!$E$7:$E$250,$A168)-K168,2))</f>
        <v/>
      </c>
      <c r="T168" s="344" t="str">
        <f>IF(G168="","",ROUND(SUMIFS('tp inwestycje do spr.'!L$7:L$250,'tp inwestycje do spr.'!$A$7:$A$250,$B168,'tp inwestycje do spr.'!$C$7:$C$250,$C168,'tp inwestycje do spr.'!$D$7:$D$250,$D168,'tp inwestycje do spr.'!$E$7:$E$250,$A168)-L168,2))</f>
        <v/>
      </c>
      <c r="U168" s="342" t="str">
        <f t="shared" si="14"/>
        <v>nie</v>
      </c>
    </row>
    <row r="169" spans="1:21" x14ac:dyDescent="0.25">
      <c r="A169" s="356"/>
      <c r="B169" s="356"/>
      <c r="C169" s="357"/>
      <c r="D169" s="357"/>
      <c r="E169" s="356"/>
      <c r="F169" s="358"/>
      <c r="G169" s="358"/>
      <c r="H169" s="358"/>
      <c r="I169" s="358"/>
      <c r="J169" s="358"/>
      <c r="K169" s="358"/>
      <c r="L169" s="358"/>
      <c r="M169" s="355"/>
      <c r="N169" s="344" t="str">
        <f>IF(A169="","",ROUND(SUMIFS('tp inwestycje do spr.'!F$7:F$250,'tp inwestycje do spr.'!$A$7:$A$250,$B169,'tp inwestycje do spr.'!$C$7:$C$250,$C169,'tp inwestycje do spr.'!$D$7:$D$250,$D169,'tp inwestycje do spr.'!$E$7:$E$250,$A169)-F169,2))</f>
        <v/>
      </c>
      <c r="O169" s="344" t="str">
        <f>IF(B169="","",ROUND(SUMIFS('tp inwestycje do spr.'!G$7:G$250,'tp inwestycje do spr.'!$A$7:$A$250,$B169,'tp inwestycje do spr.'!$C$7:$C$250,$C169,'tp inwestycje do spr.'!$D$7:$D$250,$D169,'tp inwestycje do spr.'!$E$7:$E$250,$A169)-G169,2))</f>
        <v/>
      </c>
      <c r="P169" s="344" t="str">
        <f>IF(C169="","",ROUND(SUMIFS('tp inwestycje do spr.'!H$7:H$250,'tp inwestycje do spr.'!$A$7:$A$250,$B169,'tp inwestycje do spr.'!$C$7:$C$250,$C169,'tp inwestycje do spr.'!$D$7:$D$250,$D169,'tp inwestycje do spr.'!$E$7:$E$250,$A169)-H169,2))</f>
        <v/>
      </c>
      <c r="Q169" s="344" t="str">
        <f>IF(D169="","",ROUND(SUMIFS('tp inwestycje do spr.'!I$7:I$250,'tp inwestycje do spr.'!$A$7:$A$250,$B169,'tp inwestycje do spr.'!$C$7:$C$250,$C169,'tp inwestycje do spr.'!$D$7:$D$250,$D169,'tp inwestycje do spr.'!$E$7:$E$250,$A169)-I169,2))</f>
        <v/>
      </c>
      <c r="R169" s="344" t="str">
        <f>IF(E169="","",ROUND(SUMIFS('tp inwestycje do spr.'!J$7:J$250,'tp inwestycje do spr.'!$A$7:$A$250,$B169,'tp inwestycje do spr.'!$C$7:$C$250,$C169,'tp inwestycje do spr.'!$D$7:$D$250,$D169,'tp inwestycje do spr.'!$E$7:$E$250,$A169)-J169,2))</f>
        <v/>
      </c>
      <c r="S169" s="344" t="str">
        <f>IF(F169="","",ROUND(SUMIFS('tp inwestycje do spr.'!K$7:K$250,'tp inwestycje do spr.'!$A$7:$A$250,$B169,'tp inwestycje do spr.'!$C$7:$C$250,$C169,'tp inwestycje do spr.'!$D$7:$D$250,$D169,'tp inwestycje do spr.'!$E$7:$E$250,$A169)-K169,2))</f>
        <v/>
      </c>
      <c r="T169" s="344" t="str">
        <f>IF(G169="","",ROUND(SUMIFS('tp inwestycje do spr.'!L$7:L$250,'tp inwestycje do spr.'!$A$7:$A$250,$B169,'tp inwestycje do spr.'!$C$7:$C$250,$C169,'tp inwestycje do spr.'!$D$7:$D$250,$D169,'tp inwestycje do spr.'!$E$7:$E$250,$A169)-L169,2))</f>
        <v/>
      </c>
      <c r="U169" s="342" t="str">
        <f t="shared" si="14"/>
        <v>nie</v>
      </c>
    </row>
    <row r="170" spans="1:21" x14ac:dyDescent="0.25">
      <c r="A170" s="356"/>
      <c r="B170" s="356"/>
      <c r="C170" s="357"/>
      <c r="D170" s="357"/>
      <c r="E170" s="356"/>
      <c r="F170" s="358"/>
      <c r="G170" s="358"/>
      <c r="H170" s="358"/>
      <c r="I170" s="358"/>
      <c r="J170" s="358"/>
      <c r="K170" s="358"/>
      <c r="L170" s="358"/>
      <c r="M170" s="355"/>
      <c r="N170" s="344" t="str">
        <f>IF(A170="","",ROUND(SUMIFS('tp inwestycje do spr.'!F$7:F$250,'tp inwestycje do spr.'!$A$7:$A$250,$B170,'tp inwestycje do spr.'!$C$7:$C$250,$C170,'tp inwestycje do spr.'!$D$7:$D$250,$D170,'tp inwestycje do spr.'!$E$7:$E$250,$A170)-F170,2))</f>
        <v/>
      </c>
      <c r="O170" s="344" t="str">
        <f>IF(B170="","",ROUND(SUMIFS('tp inwestycje do spr.'!G$7:G$250,'tp inwestycje do spr.'!$A$7:$A$250,$B170,'tp inwestycje do spr.'!$C$7:$C$250,$C170,'tp inwestycje do spr.'!$D$7:$D$250,$D170,'tp inwestycje do spr.'!$E$7:$E$250,$A170)-G170,2))</f>
        <v/>
      </c>
      <c r="P170" s="344" t="str">
        <f>IF(C170="","",ROUND(SUMIFS('tp inwestycje do spr.'!H$7:H$250,'tp inwestycje do spr.'!$A$7:$A$250,$B170,'tp inwestycje do spr.'!$C$7:$C$250,$C170,'tp inwestycje do spr.'!$D$7:$D$250,$D170,'tp inwestycje do spr.'!$E$7:$E$250,$A170)-H170,2))</f>
        <v/>
      </c>
      <c r="Q170" s="344" t="str">
        <f>IF(D170="","",ROUND(SUMIFS('tp inwestycje do spr.'!I$7:I$250,'tp inwestycje do spr.'!$A$7:$A$250,$B170,'tp inwestycje do spr.'!$C$7:$C$250,$C170,'tp inwestycje do spr.'!$D$7:$D$250,$D170,'tp inwestycje do spr.'!$E$7:$E$250,$A170)-I170,2))</f>
        <v/>
      </c>
      <c r="R170" s="344" t="str">
        <f>IF(E170="","",ROUND(SUMIFS('tp inwestycje do spr.'!J$7:J$250,'tp inwestycje do spr.'!$A$7:$A$250,$B170,'tp inwestycje do spr.'!$C$7:$C$250,$C170,'tp inwestycje do spr.'!$D$7:$D$250,$D170,'tp inwestycje do spr.'!$E$7:$E$250,$A170)-J170,2))</f>
        <v/>
      </c>
      <c r="S170" s="344" t="str">
        <f>IF(F170="","",ROUND(SUMIFS('tp inwestycje do spr.'!K$7:K$250,'tp inwestycje do spr.'!$A$7:$A$250,$B170,'tp inwestycje do spr.'!$C$7:$C$250,$C170,'tp inwestycje do spr.'!$D$7:$D$250,$D170,'tp inwestycje do spr.'!$E$7:$E$250,$A170)-K170,2))</f>
        <v/>
      </c>
      <c r="T170" s="344" t="str">
        <f>IF(G170="","",ROUND(SUMIFS('tp inwestycje do spr.'!L$7:L$250,'tp inwestycje do spr.'!$A$7:$A$250,$B170,'tp inwestycje do spr.'!$C$7:$C$250,$C170,'tp inwestycje do spr.'!$D$7:$D$250,$D170,'tp inwestycje do spr.'!$E$7:$E$250,$A170)-L170,2))</f>
        <v/>
      </c>
      <c r="U170" s="342" t="str">
        <f t="shared" si="14"/>
        <v>nie</v>
      </c>
    </row>
    <row r="171" spans="1:21" x14ac:dyDescent="0.25">
      <c r="A171" s="356"/>
      <c r="B171" s="356"/>
      <c r="C171" s="357"/>
      <c r="D171" s="357"/>
      <c r="E171" s="356"/>
      <c r="F171" s="358"/>
      <c r="G171" s="358"/>
      <c r="H171" s="358"/>
      <c r="I171" s="358"/>
      <c r="J171" s="358"/>
      <c r="K171" s="358"/>
      <c r="L171" s="358"/>
      <c r="M171" s="355"/>
      <c r="N171" s="344" t="str">
        <f>IF(A171="","",ROUND(SUMIFS('tp inwestycje do spr.'!F$7:F$250,'tp inwestycje do spr.'!$A$7:$A$250,$B171,'tp inwestycje do spr.'!$C$7:$C$250,$C171,'tp inwestycje do spr.'!$D$7:$D$250,$D171,'tp inwestycje do spr.'!$E$7:$E$250,$A171)-F171,2))</f>
        <v/>
      </c>
      <c r="O171" s="344" t="str">
        <f>IF(B171="","",ROUND(SUMIFS('tp inwestycje do spr.'!G$7:G$250,'tp inwestycje do spr.'!$A$7:$A$250,$B171,'tp inwestycje do spr.'!$C$7:$C$250,$C171,'tp inwestycje do spr.'!$D$7:$D$250,$D171,'tp inwestycje do spr.'!$E$7:$E$250,$A171)-G171,2))</f>
        <v/>
      </c>
      <c r="P171" s="344" t="str">
        <f>IF(C171="","",ROUND(SUMIFS('tp inwestycje do spr.'!H$7:H$250,'tp inwestycje do spr.'!$A$7:$A$250,$B171,'tp inwestycje do spr.'!$C$7:$C$250,$C171,'tp inwestycje do spr.'!$D$7:$D$250,$D171,'tp inwestycje do spr.'!$E$7:$E$250,$A171)-H171,2))</f>
        <v/>
      </c>
      <c r="Q171" s="344" t="str">
        <f>IF(D171="","",ROUND(SUMIFS('tp inwestycje do spr.'!I$7:I$250,'tp inwestycje do spr.'!$A$7:$A$250,$B171,'tp inwestycje do spr.'!$C$7:$C$250,$C171,'tp inwestycje do spr.'!$D$7:$D$250,$D171,'tp inwestycje do spr.'!$E$7:$E$250,$A171)-I171,2))</f>
        <v/>
      </c>
      <c r="R171" s="344" t="str">
        <f>IF(E171="","",ROUND(SUMIFS('tp inwestycje do spr.'!J$7:J$250,'tp inwestycje do spr.'!$A$7:$A$250,$B171,'tp inwestycje do spr.'!$C$7:$C$250,$C171,'tp inwestycje do spr.'!$D$7:$D$250,$D171,'tp inwestycje do spr.'!$E$7:$E$250,$A171)-J171,2))</f>
        <v/>
      </c>
      <c r="S171" s="344" t="str">
        <f>IF(F171="","",ROUND(SUMIFS('tp inwestycje do spr.'!K$7:K$250,'tp inwestycje do spr.'!$A$7:$A$250,$B171,'tp inwestycje do spr.'!$C$7:$C$250,$C171,'tp inwestycje do spr.'!$D$7:$D$250,$D171,'tp inwestycje do spr.'!$E$7:$E$250,$A171)-K171,2))</f>
        <v/>
      </c>
      <c r="T171" s="344" t="str">
        <f>IF(G171="","",ROUND(SUMIFS('tp inwestycje do spr.'!L$7:L$250,'tp inwestycje do spr.'!$A$7:$A$250,$B171,'tp inwestycje do spr.'!$C$7:$C$250,$C171,'tp inwestycje do spr.'!$D$7:$D$250,$D171,'tp inwestycje do spr.'!$E$7:$E$250,$A171)-L171,2))</f>
        <v/>
      </c>
      <c r="U171" s="342" t="str">
        <f t="shared" si="14"/>
        <v>nie</v>
      </c>
    </row>
    <row r="172" spans="1:21" x14ac:dyDescent="0.25">
      <c r="A172" s="356"/>
      <c r="B172" s="356"/>
      <c r="C172" s="357"/>
      <c r="D172" s="357"/>
      <c r="E172" s="356"/>
      <c r="F172" s="358"/>
      <c r="G172" s="358"/>
      <c r="H172" s="358"/>
      <c r="I172" s="358"/>
      <c r="J172" s="358"/>
      <c r="K172" s="358"/>
      <c r="L172" s="358"/>
      <c r="M172" s="355"/>
      <c r="N172" s="344" t="str">
        <f>IF(A172="","",ROUND(SUMIFS('tp inwestycje do spr.'!F$7:F$250,'tp inwestycje do spr.'!$A$7:$A$250,$B172,'tp inwestycje do spr.'!$C$7:$C$250,$C172,'tp inwestycje do spr.'!$D$7:$D$250,$D172,'tp inwestycje do spr.'!$E$7:$E$250,$A172)-F172,2))</f>
        <v/>
      </c>
      <c r="O172" s="344" t="str">
        <f>IF(B172="","",ROUND(SUMIFS('tp inwestycje do spr.'!G$7:G$250,'tp inwestycje do spr.'!$A$7:$A$250,$B172,'tp inwestycje do spr.'!$C$7:$C$250,$C172,'tp inwestycje do spr.'!$D$7:$D$250,$D172,'tp inwestycje do spr.'!$E$7:$E$250,$A172)-G172,2))</f>
        <v/>
      </c>
      <c r="P172" s="344" t="str">
        <f>IF(C172="","",ROUND(SUMIFS('tp inwestycje do spr.'!H$7:H$250,'tp inwestycje do spr.'!$A$7:$A$250,$B172,'tp inwestycje do spr.'!$C$7:$C$250,$C172,'tp inwestycje do spr.'!$D$7:$D$250,$D172,'tp inwestycje do spr.'!$E$7:$E$250,$A172)-H172,2))</f>
        <v/>
      </c>
      <c r="Q172" s="344" t="str">
        <f>IF(D172="","",ROUND(SUMIFS('tp inwestycje do spr.'!I$7:I$250,'tp inwestycje do spr.'!$A$7:$A$250,$B172,'tp inwestycje do spr.'!$C$7:$C$250,$C172,'tp inwestycje do spr.'!$D$7:$D$250,$D172,'tp inwestycje do spr.'!$E$7:$E$250,$A172)-I172,2))</f>
        <v/>
      </c>
      <c r="R172" s="344" t="str">
        <f>IF(E172="","",ROUND(SUMIFS('tp inwestycje do spr.'!J$7:J$250,'tp inwestycje do spr.'!$A$7:$A$250,$B172,'tp inwestycje do spr.'!$C$7:$C$250,$C172,'tp inwestycje do spr.'!$D$7:$D$250,$D172,'tp inwestycje do spr.'!$E$7:$E$250,$A172)-J172,2))</f>
        <v/>
      </c>
      <c r="S172" s="344" t="str">
        <f>IF(F172="","",ROUND(SUMIFS('tp inwestycje do spr.'!K$7:K$250,'tp inwestycje do spr.'!$A$7:$A$250,$B172,'tp inwestycje do spr.'!$C$7:$C$250,$C172,'tp inwestycje do spr.'!$D$7:$D$250,$D172,'tp inwestycje do spr.'!$E$7:$E$250,$A172)-K172,2))</f>
        <v/>
      </c>
      <c r="T172" s="344" t="str">
        <f>IF(G172="","",ROUND(SUMIFS('tp inwestycje do spr.'!L$7:L$250,'tp inwestycje do spr.'!$A$7:$A$250,$B172,'tp inwestycje do spr.'!$C$7:$C$250,$C172,'tp inwestycje do spr.'!$D$7:$D$250,$D172,'tp inwestycje do spr.'!$E$7:$E$250,$A172)-L172,2))</f>
        <v/>
      </c>
      <c r="U172" s="342" t="str">
        <f t="shared" si="14"/>
        <v>nie</v>
      </c>
    </row>
    <row r="173" spans="1:21" x14ac:dyDescent="0.25">
      <c r="A173" s="356"/>
      <c r="B173" s="356"/>
      <c r="C173" s="357"/>
      <c r="D173" s="357"/>
      <c r="E173" s="356"/>
      <c r="F173" s="358"/>
      <c r="G173" s="358"/>
      <c r="H173" s="358"/>
      <c r="I173" s="358"/>
      <c r="J173" s="358"/>
      <c r="K173" s="358"/>
      <c r="L173" s="358"/>
      <c r="M173" s="355"/>
      <c r="N173" s="344" t="str">
        <f>IF(A173="","",ROUND(SUMIFS('tp inwestycje do spr.'!F$7:F$250,'tp inwestycje do spr.'!$A$7:$A$250,$B173,'tp inwestycje do spr.'!$C$7:$C$250,$C173,'tp inwestycje do spr.'!$D$7:$D$250,$D173,'tp inwestycje do spr.'!$E$7:$E$250,$A173)-F173,2))</f>
        <v/>
      </c>
      <c r="O173" s="344" t="str">
        <f>IF(B173="","",ROUND(SUMIFS('tp inwestycje do spr.'!G$7:G$250,'tp inwestycje do spr.'!$A$7:$A$250,$B173,'tp inwestycje do spr.'!$C$7:$C$250,$C173,'tp inwestycje do spr.'!$D$7:$D$250,$D173,'tp inwestycje do spr.'!$E$7:$E$250,$A173)-G173,2))</f>
        <v/>
      </c>
      <c r="P173" s="344" t="str">
        <f>IF(C173="","",ROUND(SUMIFS('tp inwestycje do spr.'!H$7:H$250,'tp inwestycje do spr.'!$A$7:$A$250,$B173,'tp inwestycje do spr.'!$C$7:$C$250,$C173,'tp inwestycje do spr.'!$D$7:$D$250,$D173,'tp inwestycje do spr.'!$E$7:$E$250,$A173)-H173,2))</f>
        <v/>
      </c>
      <c r="Q173" s="344" t="str">
        <f>IF(D173="","",ROUND(SUMIFS('tp inwestycje do spr.'!I$7:I$250,'tp inwestycje do spr.'!$A$7:$A$250,$B173,'tp inwestycje do spr.'!$C$7:$C$250,$C173,'tp inwestycje do spr.'!$D$7:$D$250,$D173,'tp inwestycje do spr.'!$E$7:$E$250,$A173)-I173,2))</f>
        <v/>
      </c>
      <c r="R173" s="344" t="str">
        <f>IF(E173="","",ROUND(SUMIFS('tp inwestycje do spr.'!J$7:J$250,'tp inwestycje do spr.'!$A$7:$A$250,$B173,'tp inwestycje do spr.'!$C$7:$C$250,$C173,'tp inwestycje do spr.'!$D$7:$D$250,$D173,'tp inwestycje do spr.'!$E$7:$E$250,$A173)-J173,2))</f>
        <v/>
      </c>
      <c r="S173" s="344" t="str">
        <f>IF(F173="","",ROUND(SUMIFS('tp inwestycje do spr.'!K$7:K$250,'tp inwestycje do spr.'!$A$7:$A$250,$B173,'tp inwestycje do spr.'!$C$7:$C$250,$C173,'tp inwestycje do spr.'!$D$7:$D$250,$D173,'tp inwestycje do spr.'!$E$7:$E$250,$A173)-K173,2))</f>
        <v/>
      </c>
      <c r="T173" s="344" t="str">
        <f>IF(G173="","",ROUND(SUMIFS('tp inwestycje do spr.'!L$7:L$250,'tp inwestycje do spr.'!$A$7:$A$250,$B173,'tp inwestycje do spr.'!$C$7:$C$250,$C173,'tp inwestycje do spr.'!$D$7:$D$250,$D173,'tp inwestycje do spr.'!$E$7:$E$250,$A173)-L173,2))</f>
        <v/>
      </c>
      <c r="U173" s="342" t="str">
        <f t="shared" si="14"/>
        <v>nie</v>
      </c>
    </row>
    <row r="174" spans="1:21" x14ac:dyDescent="0.25">
      <c r="A174" s="356"/>
      <c r="B174" s="356"/>
      <c r="C174" s="357"/>
      <c r="D174" s="357"/>
      <c r="E174" s="356"/>
      <c r="F174" s="358"/>
      <c r="G174" s="358"/>
      <c r="H174" s="358"/>
      <c r="I174" s="358"/>
      <c r="J174" s="358"/>
      <c r="K174" s="358"/>
      <c r="L174" s="358"/>
      <c r="M174" s="355"/>
      <c r="N174" s="344" t="str">
        <f>IF(A174="","",ROUND(SUMIFS('tp inwestycje do spr.'!F$7:F$250,'tp inwestycje do spr.'!$A$7:$A$250,$B174,'tp inwestycje do spr.'!$C$7:$C$250,$C174,'tp inwestycje do spr.'!$D$7:$D$250,$D174,'tp inwestycje do spr.'!$E$7:$E$250,$A174)-F174,2))</f>
        <v/>
      </c>
      <c r="O174" s="344" t="str">
        <f>IF(B174="","",ROUND(SUMIFS('tp inwestycje do spr.'!G$7:G$250,'tp inwestycje do spr.'!$A$7:$A$250,$B174,'tp inwestycje do spr.'!$C$7:$C$250,$C174,'tp inwestycje do spr.'!$D$7:$D$250,$D174,'tp inwestycje do spr.'!$E$7:$E$250,$A174)-G174,2))</f>
        <v/>
      </c>
      <c r="P174" s="344" t="str">
        <f>IF(C174="","",ROUND(SUMIFS('tp inwestycje do spr.'!H$7:H$250,'tp inwestycje do spr.'!$A$7:$A$250,$B174,'tp inwestycje do spr.'!$C$7:$C$250,$C174,'tp inwestycje do spr.'!$D$7:$D$250,$D174,'tp inwestycje do spr.'!$E$7:$E$250,$A174)-H174,2))</f>
        <v/>
      </c>
      <c r="Q174" s="344" t="str">
        <f>IF(D174="","",ROUND(SUMIFS('tp inwestycje do spr.'!I$7:I$250,'tp inwestycje do spr.'!$A$7:$A$250,$B174,'tp inwestycje do spr.'!$C$7:$C$250,$C174,'tp inwestycje do spr.'!$D$7:$D$250,$D174,'tp inwestycje do spr.'!$E$7:$E$250,$A174)-I174,2))</f>
        <v/>
      </c>
      <c r="R174" s="344" t="str">
        <f>IF(E174="","",ROUND(SUMIFS('tp inwestycje do spr.'!J$7:J$250,'tp inwestycje do spr.'!$A$7:$A$250,$B174,'tp inwestycje do spr.'!$C$7:$C$250,$C174,'tp inwestycje do spr.'!$D$7:$D$250,$D174,'tp inwestycje do spr.'!$E$7:$E$250,$A174)-J174,2))</f>
        <v/>
      </c>
      <c r="S174" s="344" t="str">
        <f>IF(F174="","",ROUND(SUMIFS('tp inwestycje do spr.'!K$7:K$250,'tp inwestycje do spr.'!$A$7:$A$250,$B174,'tp inwestycje do spr.'!$C$7:$C$250,$C174,'tp inwestycje do spr.'!$D$7:$D$250,$D174,'tp inwestycje do spr.'!$E$7:$E$250,$A174)-K174,2))</f>
        <v/>
      </c>
      <c r="T174" s="344" t="str">
        <f>IF(G174="","",ROUND(SUMIFS('tp inwestycje do spr.'!L$7:L$250,'tp inwestycje do spr.'!$A$7:$A$250,$B174,'tp inwestycje do spr.'!$C$7:$C$250,$C174,'tp inwestycje do spr.'!$D$7:$D$250,$D174,'tp inwestycje do spr.'!$E$7:$E$250,$A174)-L174,2))</f>
        <v/>
      </c>
      <c r="U174" s="342" t="str">
        <f t="shared" si="14"/>
        <v>nie</v>
      </c>
    </row>
    <row r="175" spans="1:21" x14ac:dyDescent="0.25">
      <c r="A175" s="356"/>
      <c r="B175" s="356"/>
      <c r="C175" s="357"/>
      <c r="D175" s="357"/>
      <c r="E175" s="356"/>
      <c r="F175" s="358"/>
      <c r="G175" s="358"/>
      <c r="H175" s="358"/>
      <c r="I175" s="358"/>
      <c r="J175" s="358"/>
      <c r="K175" s="358"/>
      <c r="L175" s="358"/>
      <c r="M175" s="355"/>
      <c r="N175" s="344" t="str">
        <f>IF(A175="","",ROUND(SUMIFS('tp inwestycje do spr.'!F$7:F$250,'tp inwestycje do spr.'!$A$7:$A$250,$B175,'tp inwestycje do spr.'!$C$7:$C$250,$C175,'tp inwestycje do spr.'!$D$7:$D$250,$D175,'tp inwestycje do spr.'!$E$7:$E$250,$A175)-F175,2))</f>
        <v/>
      </c>
      <c r="O175" s="344" t="str">
        <f>IF(B175="","",ROUND(SUMIFS('tp inwestycje do spr.'!G$7:G$250,'tp inwestycje do spr.'!$A$7:$A$250,$B175,'tp inwestycje do spr.'!$C$7:$C$250,$C175,'tp inwestycje do spr.'!$D$7:$D$250,$D175,'tp inwestycje do spr.'!$E$7:$E$250,$A175)-G175,2))</f>
        <v/>
      </c>
      <c r="P175" s="344" t="str">
        <f>IF(C175="","",ROUND(SUMIFS('tp inwestycje do spr.'!H$7:H$250,'tp inwestycje do spr.'!$A$7:$A$250,$B175,'tp inwestycje do spr.'!$C$7:$C$250,$C175,'tp inwestycje do spr.'!$D$7:$D$250,$D175,'tp inwestycje do spr.'!$E$7:$E$250,$A175)-H175,2))</f>
        <v/>
      </c>
      <c r="Q175" s="344" t="str">
        <f>IF(D175="","",ROUND(SUMIFS('tp inwestycje do spr.'!I$7:I$250,'tp inwestycje do spr.'!$A$7:$A$250,$B175,'tp inwestycje do spr.'!$C$7:$C$250,$C175,'tp inwestycje do spr.'!$D$7:$D$250,$D175,'tp inwestycje do spr.'!$E$7:$E$250,$A175)-I175,2))</f>
        <v/>
      </c>
      <c r="R175" s="344" t="str">
        <f>IF(E175="","",ROUND(SUMIFS('tp inwestycje do spr.'!J$7:J$250,'tp inwestycje do spr.'!$A$7:$A$250,$B175,'tp inwestycje do spr.'!$C$7:$C$250,$C175,'tp inwestycje do spr.'!$D$7:$D$250,$D175,'tp inwestycje do spr.'!$E$7:$E$250,$A175)-J175,2))</f>
        <v/>
      </c>
      <c r="S175" s="344" t="str">
        <f>IF(F175="","",ROUND(SUMIFS('tp inwestycje do spr.'!K$7:K$250,'tp inwestycje do spr.'!$A$7:$A$250,$B175,'tp inwestycje do spr.'!$C$7:$C$250,$C175,'tp inwestycje do spr.'!$D$7:$D$250,$D175,'tp inwestycje do spr.'!$E$7:$E$250,$A175)-K175,2))</f>
        <v/>
      </c>
      <c r="T175" s="344" t="str">
        <f>IF(G175="","",ROUND(SUMIFS('tp inwestycje do spr.'!L$7:L$250,'tp inwestycje do spr.'!$A$7:$A$250,$B175,'tp inwestycje do spr.'!$C$7:$C$250,$C175,'tp inwestycje do spr.'!$D$7:$D$250,$D175,'tp inwestycje do spr.'!$E$7:$E$250,$A175)-L175,2))</f>
        <v/>
      </c>
      <c r="U175" s="342" t="str">
        <f t="shared" si="14"/>
        <v>nie</v>
      </c>
    </row>
    <row r="176" spans="1:21" x14ac:dyDescent="0.25">
      <c r="A176" s="356"/>
      <c r="B176" s="356"/>
      <c r="C176" s="357"/>
      <c r="D176" s="357"/>
      <c r="E176" s="356"/>
      <c r="F176" s="358"/>
      <c r="G176" s="358"/>
      <c r="H176" s="358"/>
      <c r="I176" s="358"/>
      <c r="J176" s="358"/>
      <c r="K176" s="358"/>
      <c r="L176" s="358"/>
      <c r="M176" s="355"/>
      <c r="N176" s="344" t="str">
        <f>IF(A176="","",ROUND(SUMIFS('tp inwestycje do spr.'!F$7:F$250,'tp inwestycje do spr.'!$A$7:$A$250,$B176,'tp inwestycje do spr.'!$C$7:$C$250,$C176,'tp inwestycje do spr.'!$D$7:$D$250,$D176,'tp inwestycje do spr.'!$E$7:$E$250,$A176)-F176,2))</f>
        <v/>
      </c>
      <c r="O176" s="344" t="str">
        <f>IF(B176="","",ROUND(SUMIFS('tp inwestycje do spr.'!G$7:G$250,'tp inwestycje do spr.'!$A$7:$A$250,$B176,'tp inwestycje do spr.'!$C$7:$C$250,$C176,'tp inwestycje do spr.'!$D$7:$D$250,$D176,'tp inwestycje do spr.'!$E$7:$E$250,$A176)-G176,2))</f>
        <v/>
      </c>
      <c r="P176" s="344" t="str">
        <f>IF(C176="","",ROUND(SUMIFS('tp inwestycje do spr.'!H$7:H$250,'tp inwestycje do spr.'!$A$7:$A$250,$B176,'tp inwestycje do spr.'!$C$7:$C$250,$C176,'tp inwestycje do spr.'!$D$7:$D$250,$D176,'tp inwestycje do spr.'!$E$7:$E$250,$A176)-H176,2))</f>
        <v/>
      </c>
      <c r="Q176" s="344" t="str">
        <f>IF(D176="","",ROUND(SUMIFS('tp inwestycje do spr.'!I$7:I$250,'tp inwestycje do spr.'!$A$7:$A$250,$B176,'tp inwestycje do spr.'!$C$7:$C$250,$C176,'tp inwestycje do spr.'!$D$7:$D$250,$D176,'tp inwestycje do spr.'!$E$7:$E$250,$A176)-I176,2))</f>
        <v/>
      </c>
      <c r="R176" s="344" t="str">
        <f>IF(E176="","",ROUND(SUMIFS('tp inwestycje do spr.'!J$7:J$250,'tp inwestycje do spr.'!$A$7:$A$250,$B176,'tp inwestycje do spr.'!$C$7:$C$250,$C176,'tp inwestycje do spr.'!$D$7:$D$250,$D176,'tp inwestycje do spr.'!$E$7:$E$250,$A176)-J176,2))</f>
        <v/>
      </c>
      <c r="S176" s="344" t="str">
        <f>IF(F176="","",ROUND(SUMIFS('tp inwestycje do spr.'!K$7:K$250,'tp inwestycje do spr.'!$A$7:$A$250,$B176,'tp inwestycje do spr.'!$C$7:$C$250,$C176,'tp inwestycje do spr.'!$D$7:$D$250,$D176,'tp inwestycje do spr.'!$E$7:$E$250,$A176)-K176,2))</f>
        <v/>
      </c>
      <c r="T176" s="344" t="str">
        <f>IF(G176="","",ROUND(SUMIFS('tp inwestycje do spr.'!L$7:L$250,'tp inwestycje do spr.'!$A$7:$A$250,$B176,'tp inwestycje do spr.'!$C$7:$C$250,$C176,'tp inwestycje do spr.'!$D$7:$D$250,$D176,'tp inwestycje do spr.'!$E$7:$E$250,$A176)-L176,2))</f>
        <v/>
      </c>
      <c r="U176" s="342" t="str">
        <f t="shared" si="14"/>
        <v>nie</v>
      </c>
    </row>
    <row r="177" spans="1:21" x14ac:dyDescent="0.25">
      <c r="A177" s="356"/>
      <c r="B177" s="356"/>
      <c r="C177" s="357"/>
      <c r="D177" s="357"/>
      <c r="E177" s="356"/>
      <c r="F177" s="358"/>
      <c r="G177" s="358"/>
      <c r="H177" s="358"/>
      <c r="I177" s="358"/>
      <c r="J177" s="358"/>
      <c r="K177" s="358"/>
      <c r="L177" s="358"/>
      <c r="M177" s="355"/>
      <c r="N177" s="344" t="str">
        <f>IF(A177="","",ROUND(SUMIFS('tp inwestycje do spr.'!F$7:F$250,'tp inwestycje do spr.'!$A$7:$A$250,$B177,'tp inwestycje do spr.'!$C$7:$C$250,$C177,'tp inwestycje do spr.'!$D$7:$D$250,$D177,'tp inwestycje do spr.'!$E$7:$E$250,$A177)-F177,2))</f>
        <v/>
      </c>
      <c r="O177" s="344" t="str">
        <f>IF(B177="","",ROUND(SUMIFS('tp inwestycje do spr.'!G$7:G$250,'tp inwestycje do spr.'!$A$7:$A$250,$B177,'tp inwestycje do spr.'!$C$7:$C$250,$C177,'tp inwestycje do spr.'!$D$7:$D$250,$D177,'tp inwestycje do spr.'!$E$7:$E$250,$A177)-G177,2))</f>
        <v/>
      </c>
      <c r="P177" s="344" t="str">
        <f>IF(C177="","",ROUND(SUMIFS('tp inwestycje do spr.'!H$7:H$250,'tp inwestycje do spr.'!$A$7:$A$250,$B177,'tp inwestycje do spr.'!$C$7:$C$250,$C177,'tp inwestycje do spr.'!$D$7:$D$250,$D177,'tp inwestycje do spr.'!$E$7:$E$250,$A177)-H177,2))</f>
        <v/>
      </c>
      <c r="Q177" s="344" t="str">
        <f>IF(D177="","",ROUND(SUMIFS('tp inwestycje do spr.'!I$7:I$250,'tp inwestycje do spr.'!$A$7:$A$250,$B177,'tp inwestycje do spr.'!$C$7:$C$250,$C177,'tp inwestycje do spr.'!$D$7:$D$250,$D177,'tp inwestycje do spr.'!$E$7:$E$250,$A177)-I177,2))</f>
        <v/>
      </c>
      <c r="R177" s="344" t="str">
        <f>IF(E177="","",ROUND(SUMIFS('tp inwestycje do spr.'!J$7:J$250,'tp inwestycje do spr.'!$A$7:$A$250,$B177,'tp inwestycje do spr.'!$C$7:$C$250,$C177,'tp inwestycje do spr.'!$D$7:$D$250,$D177,'tp inwestycje do spr.'!$E$7:$E$250,$A177)-J177,2))</f>
        <v/>
      </c>
      <c r="S177" s="344" t="str">
        <f>IF(F177="","",ROUND(SUMIFS('tp inwestycje do spr.'!K$7:K$250,'tp inwestycje do spr.'!$A$7:$A$250,$B177,'tp inwestycje do spr.'!$C$7:$C$250,$C177,'tp inwestycje do spr.'!$D$7:$D$250,$D177,'tp inwestycje do spr.'!$E$7:$E$250,$A177)-K177,2))</f>
        <v/>
      </c>
      <c r="T177" s="344" t="str">
        <f>IF(G177="","",ROUND(SUMIFS('tp inwestycje do spr.'!L$7:L$250,'tp inwestycje do spr.'!$A$7:$A$250,$B177,'tp inwestycje do spr.'!$C$7:$C$250,$C177,'tp inwestycje do spr.'!$D$7:$D$250,$D177,'tp inwestycje do spr.'!$E$7:$E$250,$A177)-L177,2))</f>
        <v/>
      </c>
      <c r="U177" s="342" t="str">
        <f t="shared" si="14"/>
        <v>nie</v>
      </c>
    </row>
    <row r="178" spans="1:21" x14ac:dyDescent="0.25">
      <c r="A178" s="356"/>
      <c r="B178" s="356"/>
      <c r="C178" s="357"/>
      <c r="D178" s="357"/>
      <c r="E178" s="356"/>
      <c r="F178" s="358"/>
      <c r="G178" s="358"/>
      <c r="H178" s="358"/>
      <c r="I178" s="358"/>
      <c r="J178" s="358"/>
      <c r="K178" s="358"/>
      <c r="L178" s="358"/>
      <c r="M178" s="355"/>
      <c r="N178" s="344" t="str">
        <f>IF(A178="","",ROUND(SUMIFS('tp inwestycje do spr.'!F$7:F$250,'tp inwestycje do spr.'!$A$7:$A$250,$B178,'tp inwestycje do spr.'!$C$7:$C$250,$C178,'tp inwestycje do spr.'!$D$7:$D$250,$D178,'tp inwestycje do spr.'!$E$7:$E$250,$A178)-F178,2))</f>
        <v/>
      </c>
      <c r="O178" s="344" t="str">
        <f>IF(B178="","",ROUND(SUMIFS('tp inwestycje do spr.'!G$7:G$250,'tp inwestycje do spr.'!$A$7:$A$250,$B178,'tp inwestycje do spr.'!$C$7:$C$250,$C178,'tp inwestycje do spr.'!$D$7:$D$250,$D178,'tp inwestycje do spr.'!$E$7:$E$250,$A178)-G178,2))</f>
        <v/>
      </c>
      <c r="P178" s="344" t="str">
        <f>IF(C178="","",ROUND(SUMIFS('tp inwestycje do spr.'!H$7:H$250,'tp inwestycje do spr.'!$A$7:$A$250,$B178,'tp inwestycje do spr.'!$C$7:$C$250,$C178,'tp inwestycje do spr.'!$D$7:$D$250,$D178,'tp inwestycje do spr.'!$E$7:$E$250,$A178)-H178,2))</f>
        <v/>
      </c>
      <c r="Q178" s="344" t="str">
        <f>IF(D178="","",ROUND(SUMIFS('tp inwestycje do spr.'!I$7:I$250,'tp inwestycje do spr.'!$A$7:$A$250,$B178,'tp inwestycje do spr.'!$C$7:$C$250,$C178,'tp inwestycje do spr.'!$D$7:$D$250,$D178,'tp inwestycje do spr.'!$E$7:$E$250,$A178)-I178,2))</f>
        <v/>
      </c>
      <c r="R178" s="344" t="str">
        <f>IF(E178="","",ROUND(SUMIFS('tp inwestycje do spr.'!J$7:J$250,'tp inwestycje do spr.'!$A$7:$A$250,$B178,'tp inwestycje do spr.'!$C$7:$C$250,$C178,'tp inwestycje do spr.'!$D$7:$D$250,$D178,'tp inwestycje do spr.'!$E$7:$E$250,$A178)-J178,2))</f>
        <v/>
      </c>
      <c r="S178" s="344" t="str">
        <f>IF(F178="","",ROUND(SUMIFS('tp inwestycje do spr.'!K$7:K$250,'tp inwestycje do spr.'!$A$7:$A$250,$B178,'tp inwestycje do spr.'!$C$7:$C$250,$C178,'tp inwestycje do spr.'!$D$7:$D$250,$D178,'tp inwestycje do spr.'!$E$7:$E$250,$A178)-K178,2))</f>
        <v/>
      </c>
      <c r="T178" s="344" t="str">
        <f>IF(G178="","",ROUND(SUMIFS('tp inwestycje do spr.'!L$7:L$250,'tp inwestycje do spr.'!$A$7:$A$250,$B178,'tp inwestycje do spr.'!$C$7:$C$250,$C178,'tp inwestycje do spr.'!$D$7:$D$250,$D178,'tp inwestycje do spr.'!$E$7:$E$250,$A178)-L178,2))</f>
        <v/>
      </c>
      <c r="U178" s="342" t="str">
        <f t="shared" si="14"/>
        <v>nie</v>
      </c>
    </row>
    <row r="179" spans="1:21" x14ac:dyDescent="0.25">
      <c r="A179" s="356"/>
      <c r="B179" s="356"/>
      <c r="C179" s="357"/>
      <c r="D179" s="357"/>
      <c r="E179" s="356"/>
      <c r="F179" s="358"/>
      <c r="G179" s="358"/>
      <c r="H179" s="358"/>
      <c r="I179" s="358"/>
      <c r="J179" s="358"/>
      <c r="K179" s="358"/>
      <c r="L179" s="358"/>
      <c r="M179" s="355"/>
      <c r="N179" s="344" t="str">
        <f>IF(A179="","",ROUND(SUMIFS('tp inwestycje do spr.'!F$7:F$250,'tp inwestycje do spr.'!$A$7:$A$250,$B179,'tp inwestycje do spr.'!$C$7:$C$250,$C179,'tp inwestycje do spr.'!$D$7:$D$250,$D179,'tp inwestycje do spr.'!$E$7:$E$250,$A179)-F179,2))</f>
        <v/>
      </c>
      <c r="O179" s="344" t="str">
        <f>IF(B179="","",ROUND(SUMIFS('tp inwestycje do spr.'!G$7:G$250,'tp inwestycje do spr.'!$A$7:$A$250,$B179,'tp inwestycje do spr.'!$C$7:$C$250,$C179,'tp inwestycje do spr.'!$D$7:$D$250,$D179,'tp inwestycje do spr.'!$E$7:$E$250,$A179)-G179,2))</f>
        <v/>
      </c>
      <c r="P179" s="344" t="str">
        <f>IF(C179="","",ROUND(SUMIFS('tp inwestycje do spr.'!H$7:H$250,'tp inwestycje do spr.'!$A$7:$A$250,$B179,'tp inwestycje do spr.'!$C$7:$C$250,$C179,'tp inwestycje do spr.'!$D$7:$D$250,$D179,'tp inwestycje do spr.'!$E$7:$E$250,$A179)-H179,2))</f>
        <v/>
      </c>
      <c r="Q179" s="344" t="str">
        <f>IF(D179="","",ROUND(SUMIFS('tp inwestycje do spr.'!I$7:I$250,'tp inwestycje do spr.'!$A$7:$A$250,$B179,'tp inwestycje do spr.'!$C$7:$C$250,$C179,'tp inwestycje do spr.'!$D$7:$D$250,$D179,'tp inwestycje do spr.'!$E$7:$E$250,$A179)-I179,2))</f>
        <v/>
      </c>
      <c r="R179" s="344" t="str">
        <f>IF(E179="","",ROUND(SUMIFS('tp inwestycje do spr.'!J$7:J$250,'tp inwestycje do spr.'!$A$7:$A$250,$B179,'tp inwestycje do spr.'!$C$7:$C$250,$C179,'tp inwestycje do spr.'!$D$7:$D$250,$D179,'tp inwestycje do spr.'!$E$7:$E$250,$A179)-J179,2))</f>
        <v/>
      </c>
      <c r="S179" s="344" t="str">
        <f>IF(F179="","",ROUND(SUMIFS('tp inwestycje do spr.'!K$7:K$250,'tp inwestycje do spr.'!$A$7:$A$250,$B179,'tp inwestycje do spr.'!$C$7:$C$250,$C179,'tp inwestycje do spr.'!$D$7:$D$250,$D179,'tp inwestycje do spr.'!$E$7:$E$250,$A179)-K179,2))</f>
        <v/>
      </c>
      <c r="T179" s="344" t="str">
        <f>IF(G179="","",ROUND(SUMIFS('tp inwestycje do spr.'!L$7:L$250,'tp inwestycje do spr.'!$A$7:$A$250,$B179,'tp inwestycje do spr.'!$C$7:$C$250,$C179,'tp inwestycje do spr.'!$D$7:$D$250,$D179,'tp inwestycje do spr.'!$E$7:$E$250,$A179)-L179,2))</f>
        <v/>
      </c>
      <c r="U179" s="342" t="str">
        <f t="shared" si="14"/>
        <v>nie</v>
      </c>
    </row>
  </sheetData>
  <autoFilter ref="A5:U179" xr:uid="{BAC32586-EB3F-413C-814B-C8A59A945689}"/>
  <conditionalFormatting sqref="N2:T4 N6:T110 N112:T112 N114:T179">
    <cfRule type="expression" dxfId="2148" priority="3">
      <formula>COUNTIF(N2,"&gt;=0,01")+COUNTIF(N2,"&lt;=-0,01")&gt;0</formula>
    </cfRule>
  </conditionalFormatting>
  <conditionalFormatting sqref="N111:T111">
    <cfRule type="expression" dxfId="2147" priority="2">
      <formula>COUNTIF(N111,"&gt;=0,01")+COUNTIF(N111,"&lt;=-0,01")&gt;0</formula>
    </cfRule>
  </conditionalFormatting>
  <conditionalFormatting sqref="N113:T113">
    <cfRule type="expression" dxfId="2146" priority="1">
      <formula>COUNTIF(N113,"&gt;=0,01")+COUNTIF(N113,"&lt;=-0,01")&gt;0</formula>
    </cfRule>
  </conditionalFormatting>
  <pageMargins left="0.59055118110236227" right="0.59055118110236227" top="0.59055118110236227" bottom="0.59055118110236227" header="0.31496062992125984" footer="0.31496062992125984"/>
  <pageSetup paperSize="9" scale="65" orientation="landscape" horizontalDpi="4294967293" verticalDpi="4294967293" r:id="rId1"/>
  <headerFooter>
    <oddFooter>&amp;R&amp;P</oddFooter>
  </headerFooter>
  <colBreaks count="1" manualBreakCount="1">
    <brk id="13" max="17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7</vt:i4>
      </vt:variant>
      <vt:variant>
        <vt:lpstr>Nazwane zakresy</vt:lpstr>
      </vt:variant>
      <vt:variant>
        <vt:i4>12</vt:i4>
      </vt:variant>
    </vt:vector>
  </HeadingPairs>
  <TitlesOfParts>
    <vt:vector size="19" baseType="lpstr">
      <vt:lpstr>zał. 1 dochody</vt:lpstr>
      <vt:lpstr>INWESTYCJE PM</vt:lpstr>
      <vt:lpstr>tp inwestycje (zmiany)</vt:lpstr>
      <vt:lpstr>Prognoza</vt:lpstr>
      <vt:lpstr>tp inwestycje (dokładnie)</vt:lpstr>
      <vt:lpstr>tp inwestycje do spr.</vt:lpstr>
      <vt:lpstr>Spr. z raportem D12-WPF</vt:lpstr>
      <vt:lpstr>'INWESTYCJE PM'!Obszar_wydruku</vt:lpstr>
      <vt:lpstr>Prognoza!Obszar_wydruku</vt:lpstr>
      <vt:lpstr>'Spr. z raportem D12-WPF'!Obszar_wydruku</vt:lpstr>
      <vt:lpstr>'tp inwestycje (dokładnie)'!Obszar_wydruku</vt:lpstr>
      <vt:lpstr>'tp inwestycje (zmiany)'!Obszar_wydruku</vt:lpstr>
      <vt:lpstr>'tp inwestycje do spr.'!Obszar_wydruku</vt:lpstr>
      <vt:lpstr>'INWESTYCJE PM'!Tytuły_wydruku</vt:lpstr>
      <vt:lpstr>'Spr. z raportem D12-WPF'!Tytuły_wydruku</vt:lpstr>
      <vt:lpstr>'tp inwestycje (dokładnie)'!Tytuły_wydruku</vt:lpstr>
      <vt:lpstr>'tp inwestycje (zmiany)'!Tytuły_wydruku</vt:lpstr>
      <vt:lpstr>'tp inwestycje do spr.'!Tytuły_wydruku</vt:lpstr>
      <vt:lpstr>'zał. 1 dochody'!Tytuły_wydruku</vt:lpstr>
    </vt:vector>
  </TitlesOfParts>
  <Company>mst_Warszawa Dzielnica_Ursynow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Szklanko Krzysztof</dc:creator>
  <cp:lastModifiedBy>Szklanko Krzysztof</cp:lastModifiedBy>
  <cp:lastPrinted>2024-06-06T09:51:36Z</cp:lastPrinted>
  <dcterms:created xsi:type="dcterms:W3CDTF">2023-12-29T13:25:06Z</dcterms:created>
  <dcterms:modified xsi:type="dcterms:W3CDTF">2024-06-10T06:59:09Z</dcterms:modified>
</cp:coreProperties>
</file>